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chartEx1.xml" ContentType="application/vnd.ms-office.chartex+xml"/>
  <Override PartName="/xl/persons/person.xml" ContentType="application/vnd.ms-excel.person+xml"/>
  <Override PartName="/xl/richData/rdarray.xml" ContentType="application/vnd.ms-excel.rdarray+xml"/>
  <Override PartName="/xl/richData/rdsupportingpropertybagstructure.xml" ContentType="application/vnd.ms-excel.rdsupportingpropertybagstructur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richData/rdsupportingpropertybag.xml" ContentType="application/vnd.ms-excel.rdsupportingpropertybag+xml"/>
  <Override PartName="/xl/richData/richStyles.xml" ContentType="application/vnd.ms-excel.richstyles+xml"/>
  <Override PartName="/xl/threadedComments/threadedComment1.xml" ContentType="application/vnd.ms-excel.threadedcomments+xml"/>
  <Override PartName="/xl/charts/colors70.xml" ContentType="application/vnd.ms-office.chartcolorstyle+xml"/>
  <Override PartName="/xl/charts/style7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bloomberg-alunos\anaconda3\"/>
    </mc:Choice>
  </mc:AlternateContent>
  <bookViews>
    <workbookView xWindow="0" yWindow="0" windowWidth="28800" windowHeight="11580" tabRatio="777"/>
  </bookViews>
  <sheets>
    <sheet name="Summary" sheetId="19" r:id="rId1"/>
    <sheet name="Segments" sheetId="4" r:id="rId2"/>
    <sheet name="Industry" sheetId="3" r:id="rId3"/>
    <sheet name="Peers" sheetId="17" r:id="rId4"/>
    <sheet name="ESG" sheetId="2" r:id="rId5"/>
    <sheet name="ESG Inputs" sheetId="28" r:id="rId6"/>
    <sheet name="DCF" sheetId="8" r:id="rId7"/>
    <sheet name="Inputs" sheetId="9" r:id="rId8"/>
    <sheet name="WACC" sheetId="6" r:id="rId9"/>
    <sheet name="Multiples" sheetId="11" r:id="rId10"/>
    <sheet name="Sensitivity" sheetId="27" r:id="rId11"/>
  </sheets>
  <definedNames>
    <definedName name="_xlchart.v1.0" hidden="1">Sensitivity!$B$56:$B$10055</definedName>
    <definedName name="_xlchart.v5.0" hidden="1">Segments!$B$5</definedName>
    <definedName name="_xlchart.v5.1" hidden="1">Segments!$B$6:$B$10</definedName>
    <definedName name="_xlchart.v5.2" hidden="1">Segments!$D$6:$D$10</definedName>
    <definedName name="COOLFUCNTION" comment="No description available" localSheetId="6">_xlfn.LAMBDA(_xldudf_BOARDFLARE_EXEC("workbook-settings:coolfucntion"))</definedName>
    <definedName name="COOLFUCNTION" comment="No description available" localSheetId="4">_xlfn.LAMBDA(_xldudf_BOARDFLARE_EXEC("workbook-settings:coolfucntion"))</definedName>
    <definedName name="COOLFUCNTION" comment="No description available" localSheetId="2">_xlfn.LAMBDA(_xldudf_BOARDFLARE_EXEC("workbook-settings:coolfucntion"))</definedName>
    <definedName name="COOLFUCNTION" comment="No description available" localSheetId="7">_xlfn.LAMBDA(_xldudf_BOARDFLARE_EXEC("workbook-settings:coolfucntion"))</definedName>
    <definedName name="COOLFUCNTION" comment="No description available" localSheetId="9">_xlfn.LAMBDA(_xldudf_BOARDFLARE_EXEC("workbook-settings:coolfucntion"))</definedName>
    <definedName name="COOLFUCNTION" comment="No description available" localSheetId="3">_xlfn.LAMBDA(_xldudf_BOARDFLARE_EXEC("workbook-settings:coolfucntion"))</definedName>
    <definedName name="COOLFUCNTION" comment="No description available" localSheetId="1">_xlfn.LAMBDA(_xldudf_BOARDFLARE_EXEC("workbook-settings:coolfucntion"))</definedName>
    <definedName name="COOLFUCNTION" comment="No description available" localSheetId="0">_xlfn.LAMBDA(_xldudf_BOARDFLARE_EXEC("workbook-settings:coolfucntion"))</definedName>
    <definedName name="COOLFUCNTION" comment="No description available" localSheetId="8">_xlfn.LAMBDA(_xldudf_BOARDFLARE_EXEC("workbook-settings:coolfucntion"))</definedName>
    <definedName name="COOLFUCNTION" comment="No description available">_xlfn.LAMBDA(_xldudf_BOARDFLARE_EXEC("workbook-settings:coolfucntion"))</definedName>
    <definedName name="HTML_CodePage" hidden="1">1252</definedName>
    <definedName name="HTML_Control" localSheetId="6" hidden="1">{"'Sheet1'!$A$1:$H$145"}</definedName>
    <definedName name="HTML_Control" localSheetId="4" hidden="1">{"'Sheet1'!$A$1:$H$145"}</definedName>
    <definedName name="HTML_Control" localSheetId="2" hidden="1">{"'Sheet1'!$A$1:$H$145"}</definedName>
    <definedName name="HTML_Control" localSheetId="7" hidden="1">{"'Sheet1'!$A$1:$H$145"}</definedName>
    <definedName name="HTML_Control" localSheetId="9" hidden="1">{"'Sheet1'!$A$1:$H$145"}</definedName>
    <definedName name="HTML_Control" localSheetId="3" hidden="1">{"'Sheet1'!$A$1:$H$145"}</definedName>
    <definedName name="HTML_Control" localSheetId="1" hidden="1">{"'Sheet1'!$A$1:$H$145"}</definedName>
    <definedName name="HTML_Control" localSheetId="8" hidden="1">{"'Sheet1'!$A$1:$H$145"}</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Sectors" localSheetId="4">#REF!</definedName>
    <definedName name="Sectors" localSheetId="3">#REF!</definedName>
    <definedName name="Sectors">#REF!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95" i="9" l="1"/>
  <c r="R94" i="9"/>
  <c r="R93" i="9"/>
  <c r="R92" i="9"/>
  <c r="R91" i="9"/>
  <c r="R90" i="9"/>
  <c r="R89" i="9"/>
  <c r="R88" i="9"/>
  <c r="R87" i="9"/>
  <c r="R86" i="9"/>
  <c r="R85" i="9"/>
  <c r="R84" i="9"/>
  <c r="R83" i="9"/>
  <c r="R82" i="9"/>
  <c r="R81" i="9"/>
  <c r="R80" i="9"/>
  <c r="R79" i="9"/>
  <c r="R78" i="9"/>
  <c r="R77" i="9"/>
  <c r="R76" i="9"/>
  <c r="R75" i="9"/>
  <c r="R74" i="9"/>
  <c r="R73" i="9"/>
  <c r="R72" i="9"/>
  <c r="R71" i="9"/>
  <c r="R70" i="9"/>
  <c r="R69" i="9"/>
  <c r="R68" i="9"/>
  <c r="R67" i="9"/>
  <c r="R62" i="9"/>
  <c r="R61" i="9"/>
  <c r="R60" i="9"/>
  <c r="R59" i="9"/>
  <c r="R58" i="9"/>
  <c r="R57" i="9"/>
  <c r="R56" i="9"/>
  <c r="R55" i="9"/>
  <c r="R54" i="9"/>
  <c r="R53" i="9"/>
  <c r="R52" i="9"/>
  <c r="R51" i="9"/>
  <c r="R50" i="9"/>
  <c r="R49" i="9"/>
  <c r="R48" i="9"/>
  <c r="R47" i="9"/>
  <c r="R46" i="9"/>
  <c r="R45" i="9"/>
  <c r="R44" i="9"/>
  <c r="R43" i="9"/>
  <c r="R42" i="9"/>
  <c r="R41" i="9"/>
  <c r="R40" i="9"/>
  <c r="R37" i="9"/>
  <c r="R36" i="9"/>
  <c r="R35" i="9"/>
  <c r="R34" i="9"/>
  <c r="R33" i="9"/>
  <c r="R25" i="9"/>
  <c r="R24" i="9"/>
  <c r="R23" i="9"/>
  <c r="R22" i="9"/>
  <c r="R21" i="9"/>
  <c r="R20" i="9"/>
  <c r="R19" i="9"/>
  <c r="R18" i="9"/>
  <c r="R17" i="9"/>
  <c r="R16" i="9"/>
  <c r="R15" i="9"/>
  <c r="R14" i="9"/>
  <c r="R13" i="9"/>
  <c r="R12" i="9"/>
  <c r="R11" i="9"/>
  <c r="R10" i="9"/>
  <c r="R9" i="9"/>
  <c r="R8" i="9"/>
  <c r="R7" i="9"/>
  <c r="R6" i="9"/>
  <c r="U8" i="19"/>
  <c r="AK19" i="19"/>
  <c r="AA19" i="19"/>
  <c r="AG19" i="19"/>
  <c r="AJ19" i="19"/>
  <c r="AB19" i="19"/>
  <c r="AF19" i="19"/>
  <c r="AH19" i="19"/>
  <c r="AC19" i="19"/>
  <c r="AE19" i="19"/>
  <c r="AI19" i="19"/>
  <c r="AD19" i="19"/>
  <c r="U15" i="19"/>
  <c r="Q95" i="9" l="1"/>
  <c r="P95" i="9"/>
  <c r="O95" i="9"/>
  <c r="N95" i="9"/>
  <c r="M95" i="9"/>
  <c r="L95" i="9"/>
  <c r="K95" i="9"/>
  <c r="J95" i="9"/>
  <c r="I95" i="9"/>
  <c r="H95" i="9"/>
  <c r="G95" i="9"/>
  <c r="L10" i="8" l="1"/>
  <c r="N29" i="17"/>
  <c r="M29" i="17"/>
  <c r="L29" i="17"/>
  <c r="K29" i="17"/>
  <c r="J29" i="17"/>
  <c r="I29" i="17"/>
  <c r="H29" i="17"/>
  <c r="G29" i="17"/>
  <c r="F29" i="17"/>
  <c r="E29" i="17"/>
  <c r="N94" i="17"/>
  <c r="E94" i="17"/>
  <c r="G130" i="17"/>
  <c r="M128" i="17"/>
  <c r="N100" i="17"/>
  <c r="E101" i="17"/>
  <c r="L78" i="17"/>
  <c r="N117" i="17"/>
  <c r="J113" i="17"/>
  <c r="M121" i="17"/>
  <c r="I107" i="17"/>
  <c r="L98" i="17"/>
  <c r="E129" i="17"/>
  <c r="G100" i="17"/>
  <c r="L100" i="17"/>
  <c r="F111" i="17"/>
  <c r="L69" i="17"/>
  <c r="M107" i="17"/>
  <c r="L96" i="17"/>
  <c r="K118" i="17"/>
  <c r="N98" i="17"/>
  <c r="H100" i="17"/>
  <c r="N106" i="17"/>
  <c r="F126" i="17"/>
  <c r="K119" i="17"/>
  <c r="E115" i="17"/>
  <c r="K120" i="17"/>
  <c r="K107" i="17"/>
  <c r="N118" i="17"/>
  <c r="F106" i="17"/>
  <c r="F115" i="17"/>
  <c r="F101" i="17"/>
  <c r="H120" i="17"/>
  <c r="M111" i="17"/>
  <c r="F104" i="17"/>
  <c r="I112" i="17"/>
  <c r="J101" i="17"/>
  <c r="J103" i="17"/>
  <c r="I69" i="17"/>
  <c r="L128" i="17"/>
  <c r="M103" i="17"/>
  <c r="H126" i="17"/>
  <c r="M93" i="17"/>
  <c r="I97" i="17"/>
  <c r="K111" i="17"/>
  <c r="G117" i="17"/>
  <c r="E132" i="17"/>
  <c r="H130" i="17"/>
  <c r="J121" i="17"/>
  <c r="E127" i="17"/>
  <c r="I129" i="17"/>
  <c r="H95" i="17"/>
  <c r="M69" i="17"/>
  <c r="F132" i="17"/>
  <c r="F98" i="17"/>
  <c r="N122" i="17"/>
  <c r="E122" i="17"/>
  <c r="J78" i="17"/>
  <c r="F118" i="17"/>
  <c r="E78" i="17"/>
  <c r="K114" i="17"/>
  <c r="J94" i="17"/>
  <c r="F114" i="17"/>
  <c r="K126" i="17"/>
  <c r="I103" i="17"/>
  <c r="K128" i="17"/>
  <c r="G96" i="17"/>
  <c r="N113" i="17"/>
  <c r="K122" i="17"/>
  <c r="E100" i="17"/>
  <c r="J98" i="17"/>
  <c r="J126" i="17"/>
  <c r="J127" i="17"/>
  <c r="N131" i="17"/>
  <c r="N120" i="17"/>
  <c r="M131" i="17"/>
  <c r="F94" i="17"/>
  <c r="K106" i="17"/>
  <c r="H131" i="17"/>
  <c r="N128" i="17"/>
  <c r="J130" i="17"/>
  <c r="K105" i="17"/>
  <c r="M105" i="17"/>
  <c r="N95" i="17"/>
  <c r="I130" i="17"/>
  <c r="H128" i="17"/>
  <c r="J119" i="17"/>
  <c r="M122" i="17"/>
  <c r="E96" i="17"/>
  <c r="E106" i="17"/>
  <c r="N130" i="17"/>
  <c r="G102" i="17"/>
  <c r="E95" i="17"/>
  <c r="L103" i="17"/>
  <c r="I113" i="17"/>
  <c r="H127" i="17"/>
  <c r="H98" i="17"/>
  <c r="F69" i="17"/>
  <c r="M96" i="17"/>
  <c r="L93" i="17"/>
  <c r="H107" i="17"/>
  <c r="H102" i="17"/>
  <c r="M106" i="17"/>
  <c r="K129" i="17"/>
  <c r="E105" i="17"/>
  <c r="K132" i="17"/>
  <c r="G120" i="17"/>
  <c r="L113" i="17"/>
  <c r="N111" i="17"/>
  <c r="H97" i="17"/>
  <c r="G107" i="17"/>
  <c r="F120" i="17"/>
  <c r="J122" i="17"/>
  <c r="G104" i="17"/>
  <c r="N102" i="17"/>
  <c r="G98" i="17"/>
  <c r="L106" i="17"/>
  <c r="L126" i="17"/>
  <c r="K104" i="17"/>
  <c r="N127" i="17"/>
  <c r="J112" i="17"/>
  <c r="M114" i="17"/>
  <c r="F112" i="17"/>
  <c r="L107" i="17"/>
  <c r="H119" i="17"/>
  <c r="J102" i="17"/>
  <c r="I115" i="17"/>
  <c r="E121" i="17"/>
  <c r="J118" i="17"/>
  <c r="L111" i="17"/>
  <c r="K117" i="17"/>
  <c r="M126" i="17"/>
  <c r="E120" i="17"/>
  <c r="F96" i="17"/>
  <c r="G78" i="17"/>
  <c r="M130" i="17"/>
  <c r="I119" i="17"/>
  <c r="M95" i="17"/>
  <c r="G69" i="17"/>
  <c r="N103" i="17"/>
  <c r="G128" i="17"/>
  <c r="J120" i="17"/>
  <c r="L117" i="17"/>
  <c r="I132" i="17"/>
  <c r="N96" i="17"/>
  <c r="G103" i="17"/>
  <c r="G114" i="17"/>
  <c r="N126" i="17"/>
  <c r="F95" i="17"/>
  <c r="H105" i="17"/>
  <c r="E102" i="17"/>
  <c r="G118" i="17"/>
  <c r="E107" i="17"/>
  <c r="J117" i="17"/>
  <c r="G132" i="17"/>
  <c r="G129" i="17"/>
  <c r="K113" i="17"/>
  <c r="I114" i="17"/>
  <c r="G127" i="17"/>
  <c r="I121" i="17"/>
  <c r="F119" i="17"/>
  <c r="K102" i="17"/>
  <c r="L127" i="17"/>
  <c r="M97" i="17"/>
  <c r="G119" i="17"/>
  <c r="I95" i="17"/>
  <c r="G101" i="17"/>
  <c r="M104" i="17"/>
  <c r="I126" i="17"/>
  <c r="E103" i="17"/>
  <c r="N116" i="17"/>
  <c r="E112" i="17"/>
  <c r="L119" i="17"/>
  <c r="H114" i="17"/>
  <c r="E117" i="17"/>
  <c r="F130" i="17"/>
  <c r="H115" i="17"/>
  <c r="M101" i="17"/>
  <c r="E111" i="17"/>
  <c r="I131" i="17"/>
  <c r="J100" i="17"/>
  <c r="I128" i="17"/>
  <c r="K94" i="17"/>
  <c r="H93" i="17"/>
  <c r="I101" i="17"/>
  <c r="H113" i="17"/>
  <c r="J104" i="17"/>
  <c r="N69" i="17"/>
  <c r="J132" i="17"/>
  <c r="L129" i="17"/>
  <c r="E116" i="17"/>
  <c r="F122" i="17"/>
  <c r="K101" i="17"/>
  <c r="K130" i="17"/>
  <c r="M117" i="17"/>
  <c r="E69" i="17"/>
  <c r="M98" i="17"/>
  <c r="L131" i="17"/>
  <c r="E98" i="17"/>
  <c r="N93" i="17"/>
  <c r="I111" i="17"/>
  <c r="F131" i="17"/>
  <c r="E119" i="17"/>
  <c r="I78" i="17"/>
  <c r="M100" i="17"/>
  <c r="J105" i="17"/>
  <c r="J93" i="17"/>
  <c r="N121" i="17"/>
  <c r="E113" i="17"/>
  <c r="F100" i="17"/>
  <c r="I93" i="17"/>
  <c r="H106" i="17"/>
  <c r="I105" i="17"/>
  <c r="M78" i="17"/>
  <c r="G93" i="17"/>
  <c r="K116" i="17"/>
  <c r="K131" i="17"/>
  <c r="L132" i="17"/>
  <c r="J111" i="17"/>
  <c r="N105" i="17"/>
  <c r="L130" i="17"/>
  <c r="I120" i="17"/>
  <c r="J95" i="17"/>
  <c r="F97" i="17"/>
  <c r="L114" i="17"/>
  <c r="N114" i="17"/>
  <c r="I122" i="17"/>
  <c r="K98" i="17"/>
  <c r="J116" i="17"/>
  <c r="H118" i="17"/>
  <c r="I102" i="17"/>
  <c r="L94" i="17"/>
  <c r="L112" i="17"/>
  <c r="M118" i="17"/>
  <c r="J96" i="17"/>
  <c r="K103" i="17"/>
  <c r="K78" i="17"/>
  <c r="H111" i="17"/>
  <c r="J114" i="17"/>
  <c r="N101" i="17"/>
  <c r="J97" i="17"/>
  <c r="L97" i="17"/>
  <c r="L118" i="17"/>
  <c r="H104" i="17"/>
  <c r="K95" i="17"/>
  <c r="L120" i="17"/>
  <c r="J107" i="17"/>
  <c r="G97" i="17"/>
  <c r="H132" i="17"/>
  <c r="G126" i="17"/>
  <c r="K112" i="17"/>
  <c r="H117" i="17"/>
  <c r="M94" i="17"/>
  <c r="K97" i="17"/>
  <c r="G112" i="17"/>
  <c r="F102" i="17"/>
  <c r="L95" i="17"/>
  <c r="G115" i="17"/>
  <c r="E104" i="17"/>
  <c r="F129" i="17"/>
  <c r="G95" i="17"/>
  <c r="K115" i="17"/>
  <c r="M119" i="17"/>
  <c r="H122" i="17"/>
  <c r="K96" i="17"/>
  <c r="K93" i="17"/>
  <c r="H69" i="17"/>
  <c r="M132" i="17"/>
  <c r="H116" i="17"/>
  <c r="H112" i="17"/>
  <c r="J129" i="17"/>
  <c r="F113" i="17"/>
  <c r="F107" i="17"/>
  <c r="N129" i="17"/>
  <c r="E126" i="17"/>
  <c r="E114" i="17"/>
  <c r="F121" i="17"/>
  <c r="M115" i="17"/>
  <c r="I117" i="17"/>
  <c r="F128" i="17"/>
  <c r="M127" i="17"/>
  <c r="H94" i="17"/>
  <c r="F93" i="17"/>
  <c r="I104" i="17"/>
  <c r="N132" i="17"/>
  <c r="I118" i="17"/>
  <c r="N97" i="17"/>
  <c r="H129" i="17"/>
  <c r="M102" i="17"/>
  <c r="G121" i="17"/>
  <c r="G94" i="17"/>
  <c r="K127" i="17"/>
  <c r="F127" i="17"/>
  <c r="H96" i="17"/>
  <c r="N115" i="17"/>
  <c r="N112" i="17"/>
  <c r="F105" i="17"/>
  <c r="J115" i="17"/>
  <c r="L102" i="17"/>
  <c r="M129" i="17"/>
  <c r="G106" i="17"/>
  <c r="L122" i="17"/>
  <c r="G113" i="17"/>
  <c r="E130" i="17"/>
  <c r="I100" i="17"/>
  <c r="G131" i="17"/>
  <c r="M116" i="17"/>
  <c r="E93" i="17"/>
  <c r="E97" i="17"/>
  <c r="E118" i="17"/>
  <c r="H101" i="17"/>
  <c r="G116" i="17"/>
  <c r="Q95" i="17"/>
  <c r="L116" i="17"/>
  <c r="G105" i="17"/>
  <c r="N119" i="17"/>
  <c r="G111" i="17"/>
  <c r="L105" i="17"/>
  <c r="N78" i="17"/>
  <c r="F117" i="17"/>
  <c r="F116" i="17"/>
  <c r="M120" i="17"/>
  <c r="J69" i="17"/>
  <c r="I116" i="17"/>
  <c r="L115" i="17"/>
  <c r="L104" i="17"/>
  <c r="H78" i="17"/>
  <c r="I94" i="17"/>
  <c r="M112" i="17"/>
  <c r="K121" i="17"/>
  <c r="I96" i="17"/>
  <c r="K100" i="17"/>
  <c r="I98" i="17"/>
  <c r="L121" i="17"/>
  <c r="M113" i="17"/>
  <c r="N104" i="17"/>
  <c r="J131" i="17"/>
  <c r="L101" i="17"/>
  <c r="F78" i="17"/>
  <c r="G122" i="17"/>
  <c r="J128" i="17"/>
  <c r="I127" i="17"/>
  <c r="F103" i="17"/>
  <c r="H121" i="17"/>
  <c r="N107" i="17"/>
  <c r="E128" i="17"/>
  <c r="K69" i="17"/>
  <c r="J106" i="17"/>
  <c r="I106" i="17"/>
  <c r="E131" i="17"/>
  <c r="H103" i="17"/>
  <c r="D6" i="19" l="1"/>
  <c r="U14" i="19"/>
  <c r="E77" i="17"/>
  <c r="I76" i="17"/>
  <c r="K77" i="17"/>
  <c r="D69" i="17"/>
  <c r="K75" i="17"/>
  <c r="J75" i="17"/>
  <c r="K73" i="17"/>
  <c r="F77" i="17"/>
  <c r="V31" i="19"/>
  <c r="F74" i="17"/>
  <c r="N75" i="17"/>
  <c r="E74" i="17"/>
  <c r="L77" i="17"/>
  <c r="H73" i="17"/>
  <c r="M77" i="17"/>
  <c r="K76" i="17"/>
  <c r="I73" i="17"/>
  <c r="N77" i="17"/>
  <c r="M75" i="17"/>
  <c r="F73" i="17"/>
  <c r="J74" i="17"/>
  <c r="L76" i="17"/>
  <c r="L73" i="17"/>
  <c r="J77" i="17"/>
  <c r="H75" i="17"/>
  <c r="H74" i="17"/>
  <c r="G75" i="17"/>
  <c r="L74" i="17"/>
  <c r="G77" i="17"/>
  <c r="I75" i="17"/>
  <c r="N76" i="17"/>
  <c r="G76" i="17"/>
  <c r="M73" i="17"/>
  <c r="K74" i="17"/>
  <c r="F75" i="17"/>
  <c r="M76" i="17"/>
  <c r="G73" i="17"/>
  <c r="N74" i="17"/>
  <c r="M74" i="17"/>
  <c r="L75" i="17"/>
  <c r="G74" i="17"/>
  <c r="J73" i="17"/>
  <c r="H76" i="17"/>
  <c r="E76" i="17"/>
  <c r="H77" i="17"/>
  <c r="N73" i="17"/>
  <c r="J76" i="17"/>
  <c r="E73" i="17"/>
  <c r="F76" i="17"/>
  <c r="E75" i="17"/>
  <c r="Q109" i="9"/>
  <c r="I77" i="17"/>
  <c r="I74" i="17"/>
  <c r="D91" i="17" l="1"/>
  <c r="L9" i="27"/>
  <c r="K9" i="27"/>
  <c r="L8" i="27"/>
  <c r="K8" i="27"/>
  <c r="O53" i="11"/>
  <c r="P53" i="11" s="1"/>
  <c r="H53" i="11"/>
  <c r="I53" i="11" s="1"/>
  <c r="J53" i="11" s="1"/>
  <c r="K53" i="11" s="1"/>
  <c r="L53" i="11" s="1"/>
  <c r="M53" i="11" s="1"/>
  <c r="G53" i="11"/>
  <c r="I17" i="17"/>
  <c r="I16" i="17"/>
  <c r="I15" i="17"/>
  <c r="I14" i="17"/>
  <c r="I13" i="17"/>
  <c r="I12" i="17"/>
  <c r="I11" i="17"/>
  <c r="I10" i="17"/>
  <c r="I9" i="17"/>
  <c r="H17" i="17"/>
  <c r="H16" i="17"/>
  <c r="H15" i="17"/>
  <c r="H14" i="17"/>
  <c r="H13" i="17"/>
  <c r="H12" i="17"/>
  <c r="H11" i="17"/>
  <c r="H10" i="17"/>
  <c r="H9" i="17"/>
  <c r="H8" i="17"/>
  <c r="G17" i="17"/>
  <c r="G16" i="17"/>
  <c r="G15" i="17"/>
  <c r="G14" i="17"/>
  <c r="G13" i="17"/>
  <c r="G12" i="17"/>
  <c r="G11" i="17"/>
  <c r="G10" i="17"/>
  <c r="G9" i="17"/>
  <c r="G8" i="17"/>
  <c r="F17" i="17"/>
  <c r="F16" i="17"/>
  <c r="F15" i="17"/>
  <c r="F14" i="17"/>
  <c r="F13" i="17"/>
  <c r="F12" i="17"/>
  <c r="F11" i="17"/>
  <c r="F10" i="17"/>
  <c r="F9" i="17"/>
  <c r="F8" i="17"/>
  <c r="E17" i="17"/>
  <c r="E16" i="17"/>
  <c r="E15" i="17"/>
  <c r="E14" i="17"/>
  <c r="E13" i="17"/>
  <c r="E12" i="17"/>
  <c r="E11" i="17"/>
  <c r="E10" i="17"/>
  <c r="E9" i="17"/>
  <c r="E8" i="17"/>
  <c r="D17" i="17"/>
  <c r="D16" i="17"/>
  <c r="D15" i="17"/>
  <c r="D14" i="17"/>
  <c r="D13" i="17"/>
  <c r="D12" i="17"/>
  <c r="D11" i="17"/>
  <c r="D10" i="17"/>
  <c r="D9" i="17"/>
  <c r="D8" i="17"/>
  <c r="E69" i="3"/>
  <c r="E63" i="3"/>
  <c r="E57" i="3"/>
  <c r="E51" i="3"/>
  <c r="E44" i="3"/>
  <c r="D12" i="4"/>
  <c r="D11" i="4"/>
  <c r="D10" i="4"/>
  <c r="D9" i="4"/>
  <c r="D8" i="4"/>
  <c r="D7" i="4"/>
  <c r="Q174" i="8"/>
  <c r="P174" i="8"/>
  <c r="O174" i="8"/>
  <c r="N174" i="8"/>
  <c r="M174" i="8"/>
  <c r="L174" i="8"/>
  <c r="K174" i="8"/>
  <c r="J174" i="8"/>
  <c r="I174" i="8"/>
  <c r="Q172" i="8"/>
  <c r="P172" i="8"/>
  <c r="O172" i="8"/>
  <c r="N172" i="8"/>
  <c r="M172" i="8"/>
  <c r="L172" i="8"/>
  <c r="K172" i="8"/>
  <c r="J172" i="8"/>
  <c r="I172" i="8"/>
  <c r="Q31" i="8"/>
  <c r="P31" i="8"/>
  <c r="O31" i="8"/>
  <c r="N31" i="8"/>
  <c r="M31" i="8"/>
  <c r="L31" i="8"/>
  <c r="K31" i="8"/>
  <c r="J31" i="8"/>
  <c r="I31" i="8"/>
  <c r="Q122" i="9"/>
  <c r="P122" i="9"/>
  <c r="O122" i="9"/>
  <c r="N122" i="9"/>
  <c r="M122" i="9"/>
  <c r="L122" i="9"/>
  <c r="K122" i="9"/>
  <c r="J122" i="9"/>
  <c r="I122" i="9"/>
  <c r="H122" i="9"/>
  <c r="G122" i="9"/>
  <c r="Q121" i="9"/>
  <c r="P121" i="9"/>
  <c r="O121" i="9"/>
  <c r="N121" i="9"/>
  <c r="M121" i="9"/>
  <c r="L121" i="9"/>
  <c r="K121" i="9"/>
  <c r="J121" i="9"/>
  <c r="I121" i="9"/>
  <c r="H121" i="9"/>
  <c r="G121" i="9"/>
  <c r="Q120" i="9"/>
  <c r="P120" i="9"/>
  <c r="O120" i="9"/>
  <c r="N120" i="9"/>
  <c r="M120" i="9"/>
  <c r="L120" i="9"/>
  <c r="K120" i="9"/>
  <c r="J120" i="9"/>
  <c r="I120" i="9"/>
  <c r="H120" i="9"/>
  <c r="G120" i="9"/>
  <c r="Q119" i="9"/>
  <c r="P119" i="9"/>
  <c r="O119" i="9"/>
  <c r="N119" i="9"/>
  <c r="M119" i="9"/>
  <c r="L119" i="9"/>
  <c r="K119" i="9"/>
  <c r="J119" i="9"/>
  <c r="I119" i="9"/>
  <c r="H119" i="9"/>
  <c r="Q118" i="9"/>
  <c r="P118" i="9"/>
  <c r="O118" i="9"/>
  <c r="N118" i="9"/>
  <c r="M118" i="9"/>
  <c r="L118" i="9"/>
  <c r="K118" i="9"/>
  <c r="J118" i="9"/>
  <c r="I118" i="9"/>
  <c r="H118" i="9"/>
  <c r="Q116" i="9"/>
  <c r="P116" i="9"/>
  <c r="O116" i="9"/>
  <c r="N116" i="9"/>
  <c r="M116" i="9"/>
  <c r="L116" i="9"/>
  <c r="K116" i="9"/>
  <c r="J116" i="9"/>
  <c r="I116" i="9"/>
  <c r="H116" i="9"/>
  <c r="G116" i="9"/>
  <c r="Q115" i="9"/>
  <c r="P115" i="9"/>
  <c r="O115" i="9"/>
  <c r="N115" i="9"/>
  <c r="M115" i="9"/>
  <c r="L115" i="9"/>
  <c r="K115" i="9"/>
  <c r="J115" i="9"/>
  <c r="I115" i="9"/>
  <c r="H115" i="9"/>
  <c r="G115" i="9"/>
  <c r="Q114" i="9"/>
  <c r="P114" i="9"/>
  <c r="O114" i="9"/>
  <c r="N114" i="9"/>
  <c r="M114" i="9"/>
  <c r="L114" i="9"/>
  <c r="K114" i="9"/>
  <c r="J114" i="9"/>
  <c r="I114" i="9"/>
  <c r="H114" i="9"/>
  <c r="G85" i="9"/>
  <c r="M80" i="9"/>
  <c r="Q46" i="9"/>
  <c r="P46" i="9"/>
  <c r="O46" i="9"/>
  <c r="N46" i="9"/>
  <c r="M46" i="9"/>
  <c r="L46" i="9"/>
  <c r="K46" i="9"/>
  <c r="J46" i="9"/>
  <c r="I46" i="9"/>
  <c r="H46" i="9"/>
  <c r="V73" i="19"/>
  <c r="V72" i="19"/>
  <c r="V71" i="19"/>
  <c r="V70" i="19"/>
  <c r="V69" i="19"/>
  <c r="V68" i="19"/>
  <c r="V67" i="19"/>
  <c r="V66" i="19"/>
  <c r="V65" i="19"/>
  <c r="V64" i="19"/>
  <c r="V63" i="19"/>
  <c r="V62" i="19"/>
  <c r="V61" i="19"/>
  <c r="N67" i="17"/>
  <c r="M67" i="17"/>
  <c r="L67" i="17"/>
  <c r="K67" i="17"/>
  <c r="J67" i="17"/>
  <c r="I67" i="17"/>
  <c r="H67" i="17"/>
  <c r="G67" i="17"/>
  <c r="F67" i="17"/>
  <c r="E67" i="17"/>
  <c r="K16" i="27"/>
  <c r="K15" i="27"/>
  <c r="K14" i="27"/>
  <c r="K13" i="27"/>
  <c r="K12" i="27"/>
  <c r="N66" i="17"/>
  <c r="M66" i="17"/>
  <c r="L66" i="17"/>
  <c r="K66" i="17"/>
  <c r="J66" i="17"/>
  <c r="I66" i="17"/>
  <c r="H66" i="17"/>
  <c r="G66" i="17"/>
  <c r="F66" i="17"/>
  <c r="E66" i="17"/>
  <c r="F42" i="11"/>
  <c r="O10" i="17" a="1"/>
  <c r="K16" i="17" a="1"/>
  <c r="I258" i="8"/>
  <c r="I85" i="17" a="1"/>
  <c r="B10" i="17" a="1"/>
  <c r="O19" i="11"/>
  <c r="N23" i="11"/>
  <c r="G23" i="11"/>
  <c r="O44" i="11"/>
  <c r="M60" i="11"/>
  <c r="F16" i="11"/>
  <c r="P17" i="11"/>
  <c r="L17" i="11"/>
  <c r="O27" i="11"/>
  <c r="O20" i="11"/>
  <c r="G27" i="11"/>
  <c r="C17" i="17" a="1"/>
  <c r="P56" i="11"/>
  <c r="M55" i="11"/>
  <c r="G60" i="11"/>
  <c r="K12" i="17" a="1"/>
  <c r="Q210" i="8" a="1"/>
  <c r="C13" i="17" a="1"/>
  <c r="L63" i="11"/>
  <c r="N42" i="11"/>
  <c r="O13" i="17" a="1"/>
  <c r="L11" i="17" a="1"/>
  <c r="L44" i="11"/>
  <c r="F45" i="11"/>
  <c r="F55" i="11"/>
  <c r="N258" i="8"/>
  <c r="O57" i="11"/>
  <c r="G45" i="11"/>
  <c r="L64" i="11"/>
  <c r="K44" i="11"/>
  <c r="M16" i="17" a="1"/>
  <c r="H59" i="11"/>
  <c r="I62" i="11"/>
  <c r="H85" i="17" a="1"/>
  <c r="L42" i="11"/>
  <c r="L60" i="11"/>
  <c r="D73" i="17"/>
  <c r="L45" i="11"/>
  <c r="N22" i="11"/>
  <c r="K15" i="17" a="1"/>
  <c r="F43" i="11"/>
  <c r="M45" i="11"/>
  <c r="I61" i="11"/>
  <c r="I20" i="11"/>
  <c r="M15" i="11"/>
  <c r="M17" i="17" a="1"/>
  <c r="J17" i="11"/>
  <c r="I64" i="11"/>
  <c r="G55" i="11"/>
  <c r="H64" i="11"/>
  <c r="K18" i="11"/>
  <c r="I16" i="11"/>
  <c r="I55" i="11"/>
  <c r="H16" i="11"/>
  <c r="P42" i="19"/>
  <c r="M23" i="11"/>
  <c r="I28" i="11"/>
  <c r="L40" i="11"/>
  <c r="B11" i="17" a="1"/>
  <c r="I27" i="11"/>
  <c r="J10" i="17" a="1"/>
  <c r="N15" i="11"/>
  <c r="K17" i="17" a="1"/>
  <c r="I60" i="11"/>
  <c r="I56" i="11"/>
  <c r="J44" i="11"/>
  <c r="P27" i="11"/>
  <c r="K57" i="11"/>
  <c r="O11" i="17" a="1"/>
  <c r="D77" i="17"/>
  <c r="J20" i="11"/>
  <c r="K23" i="11"/>
  <c r="H15" i="11"/>
  <c r="P55" i="11"/>
  <c r="D76" i="17"/>
  <c r="L19" i="11"/>
  <c r="M62" i="11"/>
  <c r="L20" i="11"/>
  <c r="I17" i="11"/>
  <c r="P44" i="11"/>
  <c r="B17" i="17" a="1"/>
  <c r="I23" i="11"/>
  <c r="O42" i="11"/>
  <c r="G18" i="11"/>
  <c r="K45" i="11"/>
  <c r="L16" i="11"/>
  <c r="H22" i="11"/>
  <c r="J22" i="11"/>
  <c r="N43" i="11"/>
  <c r="L41" i="11"/>
  <c r="M8" i="17" a="1"/>
  <c r="H55" i="11"/>
  <c r="N41" i="11"/>
  <c r="I43" i="11"/>
  <c r="F64" i="11"/>
  <c r="F41" i="11"/>
  <c r="P43" i="19"/>
  <c r="K29" i="11"/>
  <c r="L62" i="11"/>
  <c r="M61" i="11"/>
  <c r="H28" i="11"/>
  <c r="O59" i="11"/>
  <c r="K19" i="11"/>
  <c r="I18" i="11"/>
  <c r="F59" i="11"/>
  <c r="O64" i="11"/>
  <c r="J15" i="11"/>
  <c r="G62" i="11"/>
  <c r="O63" i="11"/>
  <c r="H19" i="11"/>
  <c r="M15" i="17" a="1"/>
  <c r="M58" i="11"/>
  <c r="H17" i="11"/>
  <c r="J41" i="11"/>
  <c r="H63" i="11"/>
  <c r="F17" i="11"/>
  <c r="K11" i="17" a="1"/>
  <c r="O21" i="11"/>
  <c r="H58" i="11"/>
  <c r="K41" i="11"/>
  <c r="L22" i="11"/>
  <c r="N61" i="11"/>
  <c r="O43" i="11"/>
  <c r="G44" i="11"/>
  <c r="N19" i="11"/>
  <c r="J15" i="17" a="1"/>
  <c r="K56" i="11"/>
  <c r="K62" i="11"/>
  <c r="N17" i="11"/>
  <c r="M10" i="17" a="1"/>
  <c r="O15" i="11"/>
  <c r="M27" i="11"/>
  <c r="I15" i="11"/>
  <c r="K10" i="17" a="1"/>
  <c r="M9" i="17" a="1"/>
  <c r="F44" i="11"/>
  <c r="P64" i="11"/>
  <c r="B12" i="17" a="1"/>
  <c r="I41" i="11"/>
  <c r="K8" i="17" a="1"/>
  <c r="H20" i="11"/>
  <c r="M40" i="11"/>
  <c r="K21" i="11"/>
  <c r="F27" i="11"/>
  <c r="F40" i="11"/>
  <c r="C12" i="17" a="1"/>
  <c r="L58" i="11"/>
  <c r="L55" i="11"/>
  <c r="P16" i="11"/>
  <c r="O29" i="11"/>
  <c r="L85" i="17" a="1"/>
  <c r="H258" i="8"/>
  <c r="O62" i="11"/>
  <c r="J59" i="11"/>
  <c r="K28" i="11"/>
  <c r="N29" i="11"/>
  <c r="J16" i="17" a="1"/>
  <c r="O41" i="11"/>
  <c r="N85" i="17" a="1"/>
  <c r="M63" i="11"/>
  <c r="M19" i="11"/>
  <c r="O16" i="17" a="1"/>
  <c r="H21" i="11"/>
  <c r="K59" i="11"/>
  <c r="I21" i="11"/>
  <c r="J18" i="11"/>
  <c r="O42" i="19"/>
  <c r="J21" i="11"/>
  <c r="P28" i="11"/>
  <c r="N11" i="17" a="1"/>
  <c r="I59" i="11"/>
  <c r="P45" i="11"/>
  <c r="J27" i="11"/>
  <c r="K60" i="11"/>
  <c r="L258" i="8"/>
  <c r="H42" i="11"/>
  <c r="L17" i="17" a="1"/>
  <c r="G16" i="11"/>
  <c r="L18" i="11"/>
  <c r="F23" i="11"/>
  <c r="H57" i="11"/>
  <c r="L16" i="17" a="1"/>
  <c r="B15" i="17" a="1"/>
  <c r="N45" i="11"/>
  <c r="K61" i="11"/>
  <c r="K258" i="8"/>
  <c r="P61" i="11"/>
  <c r="M57" i="11"/>
  <c r="N44" i="11"/>
  <c r="L15" i="17" a="1"/>
  <c r="J258" i="8"/>
  <c r="K27" i="11"/>
  <c r="K20" i="11"/>
  <c r="K15" i="11"/>
  <c r="I42" i="11"/>
  <c r="F62" i="11"/>
  <c r="F61" i="11"/>
  <c r="M85" i="17" a="1"/>
  <c r="G15" i="11"/>
  <c r="F28" i="11"/>
  <c r="H27" i="11"/>
  <c r="J17" i="17" a="1"/>
  <c r="M22" i="11"/>
  <c r="J62" i="11"/>
  <c r="Q207" i="8" a="1"/>
  <c r="N18" i="11"/>
  <c r="M41" i="11"/>
  <c r="F22" i="11"/>
  <c r="N8" i="17" a="1"/>
  <c r="O58" i="11"/>
  <c r="F57" i="11"/>
  <c r="P15" i="11"/>
  <c r="N21" i="11"/>
  <c r="O45" i="11"/>
  <c r="O258" i="8"/>
  <c r="G19" i="11"/>
  <c r="N56" i="11"/>
  <c r="F60" i="11"/>
  <c r="L13" i="17" a="1"/>
  <c r="C16" i="17" a="1"/>
  <c r="P57" i="11"/>
  <c r="P59" i="11"/>
  <c r="K64" i="11"/>
  <c r="F85" i="17" a="1"/>
  <c r="H45" i="11"/>
  <c r="O16" i="11"/>
  <c r="N42" i="19"/>
  <c r="P62" i="11"/>
  <c r="G61" i="11"/>
  <c r="N17" i="17" a="1"/>
  <c r="P60" i="11"/>
  <c r="L10" i="17" a="1"/>
  <c r="L21" i="11"/>
  <c r="K42" i="11"/>
  <c r="I63" i="11"/>
  <c r="O14" i="17" a="1"/>
  <c r="P22" i="11"/>
  <c r="N63" i="11"/>
  <c r="I22" i="11"/>
  <c r="F29" i="11"/>
  <c r="I44" i="11"/>
  <c r="L56" i="11"/>
  <c r="F63" i="11"/>
  <c r="O60" i="11"/>
  <c r="M16" i="11"/>
  <c r="L43" i="11"/>
  <c r="L57" i="11"/>
  <c r="H18" i="11"/>
  <c r="G64" i="11"/>
  <c r="P20" i="11"/>
  <c r="H60" i="11"/>
  <c r="K85" i="17" a="1"/>
  <c r="G85" i="17" a="1"/>
  <c r="I29" i="11"/>
  <c r="P58" i="11"/>
  <c r="O8" i="17" a="1"/>
  <c r="M18" i="11"/>
  <c r="P23" i="11"/>
  <c r="N10" i="17" a="1"/>
  <c r="P18" i="11"/>
  <c r="L61" i="11"/>
  <c r="J13" i="17" a="1"/>
  <c r="M44" i="11"/>
  <c r="H40" i="11"/>
  <c r="G56" i="11"/>
  <c r="O56" i="11"/>
  <c r="K17" i="11"/>
  <c r="M29" i="11"/>
  <c r="P41" i="11"/>
  <c r="K55" i="11"/>
  <c r="M258" i="8"/>
  <c r="J64" i="11"/>
  <c r="D74" i="17"/>
  <c r="M11" i="17" a="1"/>
  <c r="O61" i="11"/>
  <c r="F15" i="11"/>
  <c r="O55" i="11"/>
  <c r="H23" i="11"/>
  <c r="F18" i="11"/>
  <c r="U9" i="19" a="1"/>
  <c r="O22" i="11"/>
  <c r="N14" i="17" a="1"/>
  <c r="O9" i="17" a="1"/>
  <c r="F21" i="11"/>
  <c r="J55" i="11"/>
  <c r="C15" i="17" a="1"/>
  <c r="L15" i="11"/>
  <c r="J19" i="11"/>
  <c r="M17" i="11"/>
  <c r="G17" i="11"/>
  <c r="K43" i="11"/>
  <c r="P63" i="11"/>
  <c r="H61" i="11"/>
  <c r="N62" i="11"/>
  <c r="G41" i="11"/>
  <c r="O18" i="11"/>
  <c r="O17" i="11"/>
  <c r="J12" i="17" a="1"/>
  <c r="H44" i="11"/>
  <c r="N59" i="11"/>
  <c r="K58" i="11"/>
  <c r="K13" i="17" a="1"/>
  <c r="M28" i="11"/>
  <c r="J16" i="11"/>
  <c r="J43" i="11"/>
  <c r="N13" i="17" a="1"/>
  <c r="B16" i="17" a="1"/>
  <c r="N16" i="11"/>
  <c r="E85" i="17" a="1"/>
  <c r="L8" i="17" a="1"/>
  <c r="B13" i="17" a="1"/>
  <c r="N27" i="11"/>
  <c r="J61" i="11"/>
  <c r="I40" i="11"/>
  <c r="G58" i="11"/>
  <c r="J8" i="17" a="1"/>
  <c r="C14" i="17" a="1"/>
  <c r="H43" i="11"/>
  <c r="N40" i="11"/>
  <c r="N28" i="11"/>
  <c r="N20" i="11"/>
  <c r="P43" i="11"/>
  <c r="J11" i="17" a="1"/>
  <c r="G40" i="11"/>
  <c r="J42" i="11"/>
  <c r="M12" i="17" a="1"/>
  <c r="F58" i="11"/>
  <c r="J60" i="11"/>
  <c r="J63" i="11"/>
  <c r="M13" i="17" a="1"/>
  <c r="J28" i="11"/>
  <c r="O17" i="17" a="1"/>
  <c r="L59" i="11"/>
  <c r="J23" i="11"/>
  <c r="F20" i="11"/>
  <c r="J56" i="11"/>
  <c r="K9" i="17" a="1"/>
  <c r="B8" i="17" a="1"/>
  <c r="G59" i="11"/>
  <c r="J57" i="11"/>
  <c r="G21" i="11"/>
  <c r="N15" i="17" a="1"/>
  <c r="P19" i="11"/>
  <c r="J45" i="11"/>
  <c r="N64" i="11"/>
  <c r="G57" i="11"/>
  <c r="M43" i="11"/>
  <c r="J40" i="11"/>
  <c r="J58" i="11"/>
  <c r="O15" i="17" a="1"/>
  <c r="O23" i="11"/>
  <c r="L29" i="11"/>
  <c r="K40" i="11"/>
  <c r="C10" i="17" a="1"/>
  <c r="I45" i="11"/>
  <c r="M64" i="11"/>
  <c r="H62" i="11"/>
  <c r="I57" i="11"/>
  <c r="J9" i="17" a="1"/>
  <c r="K63" i="11"/>
  <c r="M56" i="11"/>
  <c r="H56" i="11"/>
  <c r="N60" i="11"/>
  <c r="P258" i="8"/>
  <c r="G43" i="11"/>
  <c r="G42" i="11"/>
  <c r="H29" i="11"/>
  <c r="G63" i="11"/>
  <c r="M42" i="11"/>
  <c r="G20" i="11"/>
  <c r="L23" i="11"/>
  <c r="L28" i="11"/>
  <c r="N55" i="11"/>
  <c r="F56" i="11"/>
  <c r="N9" i="17" a="1"/>
  <c r="J85" i="17" a="1"/>
  <c r="P29" i="11"/>
  <c r="N12" i="17" a="1"/>
  <c r="N16" i="17" a="1"/>
  <c r="B14" i="17" a="1"/>
  <c r="P40" i="11"/>
  <c r="B9" i="17" a="1"/>
  <c r="K16" i="11"/>
  <c r="I19" i="11"/>
  <c r="L27" i="11"/>
  <c r="O40" i="11"/>
  <c r="Q258" i="8"/>
  <c r="D75" i="17"/>
  <c r="O12" i="17" a="1"/>
  <c r="L9" i="17" a="1"/>
  <c r="M20" i="11"/>
  <c r="K22" i="11"/>
  <c r="G29" i="11"/>
  <c r="P42" i="11"/>
  <c r="C11" i="17" a="1"/>
  <c r="L12" i="17" a="1"/>
  <c r="C8" i="17" a="1"/>
  <c r="J29" i="11"/>
  <c r="P21" i="11"/>
  <c r="H41" i="11"/>
  <c r="N58" i="11"/>
  <c r="M59" i="11"/>
  <c r="M21" i="11"/>
  <c r="I58" i="11"/>
  <c r="F19" i="11"/>
  <c r="D78" i="17"/>
  <c r="N57" i="11"/>
  <c r="O28" i="11"/>
  <c r="G28" i="11"/>
  <c r="C9" i="17" a="1"/>
  <c r="G22" i="11"/>
  <c r="V35" i="19" l="1"/>
  <c r="V34" i="19"/>
  <c r="V33" i="19"/>
  <c r="V32" i="19"/>
  <c r="K85" i="17"/>
  <c r="C17" i="17"/>
  <c r="M85" i="17"/>
  <c r="B10" i="17"/>
  <c r="B12" i="17"/>
  <c r="B13" i="17"/>
  <c r="B16" i="17"/>
  <c r="B17" i="17"/>
  <c r="C9" i="17"/>
  <c r="J85" i="17"/>
  <c r="B9" i="17"/>
  <c r="B14" i="17"/>
  <c r="B15" i="17"/>
  <c r="C10" i="17"/>
  <c r="F85" i="17"/>
  <c r="C15" i="17"/>
  <c r="C16" i="17"/>
  <c r="L85" i="17"/>
  <c r="N85" i="17"/>
  <c r="B11" i="17"/>
  <c r="C11" i="17"/>
  <c r="G85" i="17"/>
  <c r="C12" i="17"/>
  <c r="J80" i="17" s="1"/>
  <c r="H85" i="17"/>
  <c r="C13" i="17"/>
  <c r="I85" i="17"/>
  <c r="C14" i="17"/>
  <c r="B8" i="17"/>
  <c r="E85" i="17"/>
  <c r="C8" i="17"/>
  <c r="H259" i="8"/>
  <c r="N11" i="17"/>
  <c r="N12" i="17"/>
  <c r="N13" i="17"/>
  <c r="N17" i="17"/>
  <c r="N15" i="17"/>
  <c r="N14" i="17"/>
  <c r="N9" i="17"/>
  <c r="N10" i="17"/>
  <c r="N16" i="17"/>
  <c r="N8" i="17"/>
  <c r="L16" i="17"/>
  <c r="L17" i="17"/>
  <c r="J9" i="17"/>
  <c r="J10" i="17"/>
  <c r="J17" i="17"/>
  <c r="L9" i="17"/>
  <c r="J12" i="17"/>
  <c r="J13" i="17"/>
  <c r="L10" i="17"/>
  <c r="L11" i="17"/>
  <c r="J16" i="17"/>
  <c r="J11" i="17"/>
  <c r="J15" i="17"/>
  <c r="L12" i="17"/>
  <c r="L13" i="17"/>
  <c r="L15" i="17"/>
  <c r="J8" i="17"/>
  <c r="L8" i="17"/>
  <c r="O9" i="17"/>
  <c r="O11" i="17"/>
  <c r="O12" i="17"/>
  <c r="O13" i="17"/>
  <c r="O14" i="17"/>
  <c r="O16" i="17"/>
  <c r="O15" i="17"/>
  <c r="O17" i="17"/>
  <c r="O10" i="17"/>
  <c r="O8" i="17"/>
  <c r="M9" i="17"/>
  <c r="M10" i="17"/>
  <c r="M11" i="17"/>
  <c r="M17" i="17"/>
  <c r="M13" i="17"/>
  <c r="M16" i="17"/>
  <c r="M12" i="17"/>
  <c r="M15" i="17"/>
  <c r="M8" i="17"/>
  <c r="K11" i="17"/>
  <c r="K9" i="17"/>
  <c r="K10" i="17"/>
  <c r="K15" i="17"/>
  <c r="K17" i="17"/>
  <c r="K13" i="17"/>
  <c r="K12" i="17"/>
  <c r="K16" i="17"/>
  <c r="K8" i="17"/>
  <c r="Q210" i="8"/>
  <c r="F8" i="27" s="1"/>
  <c r="I259" i="8"/>
  <c r="J259" i="8"/>
  <c r="K259" i="8"/>
  <c r="L259" i="8"/>
  <c r="M259" i="8"/>
  <c r="Q259" i="8"/>
  <c r="N259" i="8"/>
  <c r="O259" i="8"/>
  <c r="P259" i="8"/>
  <c r="Q207" i="8"/>
  <c r="U9" i="19"/>
  <c r="N63" i="17"/>
  <c r="M63" i="17"/>
  <c r="L63" i="17"/>
  <c r="K63" i="17"/>
  <c r="J63" i="17"/>
  <c r="I63" i="17"/>
  <c r="H63" i="17"/>
  <c r="G63" i="17"/>
  <c r="F63" i="17"/>
  <c r="E63" i="17"/>
  <c r="I106" i="9"/>
  <c r="J106" i="9"/>
  <c r="K106" i="9"/>
  <c r="L106" i="9" s="1"/>
  <c r="M106" i="9" s="1"/>
  <c r="N106" i="9" s="1"/>
  <c r="O106" i="9" s="1"/>
  <c r="P106" i="9" s="1"/>
  <c r="Q106" i="9" s="1"/>
  <c r="N65" i="17"/>
  <c r="M65" i="17"/>
  <c r="L65" i="17"/>
  <c r="K65" i="17"/>
  <c r="J65" i="17"/>
  <c r="I65" i="17"/>
  <c r="H65" i="17"/>
  <c r="G65" i="17"/>
  <c r="F65" i="17"/>
  <c r="E65" i="17"/>
  <c r="P31" i="19"/>
  <c r="N33" i="19"/>
  <c r="O36" i="19"/>
  <c r="P26" i="19"/>
  <c r="O28" i="19"/>
  <c r="N37" i="19"/>
  <c r="O48" i="19"/>
  <c r="N43" i="19"/>
  <c r="N47" i="19"/>
  <c r="N28" i="19"/>
  <c r="P33" i="19"/>
  <c r="P37" i="19"/>
  <c r="O29" i="19"/>
  <c r="N31" i="19"/>
  <c r="O32" i="19"/>
  <c r="N30" i="19"/>
  <c r="O26" i="19"/>
  <c r="P50" i="19"/>
  <c r="N27" i="19"/>
  <c r="O50" i="19"/>
  <c r="P30" i="19"/>
  <c r="O37" i="19"/>
  <c r="N26" i="19"/>
  <c r="P46" i="19"/>
  <c r="P51" i="19"/>
  <c r="O51" i="19"/>
  <c r="P27" i="19"/>
  <c r="O33" i="19"/>
  <c r="O47" i="19"/>
  <c r="P48" i="19"/>
  <c r="N46" i="19"/>
  <c r="P47" i="19"/>
  <c r="O30" i="19"/>
  <c r="N38" i="19"/>
  <c r="N48" i="19"/>
  <c r="P38" i="19"/>
  <c r="N50" i="19"/>
  <c r="N32" i="19"/>
  <c r="N29" i="19"/>
  <c r="O49" i="19"/>
  <c r="P32" i="19"/>
  <c r="N51" i="19"/>
  <c r="N49" i="19"/>
  <c r="O43" i="19"/>
  <c r="P29" i="19"/>
  <c r="O31" i="19"/>
  <c r="P28" i="19"/>
  <c r="O38" i="19"/>
  <c r="P36" i="19"/>
  <c r="P49" i="19"/>
  <c r="O27" i="19"/>
  <c r="N36" i="19"/>
  <c r="O46" i="19"/>
  <c r="E19" i="27" l="1"/>
  <c r="F7" i="27"/>
  <c r="G8" i="27"/>
  <c r="H11" i="27"/>
  <c r="L12" i="27"/>
  <c r="E10" i="27"/>
  <c r="L15" i="27"/>
  <c r="D9" i="27"/>
  <c r="D10" i="27"/>
  <c r="D7" i="27"/>
  <c r="E17" i="27"/>
  <c r="D11" i="27"/>
  <c r="G11" i="27"/>
  <c r="D19" i="27"/>
  <c r="E7" i="27"/>
  <c r="L13" i="27"/>
  <c r="H8" i="27"/>
  <c r="L14" i="27"/>
  <c r="F10" i="27"/>
  <c r="G9" i="27"/>
  <c r="D17" i="27"/>
  <c r="E18" i="27"/>
  <c r="F19" i="27"/>
  <c r="E8" i="27"/>
  <c r="F18" i="27"/>
  <c r="E9" i="27"/>
  <c r="G7" i="27"/>
  <c r="D18" i="27"/>
  <c r="H7" i="27"/>
  <c r="E11" i="27"/>
  <c r="H9" i="27"/>
  <c r="G10" i="27"/>
  <c r="F17" i="27"/>
  <c r="H10" i="27"/>
  <c r="D8" i="27"/>
  <c r="F9" i="27"/>
  <c r="F11" i="27"/>
  <c r="AN292" i="8"/>
  <c r="AN282" i="8"/>
  <c r="F64" i="17"/>
  <c r="G64" i="17"/>
  <c r="H64" i="17"/>
  <c r="I64" i="17"/>
  <c r="J64" i="17"/>
  <c r="K64" i="17"/>
  <c r="L64" i="17"/>
  <c r="M64" i="17"/>
  <c r="N64" i="17"/>
  <c r="E68" i="17"/>
  <c r="F68" i="17"/>
  <c r="G68" i="17"/>
  <c r="H68" i="17"/>
  <c r="I68" i="17"/>
  <c r="J68" i="17"/>
  <c r="K68" i="17"/>
  <c r="L68" i="17"/>
  <c r="M68" i="17"/>
  <c r="N68" i="17"/>
  <c r="E64" i="17"/>
  <c r="Q86" i="28" l="1"/>
  <c r="P86" i="28"/>
  <c r="O86" i="28"/>
  <c r="N86" i="28"/>
  <c r="M86" i="28"/>
  <c r="L86" i="28"/>
  <c r="K86" i="28"/>
  <c r="J86" i="28"/>
  <c r="I86" i="28"/>
  <c r="H86" i="28"/>
  <c r="G86" i="28"/>
  <c r="Q85" i="28"/>
  <c r="P85" i="28"/>
  <c r="O85" i="28"/>
  <c r="N85" i="28"/>
  <c r="M85" i="28"/>
  <c r="L85" i="28"/>
  <c r="K85" i="28"/>
  <c r="J85" i="28"/>
  <c r="I85" i="28"/>
  <c r="H85" i="28"/>
  <c r="G85" i="28"/>
  <c r="Q84" i="28"/>
  <c r="P84" i="28"/>
  <c r="O84" i="28"/>
  <c r="N84" i="28"/>
  <c r="M84" i="28"/>
  <c r="L84" i="28"/>
  <c r="K84" i="28"/>
  <c r="J84" i="28"/>
  <c r="I84" i="28"/>
  <c r="H84" i="28"/>
  <c r="G84" i="28"/>
  <c r="Q83" i="28"/>
  <c r="P83" i="28"/>
  <c r="O83" i="28"/>
  <c r="N83" i="28"/>
  <c r="M83" i="28"/>
  <c r="L83" i="28"/>
  <c r="K83" i="28"/>
  <c r="J83" i="28"/>
  <c r="I83" i="28"/>
  <c r="H83" i="28"/>
  <c r="G83" i="28"/>
  <c r="Q82" i="28"/>
  <c r="P82" i="28"/>
  <c r="O82" i="28"/>
  <c r="N82" i="28"/>
  <c r="M82" i="28"/>
  <c r="L82" i="28"/>
  <c r="K82" i="28"/>
  <c r="J82" i="28"/>
  <c r="I82" i="28"/>
  <c r="H82" i="28"/>
  <c r="G82" i="28"/>
  <c r="Q81" i="28"/>
  <c r="P81" i="28"/>
  <c r="O81" i="28"/>
  <c r="N81" i="28"/>
  <c r="M81" i="28"/>
  <c r="L81" i="28"/>
  <c r="K81" i="28"/>
  <c r="J81" i="28"/>
  <c r="I81" i="28"/>
  <c r="H81" i="28"/>
  <c r="G81" i="28"/>
  <c r="Q80" i="28"/>
  <c r="P80" i="28"/>
  <c r="O80" i="28"/>
  <c r="N80" i="28"/>
  <c r="M80" i="28"/>
  <c r="L80" i="28"/>
  <c r="K80" i="28"/>
  <c r="J80" i="28"/>
  <c r="I80" i="28"/>
  <c r="H80" i="28"/>
  <c r="G80" i="28"/>
  <c r="Q79" i="28"/>
  <c r="P79" i="28"/>
  <c r="O79" i="28"/>
  <c r="N79" i="28"/>
  <c r="M79" i="28"/>
  <c r="L79" i="28"/>
  <c r="K79" i="28"/>
  <c r="J79" i="28"/>
  <c r="I79" i="28"/>
  <c r="H79" i="28"/>
  <c r="G79" i="28"/>
  <c r="Q78" i="28"/>
  <c r="P78" i="28"/>
  <c r="O78" i="28"/>
  <c r="N78" i="28"/>
  <c r="M78" i="28"/>
  <c r="L78" i="28"/>
  <c r="K78" i="28"/>
  <c r="J78" i="28"/>
  <c r="I78" i="28"/>
  <c r="H78" i="28"/>
  <c r="G78" i="28"/>
  <c r="Q77" i="28"/>
  <c r="P77" i="28"/>
  <c r="O77" i="28"/>
  <c r="N77" i="28"/>
  <c r="M77" i="28"/>
  <c r="L77" i="28"/>
  <c r="K77" i="28"/>
  <c r="J77" i="28"/>
  <c r="I77" i="28"/>
  <c r="H77" i="28"/>
  <c r="G77" i="28"/>
  <c r="Q76" i="28"/>
  <c r="P76" i="28"/>
  <c r="O76" i="28"/>
  <c r="N76" i="28"/>
  <c r="M76" i="28"/>
  <c r="L76" i="28"/>
  <c r="K76" i="28"/>
  <c r="J76" i="28"/>
  <c r="I76" i="28"/>
  <c r="H76" i="28"/>
  <c r="G76" i="28"/>
  <c r="H74" i="28"/>
  <c r="I74" i="28" s="1"/>
  <c r="J74" i="28" s="1"/>
  <c r="K74" i="28" s="1"/>
  <c r="L74" i="28" s="1"/>
  <c r="M74" i="28" s="1"/>
  <c r="N74" i="28" s="1"/>
  <c r="O74" i="28" s="1"/>
  <c r="P74" i="28" s="1"/>
  <c r="Q74" i="28" s="1"/>
  <c r="H25" i="17"/>
  <c r="N36" i="17"/>
  <c r="M36" i="17"/>
  <c r="L36" i="17"/>
  <c r="K36" i="17"/>
  <c r="J36" i="17"/>
  <c r="I36" i="17"/>
  <c r="H36" i="17"/>
  <c r="G36" i="17"/>
  <c r="F36" i="17"/>
  <c r="E36" i="17"/>
  <c r="N35" i="17"/>
  <c r="M35" i="17"/>
  <c r="L35" i="17"/>
  <c r="K35" i="17"/>
  <c r="J35" i="17"/>
  <c r="I35" i="17"/>
  <c r="H35" i="17"/>
  <c r="G35" i="17"/>
  <c r="F35" i="17"/>
  <c r="E35" i="17"/>
  <c r="N34" i="17"/>
  <c r="M34" i="17"/>
  <c r="L34" i="17"/>
  <c r="K34" i="17"/>
  <c r="J34" i="17"/>
  <c r="I34" i="17"/>
  <c r="H34" i="17"/>
  <c r="G34" i="17"/>
  <c r="F34" i="17"/>
  <c r="E34" i="17"/>
  <c r="N33" i="17"/>
  <c r="M33" i="17"/>
  <c r="L33" i="17"/>
  <c r="K33" i="17"/>
  <c r="J33" i="17"/>
  <c r="I33" i="17"/>
  <c r="H33" i="17"/>
  <c r="G33" i="17"/>
  <c r="F33" i="17"/>
  <c r="E33" i="17"/>
  <c r="N32" i="17"/>
  <c r="M32" i="17"/>
  <c r="L32" i="17"/>
  <c r="K32" i="17"/>
  <c r="J32" i="17"/>
  <c r="I32" i="17"/>
  <c r="H32" i="17"/>
  <c r="G32" i="17"/>
  <c r="F32" i="17"/>
  <c r="E32" i="17"/>
  <c r="N31" i="17"/>
  <c r="M31" i="17"/>
  <c r="L31" i="17"/>
  <c r="K31" i="17"/>
  <c r="J31" i="17"/>
  <c r="I31" i="17"/>
  <c r="H31" i="17"/>
  <c r="G31" i="17"/>
  <c r="F31" i="17"/>
  <c r="E31" i="17"/>
  <c r="N41" i="17"/>
  <c r="M41" i="17"/>
  <c r="L41" i="17"/>
  <c r="K41" i="17"/>
  <c r="J41" i="17"/>
  <c r="I41" i="17"/>
  <c r="H41" i="17"/>
  <c r="G41" i="17"/>
  <c r="F41" i="17"/>
  <c r="E41" i="17"/>
  <c r="N40" i="17"/>
  <c r="M40" i="17"/>
  <c r="L40" i="17"/>
  <c r="K40" i="17"/>
  <c r="J40" i="17"/>
  <c r="I40" i="17"/>
  <c r="H40" i="17"/>
  <c r="G40" i="17"/>
  <c r="F40" i="17"/>
  <c r="E40" i="17"/>
  <c r="N48" i="17"/>
  <c r="M48" i="17"/>
  <c r="L48" i="17"/>
  <c r="K48" i="17"/>
  <c r="J48" i="17"/>
  <c r="I48" i="17"/>
  <c r="H48" i="17"/>
  <c r="G48" i="17"/>
  <c r="F48" i="17"/>
  <c r="E48" i="17"/>
  <c r="N47" i="17"/>
  <c r="M47" i="17"/>
  <c r="L47" i="17"/>
  <c r="K47" i="17"/>
  <c r="J47" i="17"/>
  <c r="I47" i="17"/>
  <c r="H47" i="17"/>
  <c r="G47" i="17"/>
  <c r="F47" i="17"/>
  <c r="E47" i="17"/>
  <c r="N46" i="17"/>
  <c r="M46" i="17"/>
  <c r="L46" i="17"/>
  <c r="K46" i="17"/>
  <c r="J46" i="17"/>
  <c r="I46" i="17"/>
  <c r="H46" i="17"/>
  <c r="G46" i="17"/>
  <c r="F46" i="17"/>
  <c r="E46" i="17"/>
  <c r="O78" i="17"/>
  <c r="O77" i="17"/>
  <c r="O76" i="17"/>
  <c r="O69" i="17"/>
  <c r="N62" i="17"/>
  <c r="M62" i="17"/>
  <c r="L62" i="17"/>
  <c r="K62" i="17"/>
  <c r="J62" i="17"/>
  <c r="I62" i="17"/>
  <c r="H62" i="17"/>
  <c r="G62" i="17"/>
  <c r="F62" i="17"/>
  <c r="E62" i="17"/>
  <c r="N61" i="17"/>
  <c r="M61" i="17"/>
  <c r="L61" i="17"/>
  <c r="K61" i="17"/>
  <c r="J61" i="17"/>
  <c r="I61" i="17"/>
  <c r="H61" i="17"/>
  <c r="G61" i="17"/>
  <c r="F61" i="17"/>
  <c r="E61" i="17"/>
  <c r="D6" i="4"/>
  <c r="H60" i="28"/>
  <c r="I60" i="28" s="1"/>
  <c r="J60" i="28" s="1"/>
  <c r="K60" i="28" s="1"/>
  <c r="L60" i="28" s="1"/>
  <c r="M60" i="28" s="1"/>
  <c r="N60" i="28" s="1"/>
  <c r="O60" i="28" s="1"/>
  <c r="P60" i="28" s="1"/>
  <c r="Q60" i="28" s="1"/>
  <c r="H46" i="28"/>
  <c r="I46" i="28" s="1"/>
  <c r="J46" i="28" s="1"/>
  <c r="K46" i="28" s="1"/>
  <c r="L46" i="28" s="1"/>
  <c r="M46" i="28" s="1"/>
  <c r="N46" i="28" s="1"/>
  <c r="O46" i="28" s="1"/>
  <c r="P46" i="28" s="1"/>
  <c r="Q46" i="28" s="1"/>
  <c r="H18" i="28"/>
  <c r="I18" i="28" s="1"/>
  <c r="J18" i="28" s="1"/>
  <c r="K18" i="28" s="1"/>
  <c r="L18" i="28" s="1"/>
  <c r="M18" i="28" s="1"/>
  <c r="N18" i="28" s="1"/>
  <c r="O18" i="28" s="1"/>
  <c r="P18" i="28" s="1"/>
  <c r="Q18" i="28" s="1"/>
  <c r="H32" i="28"/>
  <c r="I32" i="28" s="1"/>
  <c r="J32" i="28" s="1"/>
  <c r="K32" i="28" s="1"/>
  <c r="L32" i="28" s="1"/>
  <c r="M32" i="28" s="1"/>
  <c r="N32" i="28" s="1"/>
  <c r="O32" i="28" s="1"/>
  <c r="P32" i="28" s="1"/>
  <c r="Q32" i="28" s="1"/>
  <c r="H4" i="28"/>
  <c r="D13" i="4" l="1"/>
  <c r="I4" i="28"/>
  <c r="J14" i="6"/>
  <c r="K14" i="6"/>
  <c r="O25" i="19"/>
  <c r="P25" i="19" s="1"/>
  <c r="Q25" i="19" s="1"/>
  <c r="R25" i="19" s="1"/>
  <c r="O53" i="19"/>
  <c r="P53" i="19" s="1"/>
  <c r="Q53" i="19" s="1"/>
  <c r="R53" i="19" s="1"/>
  <c r="O45" i="19"/>
  <c r="P45" i="19" s="1"/>
  <c r="Q45" i="19" s="1"/>
  <c r="R45" i="19" s="1"/>
  <c r="O40" i="19"/>
  <c r="P40" i="19" s="1"/>
  <c r="Q40" i="19" s="1"/>
  <c r="R40" i="19" s="1"/>
  <c r="O35" i="19"/>
  <c r="P35" i="19" s="1"/>
  <c r="Q35" i="19" s="1"/>
  <c r="R35" i="19" s="1"/>
  <c r="O17" i="19"/>
  <c r="P17" i="19" s="1"/>
  <c r="Q17" i="19" s="1"/>
  <c r="R17" i="19" s="1"/>
  <c r="G17" i="19"/>
  <c r="H17" i="19" s="1"/>
  <c r="I17" i="19" s="1"/>
  <c r="H25" i="19"/>
  <c r="D27" i="19"/>
  <c r="D28" i="19" s="1"/>
  <c r="D29" i="19" s="1"/>
  <c r="D30" i="19" s="1"/>
  <c r="D31" i="19" s="1"/>
  <c r="D32" i="19" s="1"/>
  <c r="D33" i="19" s="1"/>
  <c r="O80" i="17"/>
  <c r="O71" i="17"/>
  <c r="J71" i="17"/>
  <c r="O50" i="17"/>
  <c r="J50" i="17"/>
  <c r="O44" i="17"/>
  <c r="J44" i="17"/>
  <c r="O38" i="17"/>
  <c r="O59" i="17" s="1"/>
  <c r="J38" i="17"/>
  <c r="J59" i="17" s="1"/>
  <c r="H27" i="17"/>
  <c r="H26" i="17"/>
  <c r="H24" i="17"/>
  <c r="G9" i="6" a="1"/>
  <c r="J4" i="28" l="1"/>
  <c r="G9" i="6"/>
  <c r="G15" i="6"/>
  <c r="O47" i="11"/>
  <c r="P47" i="11" s="1"/>
  <c r="Q47" i="11" s="1"/>
  <c r="R47" i="11" s="1"/>
  <c r="G47" i="11"/>
  <c r="H47" i="11" s="1"/>
  <c r="I47" i="11" s="1"/>
  <c r="J47" i="11" s="1"/>
  <c r="K47" i="11" s="1"/>
  <c r="L47" i="11" s="1"/>
  <c r="M47" i="11" s="1"/>
  <c r="O38" i="11"/>
  <c r="P38" i="11" s="1"/>
  <c r="Q38" i="11" s="1"/>
  <c r="R38" i="11" s="1"/>
  <c r="G38" i="11"/>
  <c r="H38" i="11" s="1"/>
  <c r="I38" i="11" s="1"/>
  <c r="J38" i="11" s="1"/>
  <c r="K38" i="11" s="1"/>
  <c r="L38" i="11" s="1"/>
  <c r="M38" i="11" s="1"/>
  <c r="O31" i="11"/>
  <c r="P31" i="11" s="1"/>
  <c r="Q31" i="11" s="1"/>
  <c r="R31" i="11" s="1"/>
  <c r="G31" i="11"/>
  <c r="H31" i="11" s="1"/>
  <c r="I31" i="11" s="1"/>
  <c r="J31" i="11" s="1"/>
  <c r="K31" i="11" s="1"/>
  <c r="L31" i="11" s="1"/>
  <c r="M31" i="11" s="1"/>
  <c r="O25" i="11"/>
  <c r="P25" i="11" s="1"/>
  <c r="Q25" i="11" s="1"/>
  <c r="R25" i="11" s="1"/>
  <c r="G25" i="11"/>
  <c r="H25" i="11" s="1"/>
  <c r="I25" i="11" s="1"/>
  <c r="J25" i="11" s="1"/>
  <c r="K25" i="11" s="1"/>
  <c r="L25" i="11" s="1"/>
  <c r="M25" i="11" s="1"/>
  <c r="O13" i="11"/>
  <c r="P13" i="11" s="1"/>
  <c r="Q13" i="11" s="1"/>
  <c r="R13" i="11" s="1"/>
  <c r="G13" i="11"/>
  <c r="H13" i="11" s="1"/>
  <c r="I13" i="11" s="1"/>
  <c r="J13" i="11" s="1"/>
  <c r="K13" i="11" s="1"/>
  <c r="L13" i="11" s="1"/>
  <c r="M13" i="11" s="1"/>
  <c r="G4" i="11"/>
  <c r="H4" i="11" s="1"/>
  <c r="I4" i="11" s="1"/>
  <c r="J4" i="11" s="1"/>
  <c r="K4" i="11" s="1"/>
  <c r="L4" i="11" s="1"/>
  <c r="M4" i="11" s="1"/>
  <c r="F11" i="3"/>
  <c r="O73" i="17"/>
  <c r="N56" i="17"/>
  <c r="M56" i="17"/>
  <c r="L56" i="17"/>
  <c r="K56" i="17"/>
  <c r="J56" i="17"/>
  <c r="I56" i="17"/>
  <c r="H56" i="17"/>
  <c r="G56" i="17"/>
  <c r="F56" i="17"/>
  <c r="E56" i="17"/>
  <c r="N55" i="17"/>
  <c r="M55" i="17"/>
  <c r="L55" i="17"/>
  <c r="K55" i="17"/>
  <c r="J55" i="17"/>
  <c r="I55" i="17"/>
  <c r="H55" i="17"/>
  <c r="G55" i="17"/>
  <c r="F55" i="17"/>
  <c r="E55" i="17"/>
  <c r="N54" i="17"/>
  <c r="M54" i="17"/>
  <c r="L54" i="17"/>
  <c r="K54" i="17"/>
  <c r="J54" i="17"/>
  <c r="I54" i="17"/>
  <c r="H54" i="17"/>
  <c r="G54" i="17"/>
  <c r="F54" i="17"/>
  <c r="E54" i="17"/>
  <c r="N53" i="17"/>
  <c r="M53" i="17"/>
  <c r="L53" i="17"/>
  <c r="K53" i="17"/>
  <c r="J53" i="17"/>
  <c r="I53" i="17"/>
  <c r="H53" i="17"/>
  <c r="G53" i="17"/>
  <c r="F53" i="17"/>
  <c r="E53" i="17"/>
  <c r="N52" i="17"/>
  <c r="M52" i="17"/>
  <c r="L52" i="17"/>
  <c r="K52" i="17"/>
  <c r="J52" i="17"/>
  <c r="I52" i="17"/>
  <c r="H52" i="17"/>
  <c r="G52" i="17"/>
  <c r="F52" i="17"/>
  <c r="E52" i="17"/>
  <c r="N42" i="17"/>
  <c r="M42" i="17"/>
  <c r="L42" i="17"/>
  <c r="K42" i="17"/>
  <c r="J42" i="17"/>
  <c r="I42" i="17"/>
  <c r="H42" i="17"/>
  <c r="G42" i="17"/>
  <c r="F42" i="17"/>
  <c r="E42" i="17"/>
  <c r="N99" i="17"/>
  <c r="M99" i="17"/>
  <c r="L99" i="17"/>
  <c r="K99" i="17"/>
  <c r="J99" i="17"/>
  <c r="H99" i="17"/>
  <c r="G99" i="17"/>
  <c r="F99" i="17"/>
  <c r="I99" i="17"/>
  <c r="E99" i="17"/>
  <c r="A17" i="17"/>
  <c r="A16" i="17"/>
  <c r="A15" i="17"/>
  <c r="A14" i="17"/>
  <c r="A13" i="17"/>
  <c r="A12" i="17"/>
  <c r="A11" i="17"/>
  <c r="A10" i="17"/>
  <c r="A9" i="17"/>
  <c r="A8" i="17"/>
  <c r="Q53" i="11"/>
  <c r="R53" i="11" s="1"/>
  <c r="S203" i="8"/>
  <c r="R203" i="8"/>
  <c r="S202" i="8"/>
  <c r="R202" i="8"/>
  <c r="W8" i="8"/>
  <c r="W9" i="8" s="1"/>
  <c r="W10" i="8" s="1"/>
  <c r="W11" i="8" s="1"/>
  <c r="W12" i="8" s="1"/>
  <c r="W13" i="8" s="1"/>
  <c r="W14" i="8" s="1"/>
  <c r="H62" i="8"/>
  <c r="Q62" i="8"/>
  <c r="P62" i="8"/>
  <c r="O62" i="8"/>
  <c r="N62" i="8"/>
  <c r="M62" i="8"/>
  <c r="L62" i="8"/>
  <c r="K62" i="8"/>
  <c r="J62" i="8"/>
  <c r="I62" i="8"/>
  <c r="H112" i="9"/>
  <c r="I112" i="9" s="1"/>
  <c r="J112" i="9" s="1"/>
  <c r="K112" i="9" s="1"/>
  <c r="L112" i="9" s="1"/>
  <c r="M112" i="9" s="1"/>
  <c r="N112" i="9" s="1"/>
  <c r="O112" i="9" s="1"/>
  <c r="P112" i="9" s="1"/>
  <c r="Q112" i="9" s="1"/>
  <c r="N13" i="9"/>
  <c r="N67" i="9" s="1"/>
  <c r="M13" i="9"/>
  <c r="M67" i="9" s="1"/>
  <c r="I13" i="9"/>
  <c r="I67" i="9" s="1"/>
  <c r="P13" i="9"/>
  <c r="L13" i="9"/>
  <c r="L67" i="9" s="1"/>
  <c r="K13" i="9"/>
  <c r="K67" i="9" s="1"/>
  <c r="J13" i="9"/>
  <c r="J67" i="9" s="1"/>
  <c r="H13" i="9"/>
  <c r="H67" i="9" s="1"/>
  <c r="G13" i="9"/>
  <c r="N77" i="9"/>
  <c r="M77" i="9"/>
  <c r="I77" i="9"/>
  <c r="G77" i="9"/>
  <c r="Q77" i="9"/>
  <c r="G103" i="9"/>
  <c r="H103" i="9"/>
  <c r="I103" i="9"/>
  <c r="J103" i="9"/>
  <c r="K103" i="9"/>
  <c r="L103" i="9"/>
  <c r="M103" i="9"/>
  <c r="N103" i="9"/>
  <c r="O103" i="9"/>
  <c r="P103" i="9"/>
  <c r="Q103" i="9"/>
  <c r="H55" i="9"/>
  <c r="I55" i="9"/>
  <c r="L55" i="9"/>
  <c r="N55" i="9"/>
  <c r="I50" i="9"/>
  <c r="M50" i="9"/>
  <c r="Q50" i="9"/>
  <c r="H32" i="9"/>
  <c r="K32" i="9"/>
  <c r="L32" i="9"/>
  <c r="P55" i="9"/>
  <c r="M55" i="9"/>
  <c r="I17" i="9"/>
  <c r="G8" i="9"/>
  <c r="F50" i="8"/>
  <c r="B29" i="3" a="1"/>
  <c r="G163" i="8"/>
  <c r="G101" i="8"/>
  <c r="G45" i="8"/>
  <c r="E132" i="8"/>
  <c r="G56" i="8"/>
  <c r="G153" i="8"/>
  <c r="F145" i="8"/>
  <c r="F93" i="8"/>
  <c r="E153" i="8"/>
  <c r="E165" i="8"/>
  <c r="G42" i="8"/>
  <c r="D107" i="17"/>
  <c r="G145" i="8"/>
  <c r="E101" i="8"/>
  <c r="E56" i="8"/>
  <c r="Q49" i="11"/>
  <c r="D106" i="17"/>
  <c r="B28" i="3" a="1"/>
  <c r="B37" i="3" a="1"/>
  <c r="E71" i="8"/>
  <c r="F56" i="8"/>
  <c r="F153" i="8"/>
  <c r="F42" i="8"/>
  <c r="F101" i="8"/>
  <c r="E42" i="8"/>
  <c r="F51" i="8" l="1"/>
  <c r="F154" i="8"/>
  <c r="G154" i="8"/>
  <c r="E154" i="8"/>
  <c r="G23" i="6"/>
  <c r="G19" i="6" s="1"/>
  <c r="G32" i="9"/>
  <c r="G100" i="9" s="1"/>
  <c r="M101" i="9"/>
  <c r="Q55" i="9"/>
  <c r="K77" i="9"/>
  <c r="G50" i="9"/>
  <c r="G53" i="9" s="1"/>
  <c r="J77" i="9"/>
  <c r="G12" i="9"/>
  <c r="L68" i="9"/>
  <c r="K4" i="28"/>
  <c r="H71" i="8"/>
  <c r="P32" i="9"/>
  <c r="Q101" i="9"/>
  <c r="J17" i="9"/>
  <c r="M17" i="9"/>
  <c r="P68" i="9"/>
  <c r="N17" i="9"/>
  <c r="O32" i="9"/>
  <c r="O100" i="9" s="1"/>
  <c r="L50" i="9"/>
  <c r="L101" i="9" s="1"/>
  <c r="J55" i="9"/>
  <c r="G55" i="9"/>
  <c r="H68" i="9"/>
  <c r="H77" i="9"/>
  <c r="L77" i="9"/>
  <c r="G37" i="9"/>
  <c r="L37" i="9"/>
  <c r="L100" i="9"/>
  <c r="AH9" i="8"/>
  <c r="P67" i="9"/>
  <c r="G17" i="9"/>
  <c r="K17" i="9"/>
  <c r="H37" i="9"/>
  <c r="H100" i="9"/>
  <c r="N32" i="9"/>
  <c r="N100" i="9" s="1"/>
  <c r="H50" i="9"/>
  <c r="H53" i="9" s="1"/>
  <c r="Q32" i="9"/>
  <c r="M32" i="9"/>
  <c r="I32" i="9"/>
  <c r="AI9" i="8"/>
  <c r="N50" i="9"/>
  <c r="N101" i="9" s="1"/>
  <c r="J50" i="9"/>
  <c r="I68" i="9"/>
  <c r="M68" i="9"/>
  <c r="Q68" i="9"/>
  <c r="P77" i="9"/>
  <c r="G67" i="9"/>
  <c r="J32" i="9"/>
  <c r="I101" i="9"/>
  <c r="O50" i="9"/>
  <c r="O53" i="9" s="1"/>
  <c r="K37" i="9"/>
  <c r="K100" i="9"/>
  <c r="K50" i="9"/>
  <c r="P50" i="9"/>
  <c r="P101" i="9" s="1"/>
  <c r="O55" i="9"/>
  <c r="K55" i="9"/>
  <c r="G68" i="9"/>
  <c r="K68" i="9"/>
  <c r="O68" i="9"/>
  <c r="O77" i="9"/>
  <c r="O13" i="9"/>
  <c r="Q13" i="9"/>
  <c r="H17" i="9"/>
  <c r="L17" i="9"/>
  <c r="J68" i="9"/>
  <c r="N68" i="9"/>
  <c r="G57" i="17"/>
  <c r="I27" i="17"/>
  <c r="I26" i="17"/>
  <c r="I25" i="17"/>
  <c r="I24" i="17"/>
  <c r="B37" i="3"/>
  <c r="B28" i="3"/>
  <c r="B29" i="3"/>
  <c r="L57" i="17"/>
  <c r="I57" i="17"/>
  <c r="E57" i="17"/>
  <c r="M57" i="17"/>
  <c r="F57" i="17"/>
  <c r="N57" i="17"/>
  <c r="H57" i="17"/>
  <c r="J57" i="17"/>
  <c r="K57" i="17"/>
  <c r="A6" i="17"/>
  <c r="F123" i="8"/>
  <c r="Q39" i="9"/>
  <c r="P39" i="9"/>
  <c r="O39" i="9"/>
  <c r="N39" i="9"/>
  <c r="M39" i="9"/>
  <c r="L39" i="9"/>
  <c r="K39" i="9"/>
  <c r="J39" i="9"/>
  <c r="I39" i="9"/>
  <c r="H39" i="9"/>
  <c r="G39" i="9"/>
  <c r="G46" i="9" s="1"/>
  <c r="O17" i="9"/>
  <c r="P17" i="9"/>
  <c r="G92" i="9"/>
  <c r="H92" i="9"/>
  <c r="I92" i="9"/>
  <c r="J92" i="9"/>
  <c r="K92" i="9"/>
  <c r="L92" i="9"/>
  <c r="M92" i="9"/>
  <c r="N92" i="9"/>
  <c r="O92" i="9"/>
  <c r="P92" i="9"/>
  <c r="Q92" i="9"/>
  <c r="Q53" i="9"/>
  <c r="M53" i="9"/>
  <c r="L53" i="9"/>
  <c r="K53" i="9"/>
  <c r="I53" i="9"/>
  <c r="H58" i="9"/>
  <c r="I58" i="9"/>
  <c r="J58" i="9"/>
  <c r="L58" i="9"/>
  <c r="M58" i="9"/>
  <c r="N58" i="9"/>
  <c r="P58" i="9"/>
  <c r="Q58" i="9"/>
  <c r="Q17" i="9"/>
  <c r="O4" i="11"/>
  <c r="P4" i="11" s="1"/>
  <c r="Q4" i="11" s="1"/>
  <c r="H64" i="9"/>
  <c r="I64" i="9" s="1"/>
  <c r="J64" i="9" s="1"/>
  <c r="K64" i="9" s="1"/>
  <c r="L64" i="9" s="1"/>
  <c r="M64" i="9" s="1"/>
  <c r="N64" i="9" s="1"/>
  <c r="O64" i="9" s="1"/>
  <c r="P64" i="9" s="1"/>
  <c r="Q64" i="9" s="1"/>
  <c r="Q45" i="9"/>
  <c r="H45" i="9"/>
  <c r="I48" i="9"/>
  <c r="H48" i="9"/>
  <c r="H30" i="9"/>
  <c r="I30" i="9" s="1"/>
  <c r="J30" i="9" s="1"/>
  <c r="K30" i="9" s="1"/>
  <c r="L30" i="9" s="1"/>
  <c r="M30" i="9" s="1"/>
  <c r="N30" i="9" s="1"/>
  <c r="O30" i="9" s="1"/>
  <c r="P30" i="9" s="1"/>
  <c r="Q30" i="9" s="1"/>
  <c r="H4" i="9"/>
  <c r="E228" i="8"/>
  <c r="E255" i="8" s="1"/>
  <c r="P196" i="8"/>
  <c r="E168" i="8"/>
  <c r="E213" i="8" s="1"/>
  <c r="E121" i="8"/>
  <c r="E84" i="8"/>
  <c r="F28" i="8"/>
  <c r="F15" i="8"/>
  <c r="G15" i="8" s="1"/>
  <c r="H15" i="8" s="1"/>
  <c r="I15" i="8" s="1"/>
  <c r="J15" i="8" s="1"/>
  <c r="K15" i="8" s="1"/>
  <c r="L15" i="8" s="1"/>
  <c r="M15" i="8" s="1"/>
  <c r="N15" i="8" s="1"/>
  <c r="O15" i="8" s="1"/>
  <c r="P15" i="8" s="1"/>
  <c r="Q15" i="8" s="1"/>
  <c r="C13" i="8"/>
  <c r="F10" i="8"/>
  <c r="I43" i="4"/>
  <c r="H43" i="4"/>
  <c r="G43" i="4"/>
  <c r="F43" i="4"/>
  <c r="J42" i="4"/>
  <c r="K42" i="4" s="1"/>
  <c r="L42" i="4" s="1"/>
  <c r="M42" i="4" s="1"/>
  <c r="N42" i="4" s="1"/>
  <c r="O42" i="4" s="1"/>
  <c r="P42" i="4" s="1"/>
  <c r="Q42" i="4" s="1"/>
  <c r="R42" i="4" s="1"/>
  <c r="S42" i="4" s="1"/>
  <c r="T42" i="4" s="1"/>
  <c r="I41" i="4"/>
  <c r="H41" i="4"/>
  <c r="G41" i="4"/>
  <c r="F41" i="4"/>
  <c r="J40" i="4"/>
  <c r="K40" i="4" s="1"/>
  <c r="L40" i="4" s="1"/>
  <c r="M40" i="4" s="1"/>
  <c r="N40" i="4" s="1"/>
  <c r="O40" i="4" s="1"/>
  <c r="P40" i="4" s="1"/>
  <c r="Q40" i="4" s="1"/>
  <c r="R40" i="4" s="1"/>
  <c r="S40" i="4" s="1"/>
  <c r="T40" i="4" s="1"/>
  <c r="I39" i="4"/>
  <c r="H39" i="4"/>
  <c r="G39" i="4"/>
  <c r="F39" i="4"/>
  <c r="J38" i="4"/>
  <c r="K38" i="4" s="1"/>
  <c r="E44" i="4"/>
  <c r="F32" i="4"/>
  <c r="G32" i="4" s="1"/>
  <c r="H32" i="4" s="1"/>
  <c r="I32" i="4" s="1"/>
  <c r="J32" i="4" s="1"/>
  <c r="K32" i="4" s="1"/>
  <c r="L32" i="4" s="1"/>
  <c r="M32" i="4" s="1"/>
  <c r="N32" i="4" s="1"/>
  <c r="O32" i="4" s="1"/>
  <c r="P32" i="4" s="1"/>
  <c r="Q32" i="4" s="1"/>
  <c r="R32" i="4" s="1"/>
  <c r="S32" i="4" s="1"/>
  <c r="T32" i="4" s="1"/>
  <c r="B30" i="4"/>
  <c r="B29" i="4"/>
  <c r="I22" i="4"/>
  <c r="H22" i="4"/>
  <c r="G22" i="4"/>
  <c r="F22" i="4"/>
  <c r="E22" i="4"/>
  <c r="N21" i="4"/>
  <c r="M21" i="4"/>
  <c r="L21" i="4"/>
  <c r="K21" i="4"/>
  <c r="D21" i="4"/>
  <c r="N20" i="4"/>
  <c r="M20" i="4"/>
  <c r="L20" i="4"/>
  <c r="K20" i="4"/>
  <c r="D20" i="4"/>
  <c r="N19" i="4"/>
  <c r="M19" i="4"/>
  <c r="L19" i="4"/>
  <c r="K19" i="4"/>
  <c r="D19" i="4"/>
  <c r="N18" i="4"/>
  <c r="M18" i="4"/>
  <c r="L18" i="4"/>
  <c r="K18" i="4"/>
  <c r="D18" i="4"/>
  <c r="N17" i="4"/>
  <c r="M17" i="4"/>
  <c r="L17" i="4"/>
  <c r="K17" i="4"/>
  <c r="D17" i="4"/>
  <c r="L15" i="4"/>
  <c r="M15" i="4" s="1"/>
  <c r="N15" i="4" s="1"/>
  <c r="F15" i="4"/>
  <c r="G15" i="4" s="1"/>
  <c r="H15" i="4" s="1"/>
  <c r="I15" i="4" s="1"/>
  <c r="I13" i="4"/>
  <c r="D34" i="4" s="1"/>
  <c r="H13" i="4"/>
  <c r="G13" i="4"/>
  <c r="F13" i="4"/>
  <c r="E13" i="4"/>
  <c r="N10" i="4"/>
  <c r="M10" i="4"/>
  <c r="L10" i="4"/>
  <c r="K10" i="4"/>
  <c r="N9" i="4"/>
  <c r="M9" i="4"/>
  <c r="L9" i="4"/>
  <c r="K9" i="4"/>
  <c r="N8" i="4"/>
  <c r="M8" i="4"/>
  <c r="L8" i="4"/>
  <c r="K8" i="4"/>
  <c r="N7" i="4"/>
  <c r="M7" i="4"/>
  <c r="L7" i="4"/>
  <c r="K7" i="4"/>
  <c r="N6" i="4"/>
  <c r="M6" i="4"/>
  <c r="L6" i="4"/>
  <c r="K6" i="4"/>
  <c r="L4" i="4"/>
  <c r="M4" i="4" s="1"/>
  <c r="N4" i="4" s="1"/>
  <c r="F4" i="4"/>
  <c r="G11" i="3"/>
  <c r="G4" i="3"/>
  <c r="D132" i="17"/>
  <c r="G90" i="8"/>
  <c r="G78" i="8"/>
  <c r="E147" i="8"/>
  <c r="D115" i="17"/>
  <c r="B31" i="3" a="1"/>
  <c r="G50" i="8"/>
  <c r="G132" i="8"/>
  <c r="F100" i="8"/>
  <c r="B35" i="3" a="1"/>
  <c r="K35" i="11"/>
  <c r="E118" i="8"/>
  <c r="F65" i="8"/>
  <c r="I35" i="11"/>
  <c r="G147" i="8"/>
  <c r="D94" i="17"/>
  <c r="F156" i="8"/>
  <c r="I33" i="11"/>
  <c r="G39" i="8"/>
  <c r="G33" i="11"/>
  <c r="G93" i="8"/>
  <c r="E156" i="8"/>
  <c r="L33" i="11"/>
  <c r="F125" i="8"/>
  <c r="F34" i="11"/>
  <c r="F33" i="11"/>
  <c r="E30" i="8"/>
  <c r="F90" i="8"/>
  <c r="G53" i="8"/>
  <c r="E103" i="8"/>
  <c r="F138" i="8"/>
  <c r="D120" i="17"/>
  <c r="E158" i="8"/>
  <c r="D131" i="17"/>
  <c r="F158" i="8"/>
  <c r="O33" i="11"/>
  <c r="D98" i="17"/>
  <c r="H34" i="11"/>
  <c r="B36" i="3" a="1"/>
  <c r="M33" i="11"/>
  <c r="G138" i="8"/>
  <c r="M34" i="11"/>
  <c r="J33" i="11"/>
  <c r="G68" i="8"/>
  <c r="G103" i="8"/>
  <c r="F39" i="8"/>
  <c r="E125" i="8"/>
  <c r="F74" i="8"/>
  <c r="M35" i="11"/>
  <c r="D111" i="17"/>
  <c r="F30" i="8"/>
  <c r="F53" i="8"/>
  <c r="J34" i="11"/>
  <c r="F132" i="8"/>
  <c r="E45" i="8"/>
  <c r="D113" i="17"/>
  <c r="D104" i="17"/>
  <c r="G34" i="11"/>
  <c r="F165" i="8"/>
  <c r="F118" i="8"/>
  <c r="O34" i="11"/>
  <c r="F136" i="8"/>
  <c r="D93" i="17"/>
  <c r="F163" i="8"/>
  <c r="F147" i="8"/>
  <c r="E90" i="8"/>
  <c r="G71" i="8"/>
  <c r="G125" i="8"/>
  <c r="G150" i="8"/>
  <c r="F110" i="8"/>
  <c r="N34" i="11"/>
  <c r="G65" i="8"/>
  <c r="H33" i="11"/>
  <c r="E93" i="8"/>
  <c r="D130" i="17"/>
  <c r="F33" i="8"/>
  <c r="F71" i="8"/>
  <c r="B34" i="3" a="1"/>
  <c r="D118" i="17"/>
  <c r="G110" i="8"/>
  <c r="B32" i="3" a="1"/>
  <c r="G74" i="8"/>
  <c r="O35" i="11"/>
  <c r="F35" i="11"/>
  <c r="D97" i="17"/>
  <c r="B38" i="3" a="1"/>
  <c r="D128" i="17"/>
  <c r="D119" i="17"/>
  <c r="E110" i="8"/>
  <c r="E74" i="8"/>
  <c r="K34" i="11"/>
  <c r="E150" i="8"/>
  <c r="F103" i="8"/>
  <c r="G156" i="8"/>
  <c r="E39" i="8"/>
  <c r="F78" i="8"/>
  <c r="K33" i="11"/>
  <c r="F45" i="8"/>
  <c r="D129" i="17"/>
  <c r="L35" i="11"/>
  <c r="G30" i="8"/>
  <c r="D114" i="17"/>
  <c r="B33" i="3" a="1"/>
  <c r="N35" i="11"/>
  <c r="D30" i="8"/>
  <c r="Q54" i="19"/>
  <c r="I34" i="11"/>
  <c r="J35" i="11"/>
  <c r="G136" i="8"/>
  <c r="G100" i="8"/>
  <c r="N33" i="11"/>
  <c r="G134" i="8"/>
  <c r="B30" i="3" a="1"/>
  <c r="F68" i="8"/>
  <c r="E163" i="8"/>
  <c r="D127" i="17"/>
  <c r="L34" i="11"/>
  <c r="F150" i="8"/>
  <c r="D112" i="17"/>
  <c r="E33" i="8"/>
  <c r="E136" i="8"/>
  <c r="G33" i="8"/>
  <c r="D126" i="17"/>
  <c r="D85" i="17" a="1"/>
  <c r="E53" i="8"/>
  <c r="E78" i="8"/>
  <c r="D116" i="17"/>
  <c r="E65" i="8"/>
  <c r="G158" i="8"/>
  <c r="E138" i="8"/>
  <c r="G165" i="8"/>
  <c r="E145" i="8"/>
  <c r="E100" i="8"/>
  <c r="E68" i="8"/>
  <c r="G35" i="11"/>
  <c r="H35" i="11"/>
  <c r="G240" i="8" l="1"/>
  <c r="G69" i="8"/>
  <c r="H31" i="8"/>
  <c r="H39" i="8" s="1"/>
  <c r="I39" i="8" s="1"/>
  <c r="J39" i="8" s="1"/>
  <c r="K39" i="8" s="1"/>
  <c r="L39" i="8" s="1"/>
  <c r="M39" i="8" s="1"/>
  <c r="N39" i="8" s="1"/>
  <c r="O39" i="8" s="1"/>
  <c r="P39" i="8" s="1"/>
  <c r="Q39" i="8" s="1"/>
  <c r="F54" i="8"/>
  <c r="E69" i="8"/>
  <c r="E54" i="8"/>
  <c r="G54" i="8"/>
  <c r="G66" i="8"/>
  <c r="F69" i="8"/>
  <c r="F66" i="8"/>
  <c r="F126" i="8"/>
  <c r="E66" i="8"/>
  <c r="G51" i="8"/>
  <c r="D85" i="17"/>
  <c r="O85" i="17" s="1"/>
  <c r="E139" i="8"/>
  <c r="O36" i="11"/>
  <c r="M36" i="11"/>
  <c r="G139" i="8"/>
  <c r="G126" i="8"/>
  <c r="E126" i="8"/>
  <c r="J36" i="11"/>
  <c r="L36" i="11"/>
  <c r="F36" i="11"/>
  <c r="E6" i="17"/>
  <c r="E18" i="17" s="1"/>
  <c r="E19" i="17" s="1"/>
  <c r="G28" i="3" a="1"/>
  <c r="D6" i="17"/>
  <c r="D18" i="17" s="1"/>
  <c r="D19" i="17" s="1"/>
  <c r="G36" i="11"/>
  <c r="F139" i="8"/>
  <c r="H36" i="11"/>
  <c r="K36" i="11"/>
  <c r="N36" i="11"/>
  <c r="I36" i="11"/>
  <c r="G10" i="6"/>
  <c r="H4" i="3"/>
  <c r="I4" i="3" s="1"/>
  <c r="G101" i="9"/>
  <c r="G114" i="9"/>
  <c r="G117" i="9" s="1"/>
  <c r="O37" i="9"/>
  <c r="D67" i="17"/>
  <c r="O67" i="17" s="1"/>
  <c r="P53" i="9"/>
  <c r="N37" i="9"/>
  <c r="P100" i="9"/>
  <c r="P37" i="9"/>
  <c r="D64" i="17"/>
  <c r="O64" i="17" s="1"/>
  <c r="D68" i="17"/>
  <c r="O68" i="17" s="1"/>
  <c r="D66" i="17"/>
  <c r="O66" i="17" s="1"/>
  <c r="D65" i="17"/>
  <c r="O65" i="17" s="1"/>
  <c r="J53" i="9"/>
  <c r="O58" i="9"/>
  <c r="K58" i="9"/>
  <c r="Q100" i="9"/>
  <c r="G25" i="17" s="1"/>
  <c r="G58" i="9"/>
  <c r="N53" i="9"/>
  <c r="Q37" i="9"/>
  <c r="H101" i="9"/>
  <c r="H117" i="9"/>
  <c r="L4" i="28"/>
  <c r="D61" i="17"/>
  <c r="O61" i="17" s="1"/>
  <c r="B34" i="3"/>
  <c r="B31" i="3"/>
  <c r="B38" i="3"/>
  <c r="B30" i="3"/>
  <c r="B33" i="3"/>
  <c r="B32" i="3"/>
  <c r="B36" i="3"/>
  <c r="B35" i="3"/>
  <c r="C9" i="27"/>
  <c r="D48" i="17"/>
  <c r="O48" i="17" s="1"/>
  <c r="N18" i="6"/>
  <c r="N17" i="6"/>
  <c r="N12" i="6"/>
  <c r="N16" i="6"/>
  <c r="N15" i="6"/>
  <c r="N9" i="6"/>
  <c r="N14" i="6"/>
  <c r="N13" i="6"/>
  <c r="N11" i="6"/>
  <c r="N10" i="6"/>
  <c r="D46" i="17"/>
  <c r="O46" i="17" s="1"/>
  <c r="D47" i="17"/>
  <c r="O47" i="17" s="1"/>
  <c r="H196" i="8"/>
  <c r="E99" i="8"/>
  <c r="D55" i="17"/>
  <c r="O55" i="17" s="1"/>
  <c r="G236" i="8"/>
  <c r="G186" i="8"/>
  <c r="E27" i="19"/>
  <c r="E186" i="8"/>
  <c r="E236" i="8"/>
  <c r="G99" i="8"/>
  <c r="G123" i="8"/>
  <c r="G184" i="8" s="1"/>
  <c r="E26" i="19"/>
  <c r="E31" i="8"/>
  <c r="E102" i="8"/>
  <c r="I28" i="19"/>
  <c r="F236" i="8"/>
  <c r="F186" i="8"/>
  <c r="F242" i="8"/>
  <c r="AC8" i="8" s="1"/>
  <c r="F257" i="8"/>
  <c r="AA8" i="8" s="1"/>
  <c r="D54" i="17"/>
  <c r="O54" i="17" s="1"/>
  <c r="E119" i="8"/>
  <c r="E34" i="8"/>
  <c r="E242" i="8"/>
  <c r="AC7" i="8" s="1"/>
  <c r="E28" i="19"/>
  <c r="D53" i="17"/>
  <c r="O53" i="17" s="1"/>
  <c r="G242" i="8"/>
  <c r="AC9" i="8" s="1"/>
  <c r="G257" i="8"/>
  <c r="AA9" i="8" s="1"/>
  <c r="F99" i="8"/>
  <c r="E257" i="8"/>
  <c r="AA7" i="8" s="1"/>
  <c r="F119" i="8"/>
  <c r="F102" i="8"/>
  <c r="J101" i="9"/>
  <c r="F34" i="8"/>
  <c r="O101" i="9"/>
  <c r="I37" i="9"/>
  <c r="I100" i="9"/>
  <c r="M37" i="9"/>
  <c r="M100" i="9"/>
  <c r="K117" i="9"/>
  <c r="D36" i="4"/>
  <c r="N117" i="9"/>
  <c r="J117" i="9"/>
  <c r="Q117" i="9"/>
  <c r="M117" i="9"/>
  <c r="I117" i="9"/>
  <c r="D52" i="17"/>
  <c r="O52" i="17" s="1"/>
  <c r="O67" i="9"/>
  <c r="D22" i="4"/>
  <c r="N22" i="4"/>
  <c r="H37" i="4"/>
  <c r="G34" i="8"/>
  <c r="L117" i="9"/>
  <c r="G102" i="8"/>
  <c r="Q67" i="9"/>
  <c r="K101" i="9"/>
  <c r="J37" i="9"/>
  <c r="J100" i="9"/>
  <c r="M17" i="6"/>
  <c r="M10" i="6"/>
  <c r="M18" i="6"/>
  <c r="M15" i="6"/>
  <c r="M9" i="6"/>
  <c r="O74" i="17"/>
  <c r="M16" i="6"/>
  <c r="N11" i="3"/>
  <c r="G4" i="4"/>
  <c r="K13" i="4"/>
  <c r="L13" i="4"/>
  <c r="M13" i="4"/>
  <c r="D38" i="4"/>
  <c r="D42" i="4"/>
  <c r="N13" i="4"/>
  <c r="K22" i="4"/>
  <c r="L22" i="4"/>
  <c r="F37" i="4"/>
  <c r="I37" i="4"/>
  <c r="F168" i="8"/>
  <c r="F213" i="8" s="1"/>
  <c r="F121" i="8"/>
  <c r="F84" i="8"/>
  <c r="I45" i="9"/>
  <c r="J45" i="9"/>
  <c r="O45" i="9"/>
  <c r="P45" i="9"/>
  <c r="L48" i="9"/>
  <c r="M48" i="9"/>
  <c r="N48" i="9"/>
  <c r="O48" i="9"/>
  <c r="R4" i="11"/>
  <c r="H8" i="9"/>
  <c r="J8" i="9"/>
  <c r="L8" i="9"/>
  <c r="M8" i="9"/>
  <c r="N8" i="9"/>
  <c r="K8" i="9"/>
  <c r="I8" i="9"/>
  <c r="O8" i="9"/>
  <c r="P8" i="9"/>
  <c r="Q8" i="9"/>
  <c r="G48" i="9"/>
  <c r="J48" i="9"/>
  <c r="K48" i="9"/>
  <c r="G45" i="9"/>
  <c r="K45" i="9"/>
  <c r="L45" i="9"/>
  <c r="P48" i="9"/>
  <c r="M45" i="9"/>
  <c r="Q48" i="9"/>
  <c r="N45" i="9"/>
  <c r="I4" i="9"/>
  <c r="E94" i="8"/>
  <c r="G94" i="8"/>
  <c r="F94" i="8"/>
  <c r="G190" i="8"/>
  <c r="G43" i="8"/>
  <c r="F234" i="8"/>
  <c r="F184" i="8"/>
  <c r="G170" i="8"/>
  <c r="G40" i="8"/>
  <c r="G91" i="8"/>
  <c r="E111" i="8"/>
  <c r="F111" i="8"/>
  <c r="G111" i="8"/>
  <c r="G28" i="8"/>
  <c r="F228" i="8"/>
  <c r="F255" i="8" s="1"/>
  <c r="L38" i="4"/>
  <c r="K44" i="4"/>
  <c r="J44" i="4"/>
  <c r="G37" i="4"/>
  <c r="M22" i="4"/>
  <c r="D40" i="4"/>
  <c r="L11" i="3"/>
  <c r="P11" i="3"/>
  <c r="J11" i="3"/>
  <c r="O11" i="3"/>
  <c r="H11" i="3"/>
  <c r="I11" i="3"/>
  <c r="K11" i="3"/>
  <c r="E11" i="3"/>
  <c r="M11" i="3"/>
  <c r="B6" i="17" a="1"/>
  <c r="G62" i="8"/>
  <c r="F83" i="17" a="1"/>
  <c r="I84" i="17" a="1"/>
  <c r="G105" i="8"/>
  <c r="G128" i="8"/>
  <c r="P34" i="11"/>
  <c r="E128" i="8"/>
  <c r="F161" i="8"/>
  <c r="J82" i="17" a="1"/>
  <c r="P33" i="11"/>
  <c r="G116" i="8"/>
  <c r="G161" i="8"/>
  <c r="F88" i="8"/>
  <c r="G118" i="8"/>
  <c r="F128" i="8"/>
  <c r="G113" i="8"/>
  <c r="I83" i="17" a="1"/>
  <c r="E88" i="8"/>
  <c r="E50" i="8"/>
  <c r="C6" i="17" a="1"/>
  <c r="G88" i="8"/>
  <c r="P24" i="17" a="1"/>
  <c r="F96" i="8"/>
  <c r="N7" i="11"/>
  <c r="L84" i="17" a="1"/>
  <c r="E116" i="8"/>
  <c r="P35" i="11"/>
  <c r="E113" i="8"/>
  <c r="F62" i="8"/>
  <c r="E84" i="17" a="1"/>
  <c r="F134" i="8"/>
  <c r="F116" i="8"/>
  <c r="E62" i="8"/>
  <c r="N10" i="11"/>
  <c r="K83" i="17" a="1"/>
  <c r="G84" i="17" a="1"/>
  <c r="G82" i="17" a="1"/>
  <c r="H84" i="17" a="1"/>
  <c r="E134" i="8"/>
  <c r="N82" i="17" a="1"/>
  <c r="E96" i="8"/>
  <c r="N41" i="19"/>
  <c r="G83" i="17" a="1"/>
  <c r="N11" i="11"/>
  <c r="O41" i="19"/>
  <c r="F113" i="8"/>
  <c r="E161" i="8"/>
  <c r="M83" i="17" a="1"/>
  <c r="D102" i="17"/>
  <c r="H74" i="8" l="1"/>
  <c r="I74" i="8" s="1"/>
  <c r="H45" i="8"/>
  <c r="I45" i="8" s="1"/>
  <c r="J45" i="8" s="1"/>
  <c r="J47" i="8" s="1"/>
  <c r="H54" i="8"/>
  <c r="I54" i="8" s="1"/>
  <c r="F63" i="8"/>
  <c r="E63" i="8"/>
  <c r="E51" i="8"/>
  <c r="E240" i="8"/>
  <c r="G63" i="8"/>
  <c r="F240" i="8"/>
  <c r="N19" i="6"/>
  <c r="G13" i="6" s="1"/>
  <c r="G16" i="6" s="1"/>
  <c r="C6" i="17"/>
  <c r="B6" i="17"/>
  <c r="H126" i="8"/>
  <c r="I126" i="8" s="1"/>
  <c r="J126" i="8" s="1"/>
  <c r="K126" i="8" s="1"/>
  <c r="H139" i="8"/>
  <c r="I139" i="8" s="1"/>
  <c r="J139" i="8" s="1"/>
  <c r="K139" i="8" s="1"/>
  <c r="H94" i="8"/>
  <c r="H93" i="8" s="1"/>
  <c r="H102" i="8"/>
  <c r="I102" i="8" s="1"/>
  <c r="J102" i="8" s="1"/>
  <c r="H161" i="8"/>
  <c r="I161" i="8" s="1"/>
  <c r="P36" i="11"/>
  <c r="H113" i="8"/>
  <c r="I113" i="8" s="1"/>
  <c r="G28" i="3"/>
  <c r="H111" i="8"/>
  <c r="H110" i="8" s="1"/>
  <c r="J74" i="8"/>
  <c r="N104" i="9"/>
  <c r="J4" i="3"/>
  <c r="K4" i="3" s="1"/>
  <c r="L4" i="3" s="1"/>
  <c r="M4" i="3" s="1"/>
  <c r="N4" i="3" s="1"/>
  <c r="O4" i="3" s="1"/>
  <c r="P4" i="3" s="1"/>
  <c r="Q4" i="3" s="1"/>
  <c r="G104" i="9"/>
  <c r="G24" i="17"/>
  <c r="G27" i="17"/>
  <c r="G26" i="17"/>
  <c r="O117" i="9"/>
  <c r="K104" i="9"/>
  <c r="I104" i="9"/>
  <c r="AD8" i="8"/>
  <c r="G119" i="8"/>
  <c r="H119" i="8" s="1"/>
  <c r="H118" i="8" s="1"/>
  <c r="M4" i="28"/>
  <c r="P24" i="17"/>
  <c r="B12" i="28"/>
  <c r="B82" i="28" s="1"/>
  <c r="M14" i="6"/>
  <c r="B9" i="28"/>
  <c r="B79" i="28" s="1"/>
  <c r="M11" i="6"/>
  <c r="B10" i="28"/>
  <c r="B80" i="28" s="1"/>
  <c r="M12" i="6"/>
  <c r="B11" i="28"/>
  <c r="B81" i="28" s="1"/>
  <c r="M13" i="6"/>
  <c r="B14" i="28"/>
  <c r="B84" i="28" s="1"/>
  <c r="B13" i="28"/>
  <c r="B83" i="28" s="1"/>
  <c r="B16" i="28"/>
  <c r="B86" i="28" s="1"/>
  <c r="B7" i="28"/>
  <c r="B77" i="28" s="1"/>
  <c r="B8" i="28"/>
  <c r="B78" i="28" s="1"/>
  <c r="B15" i="28"/>
  <c r="B85" i="28" s="1"/>
  <c r="L104" i="9"/>
  <c r="M83" i="17"/>
  <c r="J82" i="17"/>
  <c r="K83" i="17"/>
  <c r="I84" i="17"/>
  <c r="I83" i="17"/>
  <c r="L84" i="17"/>
  <c r="N82" i="17"/>
  <c r="G84" i="17"/>
  <c r="G83" i="17"/>
  <c r="G82" i="17"/>
  <c r="H84" i="17"/>
  <c r="F83" i="17"/>
  <c r="E84" i="17"/>
  <c r="H195" i="8"/>
  <c r="I71" i="8"/>
  <c r="D44" i="4"/>
  <c r="H44" i="4"/>
  <c r="D57" i="17"/>
  <c r="O57" i="17" s="1"/>
  <c r="J104" i="9"/>
  <c r="M104" i="9"/>
  <c r="AD9" i="8"/>
  <c r="AD7" i="8"/>
  <c r="G114" i="8"/>
  <c r="I26" i="19"/>
  <c r="I27" i="19"/>
  <c r="H56" i="8"/>
  <c r="E188" i="8"/>
  <c r="G234" i="8"/>
  <c r="H104" i="9"/>
  <c r="I44" i="4"/>
  <c r="F44" i="4"/>
  <c r="F190" i="8"/>
  <c r="E190" i="8"/>
  <c r="G57" i="8"/>
  <c r="E57" i="8"/>
  <c r="F57" i="8"/>
  <c r="P117" i="9"/>
  <c r="G44" i="4"/>
  <c r="AE9" i="8"/>
  <c r="E123" i="8"/>
  <c r="O104" i="9"/>
  <c r="Q12" i="9"/>
  <c r="P12" i="9"/>
  <c r="O12" i="9"/>
  <c r="I12" i="9"/>
  <c r="K12" i="9"/>
  <c r="N12" i="9"/>
  <c r="M12" i="9"/>
  <c r="L12" i="9"/>
  <c r="J12" i="9"/>
  <c r="H12" i="9"/>
  <c r="H4" i="4"/>
  <c r="J4" i="9"/>
  <c r="G84" i="8"/>
  <c r="G228" i="8"/>
  <c r="H28" i="8"/>
  <c r="G121" i="8"/>
  <c r="G168" i="8"/>
  <c r="G213" i="8" s="1"/>
  <c r="G188" i="8"/>
  <c r="F188" i="8"/>
  <c r="M38" i="4"/>
  <c r="L44" i="4"/>
  <c r="G10" i="11"/>
  <c r="O7" i="11"/>
  <c r="H10" i="11"/>
  <c r="K7" i="11"/>
  <c r="M10" i="11"/>
  <c r="E36" i="8"/>
  <c r="K84" i="17" a="1"/>
  <c r="K11" i="11"/>
  <c r="H7" i="11"/>
  <c r="F82" i="17" a="1"/>
  <c r="Q45" i="11"/>
  <c r="I7" i="11"/>
  <c r="L10" i="11"/>
  <c r="O11" i="11"/>
  <c r="L83" i="17" a="1"/>
  <c r="P11" i="11"/>
  <c r="E105" i="8"/>
  <c r="M11" i="11"/>
  <c r="F105" i="8"/>
  <c r="N23" i="19"/>
  <c r="H11" i="11"/>
  <c r="G7" i="11"/>
  <c r="G36" i="8"/>
  <c r="F7" i="11"/>
  <c r="D99" i="17"/>
  <c r="I11" i="11"/>
  <c r="Q34" i="11"/>
  <c r="G11" i="11"/>
  <c r="P7" i="11"/>
  <c r="J10" i="11"/>
  <c r="L82" i="17" a="1"/>
  <c r="D117" i="17"/>
  <c r="F36" i="8"/>
  <c r="J11" i="11"/>
  <c r="I82" i="17" a="1"/>
  <c r="M82" i="17" a="1"/>
  <c r="N83" i="17" a="1"/>
  <c r="J84" i="17" a="1"/>
  <c r="O10" i="11"/>
  <c r="J83" i="17" a="1"/>
  <c r="I10" i="11"/>
  <c r="F84" i="17" a="1"/>
  <c r="H82" i="17" a="1"/>
  <c r="H83" i="17" a="1"/>
  <c r="M84" i="17" a="1"/>
  <c r="P10" i="11"/>
  <c r="L11" i="11"/>
  <c r="K82" i="17" a="1"/>
  <c r="M7" i="11"/>
  <c r="L7" i="11"/>
  <c r="N19" i="19"/>
  <c r="J7" i="11"/>
  <c r="K10" i="11"/>
  <c r="P41" i="19"/>
  <c r="F11" i="11"/>
  <c r="N84" i="17" a="1"/>
  <c r="E82" i="17" a="1"/>
  <c r="N22" i="19"/>
  <c r="G96" i="8"/>
  <c r="E83" i="17" a="1"/>
  <c r="H47" i="8" l="1"/>
  <c r="I47" i="8"/>
  <c r="K45" i="8"/>
  <c r="K47" i="8" s="1"/>
  <c r="H53" i="8"/>
  <c r="H103" i="8" s="1"/>
  <c r="J54" i="8"/>
  <c r="K54" i="8" s="1"/>
  <c r="H96" i="8"/>
  <c r="H138" i="8"/>
  <c r="H134" i="8" s="1"/>
  <c r="I125" i="8"/>
  <c r="H101" i="8"/>
  <c r="H153" i="8" s="1"/>
  <c r="L126" i="8"/>
  <c r="M126" i="8" s="1"/>
  <c r="N126" i="8" s="1"/>
  <c r="H125" i="8"/>
  <c r="I94" i="8"/>
  <c r="J94" i="8" s="1"/>
  <c r="I111" i="8"/>
  <c r="J111" i="8" s="1"/>
  <c r="I96" i="8"/>
  <c r="J96" i="8" s="1"/>
  <c r="L139" i="8"/>
  <c r="M139" i="8" s="1"/>
  <c r="N139" i="8" s="1"/>
  <c r="I119" i="8"/>
  <c r="J119" i="8" s="1"/>
  <c r="K119" i="8" s="1"/>
  <c r="J113" i="8"/>
  <c r="K113" i="8" s="1"/>
  <c r="L45" i="8"/>
  <c r="H100" i="8"/>
  <c r="I53" i="8" s="1"/>
  <c r="I103" i="8" s="1"/>
  <c r="K74" i="8"/>
  <c r="L74" i="8" s="1"/>
  <c r="M74" i="8" s="1"/>
  <c r="K102" i="8"/>
  <c r="L102" i="8" s="1"/>
  <c r="L101" i="8" s="1"/>
  <c r="L153" i="8" s="1"/>
  <c r="J161" i="8"/>
  <c r="K161" i="8" s="1"/>
  <c r="Q11" i="3"/>
  <c r="J4" i="27"/>
  <c r="B13" i="27"/>
  <c r="B4" i="27"/>
  <c r="G97" i="8"/>
  <c r="N83" i="17"/>
  <c r="I82" i="17"/>
  <c r="N4" i="28"/>
  <c r="H136" i="8"/>
  <c r="C11" i="27"/>
  <c r="C10" i="27"/>
  <c r="C7" i="27"/>
  <c r="C8" i="27"/>
  <c r="H83" i="17"/>
  <c r="J83" i="17"/>
  <c r="F84" i="17"/>
  <c r="B39" i="28"/>
  <c r="B51" i="28"/>
  <c r="B23" i="28"/>
  <c r="B37" i="28"/>
  <c r="B65" i="28"/>
  <c r="B26" i="28"/>
  <c r="B40" i="28"/>
  <c r="B54" i="28"/>
  <c r="B68" i="28"/>
  <c r="B53" i="28"/>
  <c r="B67" i="28"/>
  <c r="B25" i="28"/>
  <c r="J84" i="17"/>
  <c r="M84" i="17"/>
  <c r="B52" i="28"/>
  <c r="B66" i="28"/>
  <c r="B24" i="28"/>
  <c r="B38" i="28"/>
  <c r="H82" i="17"/>
  <c r="K82" i="17"/>
  <c r="K84" i="17"/>
  <c r="L38" i="17"/>
  <c r="L59" i="17" s="1"/>
  <c r="L44" i="17"/>
  <c r="L50" i="17"/>
  <c r="K80" i="17"/>
  <c r="L71" i="17"/>
  <c r="F80" i="17"/>
  <c r="L80" i="17"/>
  <c r="K50" i="17"/>
  <c r="K71" i="17"/>
  <c r="N80" i="17"/>
  <c r="E38" i="17"/>
  <c r="E59" i="17" s="1"/>
  <c r="M50" i="17"/>
  <c r="M80" i="17"/>
  <c r="K38" i="17"/>
  <c r="K59" i="17" s="1"/>
  <c r="K44" i="17"/>
  <c r="E50" i="17"/>
  <c r="E71" i="17"/>
  <c r="E80" i="17"/>
  <c r="M38" i="17"/>
  <c r="M59" i="17" s="1"/>
  <c r="L83" i="17"/>
  <c r="F82" i="17"/>
  <c r="N84" i="17"/>
  <c r="L82" i="17"/>
  <c r="F44" i="17"/>
  <c r="F50" i="17"/>
  <c r="F71" i="17"/>
  <c r="N44" i="17"/>
  <c r="M44" i="17"/>
  <c r="N38" i="17"/>
  <c r="N59" i="17" s="1"/>
  <c r="M71" i="17"/>
  <c r="N50" i="17"/>
  <c r="B70" i="28"/>
  <c r="B56" i="28"/>
  <c r="B42" i="28"/>
  <c r="B28" i="28"/>
  <c r="E83" i="17"/>
  <c r="M82" i="17"/>
  <c r="E82" i="17"/>
  <c r="F38" i="17"/>
  <c r="F59" i="17" s="1"/>
  <c r="N71" i="17"/>
  <c r="E44" i="17"/>
  <c r="B71" i="28"/>
  <c r="B57" i="28"/>
  <c r="B43" i="28"/>
  <c r="B29" i="28"/>
  <c r="B63" i="28"/>
  <c r="B49" i="28"/>
  <c r="B35" i="28"/>
  <c r="B21" i="28"/>
  <c r="D29" i="17"/>
  <c r="B6" i="28"/>
  <c r="B76" i="28" s="1"/>
  <c r="B22" i="28"/>
  <c r="B64" i="28"/>
  <c r="B50" i="28"/>
  <c r="B36" i="28"/>
  <c r="B30" i="28"/>
  <c r="B72" i="28"/>
  <c r="B58" i="28"/>
  <c r="B44" i="28"/>
  <c r="B55" i="28"/>
  <c r="B41" i="28"/>
  <c r="B27" i="28"/>
  <c r="B69" i="28"/>
  <c r="J101" i="8"/>
  <c r="J153" i="8" s="1"/>
  <c r="I195" i="8"/>
  <c r="I101" i="8"/>
  <c r="I153" i="8" s="1"/>
  <c r="J71" i="8"/>
  <c r="E37" i="8"/>
  <c r="G106" i="8"/>
  <c r="G37" i="8"/>
  <c r="F37" i="8"/>
  <c r="D56" i="17"/>
  <c r="O56" i="17" s="1"/>
  <c r="G80" i="17"/>
  <c r="G71" i="17"/>
  <c r="G50" i="17"/>
  <c r="G44" i="17"/>
  <c r="G38" i="17"/>
  <c r="G59" i="17" s="1"/>
  <c r="I80" i="17"/>
  <c r="I71" i="17"/>
  <c r="I50" i="17"/>
  <c r="I44" i="17"/>
  <c r="I38" i="17"/>
  <c r="I59" i="17" s="1"/>
  <c r="H80" i="17"/>
  <c r="H71" i="17"/>
  <c r="H50" i="17"/>
  <c r="H44" i="17"/>
  <c r="H38" i="17"/>
  <c r="H59" i="17" s="1"/>
  <c r="J16" i="9"/>
  <c r="J22" i="9" s="1"/>
  <c r="I16" i="9"/>
  <c r="Q16" i="9"/>
  <c r="L16" i="9"/>
  <c r="L22" i="9" s="1"/>
  <c r="O16" i="9"/>
  <c r="E234" i="8"/>
  <c r="E184" i="8"/>
  <c r="M16" i="9"/>
  <c r="M22" i="9" s="1"/>
  <c r="P16" i="9"/>
  <c r="N16" i="9"/>
  <c r="N22" i="9" s="1"/>
  <c r="G16" i="9"/>
  <c r="H16" i="9"/>
  <c r="K16" i="9"/>
  <c r="K22" i="9" s="1"/>
  <c r="P104" i="9"/>
  <c r="Q104" i="9"/>
  <c r="E106" i="8"/>
  <c r="F106" i="8"/>
  <c r="J125" i="8"/>
  <c r="F91" i="8"/>
  <c r="F97" i="8"/>
  <c r="F43" i="8"/>
  <c r="F170" i="8"/>
  <c r="G31" i="8"/>
  <c r="F40" i="8"/>
  <c r="F114" i="8"/>
  <c r="I4" i="4"/>
  <c r="J13" i="4" s="1"/>
  <c r="H30" i="8"/>
  <c r="K4" i="9"/>
  <c r="G238" i="8"/>
  <c r="E238" i="8"/>
  <c r="H84" i="8"/>
  <c r="I28" i="8"/>
  <c r="H168" i="8"/>
  <c r="H213" i="8" s="1"/>
  <c r="H121" i="8"/>
  <c r="H228" i="8"/>
  <c r="I228" i="8" s="1"/>
  <c r="J228" i="8" s="1"/>
  <c r="K228" i="8" s="1"/>
  <c r="L228" i="8" s="1"/>
  <c r="M228" i="8" s="1"/>
  <c r="N228" i="8" s="1"/>
  <c r="O228" i="8" s="1"/>
  <c r="P228" i="8" s="1"/>
  <c r="Q228" i="8" s="1"/>
  <c r="G255" i="8"/>
  <c r="H255" i="8" s="1"/>
  <c r="I255" i="8" s="1"/>
  <c r="J255" i="8" s="1"/>
  <c r="K255" i="8" s="1"/>
  <c r="L255" i="8" s="1"/>
  <c r="M255" i="8" s="1"/>
  <c r="N255" i="8" s="1"/>
  <c r="O255" i="8" s="1"/>
  <c r="P255" i="8" s="1"/>
  <c r="Q255" i="8" s="1"/>
  <c r="F238" i="8"/>
  <c r="M44" i="4"/>
  <c r="N38" i="4"/>
  <c r="O50" i="11"/>
  <c r="I50" i="11"/>
  <c r="D100" i="17"/>
  <c r="P23" i="19"/>
  <c r="N6" i="11"/>
  <c r="P51" i="11"/>
  <c r="G9" i="11"/>
  <c r="H6" i="11"/>
  <c r="M50" i="11"/>
  <c r="F9" i="11"/>
  <c r="F8" i="11"/>
  <c r="G8" i="11"/>
  <c r="Q35" i="11"/>
  <c r="K9" i="11"/>
  <c r="Q44" i="11"/>
  <c r="M9" i="11"/>
  <c r="P50" i="11"/>
  <c r="J9" i="11"/>
  <c r="M51" i="11"/>
  <c r="H50" i="11"/>
  <c r="O22" i="19"/>
  <c r="I51" i="11"/>
  <c r="N50" i="11"/>
  <c r="O51" i="11"/>
  <c r="K50" i="11"/>
  <c r="H8" i="11"/>
  <c r="G6" i="11"/>
  <c r="E47" i="8"/>
  <c r="F50" i="11"/>
  <c r="O19" i="19"/>
  <c r="J51" i="11"/>
  <c r="J6" i="11"/>
  <c r="M8" i="11"/>
  <c r="L8" i="11"/>
  <c r="H9" i="11"/>
  <c r="L51" i="11"/>
  <c r="D84" i="17" a="1"/>
  <c r="D95" i="17"/>
  <c r="G47" i="8"/>
  <c r="P22" i="19"/>
  <c r="J50" i="11"/>
  <c r="Q43" i="11"/>
  <c r="G50" i="11"/>
  <c r="I6" i="11"/>
  <c r="N51" i="11"/>
  <c r="M6" i="11"/>
  <c r="P19" i="19"/>
  <c r="N8" i="11"/>
  <c r="O23" i="19"/>
  <c r="D82" i="17" a="1"/>
  <c r="L6" i="11"/>
  <c r="K8" i="11"/>
  <c r="J8" i="11"/>
  <c r="H51" i="11"/>
  <c r="N9" i="11"/>
  <c r="I8" i="11"/>
  <c r="G51" i="11"/>
  <c r="D83" i="17" a="1"/>
  <c r="L50" i="11"/>
  <c r="F47" i="8"/>
  <c r="F6" i="11"/>
  <c r="K51" i="11"/>
  <c r="F51" i="11"/>
  <c r="I9" i="11"/>
  <c r="K6" i="11"/>
  <c r="L9" i="11"/>
  <c r="K94" i="8" l="1"/>
  <c r="L94" i="8" s="1"/>
  <c r="L54" i="8"/>
  <c r="M54" i="8" s="1"/>
  <c r="H50" i="8"/>
  <c r="H51" i="8" s="1"/>
  <c r="G6" i="17"/>
  <c r="G18" i="17" s="1"/>
  <c r="G19" i="17" s="1"/>
  <c r="F6" i="17"/>
  <c r="F18" i="17" s="1"/>
  <c r="F19" i="17" s="1"/>
  <c r="K101" i="8"/>
  <c r="K153" i="8" s="1"/>
  <c r="H99" i="8"/>
  <c r="K96" i="8"/>
  <c r="L96" i="8" s="1"/>
  <c r="M96" i="8" s="1"/>
  <c r="N96" i="8" s="1"/>
  <c r="L113" i="8"/>
  <c r="M113" i="8" s="1"/>
  <c r="I118" i="8"/>
  <c r="M102" i="8"/>
  <c r="M101" i="8" s="1"/>
  <c r="M153" i="8" s="1"/>
  <c r="O139" i="8"/>
  <c r="P139" i="8" s="1"/>
  <c r="O126" i="8"/>
  <c r="P126" i="8" s="1"/>
  <c r="L161" i="8"/>
  <c r="L47" i="8"/>
  <c r="M45" i="8"/>
  <c r="N74" i="8"/>
  <c r="L119" i="8"/>
  <c r="K111" i="8"/>
  <c r="L111" i="8" s="1"/>
  <c r="I138" i="8"/>
  <c r="K118" i="8"/>
  <c r="J118" i="8"/>
  <c r="I110" i="8"/>
  <c r="I93" i="8"/>
  <c r="G22" i="9"/>
  <c r="G118" i="9" s="1"/>
  <c r="G119" i="9" s="1"/>
  <c r="D83" i="17"/>
  <c r="O83" i="17" s="1"/>
  <c r="O4" i="28"/>
  <c r="D84" i="17"/>
  <c r="O84" i="17" s="1"/>
  <c r="D82" i="17"/>
  <c r="O82" i="17" s="1"/>
  <c r="J22" i="4"/>
  <c r="J6" i="4"/>
  <c r="D71" i="17"/>
  <c r="B48" i="28"/>
  <c r="B34" i="28"/>
  <c r="B20" i="28"/>
  <c r="B62" i="28"/>
  <c r="D38" i="17"/>
  <c r="D59" i="17" s="1"/>
  <c r="D80" i="17"/>
  <c r="D44" i="17"/>
  <c r="D50" i="17"/>
  <c r="J195" i="8"/>
  <c r="K71" i="8"/>
  <c r="E29" i="19"/>
  <c r="F48" i="8"/>
  <c r="E48" i="8"/>
  <c r="G48" i="8"/>
  <c r="J8" i="4"/>
  <c r="J17" i="4"/>
  <c r="J21" i="4"/>
  <c r="J18" i="4"/>
  <c r="J7" i="4"/>
  <c r="J24" i="9"/>
  <c r="K24" i="9"/>
  <c r="N24" i="9"/>
  <c r="M24" i="9"/>
  <c r="L24" i="9"/>
  <c r="Q22" i="9"/>
  <c r="H22" i="9"/>
  <c r="I22" i="9"/>
  <c r="K125" i="8"/>
  <c r="J110" i="8"/>
  <c r="P22" i="9"/>
  <c r="O22" i="9"/>
  <c r="G171" i="8"/>
  <c r="H42" i="8"/>
  <c r="H105" i="8" s="1"/>
  <c r="H33" i="8"/>
  <c r="I136" i="8"/>
  <c r="L71" i="8"/>
  <c r="J20" i="4"/>
  <c r="J15" i="4"/>
  <c r="J4" i="4"/>
  <c r="J19" i="4"/>
  <c r="J10" i="4"/>
  <c r="J9" i="4"/>
  <c r="L4" i="9"/>
  <c r="E171" i="8"/>
  <c r="I30" i="8"/>
  <c r="I84" i="8"/>
  <c r="J28" i="8"/>
  <c r="I121" i="8"/>
  <c r="I168" i="8"/>
  <c r="I213" i="8" s="1"/>
  <c r="N44" i="4"/>
  <c r="O38" i="4"/>
  <c r="P38" i="4" s="1"/>
  <c r="N20" i="19"/>
  <c r="Q20" i="11"/>
  <c r="G76" i="8"/>
  <c r="N21" i="19"/>
  <c r="E59" i="8"/>
  <c r="N55" i="19"/>
  <c r="P8" i="11"/>
  <c r="O8" i="11"/>
  <c r="L49" i="11"/>
  <c r="N56" i="19"/>
  <c r="R34" i="11"/>
  <c r="O49" i="11"/>
  <c r="N18" i="19"/>
  <c r="O9" i="11"/>
  <c r="D121" i="17"/>
  <c r="G49" i="11"/>
  <c r="N49" i="11"/>
  <c r="D101" i="17"/>
  <c r="F59" i="8"/>
  <c r="P56" i="19"/>
  <c r="O56" i="19"/>
  <c r="J49" i="11"/>
  <c r="P9" i="11"/>
  <c r="I49" i="11"/>
  <c r="P55" i="19"/>
  <c r="P49" i="11"/>
  <c r="F49" i="11"/>
  <c r="R35" i="11"/>
  <c r="H49" i="11"/>
  <c r="K49" i="11"/>
  <c r="G59" i="8"/>
  <c r="M49" i="11"/>
  <c r="O55" i="19"/>
  <c r="P6" i="11"/>
  <c r="O6" i="11"/>
  <c r="M94" i="8" l="1"/>
  <c r="N94" i="8" s="1"/>
  <c r="O94" i="8" s="1"/>
  <c r="P94" i="8" s="1"/>
  <c r="Q94" i="8" s="1"/>
  <c r="N54" i="8"/>
  <c r="O54" i="8" s="1"/>
  <c r="H123" i="8"/>
  <c r="H184" i="8" s="1"/>
  <c r="H59" i="8"/>
  <c r="H76" i="8" s="1"/>
  <c r="N102" i="8"/>
  <c r="N101" i="8" s="1"/>
  <c r="N153" i="8" s="1"/>
  <c r="Q126" i="8"/>
  <c r="O96" i="8"/>
  <c r="P96" i="8" s="1"/>
  <c r="Q96" i="8" s="1"/>
  <c r="N113" i="8"/>
  <c r="O113" i="8" s="1"/>
  <c r="P54" i="8"/>
  <c r="Q54" i="8" s="1"/>
  <c r="M111" i="8"/>
  <c r="N111" i="8" s="1"/>
  <c r="Q139" i="8"/>
  <c r="M119" i="8"/>
  <c r="N119" i="8" s="1"/>
  <c r="M47" i="8"/>
  <c r="N45" i="8"/>
  <c r="O74" i="8"/>
  <c r="P74" i="8" s="1"/>
  <c r="M161" i="8"/>
  <c r="N161" i="8" s="1"/>
  <c r="G24" i="9"/>
  <c r="L118" i="8"/>
  <c r="J93" i="8"/>
  <c r="G66" i="9"/>
  <c r="Q38" i="4"/>
  <c r="P44" i="4"/>
  <c r="P4" i="28"/>
  <c r="D31" i="17"/>
  <c r="O31" i="17" s="1"/>
  <c r="D41" i="17"/>
  <c r="O41" i="17" s="1"/>
  <c r="D40" i="17"/>
  <c r="O40" i="17" s="1"/>
  <c r="H114" i="8"/>
  <c r="K195" i="8"/>
  <c r="E30" i="19"/>
  <c r="G60" i="8"/>
  <c r="F60" i="8"/>
  <c r="E60" i="8"/>
  <c r="G230" i="8"/>
  <c r="G176" i="8"/>
  <c r="P24" i="9"/>
  <c r="L66" i="9"/>
  <c r="I24" i="9"/>
  <c r="Q24" i="9"/>
  <c r="N66" i="9"/>
  <c r="D42" i="17"/>
  <c r="O42" i="17" s="1"/>
  <c r="M66" i="9"/>
  <c r="K66" i="9"/>
  <c r="J66" i="9"/>
  <c r="O24" i="9"/>
  <c r="H24" i="9"/>
  <c r="G79" i="8"/>
  <c r="L125" i="8"/>
  <c r="I56" i="8"/>
  <c r="I50" i="8" s="1"/>
  <c r="K110" i="8"/>
  <c r="H173" i="8"/>
  <c r="H36" i="8"/>
  <c r="E230" i="8"/>
  <c r="E176" i="8"/>
  <c r="F230" i="8"/>
  <c r="F176" i="8"/>
  <c r="M93" i="8"/>
  <c r="J136" i="8"/>
  <c r="M71" i="8"/>
  <c r="J30" i="8"/>
  <c r="M4" i="9"/>
  <c r="J84" i="8"/>
  <c r="J121" i="8"/>
  <c r="K28" i="8"/>
  <c r="J168" i="8"/>
  <c r="J213" i="8" s="1"/>
  <c r="I42" i="8"/>
  <c r="I105" i="8" s="1"/>
  <c r="I33" i="8"/>
  <c r="I36" i="8" s="1"/>
  <c r="H234" i="8"/>
  <c r="O44" i="4"/>
  <c r="I28" i="3"/>
  <c r="L14" i="17" a="1"/>
  <c r="J14" i="17" a="1"/>
  <c r="O20" i="19"/>
  <c r="F76" i="8"/>
  <c r="K14" i="17" a="1"/>
  <c r="L6" i="17" a="1"/>
  <c r="P21" i="19"/>
  <c r="P54" i="19"/>
  <c r="K6" i="17" a="1"/>
  <c r="J6" i="17" a="1"/>
  <c r="O18" i="19"/>
  <c r="F10" i="11"/>
  <c r="P18" i="19"/>
  <c r="P20" i="19"/>
  <c r="M14" i="17" a="1"/>
  <c r="D103" i="17"/>
  <c r="N54" i="19"/>
  <c r="E76" i="8"/>
  <c r="M6" i="17" a="1"/>
  <c r="O21" i="19"/>
  <c r="O54" i="19"/>
  <c r="J14" i="17" l="1"/>
  <c r="L14" i="17"/>
  <c r="M14" i="17"/>
  <c r="K14" i="17"/>
  <c r="M6" i="17"/>
  <c r="L6" i="17"/>
  <c r="K6" i="17"/>
  <c r="J6" i="17"/>
  <c r="O102" i="8"/>
  <c r="P102" i="8" s="1"/>
  <c r="P101" i="8" s="1"/>
  <c r="P153" i="8" s="1"/>
  <c r="G182" i="8"/>
  <c r="AB9" i="8" s="1"/>
  <c r="O161" i="8"/>
  <c r="P161" i="8" s="1"/>
  <c r="Q161" i="8" s="1"/>
  <c r="P113" i="8"/>
  <c r="Q113" i="8" s="1"/>
  <c r="O111" i="8"/>
  <c r="P111" i="8" s="1"/>
  <c r="Q111" i="8" s="1"/>
  <c r="H174" i="8"/>
  <c r="H172" i="8"/>
  <c r="Q74" i="8"/>
  <c r="N47" i="8"/>
  <c r="O119" i="8"/>
  <c r="P119" i="8" s="1"/>
  <c r="M118" i="8"/>
  <c r="O45" i="8"/>
  <c r="N118" i="8"/>
  <c r="I51" i="8"/>
  <c r="I59" i="8"/>
  <c r="L93" i="8"/>
  <c r="K93" i="8"/>
  <c r="G75" i="9"/>
  <c r="P66" i="9"/>
  <c r="P75" i="9" s="1"/>
  <c r="Q4" i="28"/>
  <c r="R81" i="28" s="1"/>
  <c r="R77" i="28"/>
  <c r="R76" i="28"/>
  <c r="R38" i="4"/>
  <c r="Q44" i="4"/>
  <c r="D34" i="17"/>
  <c r="O34" i="17" s="1"/>
  <c r="L195" i="8"/>
  <c r="F28" i="19"/>
  <c r="F26" i="19"/>
  <c r="F27" i="19"/>
  <c r="E31" i="19"/>
  <c r="G177" i="8"/>
  <c r="F177" i="8"/>
  <c r="I66" i="9"/>
  <c r="H66" i="9"/>
  <c r="J75" i="9"/>
  <c r="K75" i="9"/>
  <c r="N75" i="9"/>
  <c r="Q66" i="9"/>
  <c r="M75" i="9"/>
  <c r="L75" i="9"/>
  <c r="O66" i="9"/>
  <c r="O75" i="9" s="1"/>
  <c r="AH10" i="8"/>
  <c r="F79" i="8"/>
  <c r="F182" i="8" s="1"/>
  <c r="E79" i="8"/>
  <c r="M125" i="8"/>
  <c r="J56" i="8"/>
  <c r="I173" i="8"/>
  <c r="L110" i="8"/>
  <c r="I37" i="8"/>
  <c r="H37" i="8"/>
  <c r="N93" i="8"/>
  <c r="K136" i="8"/>
  <c r="N71" i="8"/>
  <c r="J33" i="8"/>
  <c r="J42" i="8"/>
  <c r="J105" i="8" s="1"/>
  <c r="N4" i="9"/>
  <c r="K84" i="8"/>
  <c r="K121" i="8"/>
  <c r="L28" i="8"/>
  <c r="K168" i="8"/>
  <c r="K213" i="8" s="1"/>
  <c r="K30" i="8"/>
  <c r="E81" i="8"/>
  <c r="Q21" i="11"/>
  <c r="R21" i="11"/>
  <c r="F81" i="8"/>
  <c r="G81" i="8"/>
  <c r="D96" i="17"/>
  <c r="D105" i="17"/>
  <c r="J18" i="17" l="1"/>
  <c r="J19" i="17" s="1"/>
  <c r="K18" i="17"/>
  <c r="K19" i="17" s="1"/>
  <c r="E24" i="17"/>
  <c r="K24" i="17" s="1"/>
  <c r="D27" i="17"/>
  <c r="J27" i="17" s="1"/>
  <c r="D25" i="17"/>
  <c r="J25" i="17" s="1"/>
  <c r="D26" i="17"/>
  <c r="J26" i="17" s="1"/>
  <c r="D24" i="17"/>
  <c r="J24" i="17" s="1"/>
  <c r="E27" i="17"/>
  <c r="K27" i="17" s="1"/>
  <c r="L18" i="17"/>
  <c r="L19" i="17" s="1"/>
  <c r="E26" i="17"/>
  <c r="K26" i="17" s="1"/>
  <c r="E25" i="17"/>
  <c r="K25" i="17" s="1"/>
  <c r="M18" i="17"/>
  <c r="M19" i="17" s="1"/>
  <c r="O101" i="8"/>
  <c r="O153" i="8" s="1"/>
  <c r="O118" i="8"/>
  <c r="H79" i="8"/>
  <c r="I79" i="8" s="1"/>
  <c r="H6" i="17"/>
  <c r="F148" i="8"/>
  <c r="F151" i="8"/>
  <c r="G151" i="8"/>
  <c r="G148" i="8"/>
  <c r="I8" i="17"/>
  <c r="I6" i="17"/>
  <c r="E148" i="8"/>
  <c r="E151" i="8"/>
  <c r="E182" i="8"/>
  <c r="E192" i="8" s="1"/>
  <c r="X7" i="8" s="1"/>
  <c r="P45" i="8"/>
  <c r="O47" i="8"/>
  <c r="Q102" i="8"/>
  <c r="Q101" i="8" s="1"/>
  <c r="Q153" i="8" s="1"/>
  <c r="Q119" i="8"/>
  <c r="Q118" i="8" s="1"/>
  <c r="P118" i="8"/>
  <c r="I76" i="8"/>
  <c r="R85" i="28"/>
  <c r="R16" i="28"/>
  <c r="R13" i="28"/>
  <c r="R10" i="28"/>
  <c r="R7" i="28"/>
  <c r="R29" i="28"/>
  <c r="R26" i="28"/>
  <c r="R23" i="28"/>
  <c r="R20" i="28"/>
  <c r="R42" i="28"/>
  <c r="R39" i="28"/>
  <c r="R36" i="28"/>
  <c r="R58" i="28"/>
  <c r="R55" i="28"/>
  <c r="R52" i="28"/>
  <c r="R49" i="28"/>
  <c r="R71" i="28"/>
  <c r="R68" i="28"/>
  <c r="R65" i="28"/>
  <c r="R62" i="28"/>
  <c r="R83" i="28"/>
  <c r="R79" i="28"/>
  <c r="R15" i="28"/>
  <c r="R12" i="28"/>
  <c r="R9" i="28"/>
  <c r="R6" i="28"/>
  <c r="R28" i="28"/>
  <c r="R25" i="28"/>
  <c r="R22" i="28"/>
  <c r="R44" i="28"/>
  <c r="R41" i="28"/>
  <c r="R38" i="28"/>
  <c r="R35" i="28"/>
  <c r="R57" i="28"/>
  <c r="R54" i="28"/>
  <c r="R51" i="28"/>
  <c r="R48" i="28"/>
  <c r="R70" i="28"/>
  <c r="R67" i="28"/>
  <c r="R64" i="28"/>
  <c r="R86" i="28"/>
  <c r="R82" i="28"/>
  <c r="R78" i="28"/>
  <c r="R14" i="28"/>
  <c r="R11" i="28"/>
  <c r="R8" i="28"/>
  <c r="R30" i="28"/>
  <c r="R27" i="28"/>
  <c r="R24" i="28"/>
  <c r="R21" i="28"/>
  <c r="R43" i="28"/>
  <c r="R40" i="28"/>
  <c r="R37" i="28"/>
  <c r="R34" i="28"/>
  <c r="R56" i="28"/>
  <c r="R53" i="28"/>
  <c r="R50" i="28"/>
  <c r="R72" i="28"/>
  <c r="R69" i="28"/>
  <c r="R66" i="28"/>
  <c r="R63" i="28"/>
  <c r="R84" i="28"/>
  <c r="R80" i="28"/>
  <c r="S38" i="4"/>
  <c r="R44" i="4"/>
  <c r="R4" i="28"/>
  <c r="R18" i="28"/>
  <c r="R32" i="28"/>
  <c r="R46" i="28"/>
  <c r="R60" i="28"/>
  <c r="R74" i="28"/>
  <c r="D63" i="17"/>
  <c r="O63" i="17" s="1"/>
  <c r="D62" i="17"/>
  <c r="O62" i="17" s="1"/>
  <c r="D33" i="17"/>
  <c r="O33" i="17" s="1"/>
  <c r="D32" i="17"/>
  <c r="O32" i="17" s="1"/>
  <c r="M195" i="8"/>
  <c r="H28" i="19"/>
  <c r="E32" i="19"/>
  <c r="G192" i="8"/>
  <c r="X9" i="8" s="1"/>
  <c r="G82" i="8"/>
  <c r="G232" i="8"/>
  <c r="G244" i="8" s="1"/>
  <c r="E82" i="8"/>
  <c r="E232" i="8"/>
  <c r="E244" i="8" s="1"/>
  <c r="E159" i="8" s="1"/>
  <c r="H75" i="9"/>
  <c r="I75" i="9"/>
  <c r="AH11" i="8"/>
  <c r="F232" i="8"/>
  <c r="F244" i="8" s="1"/>
  <c r="F159" i="8" s="1"/>
  <c r="F82" i="8"/>
  <c r="Q75" i="9"/>
  <c r="AB8" i="8"/>
  <c r="F192" i="8"/>
  <c r="X8" i="8" s="1"/>
  <c r="N125" i="8"/>
  <c r="K56" i="8"/>
  <c r="M110" i="8"/>
  <c r="J173" i="8"/>
  <c r="J36" i="8"/>
  <c r="L30" i="8"/>
  <c r="L136" i="8"/>
  <c r="O71" i="8"/>
  <c r="O4" i="9"/>
  <c r="K42" i="8"/>
  <c r="K105" i="8" s="1"/>
  <c r="K33" i="8"/>
  <c r="K36" i="8" s="1"/>
  <c r="M28" i="8"/>
  <c r="L84" i="8"/>
  <c r="L121" i="8"/>
  <c r="L168" i="8"/>
  <c r="L213" i="8" s="1"/>
  <c r="E130" i="8"/>
  <c r="N6" i="17" a="1"/>
  <c r="N24" i="17" a="1"/>
  <c r="R31" i="19"/>
  <c r="M25" i="17" a="1"/>
  <c r="N26" i="17" a="1"/>
  <c r="Q31" i="19"/>
  <c r="M24" i="17" a="1"/>
  <c r="N27" i="17" a="1"/>
  <c r="M26" i="17" a="1"/>
  <c r="O6" i="17" a="1"/>
  <c r="R20" i="11"/>
  <c r="F130" i="8"/>
  <c r="M27" i="17" a="1"/>
  <c r="N25" i="17" a="1"/>
  <c r="N24" i="17" l="1"/>
  <c r="M24" i="17"/>
  <c r="M26" i="17"/>
  <c r="M25" i="17"/>
  <c r="M27" i="17"/>
  <c r="N27" i="17"/>
  <c r="N25" i="17"/>
  <c r="N26" i="17"/>
  <c r="N6" i="17"/>
  <c r="N18" i="17" s="1"/>
  <c r="N19" i="17" s="1"/>
  <c r="O6" i="17"/>
  <c r="O18" i="17" s="1"/>
  <c r="O19" i="17" s="1"/>
  <c r="H78" i="8"/>
  <c r="H81" i="8" s="1"/>
  <c r="H216" i="8"/>
  <c r="Z7" i="8" s="1"/>
  <c r="AB7" i="8"/>
  <c r="H26" i="19" s="1"/>
  <c r="I216" i="8"/>
  <c r="I78" i="8"/>
  <c r="I81" i="8" s="1"/>
  <c r="H18" i="17"/>
  <c r="H19" i="17" s="1"/>
  <c r="H158" i="8"/>
  <c r="H156" i="8"/>
  <c r="G159" i="8"/>
  <c r="I18" i="17"/>
  <c r="I19" i="17" s="1"/>
  <c r="J79" i="8"/>
  <c r="P47" i="8"/>
  <c r="Q45" i="8"/>
  <c r="Q47" i="8" s="1"/>
  <c r="P93" i="8"/>
  <c r="O93" i="8"/>
  <c r="T38" i="4"/>
  <c r="T44" i="4" s="1"/>
  <c r="S44" i="4"/>
  <c r="G21" i="6"/>
  <c r="N195" i="8"/>
  <c r="H27" i="19"/>
  <c r="E33" i="19"/>
  <c r="Y8" i="8"/>
  <c r="B93" i="17"/>
  <c r="L173" i="8"/>
  <c r="Y7" i="8"/>
  <c r="G26" i="19" s="1"/>
  <c r="Y9" i="8"/>
  <c r="L33" i="8"/>
  <c r="L36" i="8" s="1"/>
  <c r="L42" i="8"/>
  <c r="L105" i="8" s="1"/>
  <c r="Q93" i="8"/>
  <c r="L56" i="8"/>
  <c r="K173" i="8"/>
  <c r="N110" i="8"/>
  <c r="K37" i="8"/>
  <c r="J37" i="8"/>
  <c r="M136" i="8"/>
  <c r="P71" i="8"/>
  <c r="P4" i="9"/>
  <c r="H4" i="17" s="1"/>
  <c r="M30" i="8"/>
  <c r="M84" i="8"/>
  <c r="M121" i="8"/>
  <c r="N28" i="8"/>
  <c r="M168" i="8"/>
  <c r="M213" i="8" s="1"/>
  <c r="M147" i="8"/>
  <c r="H147" i="8"/>
  <c r="K147" i="8"/>
  <c r="I147" i="8"/>
  <c r="H150" i="8"/>
  <c r="F258" i="8"/>
  <c r="E258" i="8"/>
  <c r="L147" i="8"/>
  <c r="J147" i="8"/>
  <c r="G130" i="8"/>
  <c r="P147" i="8"/>
  <c r="O147" i="8"/>
  <c r="Q147" i="8"/>
  <c r="N147" i="8"/>
  <c r="G258" i="8"/>
  <c r="E259" i="8" l="1"/>
  <c r="G259" i="8"/>
  <c r="H130" i="8"/>
  <c r="F26" i="17"/>
  <c r="L26" i="17" s="1"/>
  <c r="F27" i="17"/>
  <c r="L27" i="17" s="1"/>
  <c r="F25" i="17"/>
  <c r="L25" i="17" s="1"/>
  <c r="F24" i="17"/>
  <c r="L24" i="17" s="1"/>
  <c r="F259" i="8"/>
  <c r="G14" i="6"/>
  <c r="G11" i="6" s="1"/>
  <c r="G25" i="6" s="1"/>
  <c r="H242" i="8"/>
  <c r="AC10" i="8" s="1"/>
  <c r="H163" i="8"/>
  <c r="I130" i="8"/>
  <c r="H257" i="8"/>
  <c r="J216" i="8"/>
  <c r="K79" i="8"/>
  <c r="H116" i="8"/>
  <c r="O125" i="8"/>
  <c r="Z8" i="8"/>
  <c r="O195" i="8"/>
  <c r="G27" i="19"/>
  <c r="D4" i="17"/>
  <c r="B94" i="17"/>
  <c r="M56" i="8"/>
  <c r="L37" i="8"/>
  <c r="N136" i="8"/>
  <c r="Q71" i="8"/>
  <c r="Q4" i="9"/>
  <c r="R119" i="9" s="1"/>
  <c r="N30" i="8"/>
  <c r="N121" i="8"/>
  <c r="O28" i="8"/>
  <c r="N84" i="8"/>
  <c r="N168" i="8"/>
  <c r="N213" i="8" s="1"/>
  <c r="M33" i="8"/>
  <c r="M36" i="8" s="1"/>
  <c r="M42" i="8"/>
  <c r="M105" i="8" s="1"/>
  <c r="O25" i="17" a="1"/>
  <c r="I150" i="8"/>
  <c r="O24" i="17" a="1"/>
  <c r="Q61" i="11"/>
  <c r="O27" i="17" a="1"/>
  <c r="O26" i="17" a="1"/>
  <c r="O26" i="17" l="1"/>
  <c r="O27" i="17"/>
  <c r="O25" i="17"/>
  <c r="O24" i="17"/>
  <c r="I257" i="8"/>
  <c r="I261" i="8" s="1"/>
  <c r="H261" i="8"/>
  <c r="J130" i="8"/>
  <c r="H63" i="8"/>
  <c r="L79" i="8"/>
  <c r="M79" i="8" s="1"/>
  <c r="K216" i="8"/>
  <c r="Q125" i="8"/>
  <c r="P125" i="8"/>
  <c r="O110" i="8"/>
  <c r="I9" i="8"/>
  <c r="L9" i="8" s="1"/>
  <c r="Z9" i="8"/>
  <c r="P195" i="8"/>
  <c r="G28" i="19"/>
  <c r="R66" i="9"/>
  <c r="R204" i="8"/>
  <c r="R118" i="9"/>
  <c r="R117" i="9"/>
  <c r="B97" i="17"/>
  <c r="R120" i="9"/>
  <c r="R122" i="9"/>
  <c r="R121" i="9"/>
  <c r="I4" i="17"/>
  <c r="E4" i="17"/>
  <c r="N56" i="8"/>
  <c r="M173" i="8"/>
  <c r="M37" i="8"/>
  <c r="R112" i="9"/>
  <c r="R115" i="9"/>
  <c r="R116" i="9"/>
  <c r="R114" i="9"/>
  <c r="O136" i="8"/>
  <c r="N42" i="8"/>
  <c r="N105" i="8" s="1"/>
  <c r="N33" i="8"/>
  <c r="R4" i="9"/>
  <c r="R30" i="9"/>
  <c r="R64" i="9"/>
  <c r="R26" i="9"/>
  <c r="R28" i="9"/>
  <c r="R32" i="9"/>
  <c r="R38" i="9"/>
  <c r="R39" i="9"/>
  <c r="O121" i="8"/>
  <c r="P28" i="8"/>
  <c r="O84" i="8"/>
  <c r="O168" i="8"/>
  <c r="O213" i="8" s="1"/>
  <c r="O30" i="8"/>
  <c r="R43" i="11"/>
  <c r="K130" i="8" l="1"/>
  <c r="N79" i="8"/>
  <c r="N216" i="8" s="1"/>
  <c r="M216" i="8"/>
  <c r="L216" i="8"/>
  <c r="Q110" i="8"/>
  <c r="P110" i="8"/>
  <c r="C12" i="8"/>
  <c r="F9" i="8"/>
  <c r="Z10" i="8"/>
  <c r="Q195" i="8"/>
  <c r="O56" i="8"/>
  <c r="N173" i="8"/>
  <c r="N36" i="8"/>
  <c r="E97" i="8"/>
  <c r="H97" i="8" s="1"/>
  <c r="E40" i="8"/>
  <c r="H40" i="8" s="1"/>
  <c r="E43" i="8"/>
  <c r="E170" i="8"/>
  <c r="E177" i="8"/>
  <c r="E91" i="8"/>
  <c r="H91" i="8" s="1"/>
  <c r="E114" i="8"/>
  <c r="F31" i="8"/>
  <c r="F171" i="8" s="1"/>
  <c r="P136" i="8"/>
  <c r="P30" i="8"/>
  <c r="O33" i="8"/>
  <c r="O36" i="8" s="1"/>
  <c r="O42" i="8"/>
  <c r="O105" i="8" s="1"/>
  <c r="P168" i="8"/>
  <c r="P213" i="8" s="1"/>
  <c r="Q28" i="8"/>
  <c r="P84" i="8"/>
  <c r="P121" i="8"/>
  <c r="O79" i="8" l="1"/>
  <c r="O216" i="8" s="1"/>
  <c r="L130" i="8"/>
  <c r="I91" i="8"/>
  <c r="J91" i="8" s="1"/>
  <c r="H90" i="8"/>
  <c r="H128" i="8" s="1"/>
  <c r="H132" i="8" s="1"/>
  <c r="I40" i="8"/>
  <c r="J40" i="8" s="1"/>
  <c r="I97" i="8"/>
  <c r="J97" i="8" s="1"/>
  <c r="Z11" i="8"/>
  <c r="O173" i="8"/>
  <c r="P56" i="8"/>
  <c r="O37" i="8"/>
  <c r="N37" i="8"/>
  <c r="Q136" i="8"/>
  <c r="Q30" i="8"/>
  <c r="P33" i="8"/>
  <c r="P36" i="8" s="1"/>
  <c r="P42" i="8"/>
  <c r="P105" i="8" s="1"/>
  <c r="P173" i="8"/>
  <c r="Q168" i="8"/>
  <c r="Q213" i="8" s="1"/>
  <c r="Q84" i="8"/>
  <c r="Q121" i="8"/>
  <c r="Q22" i="11"/>
  <c r="P79" i="8" l="1"/>
  <c r="M130" i="8"/>
  <c r="J90" i="8"/>
  <c r="K91" i="8"/>
  <c r="K90" i="8" s="1"/>
  <c r="K97" i="8"/>
  <c r="L97" i="8" s="1"/>
  <c r="K40" i="8"/>
  <c r="L40" i="8" s="1"/>
  <c r="I90" i="8"/>
  <c r="I128" i="8" s="1"/>
  <c r="L91" i="8"/>
  <c r="Z12" i="8"/>
  <c r="Q56" i="8"/>
  <c r="P37" i="8"/>
  <c r="Q33" i="8"/>
  <c r="Q42" i="8"/>
  <c r="Q105" i="8" s="1"/>
  <c r="Q58" i="11"/>
  <c r="Q57" i="11"/>
  <c r="Q60" i="11"/>
  <c r="Q63" i="11"/>
  <c r="Q32" i="19"/>
  <c r="R33" i="11"/>
  <c r="Q62" i="11"/>
  <c r="Q33" i="11"/>
  <c r="Q55" i="11"/>
  <c r="Q36" i="11" l="1"/>
  <c r="R36" i="11"/>
  <c r="Q79" i="8"/>
  <c r="Q216" i="8" s="1"/>
  <c r="P216" i="8"/>
  <c r="M40" i="8"/>
  <c r="N40" i="8" s="1"/>
  <c r="N130" i="8"/>
  <c r="O130" i="8" s="1"/>
  <c r="M97" i="8"/>
  <c r="N97" i="8" s="1"/>
  <c r="L90" i="8"/>
  <c r="L128" i="8" s="1"/>
  <c r="K128" i="8"/>
  <c r="M91" i="8"/>
  <c r="J128" i="8"/>
  <c r="Q173" i="8"/>
  <c r="E16" i="27"/>
  <c r="Z13" i="8"/>
  <c r="H236" i="8"/>
  <c r="H48" i="8"/>
  <c r="H230" i="8"/>
  <c r="Q36" i="8"/>
  <c r="Q49" i="19"/>
  <c r="R22" i="11"/>
  <c r="R41" i="19"/>
  <c r="Q41" i="19"/>
  <c r="Q18" i="11"/>
  <c r="Q50" i="11"/>
  <c r="O40" i="8" l="1"/>
  <c r="P40" i="8" s="1"/>
  <c r="P130" i="8"/>
  <c r="Q130" i="8" s="1"/>
  <c r="O97" i="8"/>
  <c r="P97" i="8" s="1"/>
  <c r="Q97" i="8" s="1"/>
  <c r="N91" i="8"/>
  <c r="N90" i="8" s="1"/>
  <c r="M90" i="8"/>
  <c r="M128" i="8" s="1"/>
  <c r="F16" i="27"/>
  <c r="D16" i="27"/>
  <c r="Z14" i="8"/>
  <c r="I186" i="8"/>
  <c r="H186" i="8"/>
  <c r="I48" i="8"/>
  <c r="H60" i="8"/>
  <c r="J48" i="8"/>
  <c r="Q37" i="8"/>
  <c r="R18" i="11"/>
  <c r="Q55" i="19"/>
  <c r="Q29" i="19"/>
  <c r="R32" i="19"/>
  <c r="R49" i="19"/>
  <c r="R50" i="11"/>
  <c r="Q40" i="8" l="1"/>
  <c r="O91" i="8"/>
  <c r="O90" i="8" s="1"/>
  <c r="O128" i="8" s="1"/>
  <c r="N128" i="8"/>
  <c r="F29" i="19"/>
  <c r="I236" i="8"/>
  <c r="H179" i="8"/>
  <c r="J186" i="8"/>
  <c r="J236" i="8"/>
  <c r="K48" i="8"/>
  <c r="R29" i="19"/>
  <c r="R55" i="19"/>
  <c r="Q19" i="11"/>
  <c r="P91" i="8" l="1"/>
  <c r="Q91" i="8" s="1"/>
  <c r="Q90" i="8" s="1"/>
  <c r="H178" i="8"/>
  <c r="H180" i="8"/>
  <c r="H82" i="8"/>
  <c r="H232" i="8"/>
  <c r="K186" i="8"/>
  <c r="K236" i="8"/>
  <c r="L48" i="8"/>
  <c r="Q23" i="11"/>
  <c r="Q30" i="19"/>
  <c r="P90" i="8" l="1"/>
  <c r="P128" i="8" s="1"/>
  <c r="Q220" i="8"/>
  <c r="Q221" i="8" s="1"/>
  <c r="L186" i="8"/>
  <c r="L236" i="8"/>
  <c r="M48" i="8"/>
  <c r="Q33" i="19"/>
  <c r="Q128" i="8" l="1"/>
  <c r="AA10" i="8"/>
  <c r="M186" i="8"/>
  <c r="M236" i="8"/>
  <c r="N48" i="8"/>
  <c r="N186" i="8" l="1"/>
  <c r="N236" i="8"/>
  <c r="O48" i="8"/>
  <c r="O186" i="8" l="1"/>
  <c r="O236" i="8"/>
  <c r="P48" i="8"/>
  <c r="Q48" i="8"/>
  <c r="Q186" i="8" l="1"/>
  <c r="Q236" i="8"/>
  <c r="P186" i="8"/>
  <c r="P236" i="8"/>
  <c r="G60" i="9" l="1"/>
  <c r="K60" i="9"/>
  <c r="H60" i="9"/>
  <c r="L60" i="9"/>
  <c r="O60" i="9"/>
  <c r="J60" i="9"/>
  <c r="N60" i="9"/>
  <c r="P60" i="9"/>
  <c r="M60" i="9"/>
  <c r="Q60" i="9"/>
  <c r="I60" i="9"/>
  <c r="G80" i="9"/>
  <c r="H80" i="9"/>
  <c r="I80" i="9"/>
  <c r="J80" i="9"/>
  <c r="K80" i="9"/>
  <c r="L80" i="9"/>
  <c r="N80" i="9"/>
  <c r="O80" i="9"/>
  <c r="P80" i="9"/>
  <c r="Q80" i="9"/>
  <c r="G61" i="9" l="1"/>
  <c r="I61" i="9"/>
  <c r="O61" i="9"/>
  <c r="N61" i="9"/>
  <c r="J61" i="9"/>
  <c r="Q61" i="9"/>
  <c r="AF9" i="8"/>
  <c r="AG9" i="8" s="1"/>
  <c r="AF10" i="8"/>
  <c r="H61" i="9"/>
  <c r="L61" i="9"/>
  <c r="M61" i="9"/>
  <c r="P61" i="9"/>
  <c r="K61" i="9"/>
  <c r="Q85" i="9"/>
  <c r="P85" i="9"/>
  <c r="O85" i="9"/>
  <c r="N85" i="9"/>
  <c r="M85" i="9"/>
  <c r="L85" i="9"/>
  <c r="K85" i="9"/>
  <c r="J85" i="9"/>
  <c r="I85" i="9"/>
  <c r="H85" i="9"/>
  <c r="G141" i="8"/>
  <c r="F141" i="8"/>
  <c r="E141" i="8"/>
  <c r="E143" i="8"/>
  <c r="G143" i="8"/>
  <c r="F143" i="8"/>
  <c r="D122" i="17"/>
  <c r="H143" i="8" l="1"/>
  <c r="I143" i="8" s="1"/>
  <c r="D36" i="17"/>
  <c r="O36" i="17" s="1"/>
  <c r="D35" i="17"/>
  <c r="O35" i="17" s="1"/>
  <c r="I29" i="19"/>
  <c r="O75" i="17"/>
  <c r="H190" i="8"/>
  <c r="Q51" i="11"/>
  <c r="H145" i="8" l="1"/>
  <c r="H165" i="8" s="1"/>
  <c r="J143" i="8"/>
  <c r="K143" i="8" s="1"/>
  <c r="H240" i="8"/>
  <c r="Q59" i="11"/>
  <c r="Q56" i="19"/>
  <c r="Q50" i="19"/>
  <c r="Q51" i="19"/>
  <c r="L143" i="8" l="1"/>
  <c r="I134" i="8"/>
  <c r="Q56" i="11"/>
  <c r="R51" i="11"/>
  <c r="Q64" i="11"/>
  <c r="I30" i="19" l="1"/>
  <c r="I145" i="8"/>
  <c r="M143" i="8"/>
  <c r="I100" i="8"/>
  <c r="I190" i="8"/>
  <c r="I240" i="8" s="1"/>
  <c r="I230" i="8"/>
  <c r="R44" i="11"/>
  <c r="R56" i="19"/>
  <c r="N143" i="8" l="1"/>
  <c r="O143" i="8" s="1"/>
  <c r="I99" i="8"/>
  <c r="J138" i="8"/>
  <c r="J134" i="8" s="1"/>
  <c r="J145" i="8" s="1"/>
  <c r="J53" i="8"/>
  <c r="J50" i="8" s="1"/>
  <c r="I123" i="8"/>
  <c r="I132" i="8" s="1"/>
  <c r="I60" i="8"/>
  <c r="R50" i="19"/>
  <c r="R59" i="11"/>
  <c r="R51" i="19"/>
  <c r="J51" i="8" l="1"/>
  <c r="P143" i="8"/>
  <c r="Q143" i="8" s="1"/>
  <c r="J103" i="8"/>
  <c r="J100" i="8"/>
  <c r="I31" i="19"/>
  <c r="J59" i="8"/>
  <c r="J230" i="8" s="1"/>
  <c r="J190" i="8"/>
  <c r="J240" i="8" s="1"/>
  <c r="F30" i="19"/>
  <c r="I179" i="8"/>
  <c r="J123" i="8"/>
  <c r="I234" i="8"/>
  <c r="I184" i="8"/>
  <c r="R58" i="11"/>
  <c r="R19" i="11"/>
  <c r="R63" i="11"/>
  <c r="R57" i="11"/>
  <c r="R55" i="11"/>
  <c r="J78" i="8" l="1"/>
  <c r="J99" i="8"/>
  <c r="K138" i="8"/>
  <c r="K134" i="8" s="1"/>
  <c r="J60" i="8"/>
  <c r="F31" i="19" s="1"/>
  <c r="J76" i="8"/>
  <c r="K53" i="8"/>
  <c r="K50" i="8" s="1"/>
  <c r="I178" i="8"/>
  <c r="I180" i="8"/>
  <c r="L198" i="8"/>
  <c r="I82" i="8"/>
  <c r="I232" i="8"/>
  <c r="J184" i="8"/>
  <c r="J234" i="8"/>
  <c r="R23" i="11"/>
  <c r="R30" i="19"/>
  <c r="K51" i="8" l="1"/>
  <c r="J81" i="8"/>
  <c r="K100" i="8"/>
  <c r="L138" i="8" s="1"/>
  <c r="K145" i="8"/>
  <c r="J179" i="8"/>
  <c r="J180" i="8" s="1"/>
  <c r="K103" i="8"/>
  <c r="K190" i="8"/>
  <c r="K240" i="8" s="1"/>
  <c r="K59" i="8"/>
  <c r="K78" i="8" s="1"/>
  <c r="I32" i="19"/>
  <c r="F6" i="27"/>
  <c r="L199" i="8"/>
  <c r="R33" i="19"/>
  <c r="J150" i="8"/>
  <c r="J257" i="8" l="1"/>
  <c r="J261" i="8" s="1"/>
  <c r="J178" i="8"/>
  <c r="J132" i="8"/>
  <c r="J232" i="8"/>
  <c r="J82" i="8"/>
  <c r="K99" i="8"/>
  <c r="L53" i="8"/>
  <c r="L50" i="8" s="1"/>
  <c r="L59" i="8" s="1"/>
  <c r="K76" i="8"/>
  <c r="K81" i="8" s="1"/>
  <c r="K230" i="8"/>
  <c r="L134" i="8"/>
  <c r="I33" i="19" s="1"/>
  <c r="H6" i="27"/>
  <c r="G6" i="27"/>
  <c r="D6" i="27"/>
  <c r="E6" i="27"/>
  <c r="AA11" i="8"/>
  <c r="K123" i="8"/>
  <c r="K60" i="8"/>
  <c r="K150" i="8"/>
  <c r="K257" i="8" l="1"/>
  <c r="K261" i="8" s="1"/>
  <c r="L103" i="8"/>
  <c r="L51" i="8"/>
  <c r="L100" i="8"/>
  <c r="M138" i="8" s="1"/>
  <c r="L145" i="8"/>
  <c r="L190" i="8"/>
  <c r="L240" i="8" s="1"/>
  <c r="K132" i="8"/>
  <c r="L76" i="8"/>
  <c r="L78" i="8"/>
  <c r="F32" i="19"/>
  <c r="AA12" i="8"/>
  <c r="K179" i="8"/>
  <c r="K184" i="8"/>
  <c r="K234" i="8"/>
  <c r="K82" i="8"/>
  <c r="M53" i="8" l="1"/>
  <c r="M50" i="8" s="1"/>
  <c r="M59" i="8" s="1"/>
  <c r="M134" i="8"/>
  <c r="L81" i="8"/>
  <c r="K178" i="8"/>
  <c r="K180" i="8"/>
  <c r="K232" i="8"/>
  <c r="L230" i="8"/>
  <c r="L99" i="8"/>
  <c r="L150" i="8"/>
  <c r="L257" i="8" l="1"/>
  <c r="L261" i="8" s="1"/>
  <c r="M51" i="8"/>
  <c r="M103" i="8"/>
  <c r="M100" i="8"/>
  <c r="N138" i="8" s="1"/>
  <c r="M145" i="8"/>
  <c r="M190" i="8"/>
  <c r="M240" i="8" s="1"/>
  <c r="M76" i="8"/>
  <c r="M78" i="8"/>
  <c r="L123" i="8"/>
  <c r="L132" i="8" s="1"/>
  <c r="L60" i="8"/>
  <c r="N53" i="8" l="1"/>
  <c r="N50" i="8" s="1"/>
  <c r="N59" i="8" s="1"/>
  <c r="N134" i="8"/>
  <c r="M81" i="8"/>
  <c r="F33" i="19"/>
  <c r="AA13" i="8"/>
  <c r="L179" i="8"/>
  <c r="L184" i="8"/>
  <c r="L234" i="8"/>
  <c r="L82" i="8"/>
  <c r="M150" i="8"/>
  <c r="M257" i="8" l="1"/>
  <c r="M261" i="8" s="1"/>
  <c r="N103" i="8"/>
  <c r="N100" i="8"/>
  <c r="O138" i="8" s="1"/>
  <c r="N145" i="8"/>
  <c r="N190" i="8"/>
  <c r="N240" i="8" s="1"/>
  <c r="N76" i="8"/>
  <c r="N78" i="8"/>
  <c r="L178" i="8"/>
  <c r="L180" i="8"/>
  <c r="L232" i="8"/>
  <c r="M230" i="8"/>
  <c r="M99" i="8"/>
  <c r="N51" i="8" s="1"/>
  <c r="O53" i="8" l="1"/>
  <c r="O50" i="8" s="1"/>
  <c r="O59" i="8" s="1"/>
  <c r="O134" i="8"/>
  <c r="N81" i="8"/>
  <c r="M123" i="8"/>
  <c r="M132" i="8" s="1"/>
  <c r="M60" i="8"/>
  <c r="M179" i="8" s="1"/>
  <c r="N150" i="8"/>
  <c r="N257" i="8" l="1"/>
  <c r="N261" i="8" s="1"/>
  <c r="O103" i="8"/>
  <c r="O100" i="8"/>
  <c r="P138" i="8" s="1"/>
  <c r="O145" i="8"/>
  <c r="O190" i="8"/>
  <c r="O240" i="8" s="1"/>
  <c r="O78" i="8"/>
  <c r="O76" i="8"/>
  <c r="M178" i="8"/>
  <c r="M180" i="8"/>
  <c r="AA14" i="8"/>
  <c r="M234" i="8"/>
  <c r="M184" i="8"/>
  <c r="M82" i="8"/>
  <c r="P53" i="8" l="1"/>
  <c r="P50" i="8" s="1"/>
  <c r="P59" i="8" s="1"/>
  <c r="P134" i="8"/>
  <c r="O81" i="8"/>
  <c r="M232" i="8"/>
  <c r="N230" i="8"/>
  <c r="N99" i="8"/>
  <c r="O51" i="8" s="1"/>
  <c r="O150" i="8"/>
  <c r="O257" i="8" l="1"/>
  <c r="O261" i="8" s="1"/>
  <c r="P100" i="8"/>
  <c r="Q138" i="8" s="1"/>
  <c r="P145" i="8"/>
  <c r="P103" i="8"/>
  <c r="P190" i="8"/>
  <c r="P240" i="8" s="1"/>
  <c r="P78" i="8"/>
  <c r="P76" i="8"/>
  <c r="N123" i="8"/>
  <c r="N132" i="8" s="1"/>
  <c r="N60" i="8"/>
  <c r="N179" i="8" s="1"/>
  <c r="Q53" i="8" l="1"/>
  <c r="Q50" i="8" s="1"/>
  <c r="Q59" i="8" s="1"/>
  <c r="Q134" i="8"/>
  <c r="P81" i="8"/>
  <c r="N178" i="8"/>
  <c r="N180" i="8"/>
  <c r="N234" i="8"/>
  <c r="N184" i="8"/>
  <c r="N82" i="8"/>
  <c r="P150" i="8"/>
  <c r="P257" i="8" l="1"/>
  <c r="P261" i="8" s="1"/>
  <c r="Q103" i="8"/>
  <c r="Q100" i="8"/>
  <c r="Q145" i="8"/>
  <c r="Q190" i="8"/>
  <c r="Q240" i="8" s="1"/>
  <c r="Q78" i="8"/>
  <c r="Q76" i="8"/>
  <c r="N232" i="8"/>
  <c r="O230" i="8"/>
  <c r="O99" i="8"/>
  <c r="P51" i="8" s="1"/>
  <c r="Q81" i="8" l="1"/>
  <c r="O123" i="8"/>
  <c r="O132" i="8" s="1"/>
  <c r="O60" i="8"/>
  <c r="O179" i="8" s="1"/>
  <c r="Q150" i="8"/>
  <c r="Q257" i="8" l="1"/>
  <c r="Q261" i="8" s="1"/>
  <c r="Q263" i="8" s="1"/>
  <c r="Q264" i="8" s="1"/>
  <c r="Q267" i="8" s="1"/>
  <c r="Q269" i="8" s="1"/>
  <c r="O178" i="8"/>
  <c r="O180" i="8"/>
  <c r="O234" i="8"/>
  <c r="O184" i="8"/>
  <c r="O82" i="8"/>
  <c r="O232" i="8" l="1"/>
  <c r="P230" i="8"/>
  <c r="P99" i="8"/>
  <c r="Q51" i="8" s="1"/>
  <c r="P123" i="8" l="1"/>
  <c r="P132" i="8" s="1"/>
  <c r="P60" i="8"/>
  <c r="P179" i="8" s="1"/>
  <c r="P178" i="8" l="1"/>
  <c r="P180" i="8"/>
  <c r="P234" i="8"/>
  <c r="P184" i="8"/>
  <c r="P82" i="8"/>
  <c r="P232" i="8" l="1"/>
  <c r="Q230" i="8"/>
  <c r="Q99" i="8"/>
  <c r="Q123" i="8" l="1"/>
  <c r="Q132" i="8" s="1"/>
  <c r="Q60" i="8"/>
  <c r="Q179" i="8" l="1"/>
  <c r="C18" i="27"/>
  <c r="Q234" i="8"/>
  <c r="Q184" i="8"/>
  <c r="Q82" i="8"/>
  <c r="Q178" i="8" l="1"/>
  <c r="Q180" i="8"/>
  <c r="C19" i="27"/>
  <c r="C17" i="27"/>
  <c r="Q232" i="8"/>
  <c r="R49" i="11"/>
  <c r="H188" i="8" l="1"/>
  <c r="H238" i="8" s="1"/>
  <c r="J114" i="8"/>
  <c r="K114" i="8"/>
  <c r="L114" i="8"/>
  <c r="M114" i="8"/>
  <c r="N114" i="8"/>
  <c r="O114" i="8"/>
  <c r="P114" i="8"/>
  <c r="I114" i="8"/>
  <c r="Q114" i="8"/>
  <c r="R54" i="19"/>
  <c r="H244" i="8" l="1"/>
  <c r="I158" i="8" s="1"/>
  <c r="Q188" i="8"/>
  <c r="L188" i="8"/>
  <c r="K188" i="8"/>
  <c r="J188" i="8"/>
  <c r="P188" i="8"/>
  <c r="O188" i="8"/>
  <c r="N188" i="8"/>
  <c r="I188" i="8"/>
  <c r="M188" i="8"/>
  <c r="H88" i="8"/>
  <c r="Q265" i="8"/>
  <c r="Q42" i="19"/>
  <c r="R42" i="19"/>
  <c r="H245" i="8" l="1"/>
  <c r="I156" i="8"/>
  <c r="Y10" i="8"/>
  <c r="Q238" i="8"/>
  <c r="J238" i="8"/>
  <c r="K238" i="8"/>
  <c r="P238" i="8"/>
  <c r="M238" i="8"/>
  <c r="L238" i="8"/>
  <c r="N238" i="8"/>
  <c r="O238" i="8"/>
  <c r="I238" i="8"/>
  <c r="R60" i="11"/>
  <c r="R61" i="11"/>
  <c r="R45" i="11"/>
  <c r="Q43" i="19"/>
  <c r="Q27" i="11"/>
  <c r="Q28" i="11"/>
  <c r="I116" i="8" l="1"/>
  <c r="I63" i="8" s="1"/>
  <c r="I242" i="8"/>
  <c r="I244" i="8" s="1"/>
  <c r="J158" i="8" s="1"/>
  <c r="I163" i="8"/>
  <c r="I165" i="8" s="1"/>
  <c r="AD10" i="8"/>
  <c r="R201" i="8"/>
  <c r="AI10" i="8"/>
  <c r="AE10" i="8"/>
  <c r="Q37" i="19"/>
  <c r="Q36" i="19"/>
  <c r="AF11" i="8" l="1"/>
  <c r="AC11" i="8"/>
  <c r="S204" i="8"/>
  <c r="AG10" i="8"/>
  <c r="Y11" i="8"/>
  <c r="J156" i="8"/>
  <c r="I88" i="8"/>
  <c r="I245" i="8"/>
  <c r="R62" i="11"/>
  <c r="Q42" i="11"/>
  <c r="R56" i="11"/>
  <c r="R64" i="11"/>
  <c r="Q9" i="11"/>
  <c r="R29" i="11"/>
  <c r="Q8" i="11"/>
  <c r="Q15" i="11"/>
  <c r="R9" i="11"/>
  <c r="R8" i="11"/>
  <c r="Q6" i="11"/>
  <c r="R15" i="11"/>
  <c r="R6" i="11"/>
  <c r="R42" i="11"/>
  <c r="Q29" i="11"/>
  <c r="J163" i="8" l="1"/>
  <c r="J165" i="8" s="1"/>
  <c r="J242" i="8"/>
  <c r="J244" i="8" s="1"/>
  <c r="K158" i="8" s="1"/>
  <c r="J116" i="8"/>
  <c r="AE11" i="8"/>
  <c r="AI11" i="8"/>
  <c r="S201" i="8"/>
  <c r="AD11" i="8"/>
  <c r="Q20" i="19"/>
  <c r="R28" i="11"/>
  <c r="Q7" i="11"/>
  <c r="R41" i="11"/>
  <c r="R43" i="19"/>
  <c r="R16" i="11"/>
  <c r="R20" i="19"/>
  <c r="Q11" i="11"/>
  <c r="Q21" i="19"/>
  <c r="Q38" i="19"/>
  <c r="Q41" i="11"/>
  <c r="Q16" i="11"/>
  <c r="Q40" i="11"/>
  <c r="Q18" i="19"/>
  <c r="Q48" i="19"/>
  <c r="R38" i="19"/>
  <c r="Q17" i="11"/>
  <c r="Q10" i="11"/>
  <c r="Q26" i="19"/>
  <c r="R40" i="11"/>
  <c r="R17" i="11"/>
  <c r="R18" i="19"/>
  <c r="R21" i="19"/>
  <c r="R48" i="19"/>
  <c r="R27" i="11"/>
  <c r="Y12" i="8" l="1"/>
  <c r="K156" i="8"/>
  <c r="J63" i="8"/>
  <c r="AG11" i="8"/>
  <c r="J88" i="8"/>
  <c r="AC12" i="8"/>
  <c r="J245" i="8"/>
  <c r="R37" i="19"/>
  <c r="Q27" i="19"/>
  <c r="Q47" i="19"/>
  <c r="Q28" i="19"/>
  <c r="R7" i="11"/>
  <c r="Q23" i="19"/>
  <c r="R11" i="11"/>
  <c r="R28" i="19"/>
  <c r="R36" i="19"/>
  <c r="R26" i="19"/>
  <c r="R10" i="11"/>
  <c r="R47" i="19"/>
  <c r="Q22" i="19"/>
  <c r="Q46" i="19"/>
  <c r="Q19" i="19"/>
  <c r="K163" i="8" l="1"/>
  <c r="K165" i="8" s="1"/>
  <c r="K242" i="8"/>
  <c r="K116" i="8"/>
  <c r="R46" i="19"/>
  <c r="R19" i="19"/>
  <c r="R27" i="19"/>
  <c r="R22" i="19"/>
  <c r="R23" i="19"/>
  <c r="AC13" i="8" l="1"/>
  <c r="K244" i="8"/>
  <c r="L158" i="8" s="1"/>
  <c r="K63" i="8"/>
  <c r="K88" i="8"/>
  <c r="AD12" i="8"/>
  <c r="Y13" i="8" l="1"/>
  <c r="L156" i="8"/>
  <c r="K245" i="8"/>
  <c r="L163" i="8" l="1"/>
  <c r="L165" i="8" s="1"/>
  <c r="L242" i="8"/>
  <c r="L244" i="8" s="1"/>
  <c r="L116" i="8"/>
  <c r="AD13" i="8"/>
  <c r="AC14" i="8" l="1"/>
  <c r="L63" i="8"/>
  <c r="L88" i="8"/>
  <c r="M158" i="8"/>
  <c r="Y14" i="8" l="1"/>
  <c r="M156" i="8"/>
  <c r="M242" i="8" s="1"/>
  <c r="M244" i="8" s="1"/>
  <c r="L245" i="8"/>
  <c r="M116" i="8" l="1"/>
  <c r="M163" i="8"/>
  <c r="M165" i="8" s="1"/>
  <c r="AD14" i="8"/>
  <c r="N156" i="8" l="1"/>
  <c r="N158" i="8"/>
  <c r="M63" i="8"/>
  <c r="M88" i="8"/>
  <c r="M245" i="8"/>
  <c r="N163" i="8" l="1"/>
  <c r="N165" i="8" s="1"/>
  <c r="N242" i="8"/>
  <c r="N244" i="8" s="1"/>
  <c r="N116" i="8"/>
  <c r="N63" i="8" s="1"/>
  <c r="O156" i="8" l="1"/>
  <c r="O158" i="8"/>
  <c r="N88" i="8"/>
  <c r="N245" i="8"/>
  <c r="O242" i="8" l="1"/>
  <c r="O244" i="8" s="1"/>
  <c r="P158" i="8" s="1"/>
  <c r="O163" i="8"/>
  <c r="O165" i="8" s="1"/>
  <c r="O88" i="8" s="1"/>
  <c r="O116" i="8"/>
  <c r="O245" i="8" l="1"/>
  <c r="P156" i="8"/>
  <c r="O63" i="8"/>
  <c r="P163" i="8" l="1"/>
  <c r="P165" i="8" s="1"/>
  <c r="P242" i="8"/>
  <c r="P244" i="8" s="1"/>
  <c r="P116" i="8"/>
  <c r="Q156" i="8" l="1"/>
  <c r="Q158" i="8"/>
  <c r="P63" i="8"/>
  <c r="P88" i="8"/>
  <c r="P245" i="8"/>
  <c r="Q163" i="8" l="1"/>
  <c r="Q165" i="8" s="1"/>
  <c r="Q242" i="8"/>
  <c r="Q116" i="8"/>
  <c r="Q63" i="8" s="1"/>
  <c r="Q244" i="8" l="1"/>
  <c r="Q247" i="8" s="1"/>
  <c r="Q248" i="8" s="1"/>
  <c r="Q88" i="8"/>
  <c r="Q245" i="8" l="1"/>
  <c r="Q249" i="8" s="1"/>
  <c r="Q251" i="8" l="1"/>
  <c r="Q253" i="8" s="1"/>
  <c r="G38" i="3"/>
  <c r="I38" i="3" s="1"/>
  <c r="G37" i="3"/>
  <c r="I37" i="3" s="1"/>
  <c r="G36" i="3"/>
  <c r="I36" i="3" s="1"/>
  <c r="G35" i="3"/>
  <c r="I35" i="3" s="1"/>
  <c r="G34" i="3"/>
  <c r="I34" i="3" s="1"/>
  <c r="G33" i="3"/>
  <c r="I33" i="3" s="1"/>
  <c r="G32" i="3"/>
  <c r="I32" i="3" s="1"/>
  <c r="G31" i="3"/>
  <c r="I31" i="3" s="1"/>
  <c r="G30" i="3"/>
  <c r="I30" i="3" s="1"/>
  <c r="G29" i="3"/>
  <c r="I29" i="3" l="1"/>
  <c r="G39" i="3"/>
  <c r="I39" i="3" s="1"/>
  <c r="U10" i="19"/>
  <c r="AO295" i="8"/>
  <c r="AO285" i="8"/>
  <c r="I215" i="8"/>
  <c r="I193" i="8"/>
  <c r="J193" i="8"/>
  <c r="J215" i="8"/>
  <c r="U193" i="8"/>
  <c r="U192" i="8"/>
  <c r="AB14" i="8"/>
  <c r="H33" i="19"/>
  <c r="K193" i="8"/>
  <c r="V193" i="8"/>
  <c r="V192" i="8"/>
  <c r="K215" i="8"/>
  <c r="Q199" i="8"/>
  <c r="R199" i="8"/>
  <c r="M171" i="8"/>
  <c r="AB10" i="8"/>
  <c r="H29" i="19"/>
  <c r="K171" i="8"/>
  <c r="O171" i="8"/>
  <c r="X11" i="8"/>
  <c r="G30" i="19"/>
  <c r="P171" i="8"/>
  <c r="AC192" i="8"/>
  <c r="Q215" i="8"/>
  <c r="Q193" i="8"/>
  <c r="AC193" i="8"/>
  <c r="AB12" i="8"/>
  <c r="H31" i="19"/>
  <c r="N171" i="8"/>
  <c r="X193" i="8"/>
  <c r="X192" i="8"/>
  <c r="M193" i="8"/>
  <c r="M215" i="8"/>
  <c r="AB193" i="8"/>
  <c r="P215" i="8"/>
  <c r="P193" i="8"/>
  <c r="P192" i="8"/>
  <c r="AB192" i="8"/>
  <c r="Y192" i="8"/>
  <c r="Y193" i="8"/>
  <c r="N193" i="8"/>
  <c r="N192" i="8"/>
  <c r="N215" i="8"/>
  <c r="J171" i="8"/>
  <c r="H215" i="8"/>
  <c r="Q222" i="8"/>
  <c r="Q223" i="8"/>
  <c r="Q224" i="8"/>
  <c r="Q226" i="8"/>
  <c r="O215" i="8"/>
  <c r="AA193" i="8"/>
  <c r="O193" i="8"/>
  <c r="AA192" i="8"/>
  <c r="W193" i="8"/>
  <c r="W192" i="8"/>
  <c r="L193" i="8"/>
  <c r="L215" i="8"/>
  <c r="Q205" i="8"/>
  <c r="Q208" i="8"/>
  <c r="Q211" i="8"/>
  <c r="U11" i="19"/>
  <c r="L171" i="8"/>
  <c r="I192" i="8"/>
  <c r="T193" i="8"/>
  <c r="R200" i="8"/>
  <c r="R205" i="8"/>
  <c r="AB13" i="8"/>
  <c r="H32" i="19"/>
  <c r="I171" i="8"/>
  <c r="P177" i="8"/>
  <c r="P176" i="8"/>
  <c r="P182" i="8"/>
  <c r="J177" i="8"/>
  <c r="J176" i="8"/>
  <c r="J182" i="8"/>
  <c r="J192" i="8"/>
  <c r="X12" i="8"/>
  <c r="G31" i="19"/>
  <c r="Q198" i="8"/>
  <c r="S199" i="8"/>
  <c r="S200" i="8"/>
  <c r="S205" i="8"/>
  <c r="Q170" i="8"/>
  <c r="X10" i="8"/>
  <c r="G29" i="19"/>
  <c r="M177" i="8"/>
  <c r="M176" i="8"/>
  <c r="M182" i="8"/>
  <c r="M192" i="8"/>
  <c r="H192" i="8"/>
  <c r="H193" i="8"/>
  <c r="Q200" i="8"/>
  <c r="L177" i="8"/>
  <c r="L176" i="8"/>
  <c r="L182" i="8"/>
  <c r="L192" i="8"/>
  <c r="X14" i="8"/>
  <c r="G33" i="19"/>
  <c r="I177" i="8"/>
  <c r="I176" i="8"/>
  <c r="I182" i="8"/>
  <c r="AB11" i="8"/>
  <c r="H30" i="19"/>
  <c r="H177" i="8"/>
  <c r="H176" i="8"/>
  <c r="H182" i="8"/>
  <c r="K177" i="8"/>
  <c r="K176" i="8"/>
  <c r="K182" i="8"/>
  <c r="K192" i="8"/>
  <c r="X13" i="8"/>
  <c r="G32" i="19"/>
  <c r="O182" i="8"/>
  <c r="O192" i="8"/>
  <c r="Q177" i="8"/>
  <c r="Q176" i="8"/>
  <c r="Q182" i="8"/>
  <c r="Q192" i="8"/>
  <c r="Q218" i="8"/>
  <c r="Q219" i="8"/>
  <c r="Q171" i="8"/>
  <c r="O177" i="8"/>
  <c r="O176" i="8"/>
  <c r="H171" i="8"/>
  <c r="H170" i="8"/>
  <c r="I170" i="8"/>
  <c r="J170" i="8"/>
  <c r="K170" i="8"/>
  <c r="L170" i="8"/>
  <c r="M170" i="8"/>
  <c r="N170" i="8"/>
  <c r="O170" i="8"/>
  <c r="P170" i="8"/>
  <c r="N177" i="8"/>
  <c r="N176" i="8"/>
  <c r="N182" i="8"/>
</calcChain>
</file>

<file path=xl/comments1.xml><?xml version="1.0" encoding="utf-8"?>
<comments xmlns="http://schemas.openxmlformats.org/spreadsheetml/2006/main">
  <authors>
    <author>Raul Vasconcelos</author>
    <author>Raul Vasconcelos da Silva</author>
    <author>tc={CB5C8E83-E3D0-4441-B6E0-D862C650B5F5}</author>
    <author>tc={CE396053-595E-4126-9C71-0875E5897884}</author>
    <author>tc={E2CDF95A-7B2F-4661-BCB3-C007122C6CFD}</author>
    <author>tc={CD092673-94DE-4108-B6AF-FC73424C056A}</author>
    <author>tc={62E50C66-BA1C-4031-B660-F25771E0B7AB}</author>
    <author>tc={9EF6C6D7-5E70-49FE-A672-ED08A0372EC5}</author>
  </authors>
  <commentList>
    <comment ref="B39" authorId="0" shapeId="0">
      <text>
        <r>
          <rPr>
            <b/>
            <sz val="9"/>
            <color indexed="81"/>
            <rFont val="Tahoma"/>
            <family val="2"/>
          </rPr>
          <t>Raul Vasconcelos:</t>
        </r>
        <r>
          <rPr>
            <sz val="9"/>
            <color indexed="81"/>
            <rFont val="Tahoma"/>
            <family val="2"/>
          </rPr>
          <t xml:space="preserve">
Forecast based on historical percentages or growth assumptions</t>
        </r>
      </text>
    </comment>
    <comment ref="B42" authorId="0" shapeId="0">
      <text>
        <r>
          <rPr>
            <b/>
            <sz val="9"/>
            <color indexed="81"/>
            <rFont val="Tahoma"/>
            <family val="2"/>
          </rPr>
          <t>Raul Vasconcelos:</t>
        </r>
        <r>
          <rPr>
            <sz val="9"/>
            <color indexed="81"/>
            <rFont val="Tahoma"/>
            <family val="2"/>
          </rPr>
          <t xml:space="preserve">
Forecast based on company policy, industry trends, or as a percentage of sales</t>
        </r>
      </text>
    </comment>
    <comment ref="B72" authorId="1" shapeId="0">
      <text>
        <r>
          <rPr>
            <sz val="11"/>
            <color theme="1"/>
            <rFont val="Arial"/>
            <family val="2"/>
          </rPr>
          <t>Forecast as % of revenue for maximum simplicity. It is encouraged to build a more complex model using bond yields, exchange rates and exposure to each region (not always necessary)</t>
        </r>
      </text>
    </comment>
    <comment ref="B106" authorId="1" shapeId="0">
      <text>
        <r>
          <rPr>
            <sz val="11"/>
            <color theme="1"/>
            <rFont val="Arial"/>
            <family val="2"/>
          </rPr>
          <t>Growth with R&amp;D or with part of the capex, should find what is the most reliable method for the company</t>
        </r>
      </text>
    </comment>
    <comment ref="B123" authorId="2"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Chipotle does not have any Intangibles in its Balance Sheet, except for Goodwill. Hence Depreciation and Amortization are forecasted only as % of PP&amp;E.</t>
        </r>
      </text>
    </comment>
    <comment ref="B125" authorId="1" shapeId="0">
      <text>
        <r>
          <rPr>
            <sz val="11"/>
            <color theme="1"/>
            <rFont val="Arial"/>
            <family val="2"/>
          </rPr>
          <t xml:space="preserve">Usually part of SG&amp;A expenses, but sometimes can be part of R&amp;D expenses, i.e. tech/engineering companies </t>
        </r>
      </text>
    </comment>
    <comment ref="B136" authorId="3" shapeId="0">
      <text>
        <r>
          <rPr>
            <sz val="11"/>
            <color theme="1"/>
            <rFont val="Arial"/>
            <family val="2"/>
          </rPr>
          <t xml:space="preserve">[Threaded comment]
Your version of Excel allows you to read this threaded comment; however, any edits to it will get removed if the file is opened in a newer version of Excel. Learn more: https://go.microsoft.com/fwlink/?linkid=870924
Comment:
    Forecasted based on net number of stores opening </t>
        </r>
      </text>
    </comment>
    <comment ref="B141" authorId="1" shapeId="0">
      <text>
        <r>
          <rPr>
            <sz val="11"/>
            <color theme="1"/>
            <rFont val="Arial"/>
            <family val="2"/>
          </rPr>
          <t>Forecast separately based on what you find to be the best factor</t>
        </r>
      </text>
    </comment>
    <comment ref="B153" authorId="4"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56" authorId="5"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58" authorId="6"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65" authorId="7"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List>
</comments>
</file>

<file path=xl/comments2.xml><?xml version="1.0" encoding="utf-8"?>
<comments xmlns="http://schemas.openxmlformats.org/spreadsheetml/2006/main">
  <authors>
    <author>Raul Vasconcelos da Silva</author>
    <author>Raul Vasconcelos</author>
  </authors>
  <commentList>
    <comment ref="B7" authorId="0" shapeId="0">
      <text>
        <r>
          <rPr>
            <sz val="11"/>
            <color theme="1"/>
            <rFont val="Arial"/>
            <family val="2"/>
          </rPr>
          <t>Raul Vasconcelos da Silva:
Food, beverage and packaging</t>
        </r>
      </text>
    </comment>
    <comment ref="B50" authorId="1" shapeId="0">
      <text>
        <r>
          <rPr>
            <b/>
            <sz val="9"/>
            <color indexed="81"/>
            <rFont val="Tahoma"/>
            <family val="2"/>
          </rPr>
          <t>Raul Vasconcelos:</t>
        </r>
        <r>
          <rPr>
            <sz val="9"/>
            <color indexed="81"/>
            <rFont val="Tahoma"/>
            <family val="2"/>
          </rPr>
          <t xml:space="preserve">
Should include all interest-bearing liabilities with exception of Lease Liabilities</t>
        </r>
      </text>
    </comment>
    <comment ref="B55" authorId="1" shapeId="0">
      <text>
        <r>
          <rPr>
            <b/>
            <sz val="9"/>
            <color indexed="81"/>
            <rFont val="Tahoma"/>
            <family val="2"/>
          </rPr>
          <t>Raul Vasconcelos:</t>
        </r>
        <r>
          <rPr>
            <sz val="9"/>
            <color indexed="81"/>
            <rFont val="Tahoma"/>
            <family val="2"/>
          </rPr>
          <t xml:space="preserve">
Should include all interest-bearing liabilities with exception of Lease Liabilities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<sst xmlns="http://schemas.openxmlformats.org/spreadsheetml/2006/main" count="845" uniqueCount="530">
  <si>
    <t xml:space="preserve">             |   EQUITY RESEARCH </t>
  </si>
  <si>
    <t>Lisbon Investment Society Equity Research</t>
  </si>
  <si>
    <t>March XX, 2025</t>
  </si>
  <si>
    <t>Investment Thesis</t>
  </si>
  <si>
    <t>Operating Metrics</t>
  </si>
  <si>
    <t>Valuation Multiples</t>
  </si>
  <si>
    <t>Team Leader</t>
  </si>
  <si>
    <t>EV / Sales</t>
  </si>
  <si>
    <t>damiao.ribeiro@aln.iseg.ulisboa.pt</t>
  </si>
  <si>
    <t>Price / Sales</t>
  </si>
  <si>
    <t>(+351) 999 999 999</t>
  </si>
  <si>
    <t>EV / EBITDA</t>
  </si>
  <si>
    <t>Analyst 1</t>
  </si>
  <si>
    <t>EV / EBIT</t>
  </si>
  <si>
    <t>raul.vasconcelos@aln.iseg.ulisboa.pt</t>
  </si>
  <si>
    <t>Price / Earnings</t>
  </si>
  <si>
    <t>Price / Book</t>
  </si>
  <si>
    <t>Analyst 2</t>
  </si>
  <si>
    <t>cristina.lin@aln.iseg.ulisboa.pt</t>
  </si>
  <si>
    <t>Year</t>
  </si>
  <si>
    <t>Net Sales</t>
  </si>
  <si>
    <t>EBIT Margin</t>
  </si>
  <si>
    <t>FCFF</t>
  </si>
  <si>
    <t>Net Capex</t>
  </si>
  <si>
    <t>Profitability Ratios</t>
  </si>
  <si>
    <t>Return on Assets</t>
  </si>
  <si>
    <t>Analyst 3</t>
  </si>
  <si>
    <t>Return on Equity</t>
  </si>
  <si>
    <t>mafaldajbento@aln.iseg.ulisboa.pt</t>
  </si>
  <si>
    <t>Return on Total Capital</t>
  </si>
  <si>
    <t>EBITDA Margin</t>
  </si>
  <si>
    <t>Statistics</t>
  </si>
  <si>
    <t>Gross Profit Margin</t>
  </si>
  <si>
    <t>Beta</t>
  </si>
  <si>
    <t>SG&amp;A Margin</t>
  </si>
  <si>
    <t>% Float</t>
  </si>
  <si>
    <t>Net Income Margin</t>
  </si>
  <si>
    <t>% Held by Insiders</t>
  </si>
  <si>
    <t>% Held by Institutions</t>
  </si>
  <si>
    <t>SWOT Analysis</t>
  </si>
  <si>
    <t>Liquidity Ratios</t>
  </si>
  <si>
    <t>Short % of Float</t>
  </si>
  <si>
    <t>Strengths</t>
  </si>
  <si>
    <t>Weaknesses</t>
  </si>
  <si>
    <t>Cash Ratio</t>
  </si>
  <si>
    <t>Quick Ratio</t>
  </si>
  <si>
    <t>Major Holders</t>
  </si>
  <si>
    <t>Current Ratio</t>
  </si>
  <si>
    <t>Opportunities</t>
  </si>
  <si>
    <t>Threats</t>
  </si>
  <si>
    <t>Cash Flow Ratios</t>
  </si>
  <si>
    <t>Cash Conversion Cycle</t>
  </si>
  <si>
    <t>Net Income / Op Cash Flow</t>
  </si>
  <si>
    <t>Chg in Cash / Op Cash Flow</t>
  </si>
  <si>
    <t>Revenue by Region</t>
  </si>
  <si>
    <t>Revenue by Segment</t>
  </si>
  <si>
    <t>Leverage Ratios</t>
  </si>
  <si>
    <t>Total Debt / Equity</t>
  </si>
  <si>
    <t>Total Debt / Capital</t>
  </si>
  <si>
    <t>Total Liabilities / Total Assets</t>
  </si>
  <si>
    <t>Total Debt / EBITDA</t>
  </si>
  <si>
    <t>Board of Directors</t>
  </si>
  <si>
    <t>Total Debt / (EBITDA - Capex)</t>
  </si>
  <si>
    <t>Net Debt / EBITDA</t>
  </si>
  <si>
    <t>Solvency Ratios</t>
  </si>
  <si>
    <t>EBIT / Interest Expense</t>
  </si>
  <si>
    <t>EBITDA / Interest Expense</t>
  </si>
  <si>
    <t>(EBITDA - Capex) / Interest Expense</t>
  </si>
  <si>
    <t>Debt Schedule</t>
  </si>
  <si>
    <t>Stock Performance</t>
  </si>
  <si>
    <t>ESG Traffic Light</t>
  </si>
  <si>
    <t>LSEG ESG Score</t>
  </si>
  <si>
    <t xml:space="preserve">   E-Score</t>
  </si>
  <si>
    <t xml:space="preserve">   S-Score</t>
  </si>
  <si>
    <t xml:space="preserve">   G-Score</t>
  </si>
  <si>
    <t>S&amp;P Global ESG Score</t>
  </si>
  <si>
    <t xml:space="preserve">   Environmental</t>
  </si>
  <si>
    <t xml:space="preserve">   Social</t>
  </si>
  <si>
    <t xml:space="preserve">   Governance &amp; Economic</t>
  </si>
  <si>
    <t>Sustainalytics</t>
  </si>
  <si>
    <t>ISS ESG Corporate Rating</t>
  </si>
  <si>
    <t xml:space="preserve">   SDG Impact Rating</t>
  </si>
  <si>
    <t xml:space="preserve">   Governance Quality Score</t>
  </si>
  <si>
    <t>MSCI ESG Ratings</t>
  </si>
  <si>
    <t>Disclaimer:
This material has been prepared solely for educational and informational purposes, based on information available to the general public and from sources considered reliable. This research is part of the activities of the Lisbon Investment Society (LIS). It does not constitute, and should not be interpreted as, investment advice, financial advice, or a recommendation to buy or sell any financial instruments. The views expressed are those of the authors and do not necessarily reflect the official position of LIS. The authors assume no responsibility for the accuracy of the information provided, neither should anything contained herein be taken as an indication that any result will be achieved. Investors should conduct their own research and consult with qualified financial advisors before making any investment decisions.</t>
  </si>
  <si>
    <t>Extra Notes</t>
  </si>
  <si>
    <t>Segments</t>
  </si>
  <si>
    <t>Regions</t>
  </si>
  <si>
    <t>Weight</t>
  </si>
  <si>
    <t>Total</t>
  </si>
  <si>
    <t>Categories</t>
  </si>
  <si>
    <t>Description</t>
  </si>
  <si>
    <t>Graphs</t>
  </si>
  <si>
    <t>Products</t>
  </si>
  <si>
    <t>Product 3</t>
  </si>
  <si>
    <t>Product 4</t>
  </si>
  <si>
    <t>Product 5</t>
  </si>
  <si>
    <t>Company's Strategy / Extra Notes</t>
  </si>
  <si>
    <t>Industry Overview</t>
  </si>
  <si>
    <t>Sales Growth Forecast</t>
  </si>
  <si>
    <t>Sources</t>
  </si>
  <si>
    <t>Weighted Average</t>
  </si>
  <si>
    <t>Key Drivers</t>
  </si>
  <si>
    <t>Industry Trends</t>
  </si>
  <si>
    <t>Market Share</t>
  </si>
  <si>
    <t>Headquarters</t>
  </si>
  <si>
    <t>Revenues</t>
  </si>
  <si>
    <t>(in MM of USD)</t>
  </si>
  <si>
    <t>USA</t>
  </si>
  <si>
    <t>Others</t>
  </si>
  <si>
    <t>--</t>
  </si>
  <si>
    <t>Industry Size</t>
  </si>
  <si>
    <t>Porter's Five Forces Analysis</t>
  </si>
  <si>
    <t>Rating</t>
  </si>
  <si>
    <t>Graph</t>
  </si>
  <si>
    <t>Threat of New Entrants</t>
  </si>
  <si>
    <t>Economies of scale</t>
  </si>
  <si>
    <t>Product differentiation</t>
  </si>
  <si>
    <t>Capital requirements</t>
  </si>
  <si>
    <t>Access to distribution channels</t>
  </si>
  <si>
    <t>Regulations</t>
  </si>
  <si>
    <t>Switching costs</t>
  </si>
  <si>
    <t>Bargaining Power of Suppliers</t>
  </si>
  <si>
    <t>Number of suppliers</t>
  </si>
  <si>
    <t>Uniqueness</t>
  </si>
  <si>
    <t>Switching Costs</t>
  </si>
  <si>
    <t>Forward Integration</t>
  </si>
  <si>
    <t>Industry Importance</t>
  </si>
  <si>
    <t>Bargaining Power of Customers</t>
  </si>
  <si>
    <t>Number of buyers</t>
  </si>
  <si>
    <t>Purchase size</t>
  </si>
  <si>
    <t>Price sensitivity</t>
  </si>
  <si>
    <t>Informed buyers</t>
  </si>
  <si>
    <t>Competitive Rivalry</t>
  </si>
  <si>
    <t>Number of competitors</t>
  </si>
  <si>
    <t>Industry growth</t>
  </si>
  <si>
    <t>Similarities in what's offered</t>
  </si>
  <si>
    <t>Exit barriers</t>
  </si>
  <si>
    <t>Fixed costs</t>
  </si>
  <si>
    <t>Threat of Substitutes</t>
  </si>
  <si>
    <t>Relative price performance</t>
  </si>
  <si>
    <t>Customer willingness to go elsewhere</t>
  </si>
  <si>
    <t>The sense that products are similar</t>
  </si>
  <si>
    <t>Availability of close substitutes</t>
  </si>
  <si>
    <t>Revenue Growth</t>
  </si>
  <si>
    <t>Profit Margin</t>
  </si>
  <si>
    <t>EV / Revenue</t>
  </si>
  <si>
    <t>Peers</t>
  </si>
  <si>
    <t>Ticker</t>
  </si>
  <si>
    <t>CAIXA</t>
  </si>
  <si>
    <t>SANTANDER</t>
  </si>
  <si>
    <t>HAITONG</t>
  </si>
  <si>
    <t>BNP</t>
  </si>
  <si>
    <t>Average</t>
  </si>
  <si>
    <t>Deviation from Average</t>
  </si>
  <si>
    <t>Trading Multiple</t>
  </si>
  <si>
    <t>Net</t>
  </si>
  <si>
    <t>Preferred</t>
  </si>
  <si>
    <t>Non-Controlling</t>
  </si>
  <si>
    <t>Equity Value</t>
  </si>
  <si>
    <t>Implied Upside (Downside)</t>
  </si>
  <si>
    <t>Implied Share Price</t>
  </si>
  <si>
    <t>Revenue</t>
  </si>
  <si>
    <t>EBITDA</t>
  </si>
  <si>
    <t>P/E</t>
  </si>
  <si>
    <t>Debt</t>
  </si>
  <si>
    <t>Stock</t>
  </si>
  <si>
    <t>Interest</t>
  </si>
  <si>
    <t>Current Price</t>
  </si>
  <si>
    <t>Second Minimum</t>
  </si>
  <si>
    <t>Median</t>
  </si>
  <si>
    <t>Second Maximum</t>
  </si>
  <si>
    <t>Profitability</t>
  </si>
  <si>
    <t xml:space="preserve">  </t>
  </si>
  <si>
    <t>Operating Margin</t>
  </si>
  <si>
    <t>ROA (%)</t>
  </si>
  <si>
    <t>Financial Cost of Debt</t>
  </si>
  <si>
    <t>Return on Equity (RoE)</t>
  </si>
  <si>
    <t>Return on Invested Capital (ROIC)</t>
  </si>
  <si>
    <t>Solvency</t>
  </si>
  <si>
    <t>Debt/Assets</t>
  </si>
  <si>
    <t>Net Debt/EBITDA</t>
  </si>
  <si>
    <t>Interest Coverage Ratio</t>
  </si>
  <si>
    <t>Liquidity</t>
  </si>
  <si>
    <t>Activity</t>
  </si>
  <si>
    <t>Inventory Turnover</t>
  </si>
  <si>
    <t>Acc. Receivable Turnover</t>
  </si>
  <si>
    <t>Payables Turnover</t>
  </si>
  <si>
    <t>Fixed Asset Turnover</t>
  </si>
  <si>
    <t>Total Asset Turnover</t>
  </si>
  <si>
    <t>Cash Cycle (days)</t>
  </si>
  <si>
    <t>Cash Flow</t>
  </si>
  <si>
    <t>Cash Flow Margin</t>
  </si>
  <si>
    <t>Cash Flow to Net Income</t>
  </si>
  <si>
    <t>CFO to Net Income</t>
  </si>
  <si>
    <t>Net Capex to CFO</t>
  </si>
  <si>
    <t>CFI to CFO</t>
  </si>
  <si>
    <t>Net Financing to CFO</t>
  </si>
  <si>
    <t>Debt Borrowing to Debt Repayment</t>
  </si>
  <si>
    <t>CFF to CFO</t>
  </si>
  <si>
    <t>Payout Ratio</t>
  </si>
  <si>
    <t>Stock Information</t>
  </si>
  <si>
    <t>(%) Float</t>
  </si>
  <si>
    <t>β (Levered)</t>
  </si>
  <si>
    <t>β (Unlevered)</t>
  </si>
  <si>
    <t>Short % Float</t>
  </si>
  <si>
    <t>1 day</t>
  </si>
  <si>
    <t>1 month</t>
  </si>
  <si>
    <t>YTD</t>
  </si>
  <si>
    <t>Extra</t>
  </si>
  <si>
    <t>% Revenues in the US</t>
  </si>
  <si>
    <t>Income Statement</t>
  </si>
  <si>
    <t>PEER 1</t>
  </si>
  <si>
    <t>PEER 2</t>
  </si>
  <si>
    <t>PEER 3</t>
  </si>
  <si>
    <t>PEER 4</t>
  </si>
  <si>
    <t>PEER 5</t>
  </si>
  <si>
    <t>PEER 6</t>
  </si>
  <si>
    <t>PEER 7</t>
  </si>
  <si>
    <t>PEER 8</t>
  </si>
  <si>
    <t>PEER 9</t>
  </si>
  <si>
    <t>PEER 10</t>
  </si>
  <si>
    <t>EBITDA (2023)</t>
  </si>
  <si>
    <t>Net Income (2023)</t>
  </si>
  <si>
    <t>COGS (Cost of Goods Sold)</t>
  </si>
  <si>
    <t>Gross Profit</t>
  </si>
  <si>
    <t>Operating Income (EBIT)</t>
  </si>
  <si>
    <t>Net Interest Expense (Income)</t>
  </si>
  <si>
    <t>Pre-Tax Income (EBT)</t>
  </si>
  <si>
    <t>Tax Expense (Benefits)</t>
  </si>
  <si>
    <t>Net Income</t>
  </si>
  <si>
    <t>EPS basic</t>
  </si>
  <si>
    <t>R&amp;D (Research &amp; Development)</t>
  </si>
  <si>
    <t>Balance Sheet</t>
  </si>
  <si>
    <t>Cash &amp; Cash Equivalents</t>
  </si>
  <si>
    <t>Accounts Receivable</t>
  </si>
  <si>
    <t>Beginning Inventory</t>
  </si>
  <si>
    <t>Ending Inventory</t>
  </si>
  <si>
    <t>Current Assets</t>
  </si>
  <si>
    <t>Net PP&amp;E (Property, Plant and Equipment)</t>
  </si>
  <si>
    <t>Total Assets</t>
  </si>
  <si>
    <t>Accounts Payable</t>
  </si>
  <si>
    <t>Current Liabilities</t>
  </si>
  <si>
    <t>Long-term debt</t>
  </si>
  <si>
    <t>Total Debt</t>
  </si>
  <si>
    <t>Shareholder's Equity</t>
  </si>
  <si>
    <t>Cash Flow Statement</t>
  </si>
  <si>
    <t>Operating Cash Flow</t>
  </si>
  <si>
    <t>Investing Cash Flow</t>
  </si>
  <si>
    <t>Debt Borrowing</t>
  </si>
  <si>
    <t>Debt Repayment</t>
  </si>
  <si>
    <t>Financing Cash Flow</t>
  </si>
  <si>
    <t>Net Changes in Cash</t>
  </si>
  <si>
    <t>Environmental, Social and Governance Analysis</t>
  </si>
  <si>
    <t>Author:</t>
  </si>
  <si>
    <t>Highlights</t>
  </si>
  <si>
    <t>Recent News</t>
  </si>
  <si>
    <t>Overview</t>
  </si>
  <si>
    <t>.</t>
  </si>
  <si>
    <t>Last Update</t>
  </si>
  <si>
    <t>Latest year with data</t>
  </si>
  <si>
    <t>GICS Sector</t>
  </si>
  <si>
    <t>GICS Industry Group</t>
  </si>
  <si>
    <t>Final Review</t>
  </si>
  <si>
    <t>ESG Scores</t>
  </si>
  <si>
    <t>GHG Scope 1 and 2 Emissions:</t>
  </si>
  <si>
    <t>Water, Waste, Energy Management:</t>
  </si>
  <si>
    <t>Industry ESG Overview:</t>
  </si>
  <si>
    <t>ENVIRONMENTAL</t>
  </si>
  <si>
    <t>Targets</t>
  </si>
  <si>
    <t>Improvements</t>
  </si>
  <si>
    <t>Comments</t>
  </si>
  <si>
    <t>GHG (or CO2) Scope 1 Emissions</t>
  </si>
  <si>
    <t>Water Consumption</t>
  </si>
  <si>
    <t>Energy Consumption</t>
  </si>
  <si>
    <t>Waste Management</t>
  </si>
  <si>
    <t>Other</t>
  </si>
  <si>
    <t>SOCIAL</t>
  </si>
  <si>
    <t>Important Sources:</t>
  </si>
  <si>
    <t>Annual Report</t>
  </si>
  <si>
    <t>Employee Turnover %</t>
  </si>
  <si>
    <t>Sustainability Report</t>
  </si>
  <si>
    <t>Proxy Statement</t>
  </si>
  <si>
    <t>Salaries &amp; Compensation</t>
  </si>
  <si>
    <t>Reputation</t>
  </si>
  <si>
    <t>Discrimination Events</t>
  </si>
  <si>
    <t>Work Safety</t>
  </si>
  <si>
    <t>Damage to consumer health</t>
  </si>
  <si>
    <t>Pension Plan</t>
  </si>
  <si>
    <t>Supply chain</t>
  </si>
  <si>
    <t>Community involvement</t>
  </si>
  <si>
    <t>Public Sector</t>
  </si>
  <si>
    <t>Litigation</t>
  </si>
  <si>
    <t>GOVERNANCE</t>
  </si>
  <si>
    <t>Diversity (Gender, Age, Industry, Region)</t>
  </si>
  <si>
    <t>% Independence</t>
  </si>
  <si>
    <t>Average time as independent directors</t>
  </si>
  <si>
    <t>Departures of C-level executives</t>
  </si>
  <si>
    <t>CEO/Chairman duality</t>
  </si>
  <si>
    <t>Transparency when reporting</t>
  </si>
  <si>
    <t>Time taken to report</t>
  </si>
  <si>
    <t>CEO or Chairman in other boards?</t>
  </si>
  <si>
    <t>Audit / Consulting</t>
  </si>
  <si>
    <t>ESG-compensation related</t>
  </si>
  <si>
    <t>Management compensation schemes</t>
  </si>
  <si>
    <t>ESG Inputs</t>
  </si>
  <si>
    <t>x</t>
  </si>
  <si>
    <t>Total GHG Scope 1 Emissions</t>
  </si>
  <si>
    <t>Total GHG Scope 2 (Location-Based) Emissions</t>
  </si>
  <si>
    <t>Total Energy Usage</t>
  </si>
  <si>
    <t>Total Water Consumption</t>
  </si>
  <si>
    <t>Total Waste Production</t>
  </si>
  <si>
    <t>GHG Scope 1 and 2 Emissions</t>
  </si>
  <si>
    <t>DCF</t>
  </si>
  <si>
    <t>Key Assumptions</t>
  </si>
  <si>
    <t>Switches</t>
  </si>
  <si>
    <t>Bear Case</t>
  </si>
  <si>
    <t>Base Case</t>
  </si>
  <si>
    <t>Bull Case</t>
  </si>
  <si>
    <t>FCFE</t>
  </si>
  <si>
    <t>Tax Shield</t>
  </si>
  <si>
    <t>Total Payout</t>
  </si>
  <si>
    <t>NOPAT</t>
  </si>
  <si>
    <t>Cash Balance</t>
  </si>
  <si>
    <t>Total Liabilities</t>
  </si>
  <si>
    <t>Most Recent Fiscal Year</t>
  </si>
  <si>
    <t>EBIT</t>
  </si>
  <si>
    <t>End of Fiscal Year</t>
  </si>
  <si>
    <t>WACC</t>
  </si>
  <si>
    <t>Most Recent Quarter End Date</t>
  </si>
  <si>
    <t>TGR</t>
  </si>
  <si>
    <t>Valuation Date</t>
  </si>
  <si>
    <t>Operating Assumptions</t>
  </si>
  <si>
    <t>Number of Locations (Beginning)</t>
  </si>
  <si>
    <t>Net Locations Opened/Acquired</t>
  </si>
  <si>
    <t>Capex per Net Additions</t>
  </si>
  <si>
    <t>Locations Opened/Acquired</t>
  </si>
  <si>
    <t>Locations Closed/Sold</t>
  </si>
  <si>
    <t>Number of Locations (End)</t>
  </si>
  <si>
    <t>Average Sales per Location</t>
  </si>
  <si>
    <t>Same Store Sales Growth</t>
  </si>
  <si>
    <t>Beginning Locations Total Sales</t>
  </si>
  <si>
    <t>New Locations Total Sales (Estimate)</t>
  </si>
  <si>
    <t>In millions of USD</t>
  </si>
  <si>
    <t>Revenue (Sales)</t>
  </si>
  <si>
    <t>% of growth</t>
  </si>
  <si>
    <t>% of revenue</t>
  </si>
  <si>
    <t>SG&amp;A (Selling, General &amp; Administrative)</t>
  </si>
  <si>
    <t>Other Operating (Income) Expenses</t>
  </si>
  <si>
    <t>D&amp;A (Depreciation &amp; Amortization)</t>
  </si>
  <si>
    <t>% of PP&amp;E+ROU Assets+Intangibles excl. Goodwill</t>
  </si>
  <si>
    <t>Depreciation Expense</t>
  </si>
  <si>
    <t>% of PP&amp;E+ROU Assets</t>
  </si>
  <si>
    <t>Amortization Expense</t>
  </si>
  <si>
    <t>% of Intangibles excl. Goodwill</t>
  </si>
  <si>
    <t>% of Net Debt</t>
  </si>
  <si>
    <t>Interest Expense</t>
  </si>
  <si>
    <t>% of Debt</t>
  </si>
  <si>
    <t>Interest Income</t>
  </si>
  <si>
    <t>% Cash &amp; Cash Eq. &amp; ST Investments</t>
  </si>
  <si>
    <t>FX (Gain) Loss</t>
  </si>
  <si>
    <t>Other Non-Operating (Income) Expenses</t>
  </si>
  <si>
    <t>% of EBT</t>
  </si>
  <si>
    <t>Assets</t>
  </si>
  <si>
    <t>Cash &amp; Cash Equivalents &amp; ST Investments</t>
  </si>
  <si>
    <t>DSO</t>
  </si>
  <si>
    <t>Inventory</t>
  </si>
  <si>
    <t>DIH</t>
  </si>
  <si>
    <t>Prepaid expenses and Other Current Assets</t>
  </si>
  <si>
    <t>Net PP&amp;E (Property, Plant and Equipment) + ROU Assets</t>
  </si>
  <si>
    <t>Gross PP&amp;E (Property, Plant and Equipment) + ROU Assets</t>
  </si>
  <si>
    <t>Right-of-Use Assets</t>
  </si>
  <si>
    <t>Accumulated Depreciation</t>
  </si>
  <si>
    <t>Intangibles excl. Goodwill</t>
  </si>
  <si>
    <t>growing with % of R&amp;D</t>
  </si>
  <si>
    <t>Liabilities</t>
  </si>
  <si>
    <t>DPO</t>
  </si>
  <si>
    <t>Accrued Expenses and Other Current Liabilities</t>
  </si>
  <si>
    <t>growing with revenue</t>
  </si>
  <si>
    <t>Total Borrowings</t>
  </si>
  <si>
    <t>Total Leases</t>
  </si>
  <si>
    <t>% of revenues</t>
  </si>
  <si>
    <t>Stock Based Compensation</t>
  </si>
  <si>
    <t>% of SG&amp;A</t>
  </si>
  <si>
    <t>Changes in Net Working Capital</t>
  </si>
  <si>
    <t>Other Operating Adjustments</t>
  </si>
  <si>
    <t>Net CapEx</t>
  </si>
  <si>
    <t>Acquisition of Fixed &amp; Intangibles</t>
  </si>
  <si>
    <t>Disposal of Fixed &amp; Intangibles</t>
  </si>
  <si>
    <t>Disposal Rate (% Gross PP&amp;E)</t>
  </si>
  <si>
    <t>Net Cash from Investments &amp; Acquisitions</t>
  </si>
  <si>
    <t>Other Investing Inflows (Outflows)</t>
  </si>
  <si>
    <t>Dividends</t>
  </si>
  <si>
    <t>Dividend payout</t>
  </si>
  <si>
    <t>Increase (Repurchase) of Shares</t>
  </si>
  <si>
    <t>Repurchase payout</t>
  </si>
  <si>
    <t>Lease Payments</t>
  </si>
  <si>
    <t>% of Right-of-Use Assets</t>
  </si>
  <si>
    <t>% of FCFE</t>
  </si>
  <si>
    <t>Other Financing Inflows (Outflows)</t>
  </si>
  <si>
    <t>FCFF Valuation</t>
  </si>
  <si>
    <t>Depreciation &amp; Amortization</t>
  </si>
  <si>
    <t>Changes in NWC</t>
  </si>
  <si>
    <t>FCFF 2025</t>
  </si>
  <si>
    <t>Present Value of FCFF</t>
  </si>
  <si>
    <t>FCFF 2026</t>
  </si>
  <si>
    <t>Sensitivity to the Period</t>
  </si>
  <si>
    <t>Period</t>
  </si>
  <si>
    <t>Terminal Value</t>
  </si>
  <si>
    <t>Present Value of Terminal Value</t>
  </si>
  <si>
    <t>Enterprise Value</t>
  </si>
  <si>
    <t>(+) Cash</t>
  </si>
  <si>
    <t>(-) Minority Interest</t>
  </si>
  <si>
    <t>(-) Preferred Stock</t>
  </si>
  <si>
    <t>(-) Debt</t>
  </si>
  <si>
    <t>Shares outstanding</t>
  </si>
  <si>
    <t>Implicit Stock Value</t>
  </si>
  <si>
    <t>Stock value</t>
  </si>
  <si>
    <t>Upside (downside)</t>
  </si>
  <si>
    <t>APV Valuation</t>
  </si>
  <si>
    <t>Unlevered Present Value of FCFF</t>
  </si>
  <si>
    <t>Present Value of Tax Shield</t>
  </si>
  <si>
    <t>Terminal Value of Unlevered FCFF</t>
  </si>
  <si>
    <t>Present Value of Unlevered FCFF Terminal Value</t>
  </si>
  <si>
    <t>Terminal Value of Tax Shield</t>
  </si>
  <si>
    <t>Present Value of Tax Shield Terminal Value</t>
  </si>
  <si>
    <t>APV</t>
  </si>
  <si>
    <t>FCFE Valuation</t>
  </si>
  <si>
    <t>Debt Borrowing (Repayment)</t>
  </si>
  <si>
    <t>Present Value of FCFE</t>
  </si>
  <si>
    <t>DDM</t>
  </si>
  <si>
    <t>Total Payout Ratio</t>
  </si>
  <si>
    <t>Plowback Ratio</t>
  </si>
  <si>
    <t>Present Value of Total Payout</t>
  </si>
  <si>
    <t>Sensitivity Analysis</t>
  </si>
  <si>
    <t>Stock Price (in USD)</t>
  </si>
  <si>
    <t>Notes</t>
  </si>
  <si>
    <t>Inputs</t>
  </si>
  <si>
    <t>in millions of USD</t>
  </si>
  <si>
    <t>EPS diluted</t>
  </si>
  <si>
    <t>Basic Weighted Average Shares</t>
  </si>
  <si>
    <t xml:space="preserve"> </t>
  </si>
  <si>
    <t>Diluted Weighted Average Shares</t>
  </si>
  <si>
    <t>Short-Term Investments</t>
  </si>
  <si>
    <t>Gross PP&amp;E (Property, Plant and Equipment)</t>
  </si>
  <si>
    <t>Intangibles</t>
  </si>
  <si>
    <t>Goodwill</t>
  </si>
  <si>
    <t>Other Non-Current Assets</t>
  </si>
  <si>
    <t>Non-Current Assets</t>
  </si>
  <si>
    <t>Short-Term Debt</t>
  </si>
  <si>
    <t>Short-Term Borrowings</t>
  </si>
  <si>
    <t>Current Portion of Lease Liabilities</t>
  </si>
  <si>
    <t>Long-Term Debt</t>
  </si>
  <si>
    <t>Long-Term Borrowings</t>
  </si>
  <si>
    <t>Long-Term Operating Lease Liabilities</t>
  </si>
  <si>
    <t>Other Non-Current Liabilities</t>
  </si>
  <si>
    <t>Non-Current Liabilities</t>
  </si>
  <si>
    <t>Non-Controlling Interest</t>
  </si>
  <si>
    <t>D&amp;A (Depreciation and Amortization)</t>
  </si>
  <si>
    <t>(Increase) Decrease in Accounts Receivable</t>
  </si>
  <si>
    <t>(Increase) Decrease in Inventories</t>
  </si>
  <si>
    <t>Acquisitions</t>
  </si>
  <si>
    <t>Divestitures</t>
  </si>
  <si>
    <t>Increase in LT Investment</t>
  </si>
  <si>
    <t>Decrease in LT Investment</t>
  </si>
  <si>
    <t>Effect of Foreign Exchange</t>
  </si>
  <si>
    <t>in billionsof USD</t>
  </si>
  <si>
    <t>Capital Structure</t>
  </si>
  <si>
    <t>Market Capitalization</t>
  </si>
  <si>
    <t>Preferred Stock</t>
  </si>
  <si>
    <t>Cash</t>
  </si>
  <si>
    <t>v</t>
  </si>
  <si>
    <t>Fixed</t>
  </si>
  <si>
    <t>Floating</t>
  </si>
  <si>
    <t>Additional</t>
  </si>
  <si>
    <t>Net Debt</t>
  </si>
  <si>
    <t>Effective Tax Rate</t>
  </si>
  <si>
    <t>WACC = % of Equity x Cost of Equity + % de Debt x Cost of Debt x (1 - Tax Rate)</t>
  </si>
  <si>
    <t>Cost of Equity = Risk-Free Rate + Beta x Equity Risk Premium</t>
  </si>
  <si>
    <t>Region</t>
  </si>
  <si>
    <t>ERP</t>
  </si>
  <si>
    <t>Beta (Unlevered)</t>
  </si>
  <si>
    <t> </t>
  </si>
  <si>
    <r>
      <rPr>
        <sz val="11"/>
        <color rgb="FF000000"/>
        <rFont val="Arial"/>
        <family val="2"/>
      </rPr>
      <t>Market Cap</t>
    </r>
    <r>
      <rPr>
        <sz val="9"/>
        <color rgb="FF000000"/>
        <rFont val="Arial"/>
        <family val="2"/>
      </rPr>
      <t xml:space="preserve"> </t>
    </r>
    <r>
      <rPr>
        <i/>
        <sz val="9"/>
        <color rgb="FF000000"/>
        <rFont val="Arial"/>
        <family val="2"/>
      </rPr>
      <t>(in millions)</t>
    </r>
  </si>
  <si>
    <t>% of Equity</t>
  </si>
  <si>
    <t>Cost of Equity</t>
  </si>
  <si>
    <t>Risk-Free Rate</t>
  </si>
  <si>
    <t>Unlevered Beta</t>
  </si>
  <si>
    <t>Equity Risk Premium</t>
  </si>
  <si>
    <t>Unlevered Cost of Equity</t>
  </si>
  <si>
    <r>
      <rPr>
        <sz val="11"/>
        <color rgb="FF000000"/>
        <rFont val="Arial"/>
        <family val="2"/>
      </rPr>
      <t>Debt</t>
    </r>
    <r>
      <rPr>
        <i/>
        <sz val="9"/>
        <color rgb="FF000000"/>
        <rFont val="Arial"/>
        <family val="2"/>
      </rPr>
      <t xml:space="preserve"> (in millions)</t>
    </r>
  </si>
  <si>
    <t>Cost of debt</t>
  </si>
  <si>
    <t>Tax Rate</t>
  </si>
  <si>
    <t>Multiples</t>
  </si>
  <si>
    <t>Valuation</t>
  </si>
  <si>
    <t>EBT Margin</t>
  </si>
  <si>
    <t>Efficiency</t>
  </si>
  <si>
    <t>Days Sales Outstanding</t>
  </si>
  <si>
    <t>Days Payable Outstanding</t>
  </si>
  <si>
    <t>Days Inventory Outstanding</t>
  </si>
  <si>
    <t>Leverage</t>
  </si>
  <si>
    <t>Interest Coverage</t>
  </si>
  <si>
    <t>Debt Repayment to Debt Borrowing</t>
  </si>
  <si>
    <t>Sensitivity Analisys - FCFF</t>
  </si>
  <si>
    <t>Variables</t>
  </si>
  <si>
    <t>St Dev</t>
  </si>
  <si>
    <t>Simulations: 10,000</t>
  </si>
  <si>
    <t>Upside</t>
  </si>
  <si>
    <t>min</t>
  </si>
  <si>
    <t>mean</t>
  </si>
  <si>
    <t>median</t>
  </si>
  <si>
    <t>max</t>
  </si>
  <si>
    <t>st dev</t>
  </si>
  <si>
    <t>Iterations</t>
  </si>
  <si>
    <t>&lt;- The ticker {AAPL US}</t>
  </si>
  <si>
    <t>(Increase) Decrease in Pre-paid expeses and Other CA</t>
  </si>
  <si>
    <t>Increase (Decrease) in Accounts Payable</t>
  </si>
  <si>
    <t>Increase (Decrease) in Accrued Revenues and Other CL</t>
  </si>
  <si>
    <t>COUNTRY</t>
  </si>
  <si>
    <t>AAPL US Equity</t>
  </si>
  <si>
    <t>INDUSTRY_SECTOR</t>
  </si>
  <si>
    <t>GICS_SECTOR_NAME</t>
  </si>
  <si>
    <t>GICS_INDUSTRY_GROUP_NAME</t>
  </si>
  <si>
    <t>INDUSTRY_SUBGROUP</t>
  </si>
  <si>
    <t>GICS_SUB_INDUSTRY</t>
  </si>
  <si>
    <t>GICS_SUB_INDUSTRY_NAME</t>
  </si>
  <si>
    <t>BICS_LEVEL_4_SUB_INDUSTRY_NAME</t>
  </si>
  <si>
    <t>TICKER_AND_EXCH_CODE</t>
  </si>
  <si>
    <t>ULT_PARENT_TICKER_EXCHANGE</t>
  </si>
  <si>
    <t>PRIMARY_EXCHANGE_NAME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</si>
</sst>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43" formatCode="_(* #,##0.00_);_(* \(#,##0.00\);_(* &quot;-&quot;??_);_(@_)"/>
    <numFmt numFmtId="164" formatCode="_-* #,##0.00\ &quot;€&quot;_-;\-* #,##0.00\ &quot;€&quot;_-;_-* &quot;-&quot;??\ &quot;€&quot;_-;_-@_-"/>
    <numFmt numFmtId="165" formatCode="0&quot;A&quot;"/>
    <numFmt numFmtId="166" formatCode="0&quot;E&quot;"/>
    <numFmt numFmtId="167" formatCode="_-* #,##0.00\ _€_-;\-* #,##0.00\ _€_-;_-* &quot;-&quot;??\ _€_-;_-@_-"/>
    <numFmt numFmtId="168" formatCode="0.00\x"/>
    <numFmt numFmtId="169" formatCode="0.00&quot;M&quot;"/>
    <numFmt numFmtId="170" formatCode="0.0%"/>
    <numFmt numFmtId="171" formatCode="&quot;$&quot;#,##0"/>
    <numFmt numFmtId="172" formatCode="_(* #,##0_);_(* \(#,##0\);_(* &quot;-&quot;??_);_(@_)"/>
    <numFmt numFmtId="173" formatCode="0.0"/>
    <numFmt numFmtId="174" formatCode="&quot;$&quot;#,##0.00"/>
    <numFmt numFmtId="175" formatCode="_([$$-409]* #,##0_);_([$$-409]* \(#,##0\);_([$$-409]* &quot;-&quot;??_);_(@_)"/>
    <numFmt numFmtId="176" formatCode="_([$$-409]* #,##0.00_);_([$$-409]* \(#,##0.00\);_([$$-409]* &quot;-&quot;??_);_(@_)"/>
    <numFmt numFmtId="177" formatCode="#,##0.0"/>
    <numFmt numFmtId="178" formatCode="[$-409]d\-mmm;@"/>
    <numFmt numFmtId="179" formatCode="0.000%"/>
    <numFmt numFmtId="180" formatCode="0&quot;+&quot;"/>
  </numFmts>
  <fonts count="75" x14ac:knownFonts="1">
    <font>
      <sz val="11"/>
      <color theme="1"/>
      <name val="Arial"/>
      <family val="2"/>
    </font>
    <font>
      <sz val="11"/>
      <color theme="1"/>
      <name val="Calibri"/>
      <family val="2"/>
      <scheme val="minor"/>
    </font>
    <font>
      <sz val="11"/>
      <color theme="1"/>
      <name val="Calibri"/>
      <family val="2"/>
      <scheme val="minor"/>
    </font>
    <font>
      <sz val="11"/>
      <color theme="1"/>
      <name val="Arial"/>
      <family val="2"/>
    </font>
    <font>
      <b/>
      <sz val="11"/>
      <color theme="1"/>
      <name val="Arial"/>
      <family val="2"/>
    </font>
    <font>
      <b/>
      <sz val="11"/>
      <color theme="0"/>
      <name val="Arial"/>
      <family val="2"/>
    </font>
    <font>
      <sz val="11"/>
      <color theme="0"/>
      <name val="Arial"/>
      <family val="2"/>
    </font>
    <font>
      <b/>
      <sz val="12"/>
      <color theme="0"/>
      <name val="Arial"/>
      <family val="2"/>
    </font>
    <font>
      <sz val="11"/>
      <color rgb="FF000000"/>
      <name val="Arial"/>
      <family val="2"/>
    </font>
    <font>
      <b/>
      <sz val="11"/>
      <color rgb="FF000000"/>
      <name val="Arial"/>
      <family val="2"/>
    </font>
    <font>
      <u/>
      <sz val="11"/>
      <color theme="10"/>
      <name val="Arial"/>
      <family val="2"/>
    </font>
    <font>
      <sz val="11"/>
      <name val="Arial"/>
      <family val="2"/>
    </font>
    <font>
      <sz val="10"/>
      <color theme="1"/>
      <name val="Arial"/>
      <family val="2"/>
    </font>
    <font>
      <sz val="12"/>
      <name val="Arial"/>
      <family val="2"/>
    </font>
    <font>
      <sz val="12"/>
      <color theme="1"/>
      <name val="Arial"/>
      <family val="2"/>
    </font>
    <font>
      <sz val="10"/>
      <name val="Arial"/>
      <family val="2"/>
    </font>
    <font>
      <i/>
      <sz val="9"/>
      <color rgb="FF000000"/>
      <name val="Arial"/>
      <family val="2"/>
    </font>
    <font>
      <b/>
      <sz val="10"/>
      <color theme="1"/>
      <name val="Arial"/>
      <family val="2"/>
    </font>
    <font>
      <b/>
      <sz val="11"/>
      <color rgb="FF7B1314"/>
      <name val="Arial"/>
      <family val="2"/>
    </font>
    <font>
      <b/>
      <sz val="16"/>
      <color theme="1"/>
      <name val="Arial"/>
      <family val="2"/>
    </font>
    <font>
      <b/>
      <sz val="10"/>
      <name val="Arial"/>
      <family val="2"/>
    </font>
    <font>
      <sz val="12"/>
      <color theme="0"/>
      <name val="Arial"/>
      <family val="2"/>
    </font>
    <font>
      <b/>
      <i/>
      <sz val="12"/>
      <color theme="0"/>
      <name val="Arial"/>
      <family val="2"/>
    </font>
    <font>
      <b/>
      <sz val="12"/>
      <color rgb="FF7B1314"/>
      <name val="Arial"/>
      <family val="2"/>
    </font>
    <font>
      <b/>
      <sz val="12"/>
      <color rgb="FFFFFFFF"/>
      <name val="Arial"/>
      <family val="2"/>
    </font>
    <font>
      <i/>
      <sz val="8"/>
      <color theme="0"/>
      <name val="Arial"/>
      <family val="2"/>
    </font>
    <font>
      <i/>
      <sz val="11"/>
      <color theme="1"/>
      <name val="Arial"/>
      <family val="2"/>
    </font>
    <font>
      <sz val="9"/>
      <color indexed="81"/>
      <name val="Tahoma"/>
      <family val="2"/>
    </font>
    <font>
      <b/>
      <sz val="9"/>
      <color indexed="81"/>
      <name val="Tahoma"/>
      <family val="2"/>
    </font>
    <font>
      <sz val="11"/>
      <color rgb="FF00B050"/>
      <name val="Arial"/>
      <family val="2"/>
    </font>
    <font>
      <b/>
      <sz val="11"/>
      <name val="Arial"/>
      <family val="2"/>
    </font>
    <font>
      <sz val="11"/>
      <color theme="1"/>
      <name val="Arial"/>
      <family val="2"/>
    </font>
    <font>
      <b/>
      <sz val="12"/>
      <color rgb="FF000000"/>
      <name val="Arial"/>
      <family val="2"/>
    </font>
    <font>
      <sz val="11"/>
      <color rgb="FF0070C0"/>
      <name val="Arial"/>
      <family val="2"/>
    </font>
    <font>
      <sz val="9"/>
      <color rgb="FF000000"/>
      <name val="Arial"/>
      <family val="2"/>
    </font>
    <font>
      <b/>
      <u/>
      <sz val="12"/>
      <name val="Arial"/>
      <family val="2"/>
    </font>
    <font>
      <sz val="12"/>
      <color rgb="FF0070C0"/>
      <name val="Arial"/>
      <family val="2"/>
    </font>
    <font>
      <sz val="12"/>
      <color rgb="FF000000"/>
      <name val="Arial"/>
      <family val="2"/>
    </font>
    <font>
      <sz val="12"/>
      <color rgb="FF00B050"/>
      <name val="Arial"/>
      <family val="2"/>
    </font>
    <font>
      <b/>
      <sz val="12"/>
      <name val="Arial"/>
      <family val="2"/>
    </font>
    <font>
      <i/>
      <sz val="12"/>
      <name val="Arial"/>
      <family val="2"/>
    </font>
    <font>
      <i/>
      <sz val="8"/>
      <color theme="1"/>
      <name val="Arial"/>
      <family val="2"/>
    </font>
    <font>
      <b/>
      <sz val="12"/>
      <color theme="1"/>
      <name val="Arial"/>
      <family val="2"/>
    </font>
    <font>
      <i/>
      <sz val="12"/>
      <color theme="1"/>
      <name val="Arial"/>
      <family val="2"/>
    </font>
    <font>
      <b/>
      <sz val="11"/>
      <color rgb="FF00B050"/>
      <name val="Arial"/>
      <family val="2"/>
    </font>
    <font>
      <b/>
      <sz val="12"/>
      <color rgb="FF00B050"/>
      <name val="Arial"/>
      <family val="2"/>
    </font>
    <font>
      <b/>
      <sz val="10"/>
      <color indexed="9"/>
      <name val="Arial"/>
      <family val="2"/>
    </font>
    <font>
      <i/>
      <sz val="11"/>
      <color rgb="FF00B050"/>
      <name val="Arial"/>
      <family val="2"/>
    </font>
    <font>
      <i/>
      <sz val="11"/>
      <color rgb="FF000000"/>
      <name val="Arial"/>
      <family val="2"/>
    </font>
    <font>
      <i/>
      <sz val="11"/>
      <color rgb="FF0070C0"/>
      <name val="Arial"/>
      <family val="2"/>
    </font>
    <font>
      <i/>
      <sz val="11"/>
      <color theme="1" tint="0.499984740745262"/>
      <name val="Arial"/>
      <family val="2"/>
    </font>
    <font>
      <sz val="11"/>
      <color theme="1" tint="0.499984740745262"/>
      <name val="Arial"/>
      <family val="2"/>
    </font>
    <font>
      <i/>
      <sz val="12"/>
      <color rgb="FF00B050"/>
      <name val="Arial"/>
      <family val="2"/>
    </font>
    <font>
      <sz val="12"/>
      <color theme="1" tint="0.499984740745262"/>
      <name val="Arial"/>
      <family val="2"/>
    </font>
    <font>
      <sz val="11"/>
      <color theme="0"/>
      <name val="Consolas"/>
      <family val="3"/>
    </font>
    <font>
      <sz val="11"/>
      <name val="Arial"/>
      <family val="2"/>
    </font>
    <font>
      <b/>
      <sz val="9"/>
      <color theme="0"/>
      <name val="Arial"/>
      <family val="2"/>
    </font>
    <font>
      <sz val="9"/>
      <color theme="0"/>
      <name val="Arial"/>
      <family val="2"/>
    </font>
    <font>
      <sz val="9"/>
      <name val="Arial"/>
      <family val="2"/>
    </font>
    <font>
      <sz val="10"/>
      <color rgb="FFFF0000"/>
      <name val="Arial"/>
      <family val="2"/>
    </font>
    <font>
      <sz val="10"/>
      <color theme="1" tint="0.249977111117893"/>
      <name val="Arial"/>
      <family val="2"/>
    </font>
    <font>
      <sz val="11"/>
      <color theme="1"/>
      <name val="Arial"/>
      <family val="2"/>
    </font>
    <font>
      <sz val="14"/>
      <color theme="1"/>
      <name val="Arial"/>
      <family val="2"/>
    </font>
    <font>
      <i/>
      <sz val="10"/>
      <color theme="0" tint="-0.34998626667073579"/>
      <name val="Arial"/>
      <family val="2"/>
    </font>
    <font>
      <sz val="11"/>
      <color theme="1" tint="0.249977111117893"/>
      <name val="Arial"/>
      <family val="2"/>
    </font>
    <font>
      <b/>
      <sz val="14"/>
      <color rgb="FF7B1314"/>
      <name val="Arial"/>
      <family val="2"/>
    </font>
    <font>
      <sz val="9"/>
      <color theme="1" tint="0.249977111117893"/>
      <name val="Arial"/>
      <family val="2"/>
    </font>
    <font>
      <sz val="9"/>
      <color theme="1"/>
      <name val="Arial"/>
      <family val="2"/>
    </font>
    <font>
      <b/>
      <sz val="16"/>
      <color rgb="FF000000"/>
      <name val="Arial"/>
      <family val="2"/>
    </font>
    <font>
      <b/>
      <sz val="11"/>
      <color rgb="FFFFFFFF"/>
      <name val="Arial"/>
      <family val="2"/>
    </font>
    <font>
      <sz val="11"/>
      <color rgb="FFFFFFFF"/>
      <name val="Arial"/>
      <family val="2"/>
    </font>
    <font>
      <sz val="16"/>
      <color theme="1"/>
      <name val="Arial"/>
      <family val="2"/>
    </font>
    <font>
      <b/>
      <sz val="16"/>
      <name val="Arial"/>
      <family val="2"/>
    </font>
    <font>
      <b/>
      <sz val="16"/>
      <color rgb="FF7B1314"/>
      <name val="Arial"/>
      <family val="2"/>
    </font>
    <font>
      <b/>
      <sz val="11"/>
      <color indexed="9"/>
      <name val="Calibri"/>
      <family val="2"/>
    </font>
  </fonts>
  <fills count="16">
    <fill>
      <patternFill patternType="none"/>
    </fill>
    <fill>
      <patternFill patternType="gray125"/>
    </fill>
    <fill>
      <patternFill patternType="solid">
        <fgColor rgb="FF7B1314"/>
        <bgColor indexed="64"/>
      </patternFill>
    </fill>
    <fill>
      <patternFill patternType="solid">
        <fgColor theme="0" tint="-4.9989318521683403E-2"/>
        <bgColor indexed="64"/>
      </patternFill>
    </fill>
    <fill>
      <patternFill patternType="solid">
        <fgColor theme="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rgb="FFD9D9D9"/>
        <bgColor indexed="64"/>
      </patternFill>
    </fill>
    <fill>
      <patternFill patternType="solid">
        <fgColor rgb="FF4F81BD"/>
        <bgColor indexed="64"/>
      </patternFill>
    </fill>
    <fill>
      <patternFill patternType="solid">
        <fgColor rgb="FF7B1314"/>
        <bgColor rgb="FF000000"/>
      </patternFill>
    </fill>
    <fill>
      <patternFill patternType="solid">
        <fgColor rgb="FFD9D9D9"/>
        <bgColor rgb="FF000000"/>
      </patternFill>
    </fill>
    <fill>
      <patternFill patternType="solid">
        <fgColor rgb="FFFFFFFF"/>
        <bgColor indexed="64"/>
      </patternFill>
    </fill>
  </fills>
  <borders count="82">
    <border>
      <left/>
      <right/>
      <top/>
      <bottom/>
      <diagonal/>
    </border>
    <border>
      <left/>
      <right style="dotted">
        <color indexed="64"/>
      </right>
      <top/>
      <bottom/>
      <diagonal/>
    </border>
    <border>
      <left/>
      <right style="dotted">
        <color rgb="FF000000"/>
      </right>
      <top/>
      <bottom/>
      <diagonal/>
    </border>
    <border>
      <left/>
      <right/>
      <top/>
      <bottom style="thick">
        <color indexed="64"/>
      </bottom>
      <diagonal/>
    </border>
    <border>
      <left/>
      <right style="thin">
        <color rgb="FF7B1314"/>
      </right>
      <top/>
      <bottom/>
      <diagonal/>
    </border>
    <border>
      <left style="thin">
        <color rgb="FF7B1314"/>
      </left>
      <right/>
      <top/>
      <bottom/>
      <diagonal/>
    </border>
    <border>
      <left/>
      <right style="thin">
        <color rgb="FF7B1314"/>
      </right>
      <top/>
      <bottom style="dotted">
        <color indexed="64"/>
      </bottom>
      <diagonal/>
    </border>
    <border>
      <left/>
      <right/>
      <top/>
      <bottom style="dotted">
        <color indexed="64"/>
      </bottom>
      <diagonal/>
    </border>
    <border>
      <left/>
      <right/>
      <top/>
      <bottom style="thin">
        <color rgb="FF000000"/>
      </bottom>
      <diagonal/>
    </border>
    <border>
      <left/>
      <right/>
      <top/>
      <bottom style="thin">
        <color indexed="64"/>
      </bottom>
      <diagonal/>
    </border>
    <border>
      <left/>
      <right style="medium">
        <color rgb="FF7B1314"/>
      </right>
      <top/>
      <bottom/>
      <diagonal/>
    </border>
    <border>
      <left/>
      <right/>
      <top style="thick">
        <color indexed="64"/>
      </top>
      <bottom/>
      <diagonal/>
    </border>
    <border>
      <left/>
      <right/>
      <top style="medium">
        <color auto="1"/>
      </top>
      <bottom/>
      <diagonal/>
    </border>
    <border>
      <left/>
      <right/>
      <top style="medium">
        <color auto="1"/>
      </top>
      <bottom style="medium">
        <color auto="1"/>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right style="thin">
        <color indexed="64"/>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thin">
        <color rgb="FF000000"/>
      </left>
      <right style="thin">
        <color rgb="FF000000"/>
      </right>
      <top/>
      <bottom/>
      <diagonal/>
    </border>
    <border>
      <left/>
      <right/>
      <top style="thin">
        <color rgb="FF000000"/>
      </top>
      <bottom/>
      <diagonal/>
    </border>
    <border>
      <left/>
      <right style="thin">
        <color rgb="FF000000"/>
      </right>
      <top/>
      <bottom style="thin">
        <color rgb="FF000000"/>
      </bottom>
      <diagonal/>
    </border>
    <border>
      <left style="hair">
        <color indexed="64"/>
      </left>
      <right style="hair">
        <color indexed="64"/>
      </right>
      <top style="hair">
        <color indexed="64"/>
      </top>
      <bottom style="hair">
        <color indexed="64"/>
      </bottom>
      <diagonal/>
    </border>
    <border>
      <left style="hair">
        <color indexed="64"/>
      </left>
      <right style="dotted">
        <color indexed="64"/>
      </right>
      <top style="hair">
        <color indexed="64"/>
      </top>
      <bottom style="hair">
        <color indexed="64"/>
      </bottom>
      <diagonal/>
    </border>
    <border>
      <left/>
      <right style="thin">
        <color rgb="FF000000"/>
      </right>
      <top/>
      <bottom/>
      <diagonal/>
    </border>
    <border>
      <left/>
      <right style="hair">
        <color indexed="64"/>
      </right>
      <top style="dotted">
        <color rgb="FF000000"/>
      </top>
      <bottom style="hair">
        <color indexed="64"/>
      </bottom>
      <diagonal/>
    </border>
    <border>
      <left/>
      <right style="dotted">
        <color rgb="FF000000"/>
      </right>
      <top style="dotted">
        <color rgb="FF000000"/>
      </top>
      <bottom style="hair">
        <color indexed="64"/>
      </bottom>
      <diagonal/>
    </border>
    <border>
      <left/>
      <right style="hair">
        <color indexed="64"/>
      </right>
      <top style="hair">
        <color indexed="64"/>
      </top>
      <bottom style="hair">
        <color indexed="64"/>
      </bottom>
      <diagonal/>
    </border>
    <border>
      <left/>
      <right style="dotted">
        <color rgb="FF000000"/>
      </right>
      <top style="hair">
        <color indexed="64"/>
      </top>
      <bottom style="hair">
        <color indexed="64"/>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right style="dotted">
        <color rgb="FF000000"/>
      </right>
      <top style="dotted">
        <color indexed="64"/>
      </top>
      <bottom style="dotted">
        <color indexed="64"/>
      </bottom>
      <diagonal/>
    </border>
    <border>
      <left style="dotted">
        <color indexed="64"/>
      </left>
      <right/>
      <top style="dotted">
        <color indexed="64"/>
      </top>
      <bottom/>
      <diagonal/>
    </border>
    <border>
      <left/>
      <right/>
      <top style="dotted">
        <color indexed="64"/>
      </top>
      <bottom/>
      <diagonal/>
    </border>
    <border>
      <left/>
      <right style="thin">
        <color rgb="FF000000"/>
      </right>
      <top style="dotted">
        <color indexed="64"/>
      </top>
      <bottom/>
      <diagonal/>
    </border>
    <border>
      <left style="dotted">
        <color indexed="64"/>
      </left>
      <right/>
      <top/>
      <bottom style="dotted">
        <color indexed="64"/>
      </bottom>
      <diagonal/>
    </border>
    <border>
      <left/>
      <right style="thin">
        <color rgb="FF000000"/>
      </right>
      <top/>
      <bottom style="dotted">
        <color indexed="64"/>
      </bottom>
      <diagonal/>
    </border>
    <border>
      <left/>
      <right style="dotted">
        <color rgb="FF000000"/>
      </right>
      <top/>
      <bottom style="dotted">
        <color indexed="64"/>
      </bottom>
      <diagonal/>
    </border>
    <border>
      <left style="dotted">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indexed="64"/>
      </right>
      <top/>
      <bottom/>
      <diagonal/>
    </border>
    <border>
      <left/>
      <right/>
      <top style="thin">
        <color indexed="64"/>
      </top>
      <bottom/>
      <diagonal/>
    </border>
    <border>
      <left/>
      <right/>
      <top/>
      <bottom style="medium">
        <color rgb="FF000000"/>
      </bottom>
      <diagonal/>
    </border>
    <border>
      <left/>
      <right style="thin">
        <color rgb="FF000000"/>
      </right>
      <top style="dotted">
        <color indexed="64"/>
      </top>
      <bottom style="dotted">
        <color indexed="64"/>
      </bottom>
      <diagonal/>
    </border>
    <border>
      <left/>
      <right style="dotted">
        <color rgb="FF000000"/>
      </right>
      <top style="dotted">
        <color indexed="64"/>
      </top>
      <bottom/>
      <diagonal/>
    </border>
    <border>
      <left/>
      <right style="thin">
        <color rgb="FF000000"/>
      </right>
      <top style="thin">
        <color rgb="FF000000"/>
      </top>
      <bottom/>
      <diagonal/>
    </border>
    <border>
      <left style="thin">
        <color rgb="FF7B1314"/>
      </left>
      <right/>
      <top/>
      <bottom style="dotted">
        <color rgb="FF000000"/>
      </bottom>
      <diagonal/>
    </border>
    <border>
      <left/>
      <right style="thin">
        <color rgb="FF7B1314"/>
      </right>
      <top/>
      <bottom style="dotted">
        <color rgb="FF000000"/>
      </bottom>
      <diagonal/>
    </border>
    <border>
      <left/>
      <right/>
      <top/>
      <bottom style="medium">
        <color theme="0"/>
      </bottom>
      <diagonal/>
    </border>
    <border>
      <left/>
      <right/>
      <top/>
      <bottom style="thin">
        <color theme="0"/>
      </bottom>
      <diagonal/>
    </border>
    <border>
      <left/>
      <right style="thin">
        <color theme="1"/>
      </right>
      <top/>
      <bottom/>
      <diagonal/>
    </border>
    <border>
      <left/>
      <right style="thin">
        <color theme="1"/>
      </right>
      <top/>
      <bottom style="thin">
        <color rgb="FF000000"/>
      </bottom>
      <diagonal/>
    </border>
    <border>
      <left/>
      <right style="dotted">
        <color indexed="64"/>
      </right>
      <top style="dotted">
        <color rgb="FF000000"/>
      </top>
      <bottom style="dotted">
        <color rgb="FF000000"/>
      </bottom>
      <diagonal/>
    </border>
    <border>
      <left/>
      <right style="dotted">
        <color theme="0"/>
      </right>
      <top/>
      <bottom/>
      <diagonal/>
    </border>
    <border>
      <left/>
      <right style="dotted">
        <color theme="0"/>
      </right>
      <top/>
      <bottom style="thin">
        <color theme="0"/>
      </bottom>
      <diagonal/>
    </border>
    <border>
      <left/>
      <right style="dotted">
        <color theme="0"/>
      </right>
      <top/>
      <bottom style="medium">
        <color theme="0"/>
      </bottom>
      <diagonal/>
    </border>
    <border>
      <left style="dotted">
        <color theme="0"/>
      </left>
      <right/>
      <top/>
      <bottom/>
      <diagonal/>
    </border>
    <border>
      <left style="dotted">
        <color theme="0"/>
      </left>
      <right/>
      <top/>
      <bottom style="thin">
        <color theme="0"/>
      </bottom>
      <diagonal/>
    </border>
    <border>
      <left style="dotted">
        <color theme="0"/>
      </left>
      <right/>
      <top/>
      <bottom style="medium">
        <color theme="0"/>
      </bottom>
      <diagonal/>
    </border>
    <border>
      <left style="dotted">
        <color indexed="64"/>
      </left>
      <right style="dotted">
        <color indexed="64"/>
      </right>
      <top/>
      <bottom/>
      <diagonal/>
    </border>
    <border>
      <left style="thin">
        <color rgb="FF7B1314"/>
      </left>
      <right style="thin">
        <color rgb="FF7B1314"/>
      </right>
      <top/>
      <bottom/>
      <diagonal/>
    </border>
    <border>
      <left/>
      <right/>
      <top/>
      <bottom style="thin">
        <color theme="4"/>
      </bottom>
      <diagonal/>
    </border>
    <border>
      <left/>
      <right style="thin">
        <color theme="4"/>
      </right>
      <top/>
      <bottom style="thin">
        <color theme="4"/>
      </bottom>
      <diagonal/>
    </border>
    <border>
      <left/>
      <right style="thin">
        <color theme="4"/>
      </right>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diagonal/>
    </border>
    <border>
      <left style="thin">
        <color theme="4"/>
      </left>
      <right/>
      <top/>
      <bottom/>
      <diagonal/>
    </border>
    <border>
      <left/>
      <right style="dotted">
        <color indexed="64"/>
      </right>
      <top style="dotted">
        <color indexed="64"/>
      </top>
      <bottom/>
      <diagonal/>
    </border>
    <border>
      <left/>
      <right style="dotted">
        <color indexed="64"/>
      </right>
      <top/>
      <bottom style="dotted">
        <color indexed="64"/>
      </bottom>
      <diagonal/>
    </border>
    <border>
      <left/>
      <right style="medium">
        <color indexed="64"/>
      </right>
      <top style="medium">
        <color auto="1"/>
      </top>
      <bottom/>
      <diagonal/>
    </border>
    <border>
      <left style="medium">
        <color indexed="64"/>
      </left>
      <right/>
      <top style="medium">
        <color indexed="64"/>
      </top>
      <bottom/>
      <diagonal/>
    </border>
    <border>
      <left/>
      <right/>
      <top/>
      <bottom style="thin">
        <color theme="0" tint="-0.14999847407452621"/>
      </bottom>
      <diagonal/>
    </border>
    <border>
      <left style="thin">
        <color rgb="FF000000"/>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6">
    <xf numFmtId="0" fontId="0" fillId="0" borderId="0"/>
    <xf numFmtId="167"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xf numFmtId="9" fontId="15" fillId="0" borderId="0" applyFont="0" applyFill="0" applyBorder="0" applyAlignment="0" applyProtection="0"/>
    <xf numFmtId="0" fontId="15" fillId="0" borderId="0"/>
    <xf numFmtId="0" fontId="15" fillId="0" borderId="0"/>
    <xf numFmtId="9" fontId="2" fillId="0" borderId="0" applyFont="0" applyFill="0" applyBorder="0" applyAlignment="0" applyProtection="0"/>
    <xf numFmtId="0" fontId="2" fillId="0" borderId="0"/>
    <xf numFmtId="164" fontId="3" fillId="0" borderId="0" applyFont="0" applyFill="0" applyBorder="0" applyAlignment="0" applyProtection="0"/>
    <xf numFmtId="0" fontId="2" fillId="0" borderId="0"/>
    <xf numFmtId="0" fontId="46" fillId="12" borderId="44">
      <alignment horizontal="right"/>
    </xf>
    <xf numFmtId="0" fontId="74" fillId="12" borderId="0"/>
    <xf numFmtId="9" fontId="1" fillId="0" borderId="0" applyFont="0" applyFill="0" applyBorder="0" applyAlignment="0" applyProtection="0"/>
    <xf numFmtId="0" fontId="1" fillId="0" borderId="0"/>
    <xf numFmtId="0" fontId="1" fillId="0" borderId="0"/>
  </cellStyleXfs>
  <cellXfs count="819">
    <xf numFmtId="0" fontId="0" fillId="0" borderId="0" xfId="0"/>
    <xf numFmtId="0" fontId="4" fillId="0" borderId="0" xfId="0" applyFont="1"/>
    <xf numFmtId="0" fontId="5" fillId="2" borderId="0" xfId="0" applyFont="1" applyFill="1"/>
    <xf numFmtId="0" fontId="6" fillId="2" borderId="0" xfId="0" applyFont="1" applyFill="1"/>
    <xf numFmtId="165" fontId="5" fillId="2" borderId="0" xfId="0" applyNumberFormat="1" applyFont="1" applyFill="1"/>
    <xf numFmtId="166" fontId="5" fillId="2" borderId="0" xfId="0" applyNumberFormat="1" applyFont="1" applyFill="1"/>
    <xf numFmtId="0" fontId="0" fillId="0" borderId="0" xfId="0" applyAlignment="1">
      <alignment horizontal="center"/>
    </xf>
    <xf numFmtId="0" fontId="7" fillId="2" borderId="0" xfId="0" applyFont="1" applyFill="1" applyAlignment="1">
      <alignment horizontal="left"/>
    </xf>
    <xf numFmtId="0" fontId="0" fillId="0" borderId="0" xfId="0" applyAlignment="1">
      <alignment horizontal="left"/>
    </xf>
    <xf numFmtId="165" fontId="5" fillId="2" borderId="1" xfId="0" applyNumberFormat="1" applyFont="1" applyFill="1" applyBorder="1"/>
    <xf numFmtId="0" fontId="11" fillId="0" borderId="0" xfId="0" applyFont="1"/>
    <xf numFmtId="0" fontId="12" fillId="0" borderId="0" xfId="0" applyFont="1"/>
    <xf numFmtId="3" fontId="12" fillId="0" borderId="0" xfId="1" applyNumberFormat="1" applyFont="1" applyBorder="1" applyAlignment="1">
      <alignment horizontal="right"/>
    </xf>
    <xf numFmtId="3" fontId="12" fillId="0" borderId="2" xfId="1" applyNumberFormat="1" applyFont="1" applyBorder="1" applyAlignment="1">
      <alignment horizontal="right"/>
    </xf>
    <xf numFmtId="3" fontId="12" fillId="3" borderId="0" xfId="1" applyNumberFormat="1" applyFont="1" applyFill="1" applyAlignment="1">
      <alignment horizontal="right"/>
    </xf>
    <xf numFmtId="0" fontId="13" fillId="0" borderId="0" xfId="0" applyFont="1" applyAlignment="1">
      <alignment horizontal="left"/>
    </xf>
    <xf numFmtId="168" fontId="0" fillId="0" borderId="0" xfId="1" applyNumberFormat="1" applyFont="1" applyAlignment="1">
      <alignment horizontal="right"/>
    </xf>
    <xf numFmtId="10" fontId="0" fillId="0" borderId="0" xfId="2" applyNumberFormat="1" applyFont="1"/>
    <xf numFmtId="3" fontId="14" fillId="0" borderId="0" xfId="0" applyNumberFormat="1" applyFont="1" applyAlignment="1">
      <alignment horizontal="left"/>
    </xf>
    <xf numFmtId="4" fontId="12" fillId="0" borderId="0" xfId="1" applyNumberFormat="1" applyFont="1" applyBorder="1" applyAlignment="1">
      <alignment horizontal="right"/>
    </xf>
    <xf numFmtId="4" fontId="12" fillId="0" borderId="2" xfId="1" applyNumberFormat="1" applyFont="1" applyBorder="1" applyAlignment="1">
      <alignment horizontal="right"/>
    </xf>
    <xf numFmtId="4" fontId="12" fillId="3" borderId="0" xfId="1" applyNumberFormat="1" applyFont="1" applyFill="1" applyAlignment="1">
      <alignment horizontal="right"/>
    </xf>
    <xf numFmtId="170" fontId="13" fillId="0" borderId="0" xfId="4" applyNumberFormat="1" applyFont="1" applyAlignment="1">
      <alignment horizontal="left"/>
    </xf>
    <xf numFmtId="0" fontId="4" fillId="0" borderId="0" xfId="0" applyFont="1" applyAlignment="1">
      <alignment horizontal="left" indent="1"/>
    </xf>
    <xf numFmtId="0" fontId="4" fillId="0" borderId="0" xfId="0" applyFont="1" applyAlignment="1">
      <alignment horizontal="right"/>
    </xf>
    <xf numFmtId="0" fontId="0" fillId="0" borderId="0" xfId="0" applyAlignment="1">
      <alignment horizontal="left" indent="1"/>
    </xf>
    <xf numFmtId="0" fontId="0" fillId="0" borderId="0" xfId="0" applyAlignment="1">
      <alignment horizontal="right"/>
    </xf>
    <xf numFmtId="3" fontId="0" fillId="0" borderId="0" xfId="0" applyNumberFormat="1"/>
    <xf numFmtId="0" fontId="5" fillId="2" borderId="4" xfId="0" applyFont="1" applyFill="1" applyBorder="1" applyAlignment="1">
      <alignment horizontal="center"/>
    </xf>
    <xf numFmtId="165" fontId="17" fillId="0" borderId="4" xfId="0" applyNumberFormat="1" applyFont="1" applyBorder="1" applyAlignment="1">
      <alignment horizontal="center"/>
    </xf>
    <xf numFmtId="166" fontId="17" fillId="3" borderId="4" xfId="0" applyNumberFormat="1" applyFont="1" applyFill="1" applyBorder="1" applyAlignment="1">
      <alignment horizontal="center"/>
    </xf>
    <xf numFmtId="170" fontId="13" fillId="4" borderId="0" xfId="4" applyNumberFormat="1" applyFont="1" applyFill="1" applyAlignment="1">
      <alignment horizontal="left"/>
    </xf>
    <xf numFmtId="10" fontId="0" fillId="0" borderId="0" xfId="0" applyNumberFormat="1"/>
    <xf numFmtId="0" fontId="14" fillId="0" borderId="0" xfId="0" applyFont="1" applyAlignment="1">
      <alignment horizontal="left"/>
    </xf>
    <xf numFmtId="43" fontId="0" fillId="0" borderId="0" xfId="0" applyNumberFormat="1"/>
    <xf numFmtId="0" fontId="0" fillId="0" borderId="0" xfId="0" applyAlignment="1">
      <alignment indent="1"/>
    </xf>
    <xf numFmtId="0" fontId="0" fillId="0" borderId="8" xfId="0" applyBorder="1" applyAlignment="1">
      <alignment horizontal="left" indent="1"/>
    </xf>
    <xf numFmtId="0" fontId="0" fillId="0" borderId="9" xfId="0" applyBorder="1"/>
    <xf numFmtId="0" fontId="0" fillId="0" borderId="8" xfId="0" applyBorder="1"/>
    <xf numFmtId="1" fontId="0" fillId="0" borderId="0" xfId="0" applyNumberFormat="1"/>
    <xf numFmtId="0" fontId="19" fillId="0" borderId="9" xfId="0" applyFont="1" applyBorder="1"/>
    <xf numFmtId="0" fontId="14" fillId="0" borderId="9" xfId="0" applyFont="1" applyBorder="1"/>
    <xf numFmtId="0" fontId="14" fillId="0" borderId="9" xfId="0" applyFont="1" applyBorder="1" applyAlignment="1">
      <alignment horizontal="center"/>
    </xf>
    <xf numFmtId="0" fontId="20" fillId="0" borderId="0" xfId="5" applyFont="1" applyAlignment="1">
      <alignment vertical="center"/>
    </xf>
    <xf numFmtId="0" fontId="15" fillId="0" borderId="0" xfId="5" applyAlignment="1">
      <alignment vertical="center"/>
    </xf>
    <xf numFmtId="0" fontId="0" fillId="0" borderId="11" xfId="0" applyBorder="1" applyAlignment="1">
      <alignment horizontal="left" indent="1"/>
    </xf>
    <xf numFmtId="14" fontId="4" fillId="0" borderId="11" xfId="0" applyNumberFormat="1" applyFont="1" applyBorder="1"/>
    <xf numFmtId="0" fontId="4" fillId="0" borderId="11" xfId="0" applyFont="1" applyBorder="1" applyAlignment="1">
      <alignment horizontal="left" indent="1"/>
    </xf>
    <xf numFmtId="14" fontId="0" fillId="0" borderId="11" xfId="0" applyNumberFormat="1" applyBorder="1"/>
    <xf numFmtId="173" fontId="4" fillId="9" borderId="0" xfId="0" applyNumberFormat="1" applyFont="1" applyFill="1"/>
    <xf numFmtId="0" fontId="4" fillId="6" borderId="0" xfId="0" applyFont="1" applyFill="1" applyAlignment="1">
      <alignment horizontal="right"/>
    </xf>
    <xf numFmtId="9" fontId="4" fillId="10" borderId="0" xfId="0" applyNumberFormat="1" applyFont="1" applyFill="1" applyAlignment="1">
      <alignment horizontal="right"/>
    </xf>
    <xf numFmtId="0" fontId="7" fillId="2" borderId="0" xfId="0" applyFont="1" applyFill="1"/>
    <xf numFmtId="0" fontId="14" fillId="11" borderId="0" xfId="0" applyFont="1" applyFill="1"/>
    <xf numFmtId="0" fontId="15" fillId="0" borderId="3" xfId="5" applyBorder="1" applyAlignment="1">
      <alignment vertical="center"/>
    </xf>
    <xf numFmtId="0" fontId="20" fillId="0" borderId="3" xfId="5" applyFont="1" applyBorder="1" applyAlignment="1">
      <alignment vertical="center"/>
    </xf>
    <xf numFmtId="0" fontId="21" fillId="2" borderId="0" xfId="0" applyFont="1" applyFill="1"/>
    <xf numFmtId="1" fontId="7" fillId="2" borderId="0" xfId="0" applyNumberFormat="1" applyFont="1" applyFill="1"/>
    <xf numFmtId="1" fontId="7" fillId="2" borderId="0" xfId="0" applyNumberFormat="1" applyFont="1" applyFill="1" applyAlignment="1">
      <alignment horizontal="center"/>
    </xf>
    <xf numFmtId="1" fontId="22" fillId="2" borderId="0" xfId="0" applyNumberFormat="1" applyFont="1" applyFill="1"/>
    <xf numFmtId="0" fontId="14" fillId="11" borderId="0" xfId="0" applyFont="1" applyFill="1" applyAlignment="1">
      <alignment horizontal="center"/>
    </xf>
    <xf numFmtId="0" fontId="10" fillId="0" borderId="0" xfId="3"/>
    <xf numFmtId="10" fontId="0" fillId="3" borderId="0" xfId="2" applyNumberFormat="1" applyFont="1" applyFill="1"/>
    <xf numFmtId="2" fontId="0" fillId="3" borderId="0" xfId="2" applyNumberFormat="1" applyFont="1" applyFill="1"/>
    <xf numFmtId="10" fontId="0" fillId="0" borderId="0" xfId="2" applyNumberFormat="1" applyFont="1" applyAlignment="1">
      <alignment horizontal="center"/>
    </xf>
    <xf numFmtId="170" fontId="0" fillId="0" borderId="0" xfId="2" applyNumberFormat="1" applyFont="1"/>
    <xf numFmtId="10" fontId="4" fillId="0" borderId="0" xfId="2" applyNumberFormat="1" applyFont="1" applyFill="1"/>
    <xf numFmtId="10" fontId="4" fillId="0" borderId="0" xfId="2" applyNumberFormat="1" applyFont="1" applyAlignment="1">
      <alignment horizontal="center"/>
    </xf>
    <xf numFmtId="170" fontId="4" fillId="0" borderId="0" xfId="2" applyNumberFormat="1" applyFont="1"/>
    <xf numFmtId="0" fontId="23" fillId="5" borderId="0" xfId="0" applyFont="1" applyFill="1"/>
    <xf numFmtId="0" fontId="14" fillId="5" borderId="0" xfId="0" applyFont="1" applyFill="1"/>
    <xf numFmtId="0" fontId="14" fillId="2" borderId="0" xfId="0" applyFont="1" applyFill="1"/>
    <xf numFmtId="0" fontId="0" fillId="0" borderId="0" xfId="0" applyAlignment="1">
      <alignment horizontal="left" vertical="center"/>
    </xf>
    <xf numFmtId="37" fontId="0" fillId="0" borderId="0" xfId="0" applyNumberFormat="1"/>
    <xf numFmtId="1" fontId="24" fillId="2" borderId="0" xfId="0" applyNumberFormat="1" applyFont="1" applyFill="1" applyAlignment="1">
      <alignment horizontal="center"/>
    </xf>
    <xf numFmtId="1" fontId="25" fillId="2" borderId="0" xfId="0" applyNumberFormat="1" applyFont="1" applyFill="1"/>
    <xf numFmtId="0" fontId="4" fillId="0" borderId="8" xfId="0" applyFont="1" applyBorder="1"/>
    <xf numFmtId="0" fontId="4" fillId="4" borderId="8" xfId="0" applyFont="1" applyFill="1" applyBorder="1"/>
    <xf numFmtId="3" fontId="4" fillId="3" borderId="8" xfId="0" applyNumberFormat="1" applyFont="1" applyFill="1" applyBorder="1" applyAlignment="1">
      <alignment horizontal="center"/>
    </xf>
    <xf numFmtId="9" fontId="4" fillId="0" borderId="8" xfId="0" applyNumberFormat="1" applyFont="1" applyBorder="1" applyAlignment="1">
      <alignment horizontal="center"/>
    </xf>
    <xf numFmtId="0" fontId="0" fillId="4" borderId="0" xfId="0" applyFill="1"/>
    <xf numFmtId="3" fontId="0" fillId="3" borderId="0" xfId="0" applyNumberFormat="1" applyFill="1" applyAlignment="1">
      <alignment horizontal="center"/>
    </xf>
    <xf numFmtId="9" fontId="0" fillId="0" borderId="0" xfId="0" applyNumberFormat="1" applyAlignment="1">
      <alignment horizontal="center"/>
    </xf>
    <xf numFmtId="10" fontId="0" fillId="0" borderId="0" xfId="0" applyNumberFormat="1" applyAlignment="1">
      <alignment horizontal="center"/>
    </xf>
    <xf numFmtId="0" fontId="0" fillId="4" borderId="8" xfId="0" quotePrefix="1" applyFill="1" applyBorder="1"/>
    <xf numFmtId="3" fontId="0" fillId="0" borderId="8" xfId="0" applyNumberFormat="1" applyBorder="1" applyAlignment="1">
      <alignment horizontal="center"/>
    </xf>
    <xf numFmtId="9" fontId="0" fillId="0" borderId="8" xfId="0" applyNumberFormat="1" applyBorder="1" applyAlignment="1">
      <alignment horizontal="center"/>
    </xf>
    <xf numFmtId="0" fontId="0" fillId="0" borderId="0" xfId="0" quotePrefix="1"/>
    <xf numFmtId="9" fontId="4" fillId="0" borderId="0" xfId="0" applyNumberFormat="1" applyFont="1" applyAlignment="1">
      <alignment horizontal="center"/>
    </xf>
    <xf numFmtId="0" fontId="26" fillId="0" borderId="0" xfId="0" applyFont="1"/>
    <xf numFmtId="0" fontId="4" fillId="0" borderId="0" xfId="0" applyFont="1" applyAlignment="1">
      <alignment horizontal="center"/>
    </xf>
    <xf numFmtId="0" fontId="0" fillId="3" borderId="0" xfId="0" applyFill="1" applyAlignment="1">
      <alignment horizontal="center"/>
    </xf>
    <xf numFmtId="37" fontId="0" fillId="3" borderId="0" xfId="0" applyNumberFormat="1" applyFill="1" applyAlignment="1">
      <alignment horizontal="center" vertical="center"/>
    </xf>
    <xf numFmtId="37" fontId="29" fillId="3" borderId="0" xfId="0" applyNumberFormat="1" applyFont="1" applyFill="1" applyAlignment="1">
      <alignment horizontal="center" vertical="center"/>
    </xf>
    <xf numFmtId="9" fontId="0" fillId="0" borderId="0" xfId="2" applyFont="1"/>
    <xf numFmtId="37" fontId="0" fillId="3" borderId="0" xfId="0" applyNumberFormat="1" applyFill="1"/>
    <xf numFmtId="170" fontId="4" fillId="0" borderId="0" xfId="2" applyNumberFormat="1" applyFont="1" applyFill="1"/>
    <xf numFmtId="37" fontId="4" fillId="0" borderId="0" xfId="0" applyNumberFormat="1" applyFont="1"/>
    <xf numFmtId="9" fontId="0" fillId="0" borderId="0" xfId="0" applyNumberFormat="1"/>
    <xf numFmtId="9" fontId="0" fillId="0" borderId="0" xfId="2" applyFont="1" applyFill="1"/>
    <xf numFmtId="0" fontId="23" fillId="5" borderId="0" xfId="0" applyFont="1" applyFill="1" applyAlignment="1">
      <alignment horizontal="center"/>
    </xf>
    <xf numFmtId="0" fontId="14" fillId="5" borderId="0" xfId="0" applyFont="1" applyFill="1" applyAlignment="1">
      <alignment horizontal="center"/>
    </xf>
    <xf numFmtId="0" fontId="14" fillId="2" borderId="0" xfId="0" applyFont="1" applyFill="1" applyAlignment="1">
      <alignment horizontal="center"/>
    </xf>
    <xf numFmtId="10" fontId="0" fillId="0" borderId="0" xfId="2" applyNumberFormat="1" applyFont="1" applyFill="1" applyAlignment="1">
      <alignment horizontal="center"/>
    </xf>
    <xf numFmtId="1" fontId="7" fillId="2" borderId="4" xfId="0" applyNumberFormat="1" applyFont="1" applyFill="1" applyBorder="1"/>
    <xf numFmtId="166" fontId="7" fillId="2" borderId="0" xfId="0" applyNumberFormat="1" applyFont="1" applyFill="1"/>
    <xf numFmtId="0" fontId="14" fillId="11" borderId="4" xfId="0" applyFont="1" applyFill="1" applyBorder="1"/>
    <xf numFmtId="37" fontId="0" fillId="3" borderId="17" xfId="0" applyNumberFormat="1" applyFill="1" applyBorder="1"/>
    <xf numFmtId="1" fontId="0" fillId="0" borderId="0" xfId="2" applyNumberFormat="1" applyFont="1" applyAlignment="1">
      <alignment horizontal="right"/>
    </xf>
    <xf numFmtId="170" fontId="0" fillId="0" borderId="0" xfId="2" applyNumberFormat="1" applyFont="1" applyFill="1"/>
    <xf numFmtId="170" fontId="0" fillId="0" borderId="0" xfId="2" applyNumberFormat="1" applyFont="1" applyBorder="1"/>
    <xf numFmtId="170" fontId="0" fillId="0" borderId="4" xfId="2" applyNumberFormat="1" applyFont="1" applyFill="1" applyBorder="1"/>
    <xf numFmtId="170" fontId="0" fillId="3" borderId="0" xfId="2" applyNumberFormat="1" applyFont="1" applyFill="1"/>
    <xf numFmtId="170" fontId="0" fillId="0" borderId="17" xfId="2" applyNumberFormat="1" applyFont="1" applyBorder="1"/>
    <xf numFmtId="37" fontId="0" fillId="3" borderId="4" xfId="0" applyNumberFormat="1" applyFill="1" applyBorder="1"/>
    <xf numFmtId="37" fontId="4" fillId="0" borderId="4" xfId="0" applyNumberFormat="1" applyFont="1" applyBorder="1"/>
    <xf numFmtId="0" fontId="0" fillId="0" borderId="0" xfId="0" applyAlignment="1">
      <alignment vertical="center"/>
    </xf>
    <xf numFmtId="0" fontId="0" fillId="2" borderId="0" xfId="0" applyFill="1"/>
    <xf numFmtId="0" fontId="6" fillId="2" borderId="0" xfId="0" applyFont="1" applyFill="1" applyAlignment="1">
      <alignment horizontal="right"/>
    </xf>
    <xf numFmtId="0" fontId="5" fillId="11" borderId="0" xfId="0" applyFont="1" applyFill="1"/>
    <xf numFmtId="0" fontId="6" fillId="11" borderId="0" xfId="0" applyFont="1" applyFill="1"/>
    <xf numFmtId="0" fontId="0" fillId="11" borderId="0" xfId="0" applyFill="1"/>
    <xf numFmtId="0" fontId="6" fillId="11" borderId="0" xfId="0" applyFont="1" applyFill="1" applyAlignment="1">
      <alignment horizontal="right"/>
    </xf>
    <xf numFmtId="0" fontId="6" fillId="5" borderId="0" xfId="0" applyFont="1" applyFill="1" applyAlignment="1">
      <alignment horizontal="right"/>
    </xf>
    <xf numFmtId="0" fontId="8" fillId="0" borderId="0" xfId="0" applyFont="1"/>
    <xf numFmtId="175" fontId="0" fillId="0" borderId="0" xfId="9" applyNumberFormat="1" applyFont="1" applyFill="1" applyAlignment="1">
      <alignment horizontal="right"/>
    </xf>
    <xf numFmtId="10" fontId="29" fillId="4" borderId="0" xfId="0" applyNumberFormat="1" applyFont="1" applyFill="1"/>
    <xf numFmtId="10" fontId="33" fillId="3" borderId="0" xfId="0" applyNumberFormat="1" applyFont="1" applyFill="1"/>
    <xf numFmtId="10" fontId="0" fillId="3" borderId="24" xfId="2" applyNumberFormat="1" applyFont="1" applyFill="1" applyBorder="1"/>
    <xf numFmtId="2" fontId="0" fillId="0" borderId="0" xfId="0" applyNumberFormat="1"/>
    <xf numFmtId="3" fontId="0" fillId="3" borderId="24" xfId="0" applyNumberFormat="1" applyFill="1" applyBorder="1"/>
    <xf numFmtId="10" fontId="4" fillId="0" borderId="0" xfId="2" applyNumberFormat="1" applyFont="1"/>
    <xf numFmtId="0" fontId="14" fillId="0" borderId="0" xfId="0" applyFont="1"/>
    <xf numFmtId="0" fontId="21" fillId="0" borderId="0" xfId="0" applyFont="1"/>
    <xf numFmtId="0" fontId="7" fillId="11" borderId="0" xfId="0" applyFont="1" applyFill="1"/>
    <xf numFmtId="0" fontId="21" fillId="11" borderId="0" xfId="0" applyFont="1" applyFill="1"/>
    <xf numFmtId="0" fontId="35" fillId="0" borderId="0" xfId="0" applyFont="1"/>
    <xf numFmtId="0" fontId="13" fillId="0" borderId="0" xfId="0" applyFont="1"/>
    <xf numFmtId="0" fontId="14" fillId="0" borderId="0" xfId="0" applyFont="1" applyAlignment="1">
      <alignment wrapText="1"/>
    </xf>
    <xf numFmtId="10" fontId="14" fillId="0" borderId="0" xfId="0" applyNumberFormat="1" applyFont="1"/>
    <xf numFmtId="9" fontId="13" fillId="0" borderId="0" xfId="2" applyFont="1"/>
    <xf numFmtId="10" fontId="13" fillId="0" borderId="0" xfId="2" applyNumberFormat="1" applyFont="1" applyFill="1" applyBorder="1" applyAlignment="1">
      <alignment horizontal="center"/>
    </xf>
    <xf numFmtId="43" fontId="13" fillId="0" borderId="0" xfId="0" applyNumberFormat="1" applyFont="1"/>
    <xf numFmtId="165" fontId="7" fillId="2" borderId="0" xfId="0" applyNumberFormat="1" applyFont="1" applyFill="1"/>
    <xf numFmtId="165" fontId="7" fillId="2" borderId="26" xfId="0" applyNumberFormat="1" applyFont="1" applyFill="1" applyBorder="1"/>
    <xf numFmtId="0" fontId="14" fillId="5" borderId="26" xfId="0" applyFont="1" applyFill="1" applyBorder="1"/>
    <xf numFmtId="3" fontId="38" fillId="0" borderId="0" xfId="0" applyNumberFormat="1" applyFont="1"/>
    <xf numFmtId="3" fontId="38" fillId="0" borderId="26" xfId="0" applyNumberFormat="1" applyFont="1" applyBorder="1"/>
    <xf numFmtId="3" fontId="13" fillId="0" borderId="0" xfId="0" applyNumberFormat="1" applyFont="1"/>
    <xf numFmtId="3" fontId="36" fillId="5" borderId="0" xfId="0" applyNumberFormat="1" applyFont="1" applyFill="1"/>
    <xf numFmtId="0" fontId="40" fillId="0" borderId="0" xfId="0" applyFont="1"/>
    <xf numFmtId="4" fontId="37" fillId="0" borderId="0" xfId="0" applyNumberFormat="1" applyFont="1"/>
    <xf numFmtId="4" fontId="37" fillId="0" borderId="26" xfId="0" applyNumberFormat="1" applyFont="1" applyBorder="1"/>
    <xf numFmtId="4" fontId="36" fillId="5" borderId="0" xfId="0" applyNumberFormat="1" applyFont="1" applyFill="1"/>
    <xf numFmtId="4" fontId="38" fillId="0" borderId="0" xfId="0" applyNumberFormat="1" applyFont="1"/>
    <xf numFmtId="4" fontId="38" fillId="0" borderId="26" xfId="0" applyNumberFormat="1" applyFont="1" applyBorder="1"/>
    <xf numFmtId="2" fontId="13" fillId="0" borderId="0" xfId="0" applyNumberFormat="1" applyFont="1"/>
    <xf numFmtId="170" fontId="36" fillId="5" borderId="0" xfId="0" applyNumberFormat="1" applyFont="1" applyFill="1"/>
    <xf numFmtId="3" fontId="14" fillId="0" borderId="0" xfId="0" applyNumberFormat="1" applyFont="1"/>
    <xf numFmtId="3" fontId="14" fillId="0" borderId="26" xfId="0" applyNumberFormat="1" applyFont="1" applyBorder="1"/>
    <xf numFmtId="3" fontId="13" fillId="0" borderId="26" xfId="0" applyNumberFormat="1" applyFont="1" applyBorder="1"/>
    <xf numFmtId="0" fontId="41" fillId="0" borderId="0" xfId="0" applyFont="1"/>
    <xf numFmtId="0" fontId="14" fillId="0" borderId="26" xfId="0" applyFont="1" applyBorder="1"/>
    <xf numFmtId="166" fontId="7" fillId="0" borderId="0" xfId="0" applyNumberFormat="1" applyFont="1"/>
    <xf numFmtId="0" fontId="42" fillId="0" borderId="0" xfId="0" applyFont="1"/>
    <xf numFmtId="172" fontId="38" fillId="0" borderId="0" xfId="1" applyNumberFormat="1" applyFont="1" applyFill="1"/>
    <xf numFmtId="172" fontId="13" fillId="0" borderId="0" xfId="1" applyNumberFormat="1" applyFont="1" applyFill="1"/>
    <xf numFmtId="0" fontId="43" fillId="0" borderId="0" xfId="0" applyFont="1"/>
    <xf numFmtId="170" fontId="13" fillId="0" borderId="0" xfId="2" applyNumberFormat="1" applyFont="1" applyFill="1"/>
    <xf numFmtId="170" fontId="14" fillId="0" borderId="0" xfId="2" applyNumberFormat="1" applyFont="1" applyFill="1"/>
    <xf numFmtId="170" fontId="14" fillId="0" borderId="17" xfId="2" applyNumberFormat="1" applyFont="1" applyFill="1" applyBorder="1"/>
    <xf numFmtId="170" fontId="13" fillId="0" borderId="0" xfId="2" applyNumberFormat="1" applyFont="1" applyFill="1" applyBorder="1"/>
    <xf numFmtId="172" fontId="13" fillId="0" borderId="0" xfId="1" applyNumberFormat="1" applyFont="1" applyFill="1" applyBorder="1"/>
    <xf numFmtId="0" fontId="14" fillId="0" borderId="17" xfId="0" applyFont="1" applyBorder="1"/>
    <xf numFmtId="9" fontId="13" fillId="0" borderId="0" xfId="2" applyFont="1" applyFill="1" applyBorder="1"/>
    <xf numFmtId="170" fontId="36" fillId="0" borderId="0" xfId="2" applyNumberFormat="1" applyFont="1" applyFill="1"/>
    <xf numFmtId="37" fontId="13" fillId="0" borderId="0" xfId="1" applyNumberFormat="1" applyFont="1" applyFill="1" applyAlignment="1">
      <alignment wrapText="1"/>
    </xf>
    <xf numFmtId="170" fontId="14" fillId="0" borderId="26" xfId="2" applyNumberFormat="1" applyFont="1" applyFill="1" applyBorder="1"/>
    <xf numFmtId="165" fontId="7" fillId="2" borderId="17" xfId="0" applyNumberFormat="1" applyFont="1" applyFill="1" applyBorder="1"/>
    <xf numFmtId="0" fontId="43" fillId="11" borderId="0" xfId="0" applyFont="1" applyFill="1"/>
    <xf numFmtId="0" fontId="14" fillId="11" borderId="17" xfId="0" applyFont="1" applyFill="1" applyBorder="1"/>
    <xf numFmtId="37" fontId="38" fillId="0" borderId="0" xfId="1" applyNumberFormat="1" applyFont="1" applyFill="1" applyAlignment="1">
      <alignment wrapText="1"/>
    </xf>
    <xf numFmtId="37" fontId="38" fillId="0" borderId="17" xfId="1" applyNumberFormat="1" applyFont="1" applyFill="1" applyBorder="1"/>
    <xf numFmtId="172" fontId="14" fillId="0" borderId="0" xfId="0" applyNumberFormat="1" applyFont="1"/>
    <xf numFmtId="3" fontId="36" fillId="0" borderId="0" xfId="0" applyNumberFormat="1" applyFont="1"/>
    <xf numFmtId="3" fontId="36" fillId="0" borderId="17" xfId="0" applyNumberFormat="1" applyFont="1" applyBorder="1"/>
    <xf numFmtId="170" fontId="13" fillId="0" borderId="0" xfId="0" applyNumberFormat="1" applyFont="1"/>
    <xf numFmtId="0" fontId="38" fillId="11" borderId="0" xfId="0" applyFont="1" applyFill="1"/>
    <xf numFmtId="0" fontId="38" fillId="11" borderId="17" xfId="0" applyFont="1" applyFill="1" applyBorder="1"/>
    <xf numFmtId="172" fontId="37" fillId="0" borderId="0" xfId="1" applyNumberFormat="1" applyFont="1" applyFill="1"/>
    <xf numFmtId="172" fontId="13" fillId="0" borderId="17" xfId="1" applyNumberFormat="1" applyFont="1" applyFill="1" applyBorder="1"/>
    <xf numFmtId="172" fontId="14" fillId="0" borderId="0" xfId="1" applyNumberFormat="1" applyFont="1" applyFill="1"/>
    <xf numFmtId="170" fontId="14" fillId="0" borderId="0" xfId="2" applyNumberFormat="1" applyFont="1"/>
    <xf numFmtId="0" fontId="14" fillId="0" borderId="31" xfId="0" applyFont="1" applyBorder="1"/>
    <xf numFmtId="0" fontId="14" fillId="0" borderId="32" xfId="0" applyFont="1" applyBorder="1"/>
    <xf numFmtId="172" fontId="14" fillId="0" borderId="32" xfId="0" applyNumberFormat="1" applyFont="1" applyBorder="1"/>
    <xf numFmtId="172" fontId="14" fillId="0" borderId="0" xfId="1" applyNumberFormat="1" applyFont="1" applyFill="1" applyBorder="1"/>
    <xf numFmtId="172" fontId="13" fillId="0" borderId="26" xfId="1" applyNumberFormat="1" applyFont="1" applyFill="1" applyBorder="1"/>
    <xf numFmtId="0" fontId="14" fillId="0" borderId="34" xfId="0" applyFont="1" applyBorder="1"/>
    <xf numFmtId="0" fontId="14" fillId="0" borderId="35" xfId="0" applyFont="1" applyBorder="1"/>
    <xf numFmtId="172" fontId="14" fillId="0" borderId="35" xfId="0" applyNumberFormat="1" applyFont="1" applyBorder="1"/>
    <xf numFmtId="172" fontId="14" fillId="0" borderId="36" xfId="0" applyNumberFormat="1" applyFont="1" applyBorder="1"/>
    <xf numFmtId="0" fontId="14" fillId="0" borderId="37" xfId="0" applyFont="1" applyBorder="1"/>
    <xf numFmtId="0" fontId="14" fillId="0" borderId="7" xfId="0" applyFont="1" applyBorder="1"/>
    <xf numFmtId="0" fontId="14" fillId="0" borderId="38" xfId="0" applyFont="1" applyBorder="1"/>
    <xf numFmtId="172" fontId="14" fillId="0" borderId="7" xfId="0" applyNumberFormat="1" applyFont="1" applyBorder="1"/>
    <xf numFmtId="172" fontId="14" fillId="0" borderId="39" xfId="0" applyNumberFormat="1" applyFont="1" applyBorder="1"/>
    <xf numFmtId="2" fontId="14" fillId="0" borderId="0" xfId="0" applyNumberFormat="1" applyFont="1"/>
    <xf numFmtId="14" fontId="21" fillId="0" borderId="0" xfId="0" applyNumberFormat="1" applyFont="1"/>
    <xf numFmtId="0" fontId="21" fillId="0" borderId="26" xfId="0" applyFont="1" applyBorder="1"/>
    <xf numFmtId="172" fontId="37" fillId="0" borderId="0" xfId="1" applyNumberFormat="1" applyFont="1"/>
    <xf numFmtId="14" fontId="14" fillId="0" borderId="0" xfId="0" applyNumberFormat="1" applyFont="1"/>
    <xf numFmtId="172" fontId="14" fillId="0" borderId="0" xfId="1" applyNumberFormat="1" applyFont="1"/>
    <xf numFmtId="0" fontId="37" fillId="0" borderId="0" xfId="0" applyFont="1"/>
    <xf numFmtId="0" fontId="33" fillId="0" borderId="0" xfId="0" applyFont="1"/>
    <xf numFmtId="172" fontId="14" fillId="4" borderId="0" xfId="0" applyNumberFormat="1" applyFont="1" applyFill="1"/>
    <xf numFmtId="43" fontId="14" fillId="0" borderId="0" xfId="0" applyNumberFormat="1" applyFont="1"/>
    <xf numFmtId="176" fontId="14" fillId="0" borderId="0" xfId="0" applyNumberFormat="1" applyFont="1"/>
    <xf numFmtId="0" fontId="42" fillId="0" borderId="26" xfId="0" applyFont="1" applyBorder="1"/>
    <xf numFmtId="10" fontId="42" fillId="0" borderId="0" xfId="0" applyNumberFormat="1" applyFont="1"/>
    <xf numFmtId="0" fontId="14" fillId="11" borderId="26" xfId="0" applyFont="1" applyFill="1" applyBorder="1"/>
    <xf numFmtId="172" fontId="14" fillId="0" borderId="26" xfId="0" applyNumberFormat="1" applyFont="1" applyBorder="1"/>
    <xf numFmtId="37" fontId="14" fillId="0" borderId="0" xfId="0" applyNumberFormat="1" applyFont="1"/>
    <xf numFmtId="37" fontId="14" fillId="0" borderId="26" xfId="0" applyNumberFormat="1" applyFont="1" applyBorder="1"/>
    <xf numFmtId="9" fontId="14" fillId="0" borderId="0" xfId="0" applyNumberFormat="1" applyFont="1"/>
    <xf numFmtId="9" fontId="14" fillId="0" borderId="26" xfId="0" applyNumberFormat="1" applyFont="1" applyBorder="1"/>
    <xf numFmtId="9" fontId="36" fillId="0" borderId="0" xfId="0" applyNumberFormat="1" applyFont="1"/>
    <xf numFmtId="172" fontId="14" fillId="0" borderId="0" xfId="0" applyNumberFormat="1" applyFont="1" applyAlignment="1">
      <alignment horizontal="left"/>
    </xf>
    <xf numFmtId="0" fontId="14" fillId="0" borderId="40" xfId="0" applyFont="1" applyBorder="1"/>
    <xf numFmtId="0" fontId="14" fillId="0" borderId="41" xfId="0" applyFont="1" applyBorder="1"/>
    <xf numFmtId="0" fontId="14" fillId="0" borderId="42" xfId="0" applyFont="1" applyBorder="1"/>
    <xf numFmtId="172" fontId="14" fillId="0" borderId="41" xfId="0" applyNumberFormat="1" applyFont="1" applyBorder="1"/>
    <xf numFmtId="9" fontId="42" fillId="0" borderId="0" xfId="0" applyNumberFormat="1" applyFont="1"/>
    <xf numFmtId="0" fontId="14" fillId="0" borderId="9" xfId="0" applyFont="1" applyBorder="1" applyAlignment="1">
      <alignment horizontal="right"/>
    </xf>
    <xf numFmtId="0" fontId="24" fillId="2" borderId="0" xfId="0" applyFont="1" applyFill="1"/>
    <xf numFmtId="1" fontId="7" fillId="2" borderId="0" xfId="0" applyNumberFormat="1" applyFont="1" applyFill="1" applyAlignment="1">
      <alignment horizontal="right"/>
    </xf>
    <xf numFmtId="0" fontId="14" fillId="11" borderId="0" xfId="0" applyFont="1" applyFill="1" applyAlignment="1">
      <alignment horizontal="right"/>
    </xf>
    <xf numFmtId="37" fontId="29" fillId="3" borderId="0" xfId="0" applyNumberFormat="1" applyFont="1" applyFill="1" applyAlignment="1">
      <alignment horizontal="right"/>
    </xf>
    <xf numFmtId="37" fontId="4" fillId="4" borderId="0" xfId="0" applyNumberFormat="1" applyFont="1" applyFill="1" applyAlignment="1">
      <alignment horizontal="right"/>
    </xf>
    <xf numFmtId="37" fontId="4" fillId="0" borderId="0" xfId="0" applyNumberFormat="1" applyFont="1" applyAlignment="1">
      <alignment horizontal="right"/>
    </xf>
    <xf numFmtId="39" fontId="44" fillId="3" borderId="0" xfId="0" applyNumberFormat="1" applyFont="1" applyFill="1" applyAlignment="1">
      <alignment horizontal="right"/>
    </xf>
    <xf numFmtId="9" fontId="14" fillId="11" borderId="0" xfId="2" applyFont="1" applyFill="1" applyBorder="1"/>
    <xf numFmtId="9" fontId="14" fillId="11" borderId="0" xfId="2" applyFont="1" applyFill="1" applyBorder="1" applyAlignment="1">
      <alignment horizontal="right"/>
    </xf>
    <xf numFmtId="37" fontId="8" fillId="4" borderId="8" xfId="0" applyNumberFormat="1" applyFont="1" applyFill="1" applyBorder="1" applyAlignment="1">
      <alignment horizontal="right"/>
    </xf>
    <xf numFmtId="10" fontId="4" fillId="0" borderId="8" xfId="2" applyNumberFormat="1" applyFont="1" applyBorder="1" applyAlignment="1">
      <alignment horizontal="center"/>
    </xf>
    <xf numFmtId="37" fontId="8" fillId="4" borderId="0" xfId="0" applyNumberFormat="1" applyFont="1" applyFill="1" applyAlignment="1">
      <alignment horizontal="right"/>
    </xf>
    <xf numFmtId="37" fontId="44" fillId="3" borderId="0" xfId="0" applyNumberFormat="1" applyFont="1" applyFill="1" applyAlignment="1">
      <alignment horizontal="right"/>
    </xf>
    <xf numFmtId="0" fontId="4" fillId="0" borderId="20" xfId="0" applyFont="1" applyBorder="1"/>
    <xf numFmtId="37" fontId="4" fillId="0" borderId="20" xfId="0" applyNumberFormat="1" applyFont="1" applyBorder="1" applyAlignment="1">
      <alignment horizontal="right"/>
    </xf>
    <xf numFmtId="37" fontId="8" fillId="0" borderId="8" xfId="0" applyNumberFormat="1" applyFont="1" applyBorder="1" applyAlignment="1">
      <alignment horizontal="right"/>
    </xf>
    <xf numFmtId="37" fontId="0" fillId="0" borderId="0" xfId="0" applyNumberFormat="1" applyAlignment="1">
      <alignment horizontal="right"/>
    </xf>
    <xf numFmtId="2" fontId="0" fillId="0" borderId="0" xfId="0" applyNumberFormat="1" applyAlignment="1">
      <alignment horizontal="right"/>
    </xf>
    <xf numFmtId="0" fontId="33" fillId="3" borderId="0" xfId="0" applyFont="1" applyFill="1" applyAlignment="1">
      <alignment horizontal="right"/>
    </xf>
    <xf numFmtId="172" fontId="0" fillId="0" borderId="0" xfId="0" applyNumberFormat="1" applyAlignment="1">
      <alignment horizontal="right"/>
    </xf>
    <xf numFmtId="0" fontId="7" fillId="2" borderId="0" xfId="0" applyFont="1" applyFill="1" applyAlignment="1">
      <alignment horizontal="right"/>
    </xf>
    <xf numFmtId="0" fontId="14" fillId="0" borderId="0" xfId="0" applyFont="1" applyAlignment="1">
      <alignment horizontal="center"/>
    </xf>
    <xf numFmtId="0" fontId="14" fillId="4" borderId="0" xfId="0" applyFont="1" applyFill="1"/>
    <xf numFmtId="0" fontId="19" fillId="0" borderId="9" xfId="10" applyFont="1" applyBorder="1" applyAlignment="1">
      <alignment horizontal="left"/>
    </xf>
    <xf numFmtId="0" fontId="31" fillId="0" borderId="9" xfId="10" applyFont="1" applyBorder="1"/>
    <xf numFmtId="0" fontId="0" fillId="0" borderId="9" xfId="10" applyFont="1" applyBorder="1" applyAlignment="1">
      <alignment horizontal="right"/>
    </xf>
    <xf numFmtId="0" fontId="14" fillId="11" borderId="0" xfId="0" applyFont="1" applyFill="1" applyAlignment="1">
      <alignment horizontal="left"/>
    </xf>
    <xf numFmtId="170" fontId="13" fillId="0" borderId="0" xfId="4" applyNumberFormat="1" applyFont="1" applyFill="1" applyBorder="1" applyAlignment="1">
      <alignment horizontal="left"/>
    </xf>
    <xf numFmtId="170" fontId="39" fillId="0" borderId="0" xfId="4" applyNumberFormat="1" applyFont="1" applyFill="1" applyBorder="1" applyAlignment="1">
      <alignment horizontal="left"/>
    </xf>
    <xf numFmtId="0" fontId="14" fillId="0" borderId="0" xfId="0" applyFont="1" applyAlignment="1">
      <alignment horizontal="right"/>
    </xf>
    <xf numFmtId="170" fontId="13" fillId="4" borderId="0" xfId="4" applyNumberFormat="1" applyFont="1" applyFill="1" applyBorder="1" applyAlignment="1">
      <alignment horizontal="left"/>
    </xf>
    <xf numFmtId="10" fontId="0" fillId="0" borderId="0" xfId="2" applyNumberFormat="1" applyFont="1" applyAlignment="1">
      <alignment horizontal="right"/>
    </xf>
    <xf numFmtId="10" fontId="14" fillId="0" borderId="0" xfId="0" applyNumberFormat="1" applyFont="1" applyAlignment="1">
      <alignment horizontal="right"/>
    </xf>
    <xf numFmtId="39" fontId="0" fillId="0" borderId="0" xfId="1" applyNumberFormat="1" applyFont="1" applyAlignment="1">
      <alignment horizontal="right"/>
    </xf>
    <xf numFmtId="0" fontId="0" fillId="0" borderId="0" xfId="0" quotePrefix="1" applyAlignment="1">
      <alignment horizontal="right"/>
    </xf>
    <xf numFmtId="37" fontId="44" fillId="3" borderId="8" xfId="0" applyNumberFormat="1" applyFont="1" applyFill="1" applyBorder="1" applyAlignment="1">
      <alignment horizontal="right"/>
    </xf>
    <xf numFmtId="37" fontId="8" fillId="0" borderId="0" xfId="0" applyNumberFormat="1" applyFont="1" applyAlignment="1">
      <alignment horizontal="right"/>
    </xf>
    <xf numFmtId="0" fontId="26" fillId="0" borderId="0" xfId="0" applyFont="1" applyAlignment="1">
      <alignment horizontal="left" indent="1"/>
    </xf>
    <xf numFmtId="37" fontId="47" fillId="3" borderId="0" xfId="0" applyNumberFormat="1" applyFont="1" applyFill="1" applyAlignment="1">
      <alignment horizontal="right"/>
    </xf>
    <xf numFmtId="37" fontId="48" fillId="4" borderId="0" xfId="0" applyNumberFormat="1" applyFont="1" applyFill="1" applyAlignment="1">
      <alignment horizontal="right"/>
    </xf>
    <xf numFmtId="0" fontId="4" fillId="0" borderId="19" xfId="0" applyFont="1" applyBorder="1"/>
    <xf numFmtId="37" fontId="44" fillId="3" borderId="19" xfId="0" applyNumberFormat="1" applyFont="1" applyFill="1" applyBorder="1" applyAlignment="1">
      <alignment horizontal="right"/>
    </xf>
    <xf numFmtId="0" fontId="4" fillId="0" borderId="48" xfId="0" applyFont="1" applyBorder="1"/>
    <xf numFmtId="37" fontId="44" fillId="0" borderId="19" xfId="0" applyNumberFormat="1" applyFont="1" applyBorder="1" applyAlignment="1">
      <alignment horizontal="right"/>
    </xf>
    <xf numFmtId="0" fontId="0" fillId="0" borderId="48" xfId="0" applyBorder="1"/>
    <xf numFmtId="37" fontId="44" fillId="3" borderId="48" xfId="0" applyNumberFormat="1" applyFont="1" applyFill="1" applyBorder="1" applyAlignment="1">
      <alignment horizontal="right"/>
    </xf>
    <xf numFmtId="172" fontId="38" fillId="0" borderId="26" xfId="1" applyNumberFormat="1" applyFont="1" applyFill="1" applyBorder="1"/>
    <xf numFmtId="0" fontId="43" fillId="4" borderId="0" xfId="0" applyFont="1" applyFill="1"/>
    <xf numFmtId="170" fontId="14" fillId="4" borderId="0" xfId="2" applyNumberFormat="1" applyFont="1" applyFill="1"/>
    <xf numFmtId="170" fontId="14" fillId="4" borderId="17" xfId="2" applyNumberFormat="1" applyFont="1" applyFill="1" applyBorder="1"/>
    <xf numFmtId="170" fontId="36" fillId="4" borderId="0" xfId="2" applyNumberFormat="1" applyFont="1" applyFill="1"/>
    <xf numFmtId="9" fontId="13" fillId="4" borderId="0" xfId="2" applyFont="1" applyFill="1" applyBorder="1"/>
    <xf numFmtId="37" fontId="49" fillId="3" borderId="0" xfId="0" applyNumberFormat="1" applyFont="1" applyFill="1" applyAlignment="1">
      <alignment horizontal="right"/>
    </xf>
    <xf numFmtId="0" fontId="14" fillId="0" borderId="0" xfId="0" applyFont="1" applyAlignment="1">
      <alignment horizontal="left" indent="1"/>
    </xf>
    <xf numFmtId="0" fontId="50" fillId="0" borderId="0" xfId="0" applyFont="1"/>
    <xf numFmtId="0" fontId="50" fillId="0" borderId="0" xfId="0" applyFont="1" applyAlignment="1">
      <alignment horizontal="left"/>
    </xf>
    <xf numFmtId="170" fontId="50" fillId="0" borderId="0" xfId="2" applyNumberFormat="1" applyFont="1" applyFill="1"/>
    <xf numFmtId="170" fontId="50" fillId="0" borderId="0" xfId="1" applyNumberFormat="1" applyFont="1" applyFill="1"/>
    <xf numFmtId="170" fontId="50" fillId="0" borderId="17" xfId="1" applyNumberFormat="1" applyFont="1" applyFill="1" applyBorder="1"/>
    <xf numFmtId="170" fontId="50" fillId="4" borderId="0" xfId="1" applyNumberFormat="1" applyFont="1" applyFill="1"/>
    <xf numFmtId="170" fontId="50" fillId="0" borderId="26" xfId="2" applyNumberFormat="1" applyFont="1" applyFill="1" applyBorder="1"/>
    <xf numFmtId="170" fontId="50" fillId="0" borderId="17" xfId="2" applyNumberFormat="1" applyFont="1" applyFill="1" applyBorder="1"/>
    <xf numFmtId="170" fontId="51" fillId="0" borderId="0" xfId="2" applyNumberFormat="1" applyFont="1" applyFill="1"/>
    <xf numFmtId="0" fontId="50" fillId="0" borderId="0" xfId="0" applyFont="1" applyAlignment="1">
      <alignment horizontal="left" indent="1"/>
    </xf>
    <xf numFmtId="0" fontId="51" fillId="0" borderId="0" xfId="0" applyFont="1"/>
    <xf numFmtId="37" fontId="33" fillId="3" borderId="0" xfId="0" applyNumberFormat="1" applyFont="1" applyFill="1" applyAlignment="1">
      <alignment horizontal="right"/>
    </xf>
    <xf numFmtId="37" fontId="38" fillId="0" borderId="17" xfId="1" applyNumberFormat="1" applyFont="1" applyBorder="1"/>
    <xf numFmtId="37" fontId="38" fillId="0" borderId="0" xfId="1" applyNumberFormat="1" applyFont="1" applyAlignment="1">
      <alignment wrapText="1"/>
    </xf>
    <xf numFmtId="3" fontId="37" fillId="0" borderId="0" xfId="0" applyNumberFormat="1" applyFont="1"/>
    <xf numFmtId="3" fontId="37" fillId="0" borderId="26" xfId="0" applyNumberFormat="1" applyFont="1" applyBorder="1"/>
    <xf numFmtId="170" fontId="50" fillId="0" borderId="0" xfId="2" applyNumberFormat="1" applyFont="1"/>
    <xf numFmtId="170" fontId="50" fillId="0" borderId="26" xfId="2" applyNumberFormat="1" applyFont="1" applyBorder="1"/>
    <xf numFmtId="172" fontId="38" fillId="0" borderId="0" xfId="1" applyNumberFormat="1" applyFont="1"/>
    <xf numFmtId="172" fontId="38" fillId="0" borderId="26" xfId="1" applyNumberFormat="1" applyFont="1" applyBorder="1"/>
    <xf numFmtId="170" fontId="36" fillId="0" borderId="0" xfId="0" applyNumberFormat="1" applyFont="1"/>
    <xf numFmtId="170" fontId="50" fillId="0" borderId="0" xfId="2" applyNumberFormat="1" applyFont="1" applyFill="1" applyBorder="1"/>
    <xf numFmtId="0" fontId="14" fillId="0" borderId="0" xfId="0" applyFont="1" applyAlignment="1">
      <alignment horizontal="left" indent="2"/>
    </xf>
    <xf numFmtId="0" fontId="50" fillId="0" borderId="0" xfId="0" applyFont="1" applyAlignment="1">
      <alignment horizontal="left" indent="2"/>
    </xf>
    <xf numFmtId="0" fontId="43" fillId="0" borderId="0" xfId="0" applyFont="1" applyAlignment="1">
      <alignment horizontal="left" indent="2"/>
    </xf>
    <xf numFmtId="172" fontId="52" fillId="0" borderId="0" xfId="1" applyNumberFormat="1" applyFont="1" applyFill="1"/>
    <xf numFmtId="172" fontId="52" fillId="0" borderId="26" xfId="1" applyNumberFormat="1" applyFont="1" applyFill="1" applyBorder="1"/>
    <xf numFmtId="172" fontId="40" fillId="0" borderId="0" xfId="1" applyNumberFormat="1" applyFont="1" applyFill="1"/>
    <xf numFmtId="172" fontId="21" fillId="0" borderId="0" xfId="1" applyNumberFormat="1" applyFont="1" applyFill="1"/>
    <xf numFmtId="170" fontId="49" fillId="5" borderId="0" xfId="2" applyNumberFormat="1" applyFont="1" applyFill="1"/>
    <xf numFmtId="37" fontId="13" fillId="0" borderId="0" xfId="1" applyNumberFormat="1" applyFont="1" applyAlignment="1">
      <alignment wrapText="1"/>
    </xf>
    <xf numFmtId="170" fontId="33" fillId="5" borderId="0" xfId="2" applyNumberFormat="1" applyFont="1" applyFill="1"/>
    <xf numFmtId="170" fontId="49" fillId="5" borderId="0" xfId="0" applyNumberFormat="1" applyFont="1" applyFill="1"/>
    <xf numFmtId="170" fontId="50" fillId="0" borderId="0" xfId="0" applyNumberFormat="1" applyFont="1"/>
    <xf numFmtId="170" fontId="50" fillId="0" borderId="17" xfId="0" applyNumberFormat="1" applyFont="1" applyBorder="1"/>
    <xf numFmtId="1" fontId="49" fillId="5" borderId="0" xfId="0" applyNumberFormat="1" applyFont="1" applyFill="1"/>
    <xf numFmtId="177" fontId="50" fillId="0" borderId="0" xfId="0" applyNumberFormat="1" applyFont="1"/>
    <xf numFmtId="177" fontId="50" fillId="0" borderId="17" xfId="0" applyNumberFormat="1" applyFont="1" applyBorder="1"/>
    <xf numFmtId="177" fontId="49" fillId="5" borderId="0" xfId="0" applyNumberFormat="1" applyFont="1" applyFill="1"/>
    <xf numFmtId="0" fontId="43" fillId="0" borderId="0" xfId="0" applyFont="1" applyAlignment="1">
      <alignment horizontal="left" indent="1"/>
    </xf>
    <xf numFmtId="170" fontId="51" fillId="0" borderId="17" xfId="2" applyNumberFormat="1" applyFont="1" applyFill="1" applyBorder="1"/>
    <xf numFmtId="172" fontId="52" fillId="0" borderId="0" xfId="1" applyNumberFormat="1" applyFont="1" applyFill="1" applyAlignment="1">
      <alignment horizontal="right"/>
    </xf>
    <xf numFmtId="172" fontId="52" fillId="0" borderId="26" xfId="1" applyNumberFormat="1" applyFont="1" applyBorder="1" applyAlignment="1">
      <alignment horizontal="right"/>
    </xf>
    <xf numFmtId="172" fontId="43" fillId="0" borderId="0" xfId="0" applyNumberFormat="1" applyFont="1" applyAlignment="1">
      <alignment horizontal="right"/>
    </xf>
    <xf numFmtId="172" fontId="52" fillId="0" borderId="0" xfId="1" applyNumberFormat="1" applyFont="1"/>
    <xf numFmtId="172" fontId="52" fillId="0" borderId="26" xfId="1" applyNumberFormat="1" applyFont="1" applyBorder="1"/>
    <xf numFmtId="172" fontId="43" fillId="0" borderId="0" xfId="0" applyNumberFormat="1" applyFont="1"/>
    <xf numFmtId="172" fontId="38" fillId="0" borderId="0" xfId="1" applyNumberFormat="1" applyFont="1" applyBorder="1"/>
    <xf numFmtId="172" fontId="52" fillId="0" borderId="26" xfId="1" applyNumberFormat="1" applyFont="1" applyFill="1" applyBorder="1" applyAlignment="1">
      <alignment horizontal="right"/>
    </xf>
    <xf numFmtId="0" fontId="26" fillId="0" borderId="0" xfId="0" applyFont="1" applyAlignment="1">
      <alignment horizontal="left" indent="2"/>
    </xf>
    <xf numFmtId="170" fontId="13" fillId="4" borderId="0" xfId="0" applyNumberFormat="1" applyFont="1" applyFill="1"/>
    <xf numFmtId="170" fontId="13" fillId="4" borderId="17" xfId="0" applyNumberFormat="1" applyFont="1" applyFill="1" applyBorder="1"/>
    <xf numFmtId="170" fontId="36" fillId="4" borderId="0" xfId="0" applyNumberFormat="1" applyFont="1" applyFill="1"/>
    <xf numFmtId="170" fontId="13" fillId="0" borderId="26" xfId="0" applyNumberFormat="1" applyFont="1" applyBorder="1"/>
    <xf numFmtId="0" fontId="53" fillId="0" borderId="0" xfId="0" applyFont="1"/>
    <xf numFmtId="172" fontId="14" fillId="0" borderId="33" xfId="0" applyNumberFormat="1" applyFont="1" applyBorder="1"/>
    <xf numFmtId="172" fontId="14" fillId="0" borderId="49" xfId="0" applyNumberFormat="1" applyFont="1" applyBorder="1"/>
    <xf numFmtId="172" fontId="14" fillId="0" borderId="50" xfId="0" applyNumberFormat="1" applyFont="1" applyBorder="1"/>
    <xf numFmtId="170" fontId="49" fillId="0" borderId="0" xfId="0" applyNumberFormat="1" applyFont="1"/>
    <xf numFmtId="172" fontId="36" fillId="5" borderId="0" xfId="1" applyNumberFormat="1" applyFont="1" applyFill="1"/>
    <xf numFmtId="172" fontId="36" fillId="5" borderId="0" xfId="0" applyNumberFormat="1" applyFont="1" applyFill="1"/>
    <xf numFmtId="172" fontId="52" fillId="0" borderId="0" xfId="1" applyNumberFormat="1" applyFont="1" applyBorder="1"/>
    <xf numFmtId="9" fontId="50" fillId="0" borderId="0" xfId="0" applyNumberFormat="1" applyFont="1"/>
    <xf numFmtId="9" fontId="50" fillId="0" borderId="26" xfId="0" applyNumberFormat="1" applyFont="1" applyBorder="1"/>
    <xf numFmtId="9" fontId="49" fillId="5" borderId="0" xfId="0" applyNumberFormat="1" applyFont="1" applyFill="1"/>
    <xf numFmtId="172" fontId="38" fillId="0" borderId="0" xfId="1" applyNumberFormat="1" applyFont="1" applyFill="1" applyBorder="1"/>
    <xf numFmtId="0" fontId="14" fillId="0" borderId="22" xfId="0" applyFont="1" applyBorder="1"/>
    <xf numFmtId="172" fontId="38" fillId="0" borderId="22" xfId="1" applyNumberFormat="1" applyFont="1" applyBorder="1"/>
    <xf numFmtId="172" fontId="38" fillId="0" borderId="51" xfId="1" applyNumberFormat="1" applyFont="1" applyBorder="1"/>
    <xf numFmtId="172" fontId="14" fillId="0" borderId="22" xfId="0" applyNumberFormat="1" applyFont="1" applyBorder="1"/>
    <xf numFmtId="172" fontId="45" fillId="0" borderId="0" xfId="1" applyNumberFormat="1" applyFont="1" applyBorder="1"/>
    <xf numFmtId="172" fontId="45" fillId="0" borderId="26" xfId="1" applyNumberFormat="1" applyFont="1" applyBorder="1"/>
    <xf numFmtId="172" fontId="45" fillId="0" borderId="22" xfId="1" applyNumberFormat="1" applyFont="1" applyFill="1" applyBorder="1"/>
    <xf numFmtId="172" fontId="45" fillId="0" borderId="51" xfId="1" applyNumberFormat="1" applyFont="1" applyFill="1" applyBorder="1"/>
    <xf numFmtId="172" fontId="42" fillId="0" borderId="22" xfId="0" applyNumberFormat="1" applyFont="1" applyBorder="1"/>
    <xf numFmtId="172" fontId="42" fillId="0" borderId="0" xfId="0" applyNumberFormat="1" applyFont="1"/>
    <xf numFmtId="0" fontId="36" fillId="5" borderId="0" xfId="0" applyFont="1" applyFill="1" applyAlignment="1">
      <alignment horizontal="right"/>
    </xf>
    <xf numFmtId="14" fontId="36" fillId="5" borderId="0" xfId="0" applyNumberFormat="1" applyFont="1" applyFill="1" applyAlignment="1">
      <alignment horizontal="right"/>
    </xf>
    <xf numFmtId="165" fontId="5" fillId="2" borderId="2" xfId="0" applyNumberFormat="1" applyFont="1" applyFill="1" applyBorder="1"/>
    <xf numFmtId="168" fontId="0" fillId="0" borderId="2" xfId="1" applyNumberFormat="1" applyFont="1" applyBorder="1" applyAlignment="1">
      <alignment horizontal="right"/>
    </xf>
    <xf numFmtId="0" fontId="0" fillId="0" borderId="2" xfId="0" applyBorder="1" applyAlignment="1">
      <alignment horizontal="right"/>
    </xf>
    <xf numFmtId="0" fontId="14" fillId="11" borderId="2" xfId="0" applyFont="1" applyFill="1" applyBorder="1" applyAlignment="1">
      <alignment horizontal="right"/>
    </xf>
    <xf numFmtId="0" fontId="14" fillId="0" borderId="2" xfId="0" applyFont="1" applyBorder="1" applyAlignment="1">
      <alignment horizontal="right"/>
    </xf>
    <xf numFmtId="10" fontId="0" fillId="0" borderId="2" xfId="2" applyNumberFormat="1" applyFont="1" applyBorder="1" applyAlignment="1">
      <alignment horizontal="right"/>
    </xf>
    <xf numFmtId="10" fontId="14" fillId="0" borderId="2" xfId="0" applyNumberFormat="1" applyFont="1" applyBorder="1" applyAlignment="1">
      <alignment horizontal="right"/>
    </xf>
    <xf numFmtId="39" fontId="0" fillId="0" borderId="2" xfId="1" applyNumberFormat="1" applyFont="1" applyBorder="1" applyAlignment="1">
      <alignment horizontal="right"/>
    </xf>
    <xf numFmtId="168" fontId="0" fillId="3" borderId="0" xfId="1" applyNumberFormat="1" applyFont="1" applyFill="1" applyAlignment="1">
      <alignment horizontal="right"/>
    </xf>
    <xf numFmtId="0" fontId="14" fillId="3" borderId="0" xfId="0" applyFont="1" applyFill="1" applyAlignment="1">
      <alignment horizontal="right"/>
    </xf>
    <xf numFmtId="10" fontId="0" fillId="3" borderId="0" xfId="2" applyNumberFormat="1" applyFont="1" applyFill="1" applyAlignment="1">
      <alignment horizontal="right"/>
    </xf>
    <xf numFmtId="10" fontId="14" fillId="3" borderId="0" xfId="0" applyNumberFormat="1" applyFont="1" applyFill="1" applyAlignment="1">
      <alignment horizontal="right"/>
    </xf>
    <xf numFmtId="39" fontId="0" fillId="3" borderId="0" xfId="1" applyNumberFormat="1" applyFont="1" applyFill="1" applyAlignment="1">
      <alignment horizontal="right"/>
    </xf>
    <xf numFmtId="0" fontId="0" fillId="3" borderId="0" xfId="0" applyFill="1" applyAlignment="1">
      <alignment horizontal="right"/>
    </xf>
    <xf numFmtId="0" fontId="54" fillId="0" borderId="0" xfId="0" applyFont="1"/>
    <xf numFmtId="37" fontId="47" fillId="0" borderId="0" xfId="1" applyNumberFormat="1" applyFont="1" applyBorder="1"/>
    <xf numFmtId="37" fontId="47" fillId="0" borderId="26" xfId="1" applyNumberFormat="1" applyFont="1" applyBorder="1"/>
    <xf numFmtId="37" fontId="47" fillId="0" borderId="0" xfId="1" applyNumberFormat="1" applyFont="1" applyFill="1" applyBorder="1"/>
    <xf numFmtId="37" fontId="47" fillId="0" borderId="17" xfId="1" applyNumberFormat="1" applyFont="1" applyFill="1" applyBorder="1"/>
    <xf numFmtId="10" fontId="0" fillId="0" borderId="0" xfId="1" applyNumberFormat="1" applyFont="1" applyAlignment="1">
      <alignment horizontal="right"/>
    </xf>
    <xf numFmtId="10" fontId="0" fillId="0" borderId="2" xfId="1" applyNumberFormat="1" applyFont="1" applyBorder="1" applyAlignment="1">
      <alignment horizontal="right"/>
    </xf>
    <xf numFmtId="10" fontId="0" fillId="3" borderId="0" xfId="1" applyNumberFormat="1" applyFont="1" applyFill="1" applyAlignment="1">
      <alignment horizontal="right"/>
    </xf>
    <xf numFmtId="166" fontId="7" fillId="2" borderId="0" xfId="0" applyNumberFormat="1" applyFont="1" applyFill="1" applyAlignment="1">
      <alignment horizontal="right"/>
    </xf>
    <xf numFmtId="165" fontId="7" fillId="2" borderId="0" xfId="0" applyNumberFormat="1" applyFont="1" applyFill="1" applyAlignment="1">
      <alignment horizontal="right"/>
    </xf>
    <xf numFmtId="165" fontId="7" fillId="2" borderId="2" xfId="0" applyNumberFormat="1" applyFont="1" applyFill="1" applyBorder="1" applyAlignment="1">
      <alignment horizontal="right"/>
    </xf>
    <xf numFmtId="168" fontId="0" fillId="0" borderId="0" xfId="1" applyNumberFormat="1" applyFont="1" applyBorder="1" applyAlignment="1">
      <alignment horizontal="right"/>
    </xf>
    <xf numFmtId="0" fontId="55" fillId="0" borderId="0" xfId="5" applyFont="1"/>
    <xf numFmtId="0" fontId="30" fillId="0" borderId="0" xfId="5" applyFont="1"/>
    <xf numFmtId="0" fontId="30" fillId="5" borderId="0" xfId="5" applyFont="1" applyFill="1"/>
    <xf numFmtId="0" fontId="55" fillId="0" borderId="0" xfId="5" applyFont="1" applyAlignment="1">
      <alignment vertical="center"/>
    </xf>
    <xf numFmtId="0" fontId="14" fillId="0" borderId="8" xfId="0" applyFont="1" applyBorder="1"/>
    <xf numFmtId="172" fontId="38" fillId="0" borderId="8" xfId="1" applyNumberFormat="1" applyFont="1" applyFill="1" applyBorder="1"/>
    <xf numFmtId="172" fontId="38" fillId="0" borderId="23" xfId="1" applyNumberFormat="1" applyFont="1" applyFill="1" applyBorder="1"/>
    <xf numFmtId="172" fontId="14" fillId="0" borderId="8" xfId="0" applyNumberFormat="1" applyFont="1" applyBorder="1"/>
    <xf numFmtId="172" fontId="43" fillId="0" borderId="8" xfId="0" applyNumberFormat="1" applyFont="1" applyBorder="1"/>
    <xf numFmtId="0" fontId="30" fillId="0" borderId="0" xfId="5" applyFont="1" applyAlignment="1">
      <alignment vertical="center"/>
    </xf>
    <xf numFmtId="0" fontId="56" fillId="2" borderId="0" xfId="5" applyFont="1" applyFill="1" applyAlignment="1">
      <alignment horizontal="center" vertical="center"/>
    </xf>
    <xf numFmtId="0" fontId="57" fillId="2" borderId="21" xfId="5" applyFont="1" applyFill="1" applyBorder="1" applyAlignment="1">
      <alignment horizontal="center" vertical="center" wrapText="1"/>
    </xf>
    <xf numFmtId="0" fontId="57" fillId="2" borderId="56" xfId="5" applyFont="1" applyFill="1" applyBorder="1" applyAlignment="1">
      <alignment horizontal="center" vertical="center" wrapText="1"/>
    </xf>
    <xf numFmtId="0" fontId="57" fillId="2" borderId="0" xfId="5" applyFont="1" applyFill="1" applyAlignment="1">
      <alignment horizontal="center" vertical="center" wrapText="1"/>
    </xf>
    <xf numFmtId="0" fontId="57" fillId="2" borderId="26" xfId="5" applyFont="1" applyFill="1" applyBorder="1" applyAlignment="1">
      <alignment horizontal="center" vertical="center" wrapText="1"/>
    </xf>
    <xf numFmtId="0" fontId="58" fillId="5" borderId="21" xfId="5" applyFont="1" applyFill="1" applyBorder="1"/>
    <xf numFmtId="0" fontId="58" fillId="5" borderId="56" xfId="5" applyFont="1" applyFill="1" applyBorder="1"/>
    <xf numFmtId="0" fontId="58" fillId="5" borderId="0" xfId="5" applyFont="1" applyFill="1"/>
    <xf numFmtId="0" fontId="58" fillId="5" borderId="26" xfId="5" applyFont="1" applyFill="1" applyBorder="1"/>
    <xf numFmtId="2" fontId="30" fillId="5" borderId="0" xfId="2" applyNumberFormat="1" applyFont="1" applyFill="1" applyBorder="1" applyAlignment="1">
      <alignment horizontal="center" vertical="center"/>
    </xf>
    <xf numFmtId="10" fontId="8" fillId="3" borderId="24" xfId="2" applyNumberFormat="1" applyFont="1" applyFill="1" applyBorder="1"/>
    <xf numFmtId="43" fontId="42" fillId="0" borderId="0" xfId="0" applyNumberFormat="1" applyFont="1"/>
    <xf numFmtId="0" fontId="32" fillId="0" borderId="0" xfId="0" applyFont="1"/>
    <xf numFmtId="165" fontId="17" fillId="0" borderId="38" xfId="0" applyNumberFormat="1" applyFont="1" applyBorder="1" applyAlignment="1">
      <alignment horizontal="center"/>
    </xf>
    <xf numFmtId="2" fontId="4" fillId="0" borderId="0" xfId="0" applyNumberFormat="1" applyFont="1" applyAlignment="1">
      <alignment horizontal="center"/>
    </xf>
    <xf numFmtId="0" fontId="11" fillId="0" borderId="0" xfId="5" applyFont="1"/>
    <xf numFmtId="0" fontId="5" fillId="4" borderId="0" xfId="5" applyFont="1" applyFill="1" applyAlignment="1">
      <alignment vertical="center" wrapText="1"/>
    </xf>
    <xf numFmtId="0" fontId="5" fillId="2" borderId="0" xfId="5" applyFont="1" applyFill="1"/>
    <xf numFmtId="0" fontId="5" fillId="2" borderId="0" xfId="5" applyFont="1" applyFill="1" applyAlignment="1">
      <alignment horizontal="center"/>
    </xf>
    <xf numFmtId="0" fontId="5" fillId="0" borderId="0" xfId="5" applyFont="1"/>
    <xf numFmtId="0" fontId="5" fillId="0" borderId="55" xfId="5" applyFont="1" applyBorder="1"/>
    <xf numFmtId="0" fontId="6" fillId="0" borderId="55" xfId="5" applyFont="1" applyBorder="1"/>
    <xf numFmtId="0" fontId="5" fillId="5" borderId="54" xfId="5" applyFont="1" applyFill="1" applyBorder="1"/>
    <xf numFmtId="0" fontId="5" fillId="0" borderId="54" xfId="5" applyFont="1" applyBorder="1"/>
    <xf numFmtId="0" fontId="11" fillId="0" borderId="0" xfId="5" applyFont="1" applyAlignment="1">
      <alignment vertical="center"/>
    </xf>
    <xf numFmtId="0" fontId="8" fillId="0" borderId="0" xfId="5" applyFont="1" applyAlignment="1">
      <alignment vertical="center"/>
    </xf>
    <xf numFmtId="0" fontId="33" fillId="0" borderId="0" xfId="5" applyFont="1" applyAlignment="1">
      <alignment vertical="center"/>
    </xf>
    <xf numFmtId="173" fontId="11" fillId="0" borderId="0" xfId="5" applyNumberFormat="1" applyFont="1" applyAlignment="1">
      <alignment vertical="center"/>
    </xf>
    <xf numFmtId="4" fontId="11" fillId="0" borderId="0" xfId="5" applyNumberFormat="1" applyFont="1" applyAlignment="1">
      <alignment vertical="center"/>
    </xf>
    <xf numFmtId="4" fontId="11" fillId="0" borderId="0" xfId="5" applyNumberFormat="1" applyFont="1" applyAlignment="1">
      <alignment horizontal="center" vertical="center"/>
    </xf>
    <xf numFmtId="2" fontId="11" fillId="0" borderId="0" xfId="2" applyNumberFormat="1" applyFont="1" applyBorder="1" applyAlignment="1">
      <alignment horizontal="center" vertical="center"/>
    </xf>
    <xf numFmtId="2" fontId="11" fillId="0" borderId="0" xfId="5" applyNumberFormat="1" applyFont="1" applyAlignment="1">
      <alignment vertical="center"/>
    </xf>
    <xf numFmtId="3" fontId="11" fillId="0" borderId="0" xfId="5" applyNumberFormat="1" applyFont="1" applyAlignment="1">
      <alignment vertical="center"/>
    </xf>
    <xf numFmtId="10" fontId="11" fillId="0" borderId="0" xfId="5" applyNumberFormat="1" applyFont="1" applyAlignment="1">
      <alignment vertical="center"/>
    </xf>
    <xf numFmtId="174" fontId="33" fillId="0" borderId="0" xfId="5" applyNumberFormat="1" applyFont="1" applyAlignment="1">
      <alignment vertical="center"/>
    </xf>
    <xf numFmtId="170" fontId="11" fillId="0" borderId="0" xfId="5" applyNumberFormat="1" applyFont="1" applyAlignment="1">
      <alignment vertical="center"/>
    </xf>
    <xf numFmtId="0" fontId="8" fillId="0" borderId="0" xfId="5" applyFont="1"/>
    <xf numFmtId="0" fontId="33" fillId="0" borderId="0" xfId="5" applyFont="1"/>
    <xf numFmtId="173" fontId="11" fillId="0" borderId="0" xfId="5" applyNumberFormat="1" applyFont="1"/>
    <xf numFmtId="4" fontId="11" fillId="0" borderId="0" xfId="5" applyNumberFormat="1" applyFont="1"/>
    <xf numFmtId="4" fontId="11" fillId="0" borderId="0" xfId="5" applyNumberFormat="1" applyFont="1" applyAlignment="1">
      <alignment horizontal="center"/>
    </xf>
    <xf numFmtId="9" fontId="11" fillId="0" borderId="0" xfId="2" applyFont="1" applyBorder="1" applyAlignment="1"/>
    <xf numFmtId="3" fontId="11" fillId="0" borderId="0" xfId="5" applyNumberFormat="1" applyFont="1"/>
    <xf numFmtId="2" fontId="11" fillId="0" borderId="0" xfId="5" applyNumberFormat="1" applyFont="1"/>
    <xf numFmtId="10" fontId="11" fillId="0" borderId="0" xfId="5" applyNumberFormat="1" applyFont="1"/>
    <xf numFmtId="174" fontId="33" fillId="0" borderId="0" xfId="5" applyNumberFormat="1" applyFont="1"/>
    <xf numFmtId="170" fontId="11" fillId="0" borderId="0" xfId="5" applyNumberFormat="1" applyFont="1"/>
    <xf numFmtId="0" fontId="8" fillId="0" borderId="0" xfId="5" applyFont="1" applyAlignment="1">
      <alignment vertical="center" wrapText="1"/>
    </xf>
    <xf numFmtId="2" fontId="11" fillId="0" borderId="0" xfId="2" applyNumberFormat="1" applyFont="1" applyFill="1" applyBorder="1" applyAlignment="1"/>
    <xf numFmtId="9" fontId="11" fillId="0" borderId="0" xfId="2" applyFont="1" applyFill="1" applyBorder="1" applyAlignment="1"/>
    <xf numFmtId="0" fontId="11" fillId="5" borderId="0" xfId="5" applyFont="1" applyFill="1"/>
    <xf numFmtId="9" fontId="11" fillId="0" borderId="0" xfId="5" applyNumberFormat="1" applyFont="1"/>
    <xf numFmtId="0" fontId="6" fillId="2" borderId="0" xfId="5" applyFont="1" applyFill="1"/>
    <xf numFmtId="0" fontId="6" fillId="0" borderId="0" xfId="5" applyFont="1"/>
    <xf numFmtId="0" fontId="5" fillId="2" borderId="0" xfId="5" applyFont="1" applyFill="1" applyAlignment="1">
      <alignment horizontal="left"/>
    </xf>
    <xf numFmtId="0" fontId="5" fillId="5" borderId="0" xfId="5" applyFont="1" applyFill="1" applyAlignment="1">
      <alignment horizontal="left"/>
    </xf>
    <xf numFmtId="0" fontId="6" fillId="5" borderId="0" xfId="5" applyFont="1" applyFill="1"/>
    <xf numFmtId="3" fontId="11" fillId="0" borderId="0" xfId="5" applyNumberFormat="1" applyFont="1" applyAlignment="1">
      <alignment horizontal="center"/>
    </xf>
    <xf numFmtId="174" fontId="11" fillId="0" borderId="0" xfId="5" applyNumberFormat="1" applyFont="1" applyAlignment="1">
      <alignment horizontal="center"/>
    </xf>
    <xf numFmtId="0" fontId="11" fillId="0" borderId="0" xfId="5" applyFont="1" applyAlignment="1">
      <alignment horizontal="center"/>
    </xf>
    <xf numFmtId="0" fontId="5" fillId="2" borderId="0" xfId="5" applyFont="1" applyFill="1" applyAlignment="1">
      <alignment horizontal="center" vertical="center"/>
    </xf>
    <xf numFmtId="0" fontId="11" fillId="5" borderId="0" xfId="5" applyFont="1" applyFill="1" applyAlignment="1">
      <alignment horizontal="center"/>
    </xf>
    <xf numFmtId="0" fontId="3" fillId="0" borderId="0" xfId="0" applyFont="1"/>
    <xf numFmtId="170" fontId="11" fillId="0" borderId="0" xfId="5" applyNumberFormat="1" applyFont="1" applyAlignment="1">
      <alignment horizontal="center"/>
    </xf>
    <xf numFmtId="168" fontId="3" fillId="0" borderId="0" xfId="1" applyNumberFormat="1" applyFont="1" applyAlignment="1">
      <alignment horizontal="center"/>
    </xf>
    <xf numFmtId="10" fontId="33" fillId="3" borderId="0" xfId="5" applyNumberFormat="1" applyFont="1" applyFill="1" applyAlignment="1">
      <alignment horizontal="center"/>
    </xf>
    <xf numFmtId="10" fontId="11" fillId="0" borderId="0" xfId="5" applyNumberFormat="1" applyFont="1" applyAlignment="1">
      <alignment horizontal="center"/>
    </xf>
    <xf numFmtId="0" fontId="6" fillId="2" borderId="0" xfId="5" applyFont="1" applyFill="1" applyAlignment="1">
      <alignment horizontal="left"/>
    </xf>
    <xf numFmtId="0" fontId="6" fillId="5" borderId="0" xfId="5" applyFont="1" applyFill="1" applyAlignment="1">
      <alignment horizontal="left"/>
    </xf>
    <xf numFmtId="1" fontId="11" fillId="4" borderId="8" xfId="8" applyNumberFormat="1" applyFont="1" applyFill="1" applyBorder="1" applyAlignment="1">
      <alignment horizontal="left" vertical="center"/>
    </xf>
    <xf numFmtId="0" fontId="11" fillId="0" borderId="8" xfId="5" applyFont="1" applyBorder="1"/>
    <xf numFmtId="37" fontId="29" fillId="0" borderId="18" xfId="8" applyNumberFormat="1" applyFont="1" applyBorder="1" applyAlignment="1">
      <alignment horizontal="center"/>
    </xf>
    <xf numFmtId="37" fontId="33" fillId="3" borderId="57" xfId="8" applyNumberFormat="1" applyFont="1" applyFill="1" applyBorder="1" applyAlignment="1">
      <alignment horizontal="center"/>
    </xf>
    <xf numFmtId="1" fontId="11" fillId="4" borderId="0" xfId="8" applyNumberFormat="1" applyFont="1" applyFill="1" applyAlignment="1">
      <alignment horizontal="left" vertical="center"/>
    </xf>
    <xf numFmtId="37" fontId="29" fillId="0" borderId="21" xfId="8" applyNumberFormat="1" applyFont="1" applyBorder="1" applyAlignment="1">
      <alignment horizontal="center"/>
    </xf>
    <xf numFmtId="37" fontId="33" fillId="3" borderId="56" xfId="8" applyNumberFormat="1" applyFont="1" applyFill="1" applyBorder="1" applyAlignment="1">
      <alignment horizontal="center"/>
    </xf>
    <xf numFmtId="37" fontId="33" fillId="3" borderId="0" xfId="5" applyNumberFormat="1" applyFont="1" applyFill="1" applyAlignment="1">
      <alignment horizontal="center"/>
    </xf>
    <xf numFmtId="37" fontId="33" fillId="3" borderId="56" xfId="8" applyNumberFormat="1" applyFont="1" applyFill="1" applyBorder="1" applyAlignment="1">
      <alignment horizontal="center" wrapText="1"/>
    </xf>
    <xf numFmtId="1" fontId="3" fillId="4" borderId="0" xfId="8" applyNumberFormat="1" applyFont="1" applyFill="1" applyAlignment="1">
      <alignment horizontal="left"/>
    </xf>
    <xf numFmtId="1" fontId="3" fillId="0" borderId="0" xfId="8" applyNumberFormat="1" applyFont="1" applyAlignment="1">
      <alignment horizontal="left"/>
    </xf>
    <xf numFmtId="37" fontId="8" fillId="0" borderId="56" xfId="8" applyNumberFormat="1" applyFont="1" applyBorder="1" applyAlignment="1">
      <alignment horizontal="center" wrapText="1"/>
    </xf>
    <xf numFmtId="37" fontId="8" fillId="0" borderId="26" xfId="8" applyNumberFormat="1" applyFont="1" applyBorder="1" applyAlignment="1">
      <alignment horizontal="center" wrapText="1"/>
    </xf>
    <xf numFmtId="39" fontId="33" fillId="3" borderId="56" xfId="8" applyNumberFormat="1" applyFont="1" applyFill="1" applyBorder="1" applyAlignment="1">
      <alignment horizontal="center" wrapText="1"/>
    </xf>
    <xf numFmtId="1" fontId="29" fillId="0" borderId="21" xfId="8" applyNumberFormat="1" applyFont="1" applyBorder="1" applyAlignment="1">
      <alignment horizontal="center" wrapText="1"/>
    </xf>
    <xf numFmtId="1" fontId="29" fillId="0" borderId="56" xfId="8" applyNumberFormat="1" applyFont="1" applyBorder="1" applyAlignment="1">
      <alignment horizontal="center" wrapText="1"/>
    </xf>
    <xf numFmtId="1" fontId="29" fillId="0" borderId="26" xfId="8" applyNumberFormat="1" applyFont="1" applyBorder="1" applyAlignment="1">
      <alignment horizontal="center" wrapText="1"/>
    </xf>
    <xf numFmtId="0" fontId="11" fillId="2" borderId="21" xfId="5" applyFont="1" applyFill="1" applyBorder="1"/>
    <xf numFmtId="0" fontId="11" fillId="2" borderId="56" xfId="5" applyFont="1" applyFill="1" applyBorder="1"/>
    <xf numFmtId="0" fontId="11" fillId="2" borderId="26" xfId="5" applyFont="1" applyFill="1" applyBorder="1"/>
    <xf numFmtId="0" fontId="11" fillId="2" borderId="0" xfId="5" applyFont="1" applyFill="1" applyAlignment="1">
      <alignment horizontal="center"/>
    </xf>
    <xf numFmtId="0" fontId="11" fillId="5" borderId="21" xfId="5" applyFont="1" applyFill="1" applyBorder="1"/>
    <xf numFmtId="0" fontId="11" fillId="5" borderId="56" xfId="5" applyFont="1" applyFill="1" applyBorder="1"/>
    <xf numFmtId="0" fontId="11" fillId="5" borderId="26" xfId="5" applyFont="1" applyFill="1" applyBorder="1"/>
    <xf numFmtId="0" fontId="11" fillId="0" borderId="56" xfId="5" applyFont="1" applyBorder="1"/>
    <xf numFmtId="37" fontId="29" fillId="0" borderId="56" xfId="8" applyNumberFormat="1" applyFont="1" applyBorder="1" applyAlignment="1">
      <alignment horizontal="center"/>
    </xf>
    <xf numFmtId="0" fontId="37" fillId="0" borderId="0" xfId="0" applyFont="1" applyAlignment="1">
      <alignment horizontal="left" indent="1"/>
    </xf>
    <xf numFmtId="172" fontId="32" fillId="0" borderId="0" xfId="1" applyNumberFormat="1" applyFont="1" applyBorder="1"/>
    <xf numFmtId="0" fontId="37" fillId="0" borderId="22" xfId="0" applyFont="1" applyBorder="1"/>
    <xf numFmtId="37" fontId="9" fillId="4" borderId="0" xfId="0" applyNumberFormat="1" applyFont="1" applyFill="1" applyAlignment="1">
      <alignment horizontal="right"/>
    </xf>
    <xf numFmtId="0" fontId="3" fillId="0" borderId="9" xfId="10" applyFont="1" applyBorder="1"/>
    <xf numFmtId="0" fontId="3" fillId="0" borderId="9" xfId="10" applyFont="1" applyBorder="1" applyAlignment="1">
      <alignment horizontal="right"/>
    </xf>
    <xf numFmtId="14" fontId="5" fillId="2" borderId="0" xfId="0" applyNumberFormat="1" applyFont="1" applyFill="1" applyAlignment="1">
      <alignment horizontal="right"/>
    </xf>
    <xf numFmtId="39" fontId="8" fillId="0" borderId="0" xfId="0" applyNumberFormat="1" applyFont="1" applyAlignment="1">
      <alignment horizontal="right"/>
    </xf>
    <xf numFmtId="172" fontId="14" fillId="0" borderId="58" xfId="0" applyNumberFormat="1" applyFont="1" applyBorder="1"/>
    <xf numFmtId="0" fontId="5" fillId="2" borderId="59" xfId="5" applyFont="1" applyFill="1" applyBorder="1" applyAlignment="1">
      <alignment horizontal="center"/>
    </xf>
    <xf numFmtId="0" fontId="5" fillId="5" borderId="61" xfId="5" applyFont="1" applyFill="1" applyBorder="1"/>
    <xf numFmtId="170" fontId="30" fillId="0" borderId="0" xfId="5" applyNumberFormat="1" applyFont="1" applyAlignment="1">
      <alignment horizontal="center" vertical="center"/>
    </xf>
    <xf numFmtId="170" fontId="30" fillId="0" borderId="59" xfId="5" applyNumberFormat="1" applyFont="1" applyBorder="1" applyAlignment="1">
      <alignment horizontal="center" vertical="center"/>
    </xf>
    <xf numFmtId="0" fontId="30" fillId="0" borderId="59" xfId="5" applyFont="1" applyBorder="1"/>
    <xf numFmtId="170" fontId="11" fillId="0" borderId="0" xfId="5" applyNumberFormat="1" applyFont="1" applyAlignment="1">
      <alignment horizontal="center" vertical="center"/>
    </xf>
    <xf numFmtId="170" fontId="11" fillId="0" borderId="59" xfId="5" applyNumberFormat="1" applyFont="1" applyBorder="1" applyAlignment="1">
      <alignment horizontal="center" vertical="center"/>
    </xf>
    <xf numFmtId="170" fontId="30" fillId="5" borderId="0" xfId="5" applyNumberFormat="1" applyFont="1" applyFill="1" applyAlignment="1">
      <alignment horizontal="center" vertical="center"/>
    </xf>
    <xf numFmtId="170" fontId="30" fillId="5" borderId="59" xfId="5" applyNumberFormat="1" applyFont="1" applyFill="1" applyBorder="1" applyAlignment="1">
      <alignment horizontal="center" vertical="center"/>
    </xf>
    <xf numFmtId="170" fontId="11" fillId="5" borderId="0" xfId="5" applyNumberFormat="1" applyFont="1" applyFill="1" applyAlignment="1">
      <alignment horizontal="center" vertical="center"/>
    </xf>
    <xf numFmtId="170" fontId="11" fillId="5" borderId="59" xfId="5" applyNumberFormat="1" applyFont="1" applyFill="1" applyBorder="1" applyAlignment="1">
      <alignment horizontal="center" vertical="center"/>
    </xf>
    <xf numFmtId="0" fontId="5" fillId="2" borderId="62" xfId="5" applyFont="1" applyFill="1" applyBorder="1" applyAlignment="1">
      <alignment horizontal="center"/>
    </xf>
    <xf numFmtId="0" fontId="5" fillId="5" borderId="64" xfId="5" applyFont="1" applyFill="1" applyBorder="1"/>
    <xf numFmtId="170" fontId="30" fillId="4" borderId="62" xfId="5" applyNumberFormat="1" applyFont="1" applyFill="1" applyBorder="1" applyAlignment="1">
      <alignment horizontal="center" vertical="center"/>
    </xf>
    <xf numFmtId="170" fontId="30" fillId="4" borderId="59" xfId="5" applyNumberFormat="1" applyFont="1" applyFill="1" applyBorder="1" applyAlignment="1">
      <alignment horizontal="center" vertical="center"/>
    </xf>
    <xf numFmtId="173" fontId="11" fillId="4" borderId="62" xfId="5" applyNumberFormat="1" applyFont="1" applyFill="1" applyBorder="1"/>
    <xf numFmtId="173" fontId="11" fillId="4" borderId="59" xfId="5" applyNumberFormat="1" applyFont="1" applyFill="1" applyBorder="1"/>
    <xf numFmtId="170" fontId="11" fillId="0" borderId="62" xfId="5" applyNumberFormat="1" applyFont="1" applyBorder="1" applyAlignment="1">
      <alignment horizontal="center" vertical="center"/>
    </xf>
    <xf numFmtId="170" fontId="30" fillId="5" borderId="62" xfId="5" applyNumberFormat="1" applyFont="1" applyFill="1" applyBorder="1" applyAlignment="1">
      <alignment horizontal="center" vertical="center"/>
    </xf>
    <xf numFmtId="170" fontId="11" fillId="5" borderId="62" xfId="5" applyNumberFormat="1" applyFont="1" applyFill="1" applyBorder="1" applyAlignment="1">
      <alignment horizontal="center" vertical="center"/>
    </xf>
    <xf numFmtId="170" fontId="30" fillId="0" borderId="62" xfId="5" applyNumberFormat="1" applyFont="1" applyBorder="1" applyAlignment="1">
      <alignment horizontal="center" vertical="center"/>
    </xf>
    <xf numFmtId="173" fontId="11" fillId="0" borderId="62" xfId="5" applyNumberFormat="1" applyFont="1" applyBorder="1"/>
    <xf numFmtId="173" fontId="11" fillId="0" borderId="59" xfId="5" applyNumberFormat="1" applyFont="1" applyBorder="1"/>
    <xf numFmtId="170" fontId="11" fillId="0" borderId="62" xfId="2" applyNumberFormat="1" applyFont="1" applyBorder="1" applyAlignment="1">
      <alignment horizontal="center" vertical="center"/>
    </xf>
    <xf numFmtId="9" fontId="30" fillId="5" borderId="62" xfId="2" applyFont="1" applyFill="1" applyBorder="1" applyAlignment="1">
      <alignment horizontal="center" vertical="center"/>
    </xf>
    <xf numFmtId="9" fontId="30" fillId="5" borderId="59" xfId="2" applyFont="1" applyFill="1" applyBorder="1" applyAlignment="1">
      <alignment horizontal="center" vertical="center"/>
    </xf>
    <xf numFmtId="0" fontId="5" fillId="2" borderId="59" xfId="5" applyFont="1" applyFill="1" applyBorder="1"/>
    <xf numFmtId="2" fontId="11" fillId="0" borderId="62" xfId="5" applyNumberFormat="1" applyFont="1" applyBorder="1" applyAlignment="1">
      <alignment horizontal="center" vertical="center"/>
    </xf>
    <xf numFmtId="2" fontId="11" fillId="0" borderId="59" xfId="5" applyNumberFormat="1" applyFont="1" applyBorder="1" applyAlignment="1">
      <alignment horizontal="center" vertical="center"/>
    </xf>
    <xf numFmtId="2" fontId="30" fillId="5" borderId="62" xfId="2" applyNumberFormat="1" applyFont="1" applyFill="1" applyBorder="1" applyAlignment="1">
      <alignment horizontal="center" vertical="center"/>
    </xf>
    <xf numFmtId="2" fontId="30" fillId="5" borderId="59" xfId="2" applyNumberFormat="1" applyFont="1" applyFill="1" applyBorder="1" applyAlignment="1">
      <alignment horizontal="center" vertical="center"/>
    </xf>
    <xf numFmtId="2" fontId="11" fillId="5" borderId="59" xfId="5" applyNumberFormat="1" applyFont="1" applyFill="1" applyBorder="1" applyAlignment="1">
      <alignment horizontal="center" vertical="center"/>
    </xf>
    <xf numFmtId="0" fontId="5" fillId="2" borderId="62" xfId="5" applyFont="1" applyFill="1" applyBorder="1"/>
    <xf numFmtId="4" fontId="11" fillId="0" borderId="62" xfId="5" applyNumberFormat="1" applyFont="1" applyBorder="1" applyAlignment="1">
      <alignment horizontal="center" vertical="center"/>
    </xf>
    <xf numFmtId="2" fontId="11" fillId="0" borderId="59" xfId="2" applyNumberFormat="1" applyFont="1" applyBorder="1" applyAlignment="1">
      <alignment horizontal="center" vertical="center"/>
    </xf>
    <xf numFmtId="4" fontId="11" fillId="0" borderId="62" xfId="5" applyNumberFormat="1" applyFont="1" applyBorder="1" applyAlignment="1">
      <alignment horizontal="center"/>
    </xf>
    <xf numFmtId="2" fontId="11" fillId="0" borderId="59" xfId="2" applyNumberFormat="1" applyFont="1" applyBorder="1" applyAlignment="1">
      <alignment horizontal="center"/>
    </xf>
    <xf numFmtId="0" fontId="6" fillId="5" borderId="4" xfId="5" applyFont="1" applyFill="1" applyBorder="1"/>
    <xf numFmtId="2" fontId="11" fillId="0" borderId="4" xfId="5" applyNumberFormat="1" applyFont="1" applyBorder="1" applyAlignment="1">
      <alignment horizontal="center"/>
    </xf>
    <xf numFmtId="3" fontId="11" fillId="0" borderId="4" xfId="5" applyNumberFormat="1" applyFont="1" applyBorder="1" applyAlignment="1">
      <alignment horizontal="center"/>
    </xf>
    <xf numFmtId="0" fontId="6" fillId="5" borderId="1" xfId="5" applyFont="1" applyFill="1" applyBorder="1"/>
    <xf numFmtId="2" fontId="11" fillId="0" borderId="1" xfId="5" applyNumberFormat="1" applyFont="1" applyBorder="1" applyAlignment="1">
      <alignment horizontal="center"/>
    </xf>
    <xf numFmtId="0" fontId="6" fillId="5" borderId="65" xfId="5" applyFont="1" applyFill="1" applyBorder="1"/>
    <xf numFmtId="2" fontId="11" fillId="0" borderId="65" xfId="5" applyNumberFormat="1" applyFont="1" applyBorder="1" applyAlignment="1">
      <alignment horizontal="center"/>
    </xf>
    <xf numFmtId="170" fontId="11" fillId="0" borderId="0" xfId="2" applyNumberFormat="1" applyFont="1" applyAlignment="1">
      <alignment horizontal="center"/>
    </xf>
    <xf numFmtId="0" fontId="5" fillId="0" borderId="0" xfId="5" applyFont="1" applyAlignment="1">
      <alignment horizontal="center"/>
    </xf>
    <xf numFmtId="0" fontId="6" fillId="0" borderId="0" xfId="5" applyFont="1" applyAlignment="1">
      <alignment horizontal="center"/>
    </xf>
    <xf numFmtId="2" fontId="6" fillId="0" borderId="0" xfId="2" applyNumberFormat="1" applyFont="1" applyFill="1" applyBorder="1" applyAlignment="1"/>
    <xf numFmtId="2" fontId="6" fillId="0" borderId="0" xfId="5" applyNumberFormat="1" applyFont="1"/>
    <xf numFmtId="174" fontId="6" fillId="0" borderId="0" xfId="5" applyNumberFormat="1" applyFont="1" applyAlignment="1">
      <alignment horizontal="center"/>
    </xf>
    <xf numFmtId="2" fontId="30" fillId="0" borderId="62" xfId="5" applyNumberFormat="1" applyFont="1" applyBorder="1" applyAlignment="1">
      <alignment horizontal="center" vertical="center"/>
    </xf>
    <xf numFmtId="2" fontId="30" fillId="0" borderId="59" xfId="5" applyNumberFormat="1" applyFont="1" applyBorder="1" applyAlignment="1">
      <alignment horizontal="center" vertical="center"/>
    </xf>
    <xf numFmtId="4" fontId="30" fillId="0" borderId="62" xfId="5" applyNumberFormat="1" applyFont="1" applyBorder="1" applyAlignment="1">
      <alignment horizontal="center" vertical="center"/>
    </xf>
    <xf numFmtId="2" fontId="30" fillId="0" borderId="59" xfId="2" applyNumberFormat="1" applyFont="1" applyBorder="1" applyAlignment="1">
      <alignment horizontal="center" vertical="center"/>
    </xf>
    <xf numFmtId="2" fontId="30" fillId="0" borderId="0" xfId="2" applyNumberFormat="1" applyFont="1" applyBorder="1" applyAlignment="1">
      <alignment horizontal="center" vertical="center"/>
    </xf>
    <xf numFmtId="4" fontId="30" fillId="0" borderId="0" xfId="5" applyNumberFormat="1" applyFont="1" applyAlignment="1">
      <alignment horizontal="center" vertical="center"/>
    </xf>
    <xf numFmtId="2" fontId="11" fillId="5" borderId="0" xfId="5" applyNumberFormat="1" applyFont="1" applyFill="1" applyAlignment="1">
      <alignment horizontal="center" vertical="center"/>
    </xf>
    <xf numFmtId="0" fontId="8" fillId="0" borderId="55" xfId="5" applyFont="1" applyBorder="1" applyAlignment="1">
      <alignment vertical="center"/>
    </xf>
    <xf numFmtId="0" fontId="33" fillId="0" borderId="55" xfId="5" applyFont="1" applyBorder="1" applyAlignment="1">
      <alignment vertical="center"/>
    </xf>
    <xf numFmtId="170" fontId="11" fillId="0" borderId="55" xfId="5" applyNumberFormat="1" applyFont="1" applyBorder="1" applyAlignment="1">
      <alignment horizontal="center" vertical="center"/>
    </xf>
    <xf numFmtId="170" fontId="11" fillId="0" borderId="60" xfId="5" applyNumberFormat="1" applyFont="1" applyBorder="1" applyAlignment="1">
      <alignment horizontal="center" vertical="center"/>
    </xf>
    <xf numFmtId="170" fontId="11" fillId="0" borderId="63" xfId="5" applyNumberFormat="1" applyFont="1" applyBorder="1" applyAlignment="1">
      <alignment horizontal="center" vertical="center"/>
    </xf>
    <xf numFmtId="170" fontId="11" fillId="0" borderId="63" xfId="2" applyNumberFormat="1" applyFont="1" applyBorder="1" applyAlignment="1">
      <alignment horizontal="center" vertical="center"/>
    </xf>
    <xf numFmtId="2" fontId="11" fillId="0" borderId="63" xfId="5" applyNumberFormat="1" applyFont="1" applyBorder="1" applyAlignment="1">
      <alignment horizontal="center" vertical="center"/>
    </xf>
    <xf numFmtId="2" fontId="11" fillId="0" borderId="60" xfId="5" applyNumberFormat="1" applyFont="1" applyBorder="1" applyAlignment="1">
      <alignment horizontal="center" vertical="center"/>
    </xf>
    <xf numFmtId="4" fontId="11" fillId="0" borderId="63" xfId="5" applyNumberFormat="1" applyFont="1" applyBorder="1" applyAlignment="1">
      <alignment horizontal="center" vertical="center"/>
    </xf>
    <xf numFmtId="2" fontId="11" fillId="0" borderId="60" xfId="2" applyNumberFormat="1" applyFont="1" applyBorder="1" applyAlignment="1">
      <alignment horizontal="center" vertical="center"/>
    </xf>
    <xf numFmtId="2" fontId="11" fillId="0" borderId="55" xfId="2" applyNumberFormat="1" applyFont="1" applyBorder="1" applyAlignment="1">
      <alignment horizontal="center" vertical="center"/>
    </xf>
    <xf numFmtId="4" fontId="11" fillId="0" borderId="55" xfId="5" applyNumberFormat="1" applyFont="1" applyBorder="1" applyAlignment="1">
      <alignment horizontal="center" vertical="center"/>
    </xf>
    <xf numFmtId="10" fontId="12" fillId="3" borderId="0" xfId="1" applyNumberFormat="1" applyFont="1" applyFill="1" applyAlignment="1">
      <alignment horizontal="right"/>
    </xf>
    <xf numFmtId="10" fontId="12" fillId="0" borderId="2" xfId="1" applyNumberFormat="1" applyFont="1" applyBorder="1" applyAlignment="1">
      <alignment horizontal="right"/>
    </xf>
    <xf numFmtId="10" fontId="12" fillId="0" borderId="0" xfId="1" applyNumberFormat="1" applyFont="1" applyBorder="1" applyAlignment="1">
      <alignment horizontal="right"/>
    </xf>
    <xf numFmtId="0" fontId="61" fillId="0" borderId="0" xfId="0" applyFont="1"/>
    <xf numFmtId="0" fontId="62" fillId="0" borderId="0" xfId="0" applyFont="1"/>
    <xf numFmtId="0" fontId="61" fillId="5" borderId="0" xfId="0" applyFont="1" applyFill="1"/>
    <xf numFmtId="0" fontId="63" fillId="0" borderId="0" xfId="0" applyFont="1" applyAlignment="1">
      <alignment horizontal="left" indent="2"/>
    </xf>
    <xf numFmtId="0" fontId="61" fillId="2" borderId="0" xfId="0" applyFont="1" applyFill="1"/>
    <xf numFmtId="0" fontId="62" fillId="2" borderId="0" xfId="0" applyFont="1" applyFill="1"/>
    <xf numFmtId="0" fontId="62" fillId="5" borderId="0" xfId="0" applyFont="1" applyFill="1"/>
    <xf numFmtId="0" fontId="64" fillId="0" borderId="0" xfId="0" applyFont="1"/>
    <xf numFmtId="0" fontId="65" fillId="0" borderId="0" xfId="0" applyFont="1"/>
    <xf numFmtId="0" fontId="5" fillId="2" borderId="0" xfId="0" applyFont="1" applyFill="1" applyAlignment="1">
      <alignment horizontal="right"/>
    </xf>
    <xf numFmtId="0" fontId="5" fillId="2" borderId="5" xfId="0" applyFont="1" applyFill="1" applyBorder="1" applyAlignment="1">
      <alignment horizontal="right"/>
    </xf>
    <xf numFmtId="166" fontId="5" fillId="2" borderId="5" xfId="0" applyNumberFormat="1" applyFont="1" applyFill="1" applyBorder="1" applyAlignment="1">
      <alignment horizontal="right"/>
    </xf>
    <xf numFmtId="171" fontId="12" fillId="0" borderId="0" xfId="0" applyNumberFormat="1" applyFont="1" applyAlignment="1">
      <alignment horizontal="right"/>
    </xf>
    <xf numFmtId="170" fontId="12" fillId="0" borderId="5" xfId="2" applyNumberFormat="1" applyFont="1" applyBorder="1" applyAlignment="1">
      <alignment horizontal="right"/>
    </xf>
    <xf numFmtId="171" fontId="12" fillId="0" borderId="5" xfId="2" applyNumberFormat="1" applyFont="1" applyBorder="1" applyAlignment="1">
      <alignment horizontal="right"/>
    </xf>
    <xf numFmtId="171" fontId="12" fillId="0" borderId="5" xfId="1" applyNumberFormat="1" applyFont="1" applyBorder="1" applyAlignment="1">
      <alignment horizontal="right"/>
    </xf>
    <xf numFmtId="3" fontId="12" fillId="0" borderId="5" xfId="0" applyNumberFormat="1" applyFont="1" applyBorder="1" applyAlignment="1">
      <alignment horizontal="right"/>
    </xf>
    <xf numFmtId="170" fontId="12" fillId="0" borderId="66" xfId="2" applyNumberFormat="1" applyFont="1" applyBorder="1" applyAlignment="1">
      <alignment horizontal="right"/>
    </xf>
    <xf numFmtId="3" fontId="12" fillId="0" borderId="4" xfId="2" applyNumberFormat="1" applyFont="1" applyBorder="1" applyAlignment="1">
      <alignment horizontal="right"/>
    </xf>
    <xf numFmtId="3" fontId="12" fillId="0" borderId="0" xfId="2" applyNumberFormat="1" applyFont="1" applyBorder="1" applyAlignment="1">
      <alignment horizontal="right"/>
    </xf>
    <xf numFmtId="3" fontId="12" fillId="0" borderId="53" xfId="0" applyNumberFormat="1" applyFont="1" applyBorder="1" applyAlignment="1">
      <alignment horizontal="right"/>
    </xf>
    <xf numFmtId="170" fontId="12" fillId="0" borderId="6" xfId="2" applyNumberFormat="1" applyFont="1" applyBorder="1" applyAlignment="1">
      <alignment horizontal="right"/>
    </xf>
    <xf numFmtId="3" fontId="12" fillId="0" borderId="53" xfId="2" applyNumberFormat="1" applyFont="1" applyBorder="1" applyAlignment="1">
      <alignment horizontal="right"/>
    </xf>
    <xf numFmtId="3" fontId="12" fillId="0" borderId="7" xfId="2" applyNumberFormat="1" applyFont="1" applyBorder="1" applyAlignment="1">
      <alignment horizontal="right"/>
    </xf>
    <xf numFmtId="3" fontId="12" fillId="3" borderId="0" xfId="0" applyNumberFormat="1" applyFont="1" applyFill="1" applyAlignment="1">
      <alignment horizontal="right"/>
    </xf>
    <xf numFmtId="170" fontId="12" fillId="3" borderId="66" xfId="2" applyNumberFormat="1" applyFont="1" applyFill="1" applyBorder="1" applyAlignment="1">
      <alignment horizontal="right"/>
    </xf>
    <xf numFmtId="3" fontId="12" fillId="3" borderId="4" xfId="2" applyNumberFormat="1" applyFont="1" applyFill="1" applyBorder="1" applyAlignment="1">
      <alignment horizontal="right"/>
    </xf>
    <xf numFmtId="178" fontId="0" fillId="0" borderId="0" xfId="0" applyNumberFormat="1"/>
    <xf numFmtId="0" fontId="18" fillId="5" borderId="67" xfId="0" applyFont="1" applyFill="1" applyBorder="1"/>
    <xf numFmtId="0" fontId="18" fillId="5" borderId="68" xfId="0" applyFont="1" applyFill="1" applyBorder="1"/>
    <xf numFmtId="0" fontId="5" fillId="2" borderId="0" xfId="0" applyFont="1" applyFill="1" applyAlignment="1">
      <alignment horizontal="left"/>
    </xf>
    <xf numFmtId="0" fontId="8" fillId="0" borderId="0" xfId="0" applyFont="1" applyAlignment="1">
      <alignment vertical="center" wrapText="1"/>
    </xf>
    <xf numFmtId="10" fontId="0" fillId="0" borderId="8" xfId="0" applyNumberFormat="1" applyBorder="1"/>
    <xf numFmtId="169" fontId="6" fillId="0" borderId="0" xfId="0" applyNumberFormat="1" applyFont="1"/>
    <xf numFmtId="170" fontId="14" fillId="5" borderId="27" xfId="2" applyNumberFormat="1" applyFont="1" applyFill="1" applyBorder="1"/>
    <xf numFmtId="170" fontId="14" fillId="5" borderId="28" xfId="2" applyNumberFormat="1" applyFont="1" applyFill="1" applyBorder="1"/>
    <xf numFmtId="170" fontId="13" fillId="5" borderId="29" xfId="2" applyNumberFormat="1" applyFont="1" applyFill="1" applyBorder="1"/>
    <xf numFmtId="170" fontId="13" fillId="5" borderId="30" xfId="2" applyNumberFormat="1" applyFont="1" applyFill="1" applyBorder="1"/>
    <xf numFmtId="170" fontId="14" fillId="5" borderId="29" xfId="2" applyNumberFormat="1" applyFont="1" applyFill="1" applyBorder="1"/>
    <xf numFmtId="170" fontId="14" fillId="5" borderId="30" xfId="2" applyNumberFormat="1" applyFont="1" applyFill="1" applyBorder="1"/>
    <xf numFmtId="1" fontId="36" fillId="5" borderId="25" xfId="0" applyNumberFormat="1" applyFont="1" applyFill="1" applyBorder="1" applyAlignment="1">
      <alignment horizontal="center"/>
    </xf>
    <xf numFmtId="10" fontId="13" fillId="5" borderId="25" xfId="2" applyNumberFormat="1" applyFont="1" applyFill="1" applyBorder="1" applyAlignment="1">
      <alignment horizontal="center"/>
    </xf>
    <xf numFmtId="10" fontId="37" fillId="5" borderId="25" xfId="0" applyNumberFormat="1" applyFont="1" applyFill="1" applyBorder="1" applyAlignment="1">
      <alignment horizontal="center"/>
    </xf>
    <xf numFmtId="10" fontId="38" fillId="5" borderId="25" xfId="0" applyNumberFormat="1" applyFont="1" applyFill="1" applyBorder="1" applyAlignment="1">
      <alignment horizontal="center"/>
    </xf>
    <xf numFmtId="10" fontId="36" fillId="5" borderId="25" xfId="0" applyNumberFormat="1" applyFont="1" applyFill="1" applyBorder="1" applyAlignment="1">
      <alignment horizontal="center"/>
    </xf>
    <xf numFmtId="10" fontId="37" fillId="5" borderId="25" xfId="2" applyNumberFormat="1" applyFont="1" applyFill="1" applyBorder="1" applyAlignment="1">
      <alignment horizontal="center"/>
    </xf>
    <xf numFmtId="10" fontId="0" fillId="0" borderId="8" xfId="2" applyNumberFormat="1" applyFont="1" applyBorder="1"/>
    <xf numFmtId="0" fontId="66" fillId="0" borderId="0" xfId="0" applyFont="1" applyAlignment="1">
      <alignment horizontal="left" vertical="top" indent="1"/>
    </xf>
    <xf numFmtId="0" fontId="9" fillId="0" borderId="0" xfId="5" applyFont="1"/>
    <xf numFmtId="171" fontId="12" fillId="0" borderId="52" xfId="1" applyNumberFormat="1" applyFont="1" applyBorder="1" applyAlignment="1">
      <alignment horizontal="right"/>
    </xf>
    <xf numFmtId="0" fontId="5" fillId="2" borderId="0" xfId="5" applyFont="1" applyFill="1" applyAlignment="1">
      <alignment horizontal="left" vertical="center"/>
    </xf>
    <xf numFmtId="0" fontId="5" fillId="2" borderId="0" xfId="5" applyFont="1" applyFill="1" applyAlignment="1">
      <alignment vertical="center"/>
    </xf>
    <xf numFmtId="0" fontId="3" fillId="0" borderId="0" xfId="0" applyFont="1" applyAlignment="1">
      <alignment vertical="center"/>
    </xf>
    <xf numFmtId="0" fontId="5" fillId="2" borderId="0" xfId="5" applyFont="1" applyFill="1" applyAlignment="1">
      <alignment horizontal="center" wrapText="1"/>
    </xf>
    <xf numFmtId="170" fontId="47" fillId="0" borderId="0" xfId="0" applyNumberFormat="1" applyFont="1"/>
    <xf numFmtId="170" fontId="47" fillId="0" borderId="26" xfId="0" applyNumberFormat="1" applyFont="1" applyBorder="1"/>
    <xf numFmtId="0" fontId="13" fillId="0" borderId="0" xfId="0" applyFont="1" applyAlignment="1">
      <alignment horizontal="left" indent="1"/>
    </xf>
    <xf numFmtId="3" fontId="47" fillId="0" borderId="0" xfId="0" applyNumberFormat="1" applyFont="1"/>
    <xf numFmtId="3" fontId="47" fillId="0" borderId="26" xfId="0" applyNumberFormat="1" applyFont="1" applyBorder="1"/>
    <xf numFmtId="0" fontId="61" fillId="0" borderId="10" xfId="0" applyFont="1" applyBorder="1"/>
    <xf numFmtId="166" fontId="5" fillId="0" borderId="10" xfId="0" applyNumberFormat="1" applyFont="1" applyBorder="1"/>
    <xf numFmtId="168" fontId="0" fillId="0" borderId="10" xfId="1" applyNumberFormat="1" applyFont="1" applyFill="1" applyBorder="1" applyAlignment="1">
      <alignment horizontal="right"/>
    </xf>
    <xf numFmtId="0" fontId="0" fillId="0" borderId="10" xfId="0" applyBorder="1"/>
    <xf numFmtId="165" fontId="5" fillId="0" borderId="10" xfId="0" applyNumberFormat="1" applyFont="1" applyBorder="1"/>
    <xf numFmtId="0" fontId="68" fillId="0" borderId="0" xfId="3" applyFont="1" applyBorder="1" applyAlignment="1"/>
    <xf numFmtId="49" fontId="60" fillId="0" borderId="0" xfId="0" applyNumberFormat="1" applyFont="1"/>
    <xf numFmtId="0" fontId="0" fillId="0" borderId="47" xfId="0" applyBorder="1"/>
    <xf numFmtId="0" fontId="0" fillId="0" borderId="43" xfId="0" applyBorder="1"/>
    <xf numFmtId="0" fontId="0" fillId="0" borderId="13" xfId="0" applyBorder="1"/>
    <xf numFmtId="0" fontId="0" fillId="0" borderId="15" xfId="0" applyBorder="1"/>
    <xf numFmtId="172" fontId="14" fillId="0" borderId="74" xfId="0" applyNumberFormat="1" applyFont="1" applyBorder="1"/>
    <xf numFmtId="172" fontId="14" fillId="0" borderId="75" xfId="0" applyNumberFormat="1" applyFont="1" applyBorder="1"/>
    <xf numFmtId="172" fontId="13" fillId="0" borderId="0" xfId="0" applyNumberFormat="1" applyFont="1"/>
    <xf numFmtId="9" fontId="13" fillId="0" borderId="0" xfId="0" applyNumberFormat="1" applyFont="1"/>
    <xf numFmtId="10" fontId="0" fillId="0" borderId="14" xfId="2" applyNumberFormat="1" applyFont="1" applyBorder="1"/>
    <xf numFmtId="10" fontId="0" fillId="0" borderId="16" xfId="2" applyNumberFormat="1" applyFont="1" applyBorder="1"/>
    <xf numFmtId="0" fontId="0" fillId="0" borderId="16" xfId="0" applyBorder="1"/>
    <xf numFmtId="0" fontId="0" fillId="0" borderId="12" xfId="0" applyBorder="1"/>
    <xf numFmtId="0" fontId="0" fillId="0" borderId="76" xfId="0" applyBorder="1"/>
    <xf numFmtId="0" fontId="18" fillId="0" borderId="0" xfId="0" applyFont="1"/>
    <xf numFmtId="2" fontId="0" fillId="0" borderId="0" xfId="0" applyNumberFormat="1" applyAlignment="1">
      <alignment horizontal="center"/>
    </xf>
    <xf numFmtId="2" fontId="0" fillId="0" borderId="15" xfId="0" applyNumberFormat="1" applyBorder="1" applyAlignment="1">
      <alignment horizontal="center"/>
    </xf>
    <xf numFmtId="10" fontId="0" fillId="0" borderId="15" xfId="2" applyNumberFormat="1" applyFont="1" applyBorder="1"/>
    <xf numFmtId="0" fontId="4" fillId="0" borderId="12" xfId="0" applyFont="1" applyBorder="1"/>
    <xf numFmtId="10" fontId="3" fillId="0" borderId="14" xfId="2" applyNumberFormat="1" applyFont="1" applyBorder="1"/>
    <xf numFmtId="10" fontId="3" fillId="0" borderId="16" xfId="2" applyNumberFormat="1" applyFont="1" applyBorder="1"/>
    <xf numFmtId="179" fontId="0" fillId="0" borderId="0" xfId="0" applyNumberFormat="1"/>
    <xf numFmtId="0" fontId="18" fillId="0" borderId="9" xfId="0" applyFont="1" applyBorder="1"/>
    <xf numFmtId="0" fontId="0" fillId="0" borderId="0" xfId="0" applyAlignment="1">
      <alignment horizontal="left" vertical="top" wrapText="1"/>
    </xf>
    <xf numFmtId="0" fontId="19" fillId="0" borderId="8" xfId="0" applyFont="1" applyBorder="1"/>
    <xf numFmtId="9" fontId="14" fillId="11" borderId="0" xfId="0" applyNumberFormat="1" applyFont="1" applyFill="1"/>
    <xf numFmtId="9" fontId="14" fillId="11" borderId="0" xfId="0" applyNumberFormat="1" applyFont="1" applyFill="1" applyAlignment="1">
      <alignment horizontal="right"/>
    </xf>
    <xf numFmtId="9" fontId="14" fillId="11" borderId="0" xfId="0" applyNumberFormat="1" applyFont="1" applyFill="1" applyAlignment="1">
      <alignment horizontal="center"/>
    </xf>
    <xf numFmtId="4" fontId="33" fillId="0" borderId="0" xfId="0" applyNumberFormat="1" applyFont="1"/>
    <xf numFmtId="0" fontId="0" fillId="3" borderId="0" xfId="0" applyFill="1"/>
    <xf numFmtId="0" fontId="33" fillId="3" borderId="0" xfId="0" applyFont="1" applyFill="1"/>
    <xf numFmtId="4" fontId="33" fillId="3" borderId="0" xfId="0" applyNumberFormat="1" applyFont="1" applyFill="1"/>
    <xf numFmtId="9" fontId="0" fillId="3" borderId="0" xfId="2" applyFont="1" applyFill="1"/>
    <xf numFmtId="0" fontId="0" fillId="0" borderId="0" xfId="0" applyAlignment="1">
      <alignment vertical="top"/>
    </xf>
    <xf numFmtId="37" fontId="29" fillId="0" borderId="0" xfId="8" applyNumberFormat="1" applyFont="1" applyAlignment="1">
      <alignment horizontal="center"/>
    </xf>
    <xf numFmtId="37" fontId="33" fillId="0" borderId="0" xfId="8" applyNumberFormat="1" applyFont="1" applyAlignment="1">
      <alignment horizontal="center" wrapText="1"/>
    </xf>
    <xf numFmtId="37" fontId="33" fillId="0" borderId="0" xfId="5" applyNumberFormat="1" applyFont="1" applyAlignment="1">
      <alignment horizontal="center"/>
    </xf>
    <xf numFmtId="37" fontId="29" fillId="0" borderId="17" xfId="8" applyNumberFormat="1" applyFont="1" applyBorder="1" applyAlignment="1">
      <alignment horizontal="center"/>
    </xf>
    <xf numFmtId="0" fontId="11" fillId="2" borderId="46" xfId="5" applyFont="1" applyFill="1" applyBorder="1"/>
    <xf numFmtId="0" fontId="11" fillId="5" borderId="17" xfId="5" applyFont="1" applyFill="1" applyBorder="1"/>
    <xf numFmtId="37" fontId="33" fillId="3" borderId="45" xfId="8" applyNumberFormat="1" applyFont="1" applyFill="1" applyBorder="1" applyAlignment="1">
      <alignment horizontal="center" wrapText="1"/>
    </xf>
    <xf numFmtId="0" fontId="11" fillId="2" borderId="45" xfId="5" applyFont="1" applyFill="1" applyBorder="1"/>
    <xf numFmtId="0" fontId="11" fillId="5" borderId="45" xfId="5" applyFont="1" applyFill="1" applyBorder="1"/>
    <xf numFmtId="0" fontId="57" fillId="2" borderId="17" xfId="5" applyFont="1" applyFill="1" applyBorder="1" applyAlignment="1">
      <alignment horizontal="center" vertical="center" wrapText="1"/>
    </xf>
    <xf numFmtId="0" fontId="58" fillId="5" borderId="17" xfId="5" applyFont="1" applyFill="1" applyBorder="1"/>
    <xf numFmtId="37" fontId="33" fillId="3" borderId="17" xfId="8" applyNumberFormat="1" applyFont="1" applyFill="1" applyBorder="1" applyAlignment="1">
      <alignment horizontal="center" wrapText="1"/>
    </xf>
    <xf numFmtId="37" fontId="3" fillId="0" borderId="17" xfId="8" applyNumberFormat="1" applyFont="1" applyBorder="1" applyAlignment="1">
      <alignment horizontal="center" wrapText="1"/>
    </xf>
    <xf numFmtId="1" fontId="29" fillId="0" borderId="17" xfId="8" applyNumberFormat="1" applyFont="1" applyBorder="1" applyAlignment="1">
      <alignment horizontal="center" wrapText="1"/>
    </xf>
    <xf numFmtId="0" fontId="11" fillId="2" borderId="17" xfId="5" applyFont="1" applyFill="1" applyBorder="1"/>
    <xf numFmtId="0" fontId="57" fillId="2" borderId="45" xfId="5" applyFont="1" applyFill="1" applyBorder="1" applyAlignment="1">
      <alignment horizontal="center" vertical="center" wrapText="1"/>
    </xf>
    <xf numFmtId="0" fontId="58" fillId="5" borderId="45" xfId="5" applyFont="1" applyFill="1" applyBorder="1"/>
    <xf numFmtId="37" fontId="33" fillId="3" borderId="45" xfId="8" applyNumberFormat="1" applyFont="1" applyFill="1" applyBorder="1" applyAlignment="1">
      <alignment horizontal="center"/>
    </xf>
    <xf numFmtId="37" fontId="3" fillId="4" borderId="45" xfId="8" applyNumberFormat="1" applyFont="1" applyFill="1" applyBorder="1" applyAlignment="1">
      <alignment horizontal="center" wrapText="1"/>
    </xf>
    <xf numFmtId="1" fontId="29" fillId="0" borderId="45" xfId="8" applyNumberFormat="1" applyFont="1" applyBorder="1" applyAlignment="1">
      <alignment horizontal="center" wrapText="1"/>
    </xf>
    <xf numFmtId="37" fontId="8" fillId="0" borderId="45" xfId="8" applyNumberFormat="1" applyFont="1" applyBorder="1" applyAlignment="1">
      <alignment horizontal="center"/>
    </xf>
    <xf numFmtId="168" fontId="11" fillId="0" borderId="0" xfId="5" applyNumberFormat="1" applyFont="1" applyAlignment="1">
      <alignment horizontal="center"/>
    </xf>
    <xf numFmtId="10" fontId="11" fillId="0" borderId="0" xfId="2" applyNumberFormat="1" applyFont="1" applyAlignment="1">
      <alignment horizontal="center"/>
    </xf>
    <xf numFmtId="2" fontId="11" fillId="0" borderId="0" xfId="2" applyNumberFormat="1" applyFont="1" applyAlignment="1">
      <alignment horizontal="center"/>
    </xf>
    <xf numFmtId="0" fontId="11" fillId="3" borderId="0" xfId="0" applyFont="1" applyFill="1"/>
    <xf numFmtId="0" fontId="0" fillId="0" borderId="8" xfId="0" applyBorder="1" applyAlignment="1">
      <alignment horizontal="center"/>
    </xf>
    <xf numFmtId="9" fontId="0" fillId="0" borderId="0" xfId="2" applyFont="1" applyAlignment="1">
      <alignment horizontal="center"/>
    </xf>
    <xf numFmtId="9" fontId="0" fillId="3" borderId="0" xfId="2" applyFont="1" applyFill="1" applyAlignment="1">
      <alignment horizontal="center"/>
    </xf>
    <xf numFmtId="172" fontId="21" fillId="0" borderId="0" xfId="0" applyNumberFormat="1" applyFont="1"/>
    <xf numFmtId="0" fontId="20" fillId="8" borderId="0" xfId="5" applyFont="1" applyFill="1" applyAlignment="1">
      <alignment horizontal="center" vertical="center"/>
    </xf>
    <xf numFmtId="0" fontId="69" fillId="13" borderId="0" xfId="0" applyFont="1" applyFill="1"/>
    <xf numFmtId="0" fontId="70" fillId="13" borderId="0" xfId="0" applyFont="1" applyFill="1"/>
    <xf numFmtId="0" fontId="70" fillId="14" borderId="0" xfId="0" applyFont="1" applyFill="1"/>
    <xf numFmtId="0" fontId="9" fillId="0" borderId="0" xfId="0" applyFont="1"/>
    <xf numFmtId="4" fontId="0" fillId="0" borderId="0" xfId="0" applyNumberFormat="1"/>
    <xf numFmtId="4" fontId="9" fillId="0" borderId="0" xfId="0" applyNumberFormat="1" applyFont="1"/>
    <xf numFmtId="0" fontId="3" fillId="2" borderId="0" xfId="0" applyFont="1" applyFill="1"/>
    <xf numFmtId="0" fontId="3" fillId="5" borderId="0" xfId="0" applyFont="1" applyFill="1"/>
    <xf numFmtId="0" fontId="3" fillId="0" borderId="10" xfId="0" applyFont="1" applyBorder="1"/>
    <xf numFmtId="0" fontId="3" fillId="0" borderId="10" xfId="0" applyFont="1" applyBorder="1" applyAlignment="1">
      <alignment horizontal="left" vertical="top" wrapText="1"/>
    </xf>
    <xf numFmtId="0" fontId="9" fillId="0" borderId="0" xfId="3" applyFont="1" applyBorder="1"/>
    <xf numFmtId="0" fontId="3" fillId="0" borderId="0" xfId="0" applyFont="1" applyAlignment="1">
      <alignment vertical="top" wrapText="1"/>
    </xf>
    <xf numFmtId="0" fontId="3" fillId="0" borderId="10" xfId="0" applyFont="1" applyBorder="1" applyAlignment="1">
      <alignment vertical="top" wrapText="1"/>
    </xf>
    <xf numFmtId="0" fontId="17" fillId="5" borderId="0" xfId="0" applyFont="1" applyFill="1"/>
    <xf numFmtId="0" fontId="3" fillId="0" borderId="0" xfId="0" applyFont="1" applyAlignment="1">
      <alignment wrapText="1"/>
    </xf>
    <xf numFmtId="0" fontId="9" fillId="0" borderId="0" xfId="0" applyFont="1" applyAlignment="1">
      <alignment horizontal="left" indent="1"/>
    </xf>
    <xf numFmtId="0" fontId="3" fillId="0" borderId="8" xfId="0" applyFont="1" applyBorder="1"/>
    <xf numFmtId="10" fontId="3" fillId="0" borderId="0" xfId="0" applyNumberFormat="1" applyFont="1"/>
    <xf numFmtId="0" fontId="3" fillId="0" borderId="0" xfId="0" applyFont="1" applyAlignment="1">
      <alignment indent="1"/>
    </xf>
    <xf numFmtId="3" fontId="3" fillId="0" borderId="0" xfId="0" applyNumberFormat="1" applyFont="1"/>
    <xf numFmtId="0" fontId="3" fillId="0" borderId="0" xfId="0" applyFont="1" applyAlignment="1">
      <alignment horizontal="left" indent="1"/>
    </xf>
    <xf numFmtId="3" fontId="12" fillId="0" borderId="0" xfId="1" applyNumberFormat="1" applyFont="1" applyFill="1" applyBorder="1" applyAlignment="1">
      <alignment horizontal="right"/>
    </xf>
    <xf numFmtId="0" fontId="5" fillId="0" borderId="0" xfId="0" applyFont="1"/>
    <xf numFmtId="0" fontId="6" fillId="0" borderId="0" xfId="0" applyFont="1"/>
    <xf numFmtId="165" fontId="5" fillId="0" borderId="0" xfId="0" applyNumberFormat="1" applyFont="1"/>
    <xf numFmtId="0" fontId="4" fillId="0" borderId="0" xfId="0" applyFont="1" applyAlignment="1">
      <alignment vertical="center"/>
    </xf>
    <xf numFmtId="170" fontId="13" fillId="0" borderId="0" xfId="4" applyNumberFormat="1" applyFont="1" applyAlignment="1"/>
    <xf numFmtId="0" fontId="30" fillId="2" borderId="0" xfId="5" applyFont="1" applyFill="1"/>
    <xf numFmtId="1" fontId="15" fillId="0" borderId="0" xfId="5" applyNumberFormat="1" applyAlignment="1">
      <alignment vertical="center"/>
    </xf>
    <xf numFmtId="1" fontId="4" fillId="8" borderId="11" xfId="0" applyNumberFormat="1" applyFont="1" applyFill="1" applyBorder="1"/>
    <xf numFmtId="0" fontId="4" fillId="6" borderId="0" xfId="0" applyFont="1" applyFill="1"/>
    <xf numFmtId="0" fontId="71" fillId="0" borderId="0" xfId="0" applyFont="1"/>
    <xf numFmtId="0" fontId="72" fillId="0" borderId="9" xfId="0" applyFont="1" applyBorder="1"/>
    <xf numFmtId="0" fontId="0" fillId="0" borderId="77" xfId="0" applyBorder="1"/>
    <xf numFmtId="0" fontId="4" fillId="0" borderId="12" xfId="0" applyFont="1" applyBorder="1" applyAlignment="1">
      <alignment horizontal="center"/>
    </xf>
    <xf numFmtId="1" fontId="0" fillId="0" borderId="15" xfId="2" applyNumberFormat="1" applyFont="1" applyBorder="1"/>
    <xf numFmtId="1" fontId="3" fillId="0" borderId="14" xfId="2" applyNumberFormat="1" applyFont="1" applyBorder="1"/>
    <xf numFmtId="1" fontId="3" fillId="0" borderId="16" xfId="2" applyNumberFormat="1" applyFont="1" applyBorder="1"/>
    <xf numFmtId="1" fontId="3" fillId="0" borderId="14" xfId="2" applyNumberFormat="1" applyFont="1" applyFill="1" applyBorder="1"/>
    <xf numFmtId="0" fontId="17" fillId="5" borderId="0" xfId="0" applyFont="1" applyFill="1" applyAlignment="1">
      <alignment vertical="center"/>
    </xf>
    <xf numFmtId="0" fontId="73" fillId="0" borderId="0" xfId="0" applyFont="1"/>
    <xf numFmtId="176" fontId="0" fillId="0" borderId="16" xfId="0" applyNumberFormat="1" applyBorder="1"/>
    <xf numFmtId="0" fontId="18" fillId="5" borderId="0" xfId="0" applyFont="1" applyFill="1"/>
    <xf numFmtId="10" fontId="0" fillId="0" borderId="14" xfId="2" applyNumberFormat="1" applyFont="1" applyFill="1" applyBorder="1"/>
    <xf numFmtId="170" fontId="0" fillId="0" borderId="0" xfId="2" applyNumberFormat="1" applyFont="1" applyAlignment="1">
      <alignment horizontal="center"/>
    </xf>
    <xf numFmtId="170" fontId="0" fillId="0" borderId="15" xfId="2" applyNumberFormat="1" applyFont="1" applyBorder="1" applyAlignment="1">
      <alignment horizontal="center"/>
    </xf>
    <xf numFmtId="170" fontId="0" fillId="0" borderId="15" xfId="2" applyNumberFormat="1" applyFont="1" applyBorder="1"/>
    <xf numFmtId="171" fontId="12" fillId="3" borderId="5" xfId="1" applyNumberFormat="1" applyFont="1" applyFill="1" applyBorder="1" applyAlignment="1">
      <alignment horizontal="right"/>
    </xf>
    <xf numFmtId="2" fontId="3" fillId="0" borderId="0" xfId="1" applyNumberFormat="1" applyFont="1" applyAlignment="1">
      <alignment horizontal="center"/>
    </xf>
    <xf numFmtId="2" fontId="11" fillId="0" borderId="0" xfId="5" applyNumberFormat="1" applyFont="1" applyAlignment="1">
      <alignment horizontal="center"/>
    </xf>
    <xf numFmtId="2" fontId="33" fillId="3" borderId="0" xfId="0" applyNumberFormat="1" applyFont="1" applyFill="1" applyAlignment="1">
      <alignment horizontal="right"/>
    </xf>
    <xf numFmtId="180" fontId="7" fillId="2" borderId="0" xfId="0" applyNumberFormat="1" applyFont="1" applyFill="1" applyAlignment="1">
      <alignment horizontal="right"/>
    </xf>
    <xf numFmtId="9" fontId="4" fillId="7" borderId="0" xfId="0" applyNumberFormat="1" applyFont="1" applyFill="1" applyAlignment="1">
      <alignment horizontal="right"/>
    </xf>
    <xf numFmtId="0" fontId="3" fillId="0" borderId="0" xfId="0" applyFont="1" applyAlignment="1">
      <alignment horizontal="center"/>
    </xf>
    <xf numFmtId="176" fontId="0" fillId="0" borderId="0" xfId="0" applyNumberFormat="1"/>
    <xf numFmtId="0" fontId="4" fillId="0" borderId="13" xfId="0" applyFont="1" applyBorder="1"/>
    <xf numFmtId="10" fontId="0" fillId="0" borderId="0" xfId="2" applyNumberFormat="1" applyFont="1" applyBorder="1"/>
    <xf numFmtId="0" fontId="0" fillId="0" borderId="14" xfId="0" applyBorder="1"/>
    <xf numFmtId="176" fontId="0" fillId="0" borderId="15" xfId="0" applyNumberFormat="1" applyBorder="1"/>
    <xf numFmtId="0" fontId="4" fillId="0" borderId="14" xfId="0" applyFont="1" applyBorder="1"/>
    <xf numFmtId="176" fontId="4" fillId="0" borderId="0" xfId="0" applyNumberFormat="1" applyFont="1"/>
    <xf numFmtId="170" fontId="3" fillId="0" borderId="0" xfId="2" applyNumberFormat="1" applyFont="1"/>
    <xf numFmtId="3" fontId="11" fillId="0" borderId="0" xfId="0" applyNumberFormat="1" applyFont="1"/>
    <xf numFmtId="0" fontId="0" fillId="3" borderId="24" xfId="2" applyNumberFormat="1" applyFont="1" applyFill="1" applyBorder="1"/>
    <xf numFmtId="0" fontId="60" fillId="0" borderId="0" xfId="0" applyFont="1" applyAlignment="1">
      <alignment horizontal="left" indent="1"/>
    </xf>
    <xf numFmtId="9" fontId="33" fillId="3" borderId="0" xfId="2" applyFont="1" applyFill="1" applyAlignment="1">
      <alignment horizontal="center"/>
    </xf>
    <xf numFmtId="9" fontId="11" fillId="0" borderId="0" xfId="2" applyFont="1" applyAlignment="1">
      <alignment horizontal="center"/>
    </xf>
    <xf numFmtId="179" fontId="33" fillId="3" borderId="0" xfId="2" applyNumberFormat="1" applyFont="1" applyFill="1" applyAlignment="1">
      <alignment horizontal="center"/>
    </xf>
    <xf numFmtId="179" fontId="11" fillId="0" borderId="0" xfId="2" applyNumberFormat="1" applyFont="1" applyAlignment="1">
      <alignment horizontal="center"/>
    </xf>
    <xf numFmtId="37" fontId="29" fillId="0" borderId="79" xfId="8" applyNumberFormat="1" applyFont="1" applyBorder="1" applyAlignment="1">
      <alignment horizontal="center"/>
    </xf>
    <xf numFmtId="37" fontId="33" fillId="3" borderId="80" xfId="8" applyNumberFormat="1" applyFont="1" applyFill="1" applyBorder="1" applyAlignment="1">
      <alignment horizontal="center"/>
    </xf>
    <xf numFmtId="37" fontId="8" fillId="0" borderId="45" xfId="5" applyNumberFormat="1" applyFont="1" applyBorder="1" applyAlignment="1">
      <alignment horizontal="center"/>
    </xf>
    <xf numFmtId="0" fontId="14" fillId="0" borderId="81" xfId="0" applyFont="1" applyBorder="1"/>
    <xf numFmtId="37" fontId="44" fillId="3" borderId="0" xfId="0" applyNumberFormat="1" applyFont="1" applyFill="1" applyAlignment="1">
      <alignment horizontal="right"/>
    </xf>
    <xf numFmtId="0" fontId="26" fillId="0" borderId="0" xfId="0" applyFont="1" applyAlignment="1">
      <alignment horizontal="left" indent="1"/>
    </xf>
    <xf numFmtId="0" fontId="48" fillId="0" borderId="0" xfId="0" applyFont="1" applyAlignment="1">
      <alignment horizontal="left" indent="1"/>
    </xf>
    <xf numFmtId="0" fontId="8" fillId="15" borderId="0" xfId="0" applyFont="1" applyFill="1" applyAlignment="1">
      <alignment horizontal="left" vertical="top" wrapText="1"/>
    </xf>
    <xf numFmtId="0" fontId="8" fillId="0" borderId="0" xfId="0" applyFont="1" applyAlignment="1">
      <alignment horizontal="center" vertical="center" wrapText="1"/>
    </xf>
    <xf numFmtId="0" fontId="8" fillId="0" borderId="8" xfId="0" applyFont="1" applyBorder="1" applyAlignment="1">
      <alignment horizontal="center" vertical="center" wrapText="1"/>
    </xf>
    <xf numFmtId="0" fontId="67" fillId="0" borderId="70" xfId="0" applyFont="1" applyBorder="1" applyAlignment="1">
      <alignment horizontal="left" vertical="center" wrapText="1"/>
    </xf>
    <xf numFmtId="0" fontId="67" fillId="0" borderId="71" xfId="0" applyFont="1" applyBorder="1" applyAlignment="1">
      <alignment horizontal="left" vertical="center" wrapText="1"/>
    </xf>
    <xf numFmtId="0" fontId="67" fillId="0" borderId="0" xfId="0" applyFont="1" applyAlignment="1">
      <alignment horizontal="left" vertical="center" wrapText="1"/>
    </xf>
    <xf numFmtId="0" fontId="67" fillId="0" borderId="69" xfId="0" applyFont="1" applyBorder="1" applyAlignment="1">
      <alignment horizontal="left" vertical="center" wrapText="1"/>
    </xf>
    <xf numFmtId="0" fontId="34" fillId="0" borderId="72" xfId="0" applyFont="1" applyBorder="1" applyAlignment="1">
      <alignment horizontal="left" vertical="center" wrapText="1"/>
    </xf>
    <xf numFmtId="0" fontId="67" fillId="0" borderId="73" xfId="0" applyFont="1" applyBorder="1" applyAlignment="1">
      <alignment horizontal="left" vertical="center" wrapText="1"/>
    </xf>
    <xf numFmtId="0" fontId="3" fillId="0" borderId="0" xfId="0" applyFont="1" applyAlignment="1">
      <alignment horizontal="left" vertical="top" wrapText="1"/>
    </xf>
    <xf numFmtId="0" fontId="3" fillId="0" borderId="78" xfId="0" applyFont="1" applyBorder="1" applyAlignment="1">
      <alignment horizontal="center"/>
    </xf>
    <xf numFmtId="0" fontId="3" fillId="0" borderId="0" xfId="0" applyFont="1" applyAlignment="1">
      <alignment horizontal="center"/>
    </xf>
    <xf numFmtId="0" fontId="0" fillId="0" borderId="0" xfId="0" applyAlignment="1">
      <alignment horizontal="center" wrapText="1" indent="1"/>
    </xf>
    <xf numFmtId="0" fontId="0" fillId="0" borderId="0" xfId="0" applyAlignment="1">
      <alignment horizontal="left" vertical="center"/>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vertical="center" wrapText="1"/>
    </xf>
    <xf numFmtId="0" fontId="7" fillId="2" borderId="0" xfId="0" applyFont="1" applyFill="1" applyAlignment="1">
      <alignment horizontal="center"/>
    </xf>
    <xf numFmtId="0" fontId="5" fillId="2" borderId="0" xfId="5" applyFont="1" applyFill="1" applyAlignment="1">
      <alignment horizontal="center" wrapText="1"/>
    </xf>
    <xf numFmtId="0" fontId="5" fillId="2" borderId="0" xfId="5" applyFont="1" applyFill="1" applyAlignment="1">
      <alignment horizontal="center"/>
    </xf>
    <xf numFmtId="0" fontId="5" fillId="2" borderId="59" xfId="5" applyFont="1" applyFill="1" applyBorder="1" applyAlignment="1">
      <alignment horizontal="center"/>
    </xf>
    <xf numFmtId="0" fontId="5" fillId="2" borderId="63" xfId="5" applyFont="1" applyFill="1" applyBorder="1" applyAlignment="1">
      <alignment horizontal="center"/>
    </xf>
    <xf numFmtId="0" fontId="5" fillId="2" borderId="60" xfId="5" applyFont="1" applyFill="1" applyBorder="1" applyAlignment="1">
      <alignment horizontal="center"/>
    </xf>
    <xf numFmtId="0" fontId="5" fillId="2" borderId="55" xfId="5" applyFont="1" applyFill="1" applyBorder="1" applyAlignment="1">
      <alignment horizontal="center"/>
    </xf>
    <xf numFmtId="0" fontId="15" fillId="0" borderId="0" xfId="5" applyAlignment="1">
      <alignment horizontal="center" vertical="center"/>
    </xf>
    <xf numFmtId="0" fontId="15" fillId="0" borderId="0" xfId="5" applyAlignment="1">
      <alignment horizontal="center" vertical="center" wrapText="1"/>
    </xf>
    <xf numFmtId="0" fontId="59" fillId="0" borderId="0" xfId="5" applyFont="1" applyAlignment="1">
      <alignment horizontal="center" vertical="center"/>
    </xf>
    <xf numFmtId="0" fontId="15" fillId="0" borderId="12" xfId="5" applyBorder="1" applyAlignment="1">
      <alignment horizontal="center" vertical="center"/>
    </xf>
    <xf numFmtId="0" fontId="15" fillId="0" borderId="12" xfId="5" applyBorder="1" applyAlignment="1">
      <alignment horizontal="center" vertical="center" wrapText="1"/>
    </xf>
    <xf numFmtId="0" fontId="0" fillId="0" borderId="11" xfId="0" applyBorder="1" applyAlignment="1">
      <alignment horizontal="center" vertical="center" wrapText="1"/>
    </xf>
    <xf numFmtId="0" fontId="0" fillId="0" borderId="0" xfId="0" applyAlignment="1">
      <alignment horizontal="center" vertical="center" wrapText="1"/>
    </xf>
    <xf numFmtId="0" fontId="0" fillId="0" borderId="11" xfId="0" applyBorder="1" applyAlignment="1">
      <alignment horizontal="left" vertical="top" wrapText="1"/>
    </xf>
    <xf numFmtId="0" fontId="4" fillId="0" borderId="11" xfId="0" applyFont="1" applyBorder="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left" vertical="center"/>
    </xf>
    <xf numFmtId="0" fontId="0" fillId="0" borderId="0" xfId="0" applyFont="1"/>
  </cellXfs>
  <cellStyles count="16">
    <cellStyle name="blp_column_header" xfId="12"/>
    <cellStyle name="Comma" xfId="1" builtinId="3"/>
    <cellStyle name="Currency 2" xfId="9"/>
    <cellStyle name="fa_column_header_bottom" xfId="11"/>
    <cellStyle name="Hyperlink" xfId="3"/>
    <cellStyle name="Normal" xfId="0" builtinId="0"/>
    <cellStyle name="Normal 2" xfId="8"/>
    <cellStyle name="Normal 2 2" xfId="5"/>
    <cellStyle name="Normal 2 3" xfId="14"/>
    <cellStyle name="Normal 3 2" xfId="6"/>
    <cellStyle name="Normal 6" xfId="10"/>
    <cellStyle name="Normal 6 2" xfId="15"/>
    <cellStyle name="Percent" xfId="2" builtinId="5"/>
    <cellStyle name="Percent 2" xfId="4"/>
    <cellStyle name="Porcentaje 3" xfId="7"/>
    <cellStyle name="Porcentaje 3 2" xfId="13"/>
  </cellStyles>
  <dxfs count="5">
    <dxf>
      <font>
        <color rgb="FFC00000"/>
      </font>
    </dxf>
    <dxf>
      <font>
        <color rgb="FFFF0000"/>
      </font>
    </dxf>
    <dxf>
      <font>
        <color rgb="FF00B050"/>
      </font>
    </dxf>
    <dxf>
      <font>
        <color rgb="FF92D050"/>
      </font>
      <fill>
        <patternFill patternType="none">
          <bgColor auto="1"/>
        </patternFill>
      </fill>
    </dxf>
    <dxf>
      <font>
        <color rgb="FFFFC000"/>
      </font>
      <fill>
        <patternFill patternType="none">
          <bgColor auto="1"/>
        </patternFill>
      </fill>
    </dxf>
  </dxfs>
  <tableStyles count="0" defaultTableStyle="TableStyleMedium2" defaultPivotStyle="PivotStyleLight16"/>
  <colors>
    <mruColors>
      <color rgb="FF7B1314"/>
      <color rgb="FF5A5A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ofaddin.rtdserver">
      <tp t="s">
        <v>#N/A N/A</v>
        <stp/>
        <stp>BDP|13888081351135089985</stp>
        <tr r="F129" s="17"/>
      </tp>
      <tp t="s">
        <v>#N/A N/A</v>
        <stp/>
        <stp>BDP|10171778892564760086</stp>
        <tr r="G118" s="17"/>
      </tp>
      <tp t="s">
        <v>#N/A N/A</v>
        <stp/>
        <stp>BDP|15916751084275778543</stp>
        <tr r="H100" s="17"/>
      </tp>
      <tp t="s">
        <v>#N/A N/A</v>
        <stp/>
        <stp>BDP|12026831677860715790</stp>
        <tr r="I115" s="17"/>
      </tp>
      <tp t="s">
        <v>#N/A N/A</v>
        <stp/>
        <stp>BDP|17939835212782543675</stp>
        <tr r="E131" s="17"/>
      </tp>
      <tp t="s">
        <v>#N/A N/A</v>
        <stp/>
        <stp>BDP|16377604867999232590</stp>
        <tr r="AC19" s="19"/>
      </tp>
      <tp t="s">
        <v>#N/A N/A</v>
        <stp/>
        <stp>BDP|16534566383562749343</stp>
        <tr r="N119" s="17"/>
      </tp>
      <tp t="s">
        <v>#N/A N/A</v>
        <stp/>
        <stp>BDP|14043005263288837091</stp>
        <tr r="K115" s="17"/>
      </tp>
      <tp t="s">
        <v>#N/A N/A</v>
        <stp/>
        <stp>BDP|16380121175128077210</stp>
        <tr r="G122" s="17"/>
      </tp>
      <tp t="s">
        <v>#N/A N/A</v>
        <stp/>
        <stp>BDP|13929945138370941389</stp>
        <tr r="K102" s="17"/>
      </tp>
      <tp t="s">
        <v>#N/A N/A</v>
        <stp/>
        <stp>BDP|13272031878648341732</stp>
        <tr r="H76" s="17"/>
      </tp>
      <tp t="s">
        <v>#N/A N/A</v>
        <stp/>
        <stp>BDP|16391973758585288472</stp>
        <tr r="N117" s="17"/>
      </tp>
      <tp t="s">
        <v>#N/A N/A</v>
        <stp/>
        <stp>BDP|18020634251354846422</stp>
        <tr r="F111" s="17"/>
      </tp>
      <tp t="s">
        <v>#N/A N/A</v>
        <stp/>
        <stp>BDP|15112562585202975100</stp>
        <tr r="M128" s="17"/>
      </tp>
      <tp t="s">
        <v>#N/A N/A</v>
        <stp/>
        <stp>BDP|11496997132088039856</stp>
        <tr r="G112" s="17"/>
      </tp>
      <tp t="s">
        <v>#N/A N/A</v>
        <stp/>
        <stp>BDP|11813037496292137115</stp>
        <tr r="L129" s="17"/>
      </tp>
      <tp t="s">
        <v>#N/A N/A</v>
        <stp/>
        <stp>BDP|12526098305580255975</stp>
        <tr r="H115" s="17"/>
      </tp>
      <tp t="s">
        <v>#N/A N/A</v>
        <stp/>
        <stp>BDP|17347082593586366347</stp>
        <tr r="M130" s="17"/>
      </tp>
      <tp t="s">
        <v>#N/A N/A</v>
        <stp/>
        <stp>BDP|16299039380303259632</stp>
        <tr r="AJ19" s="19"/>
      </tp>
      <tp t="s">
        <v>#N/A N/A</v>
        <stp/>
        <stp>BDP|10745972104981250346</stp>
        <tr r="H98" s="17"/>
      </tp>
      <tp t="s">
        <v>#N/A N/A</v>
        <stp/>
        <stp>BDP|13722206433530312952</stp>
        <tr r="N78" s="17"/>
      </tp>
      <tp t="s">
        <v>#N/A Requesting Data...2684299986</v>
        <stp/>
        <stp>BDP|13448280619248932398</stp>
        <tr r="D77" s="17"/>
      </tp>
      <tp t="s">
        <v>#N/A N/A</v>
        <stp/>
        <stp>BDP|13432858612952315342</stp>
        <tr r="G128" s="17"/>
      </tp>
      <tp t="s">
        <v>#N/A N/A</v>
        <stp/>
        <stp>BDP|13921862479641043608</stp>
        <tr r="E116" s="17"/>
      </tp>
      <tp t="s">
        <v>#N/A N/A</v>
        <stp/>
        <stp>BDH|15644633701360587829</stp>
        <tr r="J95" s="17"/>
      </tp>
      <tp t="s">
        <v>#N/A N/A</v>
        <stp/>
        <stp>BDH|17267451547989589508</stp>
        <tr r="N94" s="17"/>
      </tp>
      <tp t="s">
        <v>#N/A N/A</v>
        <stp/>
        <stp>BDH|10713866233407242780</stp>
        <tr r="K96" s="17"/>
      </tp>
      <tp t="s">
        <v>#N/A N/A</v>
        <stp/>
        <stp>BDH|10299228113929786182</stp>
        <tr r="N96" s="17"/>
      </tp>
      <tp t="s">
        <v>#N/A N/A</v>
        <stp/>
        <stp>BDP|18238398032454064414</stp>
        <tr r="AB19" s="19"/>
      </tp>
      <tp t="s">
        <v>#N/A N/A</v>
        <stp/>
        <stp>BDP|11087085034083025978</stp>
        <tr r="H130" s="17"/>
      </tp>
      <tp t="s">
        <v>#N/A N/A</v>
        <stp/>
        <stp>BDP|18311089351057498218</stp>
        <tr r="H77" s="17"/>
      </tp>
      <tp t="s">
        <v>#N/A N/A</v>
        <stp/>
        <stp>BDP|18141339339194257482</stp>
        <tr r="I122" s="17"/>
      </tp>
      <tp t="s">
        <v>#N/A N/A</v>
        <stp/>
        <stp>BDP|13309673151410145846</stp>
        <tr r="L73" s="17"/>
      </tp>
      <tp t="s">
        <v>#N/A N/A</v>
        <stp/>
        <stp>BDP|15352015876979467378</stp>
        <tr r="F118" s="17"/>
      </tp>
      <tp t="s">
        <v>#N/A N/A</v>
        <stp/>
        <stp>BDP|16600453204913214939</stp>
        <tr r="G113" s="17"/>
      </tp>
      <tp t="s">
        <v>#N/A N/A</v>
        <stp/>
        <stp>BDH|12530659410728348523</stp>
        <tr r="F96" s="17"/>
      </tp>
      <tp t="s">
        <v>#N/A N/A</v>
        <stp/>
        <stp>BDH|14017152487156677375</stp>
        <tr r="H95" s="17"/>
      </tp>
      <tp t="s">
        <v>#N/A N/A</v>
        <stp/>
        <stp>BDP|12731754989167621341</stp>
        <tr r="N121" s="17"/>
      </tp>
      <tp t="s">
        <v>#N/A N/A</v>
        <stp/>
        <stp>BDP|14875910931465403275</stp>
        <tr r="U8" s="19"/>
      </tp>
      <tp t="s">
        <v>#N/A N/A</v>
        <stp/>
        <stp>BDP|10588816479743162509</stp>
        <tr r="F119" s="17"/>
      </tp>
      <tp t="s">
        <v>#N/A N/A</v>
        <stp/>
        <stp>BDP|10007521986053187755</stp>
        <tr r="N122" s="17"/>
      </tp>
      <tp t="s">
        <v>#N/A N/A</v>
        <stp/>
        <stp>BDP|10243852341540537507</stp>
        <tr r="G132" s="17"/>
      </tp>
      <tp t="s">
        <v>#N/A N/A</v>
        <stp/>
        <stp>BDP|10143042076327647938</stp>
        <tr r="I111" s="17"/>
      </tp>
      <tp t="s">
        <v>#N/A N/A</v>
        <stp/>
        <stp>BDH|12638955239438516917</stp>
        <tr r="J96" s="17"/>
      </tp>
      <tp t="s">
        <v>#N/A N/A</v>
        <stp/>
        <stp>BDP|17769064939282751873</stp>
        <tr r="F126" s="17"/>
      </tp>
      <tp t="s">
        <v>#N/A N/A</v>
        <stp/>
        <stp>BDP|17631684294893597540</stp>
        <tr r="E118" s="17"/>
      </tp>
      <tp t="s">
        <v>#N/A N/A</v>
        <stp/>
        <stp>BDP|12605883640036445669</stp>
        <tr r="L121" s="17"/>
      </tp>
      <tp t="s">
        <v>#N/A N/A</v>
        <stp/>
        <stp>BDP|16717245069894339853</stp>
        <tr r="L101" s="17"/>
        <tr r="H101" s="17"/>
        <tr r="N101" s="17"/>
        <tr r="K101" s="17"/>
        <tr r="I101" s="17"/>
        <tr r="M101" s="17"/>
        <tr r="G101" s="17"/>
        <tr r="J101" s="17"/>
        <tr r="F101" s="17"/>
      </tp>
      <tp t="s">
        <v>#N/A N/A</v>
        <stp/>
        <stp>BDP|15860004072528795437</stp>
        <tr r="L130" s="17"/>
      </tp>
      <tp t="s">
        <v>#N/A N/A</v>
        <stp/>
        <stp>BDP|17087687701966354992</stp>
        <tr r="G120" s="17"/>
      </tp>
      <tp t="s">
        <v>#N/A N/A</v>
        <stp/>
        <stp>BDP|17025942220793533136</stp>
        <tr r="H132" s="17"/>
      </tp>
      <tp t="s">
        <v>#N/A N/A</v>
        <stp/>
        <stp>BDP|18401587908245691650</stp>
        <tr r="L112" s="17"/>
      </tp>
      <tp t="s">
        <v>#N/A N/A</v>
        <stp/>
        <stp>BDH|14071435628849912554</stp>
        <tr r="M95" s="17"/>
      </tp>
      <tp t="s">
        <v>#N/A N/A</v>
        <stp/>
        <stp>BDP|16995256453188783603</stp>
        <tr r="L126" s="17"/>
      </tp>
      <tp t="s">
        <v>#N/A N/A</v>
        <stp/>
        <stp>BDP|15131586540408047364</stp>
        <tr r="I105" s="17"/>
      </tp>
      <tp t="s">
        <v>#N/A N/A</v>
        <stp/>
        <stp>BDP|16998347980511632348</stp>
        <tr r="F128" s="17"/>
      </tp>
      <tp t="s">
        <v>#N/A N/A</v>
        <stp/>
        <stp>BDP|10244567332070394953</stp>
        <tr r="G77" s="17"/>
      </tp>
      <tp t="s">
        <v>#N/A N/A</v>
        <stp/>
        <stp>BDP|15073454892467284011</stp>
        <tr r="F116" s="17"/>
      </tp>
      <tp t="s">
        <v>#N/A N/A</v>
        <stp/>
        <stp>BDH|17236814701409148911</stp>
        <tr r="K93" s="17"/>
      </tp>
      <tp t="s">
        <v>#N/A N/A</v>
        <stp/>
        <stp>BDP|11719583108759801178</stp>
        <tr r="I131" s="17"/>
      </tp>
      <tp t="s">
        <v>#N/A N/A</v>
        <stp/>
        <stp>BDP|16595261293028138998</stp>
        <tr r="F127" s="17"/>
      </tp>
      <tp t="s">
        <v>#N/A N/A</v>
        <stp/>
        <stp>BDP|15070055224828868322</stp>
        <tr r="K107" s="17"/>
      </tp>
      <tp t="s">
        <v>#N/A N/A</v>
        <stp/>
        <stp>BDP|13727547070438612593</stp>
        <tr r="AD19" s="19"/>
      </tp>
      <tp t="s">
        <v>#N/A Requesting Data...2312382331</v>
        <stp/>
        <stp>BDP|15492890412173716370</stp>
        <tr r="D75" s="17"/>
      </tp>
      <tp t="s">
        <v>#N/A N/A</v>
        <stp/>
        <stp>BDP|13668531893623139085</stp>
        <tr r="H75" s="17"/>
      </tp>
      <tp t="s">
        <v>#N/A N/A</v>
        <stp/>
        <stp>BDP|10807301588447800092</stp>
        <tr r="J77" s="17"/>
      </tp>
      <tp t="s">
        <v>#N/A N/A</v>
        <stp/>
        <stp>BDP|10163791420000018990</stp>
        <tr r="G131" s="17"/>
      </tp>
      <tp t="s">
        <v>#N/A N/A</v>
        <stp/>
        <stp>BDP|11702624572905468934</stp>
        <tr r="M129" s="17"/>
      </tp>
      <tp t="s">
        <v>#N/A N/A</v>
        <stp/>
        <stp>BDP|11600260574201690927</stp>
        <tr r="E121" s="17"/>
      </tp>
      <tp t="s">
        <v>#N/A N/A</v>
        <stp/>
        <stp>BDP|13329266176742499879</stp>
        <tr r="L127" s="17"/>
      </tp>
      <tp t="s">
        <v>#N/A N/A</v>
        <stp/>
        <stp>BDP|11267782264225551993</stp>
        <tr r="K132" s="17"/>
      </tp>
      <tp t="s">
        <v>#N/A N/A</v>
        <stp/>
        <stp>BDP|15426290112128091360</stp>
        <tr r="I127" s="17"/>
      </tp>
      <tp t="s">
        <v>#N/A N/A</v>
        <stp/>
        <stp>BDP|15171368526789640066</stp>
        <tr r="N98" s="17"/>
      </tp>
      <tp t="s">
        <v>#N/A N/A</v>
        <stp/>
        <stp>BDP|14993295290251435347</stp>
        <tr r="N75" s="17"/>
      </tp>
      <tp t="s">
        <v>#N/A N/A</v>
        <stp/>
        <stp>BDP|10949183567408405278</stp>
        <tr r="F103" s="17"/>
      </tp>
      <tp t="s">
        <v>#N/A N/A</v>
        <stp/>
        <stp>BDP|13148950794148681625</stp>
        <tr r="J98" s="17"/>
      </tp>
      <tp t="s">
        <v>#N/A N/A</v>
        <stp/>
        <stp>BDP|15669325085141146249</stp>
        <tr r="E76" s="17"/>
      </tp>
      <tp t="s">
        <v>#N/A N/A</v>
        <stp/>
        <stp>BDP|13174344030288504642</stp>
        <tr r="K122" s="17"/>
      </tp>
      <tp t="s">
        <v>#N/A N/A</v>
        <stp/>
        <stp>BDP|12407556912188024343</stp>
        <tr r="K118" s="17"/>
      </tp>
      <tp t="s">
        <v>#N/A N/A</v>
        <stp/>
        <stp>BDH|18387628218161954321</stp>
        <tr r="M93" s="17"/>
      </tp>
      <tp t="s">
        <v>#N/A N/A</v>
        <stp/>
        <stp>BDP|14546246469465109717</stp>
        <tr r="F77" s="17"/>
      </tp>
      <tp t="s">
        <v>#N/A N/A</v>
        <stp/>
        <stp>BDP|11692004472446911265</stp>
        <tr r="K105" s="17"/>
      </tp>
      <tp t="s">
        <v>#N/A N/A</v>
        <stp/>
        <stp>BDP|11805551146013439100</stp>
        <tr r="I76" s="17"/>
      </tp>
      <tp t="s">
        <v>#N/A N/A</v>
        <stp/>
        <stp>BDP|15695189444756163455</stp>
        <tr r="H120" s="17"/>
      </tp>
      <tp t="s">
        <v>#N/A N/A</v>
        <stp/>
        <stp>BDP|14774763950635618169</stp>
        <tr r="H105" s="17"/>
      </tp>
      <tp t="s">
        <v>#N/A N/A</v>
        <stp/>
        <stp>BDP|15103211026832078576</stp>
        <tr r="N114" s="17"/>
      </tp>
      <tp t="s">
        <v>#N/A N/A</v>
        <stp/>
        <stp>BDP|12988690322772088630</stp>
        <tr r="G115" s="17"/>
      </tp>
      <tp t="s">
        <v>#N/A N/A</v>
        <stp/>
        <stp>BDP|16010176049374834565</stp>
        <tr r="H103" s="17"/>
      </tp>
      <tp t="s">
        <v>#N/A N/A</v>
        <stp/>
        <stp>BDP|13837290519497344583</stp>
        <tr r="K98" s="17"/>
      </tp>
      <tp t="s">
        <v>#N/A N/A</v>
        <stp/>
        <stp>BDP|11105334221286454443</stp>
        <tr r="AE19" s="19"/>
      </tp>
      <tp t="s">
        <v>#N/A N/A</v>
        <stp/>
        <stp>BDP|14024525017400303235</stp>
        <tr r="E75" s="17"/>
      </tp>
      <tp t="s">
        <v>#N/A N/A</v>
        <stp/>
        <stp>BDP|16746371136102580677</stp>
        <tr r="J128" s="17"/>
      </tp>
      <tp t="s">
        <v>#N/A N/A</v>
        <stp/>
        <stp>BDP|13133352310046757542</stp>
        <tr r="H126" s="17"/>
      </tp>
      <tp t="s">
        <v>#N/A N/A</v>
        <stp/>
        <stp>BDP|17565127345709300979</stp>
        <tr r="U15" s="19"/>
      </tp>
      <tp t="s">
        <v>#N/A N/A</v>
        <stp/>
        <stp>BDH|16273347939832214628</stp>
        <tr r="H96" s="17"/>
      </tp>
      <tp t="s">
        <v>#N/A N/A</v>
        <stp/>
        <stp>BDP|12828450451242553202</stp>
        <tr r="H119" s="17"/>
      </tp>
      <tp t="s">
        <v>#N/A N/A</v>
        <stp/>
        <stp>BDP|11681024622314844456</stp>
        <tr r="G98" s="17"/>
      </tp>
      <tp t="s">
        <v>#N/A N/A</v>
        <stp/>
        <stp>BDP|11554678229413745563</stp>
        <tr r="I104" s="17"/>
      </tp>
      <tp t="s">
        <v>#N/A N/A</v>
        <stp/>
        <stp>BDP|12268696596968341633</stp>
        <tr r="J130" s="17"/>
      </tp>
      <tp t="s">
        <v>#N/A N/A</v>
        <stp/>
        <stp>BDP|11578555736532904625</stp>
        <tr r="G106" s="17"/>
      </tp>
      <tp t="s">
        <v>#N/A N/A</v>
        <stp/>
        <stp>BDP|17570612212106859529</stp>
        <tr r="L75" s="17"/>
      </tp>
      <tp t="s">
        <v>#N/A N/A</v>
        <stp/>
        <stp>BDP|17936149563281139202</stp>
        <tr r="N120" s="17"/>
      </tp>
      <tp t="s">
        <v>#N/A N/A</v>
        <stp/>
        <stp>BDP|15331254520826472038</stp>
        <tr r="I107" s="17"/>
      </tp>
      <tp t="s">
        <v>#N/A N/A</v>
        <stp/>
        <stp>BDP|12194301810237333428</stp>
        <tr r="L118" s="17"/>
      </tp>
      <tp t="s">
        <v>#N/A N/A</v>
        <stp/>
        <stp>BDP|17540047262556849482</stp>
        <tr r="M117" s="17"/>
      </tp>
      <tp t="s">
        <v>#N/A N/A</v>
        <stp/>
        <stp>BDP|10077786597829320480</stp>
        <tr r="I102" s="17"/>
      </tp>
      <tp t="s">
        <v>#N/A N/A</v>
        <stp/>
        <stp>BDP|15001155695748202648</stp>
        <tr r="M103" s="17"/>
      </tp>
      <tp t="s">
        <v>#N/A N/A</v>
        <stp/>
        <stp>BDH|13917438278190090344</stp>
        <tr r="K95" s="17"/>
      </tp>
      <tp t="s">
        <v>#N/A N/A</v>
        <stp/>
        <stp>BDH|13742314807214873707</stp>
        <tr r="L95" s="17"/>
      </tp>
      <tp t="s">
        <v>#N/A N/A</v>
        <stp/>
        <stp>BDH|14239389273823101038</stp>
        <tr r="L93" s="17"/>
      </tp>
      <tp t="s">
        <v>#N/A N/A</v>
        <stp/>
        <stp>BDP|16336404672756020382</stp>
        <tr r="J129" s="17"/>
      </tp>
      <tp t="s">
        <v>#N/A N/A</v>
        <stp/>
        <stp>BDP|17335397887665015959</stp>
        <tr r="I97" s="17"/>
      </tp>
      <tp t="s">
        <v>#N/A N/A</v>
        <stp/>
        <stp>BDP|15799222807236887124</stp>
        <tr r="F131" s="17"/>
      </tp>
      <tp t="s">
        <v>#N/A N/A</v>
        <stp/>
        <stp>BDP|16581274266910660282</stp>
        <tr r="L102" s="17"/>
      </tp>
      <tp t="s">
        <v>#N/A N/A</v>
        <stp/>
        <stp>BDP|17223001735780212481</stp>
        <tr r="K120" s="17"/>
      </tp>
      <tp t="s">
        <v>#N/A N/A</v>
        <stp/>
        <stp>BDP|10496155134960290273</stp>
        <tr r="J104" s="17"/>
      </tp>
      <tp t="s">
        <v>#N/A N/A</v>
        <stp/>
        <stp>BDP|11252678079809597992</stp>
        <tr r="M105" s="17"/>
      </tp>
      <tp t="s">
        <v>#N/A Requesting Data...3301876065</v>
        <stp/>
        <stp>BDP|14736375789817362891</stp>
        <tr r="D74" s="17"/>
        <tr r="V31" s="19"/>
      </tp>
      <tp t="s">
        <v>#N/A N/A</v>
        <stp/>
        <stp>BDP|13128327647424011024</stp>
        <tr r="I129" s="17"/>
      </tp>
      <tp t="s">
        <v>#N/A N/A</v>
        <stp/>
        <stp>BDH|10350898089635776570</stp>
        <tr r="E96" s="17"/>
      </tp>
      <tp t="s">
        <v>#N/A N/A</v>
        <stp/>
        <stp>BDP|17958455375752476741</stp>
        <tr r="L106" s="17"/>
      </tp>
      <tp t="s">
        <v>#N/A N/A</v>
        <stp/>
        <stp>BDP|13818019482218114210</stp>
        <tr r="K104" s="17"/>
      </tp>
      <tp t="s">
        <v>#N/A N/A</v>
        <stp/>
        <stp>BDP|13800140003276220511</stp>
        <tr r="E98" s="17"/>
      </tp>
      <tp t="s">
        <v>#N/A N/A</v>
        <stp/>
        <stp>BDP|15689397147716021575</stp>
        <tr r="G97" s="17"/>
      </tp>
      <tp t="s">
        <v>#N/A N/A</v>
        <stp/>
        <stp>BDP|16811180622337816344</stp>
        <tr r="G111" s="17"/>
      </tp>
      <tp t="s">
        <v>#N/A N/A</v>
        <stp/>
        <stp>BDP|16458468807556299564</stp>
        <tr r="E74" s="17"/>
      </tp>
      <tp t="s">
        <v>#N/A N/A</v>
        <stp/>
        <stp>BDP|12544829197130841282</stp>
        <tr r="E122" s="17"/>
      </tp>
      <tp t="s">
        <v>#N/A N/A</v>
        <stp/>
        <stp>BDP|18133589280763394784</stp>
        <tr r="G105" s="17"/>
      </tp>
      <tp t="s">
        <v>#N/A N/A</v>
        <stp/>
        <stp>BDP|12816182144484347226</stp>
        <tr r="L105" s="17"/>
      </tp>
      <tp t="s">
        <v>#N/A N/A</v>
        <stp/>
        <stp>BDH|17589263176777560409</stp>
        <tr r="F94" s="17"/>
      </tp>
      <tp t="s">
        <v>#N/A N/A</v>
        <stp/>
        <stp>BDH|15183777465132169762</stp>
        <tr r="N95" s="17"/>
      </tp>
      <tp t="s">
        <v>#N/A N/A</v>
        <stp/>
        <stp>BDH|11253881730439316257</stp>
        <tr r="K94" s="17"/>
      </tp>
      <tp t="s">
        <v>#N/A N/A</v>
        <stp/>
        <stp>BDP|10965456528307898774</stp>
        <tr r="E128" s="17"/>
      </tp>
      <tp t="s">
        <v>#N/A N/A</v>
        <stp/>
        <stp>BDP|11981393066013413180</stp>
        <tr r="N73" s="17"/>
      </tp>
      <tp t="s">
        <v>#N/A N/A</v>
        <stp/>
        <stp>BDP|14182636315310302599</stp>
        <tr r="G121" s="17"/>
      </tp>
      <tp t="s">
        <v>#N/A N/A</v>
        <stp/>
        <stp>BDP|13599688859896793028</stp>
        <tr r="J132" s="17"/>
      </tp>
      <tp t="s">
        <v>#N/A N/A</v>
        <stp/>
        <stp>BDP|10134449644005371323</stp>
        <tr r="K130" s="17"/>
      </tp>
      <tp t="s">
        <v>#N/A N/A</v>
        <stp/>
        <stp>BDP|16458409643190241066</stp>
        <tr r="M97" s="17"/>
      </tp>
      <tp t="s">
        <v>#N/A N/A</v>
        <stp/>
        <stp>BDP|11949183315243708418</stp>
        <tr r="K78" s="17"/>
      </tp>
      <tp t="s">
        <v>#N/A N/A</v>
        <stp/>
        <stp>BDP|16552736411753558575</stp>
        <tr r="E132" s="17"/>
      </tp>
      <tp t="s">
        <v>#N/A N/A</v>
        <stp/>
        <stp>BDP|10521739926197534410</stp>
        <tr r="H117" s="17"/>
      </tp>
      <tp t="s">
        <v>#N/A N/A</v>
        <stp/>
        <stp>BDP|11172195836886913339</stp>
        <tr r="I100" s="17"/>
      </tp>
      <tp t="s">
        <v>#N/A N/A</v>
        <stp/>
        <stp>BDP|14218469305717799117</stp>
        <tr r="K103" s="17"/>
      </tp>
      <tp t="s">
        <v>#N/A N/A</v>
        <stp/>
        <stp>BDP|16343689549300046241</stp>
        <tr r="N76" s="17"/>
      </tp>
      <tp t="s">
        <v>#N/A N/A</v>
        <stp/>
        <stp>BDP|14656157749684483275</stp>
        <tr r="M77" s="17"/>
      </tp>
      <tp t="s">
        <v>#N/A N/A</v>
        <stp/>
        <stp>BDP|12834529276322626539</stp>
        <tr r="J74" s="17"/>
      </tp>
      <tp t="s">
        <v>#N/A N/A</v>
        <stp/>
        <stp>BDP|15761642389498246402</stp>
        <tr r="G73" s="17"/>
      </tp>
      <tp t="s">
        <v>#N/A N/A</v>
        <stp/>
        <stp>BDP|18345796891997695667</stp>
        <tr r="M112" s="17"/>
      </tp>
      <tp t="s">
        <v>#N/A N/A</v>
        <stp/>
        <stp>BDP|15057513035232837610</stp>
        <tr r="N107" s="17"/>
      </tp>
      <tp t="s">
        <v>#N/A N/A</v>
        <stp/>
        <stp>BDP|12543334391579195653</stp>
        <tr r="L78" s="17"/>
      </tp>
      <tp t="s">
        <v>#N/A N/A</v>
        <stp/>
        <stp>BDP|18356974040941095371</stp>
        <tr r="L132" s="17"/>
      </tp>
      <tp t="s">
        <v>#N/A N/A</v>
        <stp/>
        <stp>BDP|14719471168565304494</stp>
        <tr r="K117" s="17"/>
      </tp>
      <tp t="s">
        <v>#N/A N/A</v>
        <stp/>
        <stp>BDP|11816241756162791392</stp>
        <tr r="J78" s="17"/>
      </tp>
      <tp t="s">
        <v>#N/A N/A</v>
        <stp/>
        <stp>BDP|16425814210509701146</stp>
        <tr r="M115" s="17"/>
      </tp>
      <tp t="s">
        <v>#N/A N/A</v>
        <stp/>
        <stp>BDP|17019386227352181388</stp>
        <tr r="L117" s="17"/>
      </tp>
      <tp t="s">
        <v>#N/A N/A</v>
        <stp/>
        <stp>BDH|17325982283843452290</stp>
        <tr r="G93" s="17"/>
      </tp>
      <tp t="s">
        <v>#N/A N/A</v>
        <stp/>
        <stp>BDP|12262752714833233399</stp>
        <tr r="H116" s="17"/>
      </tp>
      <tp t="s">
        <v>#N/A N/A</v>
        <stp/>
        <stp>BDP|16566161749101630626</stp>
        <tr r="H102" s="17"/>
      </tp>
      <tp t="s">
        <v>#N/A N/A</v>
        <stp/>
        <stp>BDP|17941327574697983067</stp>
        <tr r="L119" s="17"/>
      </tp>
      <tp t="s">
        <v>#N/A N/A</v>
        <stp/>
        <stp>BDP|12923767038315266759</stp>
        <tr r="K113" s="17"/>
      </tp>
      <tp t="s">
        <v>#N/A N/A</v>
        <stp/>
        <stp>BDP|17679534721191291566</stp>
        <tr r="M78" s="17"/>
      </tp>
      <tp t="s">
        <v>#N/A N/A</v>
        <stp/>
        <stp>BDP|10410001544229262925</stp>
        <tr r="E103" s="17"/>
      </tp>
      <tp t="s">
        <v>#N/A N/A</v>
        <stp/>
        <stp>BDP|16250412828381428587</stp>
        <tr r="I74" s="17"/>
      </tp>
      <tp t="s">
        <v>#N/A N/A</v>
        <stp/>
        <stp>BDP|10986155791549713422</stp>
        <tr r="F132" s="17"/>
      </tp>
      <tp t="s">
        <v>#N/A N/A</v>
        <stp/>
        <stp>BDP|11850901582960450562</stp>
        <tr r="M74" s="17"/>
      </tp>
      <tp t="s">
        <v>#N/A Requesting Data...4064145612</v>
        <stp/>
        <stp>BDP|10305758338211169073</stp>
        <tr r="D76" s="17"/>
      </tp>
      <tp t="s">
        <v>#N/A N/A</v>
        <stp/>
        <stp>BDP|15928258157600888780</stp>
        <tr r="H74" s="17"/>
      </tp>
      <tp t="s">
        <v>#N/A N/A</v>
        <stp/>
        <stp>BDP|18267921298909264446</stp>
        <tr r="M121" s="17"/>
      </tp>
      <tp t="s">
        <v>#N/A N/A</v>
        <stp/>
        <stp>BDP|13824349270125451768</stp>
        <tr r="H118" s="17"/>
      </tp>
      <tp t="s">
        <v>#N/A N/A</v>
        <stp/>
        <stp>BDP|16057022969716395392</stp>
        <tr r="M107" s="17"/>
      </tp>
      <tp t="s">
        <v>#N/A N/A</v>
        <stp/>
        <stp>BDP|12018460385233733849</stp>
        <tr r="G104" s="17"/>
      </tp>
      <tp t="s">
        <v>#N/A N/A</v>
        <stp/>
        <stp>BDP|11049053345923487379</stp>
        <tr r="M75" s="17"/>
      </tp>
      <tp t="s">
        <v>#N/A N/A</v>
        <stp/>
        <stp>BDP|14616638313687738142</stp>
        <tr r="U8" s="19"/>
      </tp>
      <tp t="s">
        <v>#N/A N/A</v>
        <stp/>
        <stp>BDP|17600139331050563055</stp>
        <tr r="J107" s="17"/>
      </tp>
      <tp t="s">
        <v>#N/A N/A</v>
        <stp/>
        <stp>BDP|11744415217356779725</stp>
        <tr r="N130" s="17"/>
      </tp>
      <tp t="s">
        <v>#N/A N/A</v>
        <stp/>
        <stp>BDP|13166136285497731875</stp>
        <tr r="J115" s="17"/>
      </tp>
      <tp t="s">
        <v>#N/A N/A</v>
        <stp/>
        <stp>BDP|12696020490648780642</stp>
        <tr r="G119" s="17"/>
      </tp>
      <tp t="s">
        <v>#N/A N/A</v>
        <stp/>
        <stp>BDP|17384488582549700781</stp>
        <tr r="E111" s="17"/>
      </tp>
      <tp t="s">
        <v>#N/A N/A</v>
        <stp/>
        <stp>BDH|16823482694849710735</stp>
        <tr r="H93" s="17"/>
      </tp>
      <tp t="s">
        <v>#N/A N/A</v>
        <stp/>
        <stp>BDH|11395736601187197456</stp>
        <tr r="J93" s="17"/>
      </tp>
      <tp t="s">
        <v>#N/A N/A</v>
        <stp/>
        <stp>BDP|5183499276649502303</stp>
        <tr r="J76" s="17"/>
      </tp>
      <tp t="s">
        <v>#N/A N/A</v>
        <stp/>
        <stp>BDP|6490178419693736963</stp>
        <tr r="G116" s="17"/>
      </tp>
      <tp t="s">
        <v>#N/A N/A</v>
        <stp/>
        <stp>BDP|9669387271944457524</stp>
        <tr r="J113" s="17"/>
      </tp>
      <tp t="s">
        <v>#N/A N/A</v>
        <stp/>
        <stp>BDP|5340059317358070082</stp>
        <tr r="M113" s="17"/>
      </tp>
      <tp t="s">
        <v>#N/A N/A</v>
        <stp/>
        <stp>BDP|1921541170286452975</stp>
        <tr r="H97" s="17"/>
      </tp>
      <tp t="s">
        <v>#N/A N/A</v>
        <stp/>
        <stp>BDP|9019276114402927453</stp>
        <tr r="E107" s="17"/>
      </tp>
      <tp t="s">
        <v>#N/A N/A</v>
        <stp/>
        <stp>BDH|9629357119676568139</stp>
        <tr r="G96" s="17"/>
      </tp>
      <tp t="s">
        <v>#N/A N/A</v>
        <stp/>
        <stp>BDP|3903114741539324378</stp>
        <tr r="E112" s="17"/>
      </tp>
      <tp t="s">
        <v>#N/A N/A</v>
        <stp/>
        <stp>BDP|8012009072917574452</stp>
        <tr r="N128" s="17"/>
      </tp>
      <tp t="s">
        <v>#N/A N/A</v>
        <stp/>
        <stp>BDP|1424537338053821845</stp>
        <tr r="F122" s="17"/>
      </tp>
      <tp t="s">
        <v>#N/A N/A</v>
        <stp/>
        <stp>BDH|6805615561232386880</stp>
        <tr r="F95" s="17"/>
      </tp>
      <tp t="s">
        <v>#N/A N/A</v>
        <stp/>
        <stp>BDP|9712184326831086795</stp>
        <tr r="G117" s="17"/>
      </tp>
      <tp t="s">
        <v>#N/A N/A</v>
        <stp/>
        <stp>BDP|2650904966768626930</stp>
        <tr r="I113" s="17"/>
      </tp>
      <tp t="s">
        <v>#N/A N/A</v>
        <stp/>
        <stp>BDP|5324640515789970638</stp>
        <tr r="M126" s="17"/>
      </tp>
      <tp t="s">
        <v>#N/A N/A</v>
        <stp/>
        <stp>BDP|2005075343369509296</stp>
        <tr r="N129" s="17"/>
      </tp>
      <tp t="s">
        <v>#N/A N/A</v>
        <stp/>
        <stp>BDP|7469954452525915352</stp>
        <tr r="I112" s="17"/>
      </tp>
      <tp t="s">
        <v>#N/A N/A</v>
        <stp/>
        <stp>BDP|3768216688477603372</stp>
        <tr r="U14" s="19"/>
      </tp>
      <tp t="s">
        <v>#N/A N/A</v>
        <stp/>
        <stp>BDP|3211936321102642766</stp>
        <tr r="N103" s="17"/>
      </tp>
      <tp t="s">
        <v>#N/A N/A</v>
        <stp/>
        <stp>BDP|6126597305958914653</stp>
        <tr r="L111" s="17"/>
      </tp>
      <tp t="s">
        <v>#N/A N/A</v>
        <stp/>
        <stp>BDP|8960637639084596417</stp>
        <tr r="N126" s="17"/>
      </tp>
      <tp t="s">
        <v>#N/A N/A</v>
        <stp/>
        <stp>BDP|1732949841537450626</stp>
        <tr r="I128" s="17"/>
      </tp>
      <tp t="s">
        <v>#N/A N/A</v>
        <stp/>
        <stp>BDP|9384755496702240860</stp>
        <tr r="G75" s="17"/>
      </tp>
      <tp t="s">
        <v>#N/A N/A</v>
        <stp/>
        <stp>BDP|5506343505239709193</stp>
        <tr r="L128" s="17"/>
      </tp>
      <tp t="s">
        <v>#N/A N/A</v>
        <stp/>
        <stp>BDP|6619946604348863958</stp>
        <tr r="E77" s="17"/>
      </tp>
      <tp t="s">
        <v>#N/A N/A</v>
        <stp/>
        <stp>BDP|9305237133201069781</stp>
        <tr r="M98" s="17"/>
      </tp>
      <tp t="s">
        <v>#N/A N/A</v>
        <stp/>
        <stp>BDH|6680192781810250135</stp>
        <tr r="N93" s="17"/>
      </tp>
      <tp t="s">
        <v>#N/A N/A</v>
        <stp/>
        <stp>BDP|6448673178869087074</stp>
        <tr r="I114" s="17"/>
      </tp>
      <tp t="s">
        <v>#N/A N/A</v>
        <stp/>
        <stp>BDP|8984595753072779498</stp>
        <tr r="G102" s="17"/>
      </tp>
      <tp t="s">
        <v>#N/A N/A</v>
        <stp/>
        <stp>BDP|8106624633543430094</stp>
        <tr r="F76" s="17"/>
      </tp>
      <tp t="s">
        <v>#N/A N/A</v>
        <stp/>
        <stp>BDH|8835454980688561250</stp>
        <tr r="M96" s="17"/>
      </tp>
      <tp t="s">
        <v>#N/A N/A</v>
        <stp/>
        <stp>BDP|2982188476973587908</stp>
        <tr r="F106" s="17"/>
      </tp>
      <tp t="s">
        <v>#N/A N/A</v>
        <stp/>
        <stp>BDH|1021876522205497011</stp>
        <tr r="M94" s="17"/>
      </tp>
      <tp t="s">
        <v>#N/A Requesting Data...2513640159</v>
        <stp/>
        <stp>BDP|6455322187032155160</stp>
        <tr r="D69" s="17"/>
      </tp>
      <tp t="s">
        <v>#N/A N/A</v>
        <stp/>
        <stp>BDP|6812795654453648953</stp>
        <tr r="J118" s="17"/>
      </tp>
      <tp t="s">
        <v>#N/A N/A</v>
        <stp/>
        <stp>BDP|5132679006434154965</stp>
        <tr r="L74" s="17"/>
      </tp>
      <tp t="s">
        <v>#N/A N/A</v>
        <stp/>
        <stp>BDP|7855543585975976146</stp>
        <tr r="H106" s="17"/>
      </tp>
      <tp t="s">
        <v>#N/A N/A</v>
        <stp/>
        <stp>BDP|9727860794910291626</stp>
        <tr r="F112" s="17"/>
      </tp>
      <tp t="s">
        <v>#N/A N/A</v>
        <stp/>
        <stp>BDP|7159721790003319584</stp>
        <tr r="G74" s="17"/>
      </tp>
      <tp t="s">
        <v>#N/A N/A</v>
        <stp/>
        <stp>BDP|5515778792212039693</stp>
        <tr r="E119" s="17"/>
      </tp>
      <tp t="s">
        <v>#N/A N/A</v>
        <stp/>
        <stp>BDP|5225846658376285117</stp>
        <tr r="H121" s="17"/>
      </tp>
      <tp t="s">
        <v>#N/A N/A</v>
        <stp/>
        <stp>BDP|2827504567487749953</stp>
        <tr r="G126" s="17"/>
      </tp>
      <tp t="s">
        <v>#N/A N/A</v>
        <stp/>
        <stp>BDP|6137960385538137001</stp>
        <tr r="G129" s="17"/>
      </tp>
      <tp t="s">
        <v>#N/A N/A</v>
        <stp/>
        <stp>BDH|4581834824680440169</stp>
        <tr r="H94" s="17"/>
      </tp>
      <tp t="s">
        <v>#N/A N/A</v>
        <stp/>
        <stp>BDP|3246476672136986986</stp>
        <tr r="J127" s="17"/>
      </tp>
      <tp t="s">
        <v>#N/A N/A</v>
        <stp/>
        <stp>BDP|4463022180470070333</stp>
        <tr r="E127" s="17"/>
      </tp>
      <tp t="s">
        <v>#N/A N/A</v>
        <stp/>
        <stp>BDP|5441276633553283878</stp>
        <tr r="F130" s="17"/>
      </tp>
      <tp t="s">
        <v>#N/A N/A</v>
        <stp/>
        <stp>BDP|6062345728416395950</stp>
        <tr r="K119" s="17"/>
      </tp>
      <tp t="s">
        <v>#N/A N/A</v>
        <stp/>
        <stp>BDP|3378317458885037809</stp>
        <tr r="G76" s="17"/>
      </tp>
      <tp t="s">
        <v>#N/A N/A</v>
        <stp/>
        <stp>BDP|8415717991908944662</stp>
        <tr r="AH19" s="19"/>
      </tp>
      <tp t="s">
        <v>#N/A N/A</v>
        <stp/>
        <stp>BDP|2881076706952899895</stp>
        <tr r="E115" s="17"/>
      </tp>
      <tp t="s">
        <v>#N/A N/A</v>
        <stp/>
        <stp>BDP|4812280688220792677</stp>
        <tr r="F121" s="17"/>
      </tp>
      <tp t="s">
        <v>#N/A N/A</v>
        <stp/>
        <stp>BDP|9055448818025744136</stp>
        <tr r="L100" s="17"/>
      </tp>
      <tp t="s">
        <v>#N/A N/A</v>
        <stp/>
        <stp>BDH|5815992419581408445</stp>
        <tr r="I93" s="17"/>
      </tp>
      <tp t="s">
        <v>#N/A N/A</v>
        <stp/>
        <stp>BDP|8442919833679167393</stp>
        <tr r="E114" s="17"/>
      </tp>
      <tp t="s">
        <v>#N/A N/A</v>
        <stp/>
        <stp>BDP|2235705415274968838</stp>
        <tr r="N106" s="17"/>
      </tp>
      <tp t="s">
        <v>#N/A N/A</v>
        <stp/>
        <stp>BDP|7260665092963573323</stp>
        <tr r="I132" s="17"/>
      </tp>
      <tp t="s">
        <v>#N/A N/A</v>
        <stp/>
        <stp>BDP|7918966276958986916</stp>
        <tr r="E78" s="17"/>
      </tp>
      <tp t="s">
        <v>#N/A N/A</v>
        <stp/>
        <stp>BDP|3705334387289705954</stp>
        <tr r="K77" s="17"/>
      </tp>
      <tp t="s">
        <v>#N/A N/A</v>
        <stp/>
        <stp>BDP|3370714511649116450</stp>
        <tr r="G107" s="17"/>
      </tp>
      <tp t="s">
        <v>#N/A N/A</v>
        <stp/>
        <stp>BDH|9029716621660268462</stp>
        <tr r="L96" s="17"/>
      </tp>
      <tp t="s">
        <v>#N/A N/A</v>
        <stp/>
        <stp>BDP|4600669874395710866</stp>
        <tr r="G127" s="17"/>
      </tp>
      <tp t="s">
        <v>#N/A N/A</v>
        <stp/>
        <stp>BDP|6339766586941016198</stp>
        <tr r="F73" s="17"/>
      </tp>
      <tp t="s">
        <v>#N/A N/A</v>
        <stp/>
        <stp>BDP|8084715906796943049</stp>
        <tr r="K112" s="17"/>
      </tp>
      <tp t="s">
        <v>#N/A N/A</v>
        <stp/>
        <stp>BDP|8103815192944234482</stp>
        <tr r="E126" s="17"/>
      </tp>
      <tp t="s">
        <v>#N/A N/A</v>
        <stp/>
        <stp>BDP|8221801699097786747</stp>
        <tr r="K106" s="17"/>
      </tp>
      <tp t="s">
        <v>#N/A N/A</v>
        <stp/>
        <stp>BDP|6058484354956028858</stp>
        <tr r="E105" s="17"/>
      </tp>
      <tp t="s">
        <v>#N/A N/A</v>
        <stp/>
        <stp>BDP|1262544139236506858</stp>
        <tr r="J100" s="17"/>
      </tp>
      <tp t="s">
        <v>#N/A N/A</v>
        <stp/>
        <stp>BDP|4769042807454869900</stp>
        <tr r="E117" s="17"/>
      </tp>
      <tp t="s">
        <v>#N/A N/A</v>
        <stp/>
        <stp>BDP|1100338782167297412</stp>
        <tr r="L120" s="17"/>
      </tp>
      <tp t="s">
        <v>#N/A Requesting Data...3166753311</v>
        <stp/>
        <stp>BDP|2159437176079403113</stp>
        <tr r="Q109" s="9"/>
      </tp>
      <tp t="s">
        <v>#N/A N/A</v>
        <stp/>
        <stp>BDP|4595512432849621214</stp>
        <tr r="M118" s="17"/>
      </tp>
      <tp t="s">
        <v>#N/A N/A</v>
        <stp/>
        <stp>BDP|4928986360046757476</stp>
        <tr r="M111" s="17"/>
      </tp>
      <tp t="s">
        <v>#N/A N/A</v>
        <stp/>
        <stp>BDH|1191040444139877582</stp>
        <tr r="I95" s="17"/>
      </tp>
      <tp t="s">
        <v>#N/A N/A</v>
        <stp/>
        <stp>BDP|4427678288920802373</stp>
        <tr r="F117" s="17"/>
      </tp>
      <tp t="s">
        <v>#N/A N/A</v>
        <stp/>
        <stp>BDP|2132102312158428328</stp>
        <tr r="L76" s="17"/>
      </tp>
      <tp t="s">
        <v>#N/A N/A</v>
        <stp/>
        <stp>BDH|2411622695624365059</stp>
        <tr r="G95" s="17"/>
      </tp>
      <tp t="s">
        <v>#N/A N/A</v>
        <stp/>
        <stp>BDP|9689948143548946620</stp>
        <tr r="E104" s="17"/>
      </tp>
      <tp t="s">
        <v>#N/A N/A</v>
        <stp/>
        <stp>BDP|6168424999391006005</stp>
        <tr r="I73" s="17"/>
      </tp>
      <tp t="s">
        <v>#N/A N/A</v>
        <stp/>
        <stp>BDP|5017564888763745130</stp>
        <tr r="N74" s="17"/>
      </tp>
      <tp t="s">
        <v>#N/A N/A</v>
        <stp/>
        <stp>BDP|7741182942088358069</stp>
        <tr r="K126" s="17"/>
      </tp>
      <tp t="s">
        <v>#N/A N/A</v>
        <stp/>
        <stp>BDP|1886079286071773264</stp>
        <tr r="J97" s="17"/>
      </tp>
      <tp t="s">
        <v>#N/A N/A</v>
        <stp/>
        <stp>BDP|3695091828473840810</stp>
        <tr r="K129" s="17"/>
      </tp>
      <tp t="s">
        <v>#N/A N/A</v>
        <stp/>
        <stp>BDP|5721549746567871934</stp>
        <tr r="J131" s="17"/>
      </tp>
      <tp t="s">
        <v>#N/A N/A</v>
        <stp/>
        <stp>BDP|8623282840922027632</stp>
        <tr r="J114" s="17"/>
      </tp>
      <tp t="s">
        <v>#N/A N/A</v>
        <stp/>
        <stp>BDP|6595535266746723950</stp>
        <tr r="J122" s="17"/>
      </tp>
      <tp t="s">
        <v>#N/A N/A</v>
        <stp/>
        <stp>BDP|6713960240833192239</stp>
        <tr r="H129" s="17"/>
      </tp>
      <tp t="s">
        <v>#N/A N/A</v>
        <stp/>
        <stp>BDP|2942160831658966270</stp>
        <tr r="I130" s="17"/>
      </tp>
      <tp t="s">
        <v>#N/A N/A</v>
        <stp/>
        <stp>BDP|2204501185582325758</stp>
        <tr r="K131" s="17"/>
      </tp>
      <tp t="s">
        <v>#N/A N/A</v>
        <stp/>
        <stp>BDH|9511391768251026720</stp>
        <tr r="E95" s="17"/>
      </tp>
      <tp t="s">
        <v>#N/A N/A</v>
        <stp/>
        <stp>BDP|1232979814285111649</stp>
        <tr r="I78" s="17"/>
      </tp>
      <tp t="s">
        <v>#N/A N/A</v>
        <stp/>
        <stp>BDP|3632632725369711425</stp>
        <tr r="J121" s="17"/>
      </tp>
      <tp t="s">
        <v>#N/A N/A</v>
        <stp/>
        <stp>BDP|9554518353280572297</stp>
        <tr r="L103" s="17"/>
      </tp>
      <tp t="s">
        <v>#N/A N/A</v>
        <stp/>
        <stp>BDP|6336420091053192395</stp>
        <tr r="AG19" s="19"/>
      </tp>
      <tp t="s">
        <v>#N/A N/A</v>
        <stp/>
        <stp>BDP|1800519667560277945</stp>
        <tr r="U14" s="19"/>
      </tp>
      <tp t="s">
        <v>#N/A N/A</v>
        <stp/>
        <stp>BDP|8947775613235768048</stp>
        <tr r="G100" s="17"/>
      </tp>
      <tp t="s">
        <v>#N/A N/A</v>
        <stp/>
        <stp>BDH|6101933926952096463</stp>
        <tr r="Q95" s="17"/>
      </tp>
      <tp t="s">
        <v>#N/A N/A</v>
        <stp/>
        <stp>BDP|3609414140430384876</stp>
        <tr r="F102" s="17"/>
      </tp>
      <tp t="s">
        <v>#N/A N/A</v>
        <stp/>
        <stp>BDP|1110812152020795753</stp>
        <tr r="J117" s="17"/>
      </tp>
      <tp t="s">
        <v>#N/A N/A</v>
        <stp/>
        <stp>BDP|4994477231688367092</stp>
        <tr r="H113" s="17"/>
      </tp>
      <tp t="s">
        <v>#N/A N/A</v>
        <stp/>
        <stp>BDP|2482517959586378062</stp>
        <tr r="I98" s="17"/>
      </tp>
      <tp t="s">
        <v>#N/A N/A</v>
        <stp/>
        <stp>BDP|3616418865367405293</stp>
        <tr r="F78" s="17"/>
      </tp>
      <tp t="s">
        <v>#N/A N/A</v>
        <stp/>
        <stp>BDP|1797039124023800477</stp>
        <tr r="J102" s="17"/>
      </tp>
      <tp t="s">
        <v>#N/A N/A</v>
        <stp/>
        <stp>BDP|7683538850134022783</stp>
        <tr r="J75" s="17"/>
      </tp>
      <tp t="s">
        <v>#N/A Requesting Data...3207659550</v>
        <stp/>
        <stp>BDP|8549451961438864644</stp>
        <tr r="D73" s="17"/>
      </tp>
      <tp t="s">
        <v>#N/A N/A</v>
        <stp/>
        <stp>BDP|4465047947142950632</stp>
        <tr r="K100" s="17"/>
      </tp>
      <tp t="s">
        <v>#N/A N/A</v>
        <stp/>
        <stp>BDP|7552850244506746915</stp>
        <tr r="K76" s="17"/>
      </tp>
      <tp t="s">
        <v>#N/A N/A</v>
        <stp/>
        <stp>BDP|8116553581799725806</stp>
        <tr r="L107" s="17"/>
      </tp>
      <tp t="s">
        <v>#N/A N/A</v>
        <stp/>
        <stp>BDP|3249300263791417372</stp>
        <tr r="M104" s="17"/>
      </tp>
      <tp t="s">
        <v>#N/A N/A</v>
        <stp/>
        <stp>BDP|9958569390476968772</stp>
        <tr r="I103" s="17"/>
      </tp>
      <tp t="s">
        <v>#N/A N/A</v>
        <stp/>
        <stp>BDP|9301919926452762428</stp>
        <tr r="F107" s="17"/>
      </tp>
      <tp t="s">
        <v>#N/A N/A</v>
        <stp/>
        <stp>BDP|2988542930460258095</stp>
        <tr r="K73" s="17"/>
      </tp>
      <tp t="s">
        <v>#N/A N/A</v>
        <stp/>
        <stp>BDP|7152828683016797515</stp>
        <tr r="AA19" s="19"/>
      </tp>
      <tp t="s">
        <v>#N/A N/A</v>
        <stp/>
        <stp>BDP|7008566073850710167</stp>
        <tr r="N115" s="17"/>
      </tp>
      <tp t="s">
        <v>#N/A N/A</v>
        <stp/>
        <stp>BDP|7008503396219469663</stp>
        <tr r="K74" s="17"/>
      </tp>
      <tp t="s">
        <v>#N/A N/A</v>
        <stp/>
        <stp>BDP|4164596644096121795</stp>
        <tr r="L122" s="17"/>
      </tp>
      <tp t="s">
        <v>#N/A N/A</v>
        <stp/>
        <stp>BDP|9561474086707202633</stp>
        <tr r="K116" s="17"/>
      </tp>
      <tp t="s">
        <v>#N/A N/A</v>
        <stp/>
        <stp>BDP|9013498470016652937</stp>
        <tr r="J105" s="17"/>
      </tp>
      <tp t="s">
        <v>#N/A N/A</v>
        <stp/>
        <stp>BDP|6950188169850798437</stp>
        <tr r="L113" s="17"/>
      </tp>
      <tp t="s">
        <v>#N/A N/A</v>
        <stp/>
        <stp>BDP|4329092007874088512</stp>
        <tr r="K97" s="17"/>
      </tp>
      <tp t="s">
        <v>#N/A N/A</v>
        <stp/>
        <stp>BDP|2557502763084779024</stp>
        <tr r="F115" s="17"/>
      </tp>
      <tp t="s">
        <v>#N/A N/A</v>
        <stp/>
        <stp>BDP|4760063506855586423</stp>
        <tr r="M131" s="17"/>
      </tp>
      <tp t="s">
        <v>#N/A N/A</v>
        <stp/>
        <stp>BDP|5685214451745032271</stp>
        <tr r="N104" s="17"/>
      </tp>
      <tp t="s">
        <v>#N/A N/A</v>
        <stp/>
        <stp>BDP|4399875096265422507</stp>
        <tr r="F74" s="17"/>
      </tp>
      <tp t="s">
        <v>#N/A N/A</v>
        <stp/>
        <stp>BDP|2277438614959735884</stp>
        <tr r="G114" s="17"/>
      </tp>
      <tp t="s">
        <v>#N/A N/A</v>
        <stp/>
        <stp>BDP|6166272307242882018</stp>
        <tr r="I116" s="17"/>
      </tp>
      <tp t="s">
        <v>#N/A N/A</v>
        <stp/>
        <stp>BDP|7325027963726848148</stp>
        <tr r="H131" s="17"/>
      </tp>
      <tp t="s">
        <v>#N/A N/A</v>
        <stp/>
        <stp>BDP|2834029035034394330</stp>
        <tr r="I117" s="17"/>
      </tp>
      <tp t="s">
        <v>#N/A N/A</v>
        <stp/>
        <stp>BDP|7598821158449044530</stp>
        <tr r="L77" s="17"/>
      </tp>
      <tp t="s">
        <v>#N/A N/A</v>
        <stp/>
        <stp>BDP|6847603425413769778</stp>
        <tr r="N112" s="17"/>
      </tp>
      <tp t="s">
        <v>#N/A N/A</v>
        <stp/>
        <stp>BDP|4534523781639921627</stp>
        <tr r="L115" s="17"/>
      </tp>
      <tp t="s">
        <v>#N/A N/A</v>
        <stp/>
        <stp>BDP|6551375105292648137</stp>
        <tr r="M73" s="17"/>
      </tp>
      <tp t="s">
        <v>#N/A N/A</v>
        <stp/>
        <stp>BDP|4851342362732997572</stp>
        <tr r="G103" s="17"/>
      </tp>
      <tp t="s">
        <v>#N/A N/A</v>
        <stp/>
        <stp>BDP|9419407690900462204</stp>
        <tr r="H73" s="17"/>
      </tp>
      <tp t="s">
        <v>#N/A N/A</v>
        <stp/>
        <stp>BDP|6331477034844201329</stp>
        <tr r="AK19" s="19"/>
      </tp>
      <tp t="s">
        <v>#N/A N/A</v>
        <stp/>
        <stp>BDH|8586393409429029457</stp>
        <tr r="J94" s="17"/>
      </tp>
      <tp t="s">
        <v>#N/A N/A</v>
        <stp/>
        <stp>BDP|5969193123606582672</stp>
        <tr r="L114" s="17"/>
      </tp>
      <tp t="s">
        <v>#N/A N/A</v>
        <stp/>
        <stp>BDP|4115561854040706253</stp>
        <tr r="K121" s="17"/>
      </tp>
      <tp t="s">
        <v>#N/A N/A</v>
        <stp/>
        <stp>BDP|8420454264624209809</stp>
        <tr r="M120" s="17"/>
      </tp>
      <tp t="s">
        <v>#N/A N/A</v>
        <stp/>
        <stp>BDP|6649661013555491230</stp>
        <tr r="M106" s="17"/>
      </tp>
      <tp t="s">
        <v>#N/A N/A</v>
        <stp/>
        <stp>BDP|2105439416570812191</stp>
        <tr r="E100" s="17"/>
      </tp>
      <tp t="s">
        <v>#N/A N/A</v>
        <stp/>
        <stp>BDP|3226617143712958432</stp>
        <tr r="H107" s="17"/>
      </tp>
      <tp t="s">
        <v>#N/A N/A</v>
        <stp/>
        <stp>BDH|4006469468240072148</stp>
        <tr r="L94" s="17"/>
      </tp>
      <tp t="s">
        <v>#N/A N/A</v>
        <stp/>
        <stp>BDP|2044677749335585233</stp>
        <tr r="I121" s="17"/>
      </tp>
      <tp t="s">
        <v>#N/A N/A</v>
        <stp/>
        <stp>BDP|1160261829766537073</stp>
        <tr r="F75" s="17"/>
      </tp>
      <tp t="s">
        <v>#N/A N/A</v>
        <stp/>
        <stp>BDP|1239125359983476105</stp>
        <tr r="G130" s="17"/>
      </tp>
      <tp t="s">
        <v>#N/A N/A</v>
        <stp/>
        <stp>BDP|3462275782719078739</stp>
        <tr r="F114" s="17"/>
      </tp>
      <tp t="s">
        <v>#N/A N/A</v>
        <stp/>
        <stp>BDP|2597071175542236052</stp>
        <tr r="E113" s="17"/>
      </tp>
      <tp t="s">
        <v>#N/A N/A</v>
        <stp/>
        <stp>BDP|5707810196791003201</stp>
        <tr r="I77" s="17"/>
      </tp>
      <tp t="s">
        <v>#N/A N/A</v>
        <stp/>
        <stp>BDP|6069760866237468726</stp>
        <tr r="H104" s="17"/>
      </tp>
      <tp t="s">
        <v>#N/A N/A</v>
        <stp/>
        <stp>BDP|1628397816113968776</stp>
        <tr r="K111" s="17"/>
      </tp>
      <tp t="s">
        <v>#N/A N/A</v>
        <stp/>
        <stp>BDP|9055710611889375178</stp>
        <tr r="K69" s="17"/>
        <tr r="J69" s="17"/>
        <tr r="H69" s="17"/>
        <tr r="E69" s="17"/>
        <tr r="N69" s="17"/>
        <tr r="G69" s="17"/>
        <tr r="F69" s="17"/>
        <tr r="M69" s="17"/>
        <tr r="I69" s="17"/>
        <tr r="L69" s="17"/>
      </tp>
      <tp t="s">
        <v>#N/A N/A</v>
        <stp/>
        <stp>BDP|4257044361883341609</stp>
        <tr r="K128" s="17"/>
      </tp>
      <tp t="s">
        <v>#N/A N/A</v>
        <stp/>
        <stp>BDP|2026382463591846688</stp>
        <tr r="AI19" s="19"/>
      </tp>
      <tp t="s">
        <v>#N/A N/A</v>
        <stp/>
        <stp>BDP|9582302814603911837</stp>
        <tr r="E101" s="17"/>
      </tp>
      <tp t="s">
        <v>#N/A N/A</v>
        <stp/>
        <stp>BDP|5508990993847749202</stp>
        <tr r="I106" s="17"/>
      </tp>
      <tp t="s">
        <v>#N/A N/A</v>
        <stp/>
        <stp>BDP|3835422127925871094</stp>
        <tr r="F97" s="17"/>
      </tp>
      <tp t="s">
        <v>#N/A N/A</v>
        <stp/>
        <stp>BDP|2456720854448155817</stp>
        <tr r="N100" s="17"/>
      </tp>
      <tp t="s">
        <v>#N/A N/A</v>
        <stp/>
        <stp>BDP|5886100118263829681</stp>
        <tr r="H112" s="17"/>
      </tp>
      <tp t="s">
        <v>#N/A N/A</v>
        <stp/>
        <stp>BDP|4308213433922184701</stp>
        <tr r="F100" s="17"/>
      </tp>
      <tp t="s">
        <v>#N/A N/A</v>
        <stp/>
        <stp>BDP|7216650314722439269</stp>
        <tr r="F105" s="17"/>
      </tp>
      <tp t="s">
        <v>#N/A N/A</v>
        <stp/>
        <stp>BDP|7273083849753091029</stp>
        <tr r="I126" s="17"/>
      </tp>
      <tp t="s">
        <v>#N/A N/A</v>
        <stp/>
        <stp>BDP|9297168234538208378</stp>
        <tr r="H122" s="17"/>
      </tp>
      <tp t="s">
        <v>#N/A N/A</v>
        <stp/>
        <stp>BDP|4680721443494758356</stp>
        <tr r="M132" s="17"/>
      </tp>
      <tp t="s">
        <v>#N/A N/A</v>
        <stp/>
        <stp>BDP|3452860694633566166</stp>
        <tr r="M127" s="17"/>
      </tp>
      <tp t="s">
        <v>#N/A N/A</v>
        <stp/>
        <stp>BDP|2572778800922493738</stp>
        <tr r="L97" s="17"/>
      </tp>
      <tp t="s">
        <v>#N/A N/A</v>
        <stp/>
        <stp>BDH|3351163811550852279</stp>
        <tr r="F93" s="17"/>
      </tp>
      <tp t="s">
        <v>#N/A N/A</v>
        <stp/>
        <stp>BDP|9640798996935293347</stp>
        <tr r="N118" s="17"/>
      </tp>
      <tp t="s">
        <v>#N/A N/A</v>
        <stp/>
        <stp>BDH|2891741079853862025</stp>
        <tr r="E94" s="17"/>
      </tp>
      <tp t="s">
        <v>#N/A N/A</v>
        <stp/>
        <stp>BDP|4648115464862897064</stp>
        <tr r="I118" s="17"/>
      </tp>
      <tp t="s">
        <v>#N/A Requesting Data...3731560388</v>
        <stp/>
        <stp>BDP|8989656823708794556</stp>
        <tr r="D78" s="17"/>
      </tp>
      <tp t="s">
        <v>#N/A N/A</v>
        <stp/>
        <stp>BDP|6882360858301547015</stp>
        <tr r="E73" s="17"/>
      </tp>
      <tp t="s">
        <v>#N/A N/A</v>
        <stp/>
        <stp>BDP|2124422333070577432</stp>
        <tr r="L98" s="17"/>
      </tp>
      <tp t="s">
        <v>#N/A N/A</v>
        <stp/>
        <stp>BDH|4474338257097504424</stp>
        <tr r="E93" s="17"/>
      </tp>
      <tp t="s">
        <v>#N/A N/A</v>
        <stp/>
        <stp>BDP|6846247417707054006</stp>
        <tr r="N113" s="17"/>
      </tp>
      <tp t="s">
        <v>#N/A N/A</v>
        <stp/>
        <stp>BDP|4374431100433199190</stp>
        <tr r="N77" s="17"/>
      </tp>
      <tp t="s">
        <v>#N/A N/A</v>
        <stp/>
        <stp>BDP|1261516409223503576</stp>
        <tr r="E106" s="17"/>
      </tp>
      <tp t="s">
        <v>#N/A N/A</v>
        <stp/>
        <stp>BDP|4937054965538633818</stp>
        <tr r="N111" s="17"/>
      </tp>
      <tp t="s">
        <v>#N/A N/A</v>
        <stp/>
        <stp>BDP|9141002909428719301</stp>
        <tr r="H78" s="17"/>
      </tp>
      <tp t="s">
        <v>#N/A N/A</v>
        <stp/>
        <stp>BDP|5805405605932545147</stp>
        <tr r="H111" s="17"/>
      </tp>
      <tp t="s">
        <v>#N/A N/A</v>
        <stp/>
        <stp>BDP|5300397565571704358</stp>
        <tr r="N132" s="17"/>
      </tp>
      <tp t="s">
        <v>#N/A N/A</v>
        <stp/>
        <stp>BDP|3493511995885011837</stp>
        <tr r="N131" s="17"/>
      </tp>
      <tp t="s">
        <v>#N/A N/A</v>
        <stp/>
        <stp>BDP|2987059003517959764</stp>
        <tr r="M114" s="17"/>
      </tp>
      <tp t="s">
        <v>#N/A N/A</v>
        <stp/>
        <stp>BDP|5534941770010550933</stp>
        <tr r="F120" s="17"/>
      </tp>
      <tp t="s">
        <v>#N/A N/A</v>
        <stp/>
        <stp>BDP|7654506156537230262</stp>
        <tr r="E102" s="17"/>
      </tp>
      <tp t="s">
        <v>#N/A N/A</v>
        <stp/>
        <stp>BDP|6214039494524735971</stp>
        <tr r="J116" s="17"/>
      </tp>
      <tp t="s">
        <v>#N/A N/A</v>
        <stp/>
        <stp>BDP|1547567599338784663</stp>
        <tr r="M102" s="17"/>
      </tp>
      <tp t="s">
        <v>#N/A N/A</v>
        <stp/>
        <stp>BDP|1106130130695023596</stp>
        <tr r="E120" s="17"/>
      </tp>
      <tp t="s">
        <v>#N/A N/A</v>
        <stp/>
        <stp>BDP|6639016375921993302</stp>
        <tr r="K75" s="17"/>
      </tp>
      <tp t="s">
        <v>#N/A N/A</v>
        <stp/>
        <stp>BDP|2976345047511672776</stp>
        <tr r="J126" s="17"/>
      </tp>
      <tp t="s">
        <v>#N/A N/A</v>
        <stp/>
        <stp>BDP|3536476150171869033</stp>
        <tr r="E129" s="17"/>
      </tp>
      <tp t="s">
        <v>#N/A N/A</v>
        <stp/>
        <stp>BDP|2379119849251324567</stp>
        <tr r="F104" s="17"/>
      </tp>
      <tp t="s">
        <v>#N/A N/A</v>
        <stp/>
        <stp>BDP|5171632704553977331</stp>
        <tr r="G78" s="17"/>
      </tp>
      <tp t="s">
        <v>#N/A N/A</v>
        <stp/>
        <stp>BDP|7530551717135583517</stp>
        <tr r="F113" s="17"/>
      </tp>
      <tp t="s">
        <v>#N/A N/A</v>
        <stp/>
        <stp>BDP|2510971597766202774</stp>
        <tr r="L116" s="17"/>
      </tp>
      <tp t="s">
        <v>#N/A N/A</v>
        <stp/>
        <stp>BDP|3819433660293934120</stp>
        <tr r="L131" s="17"/>
      </tp>
      <tp t="s">
        <v>#N/A N/A</v>
        <stp/>
        <stp>BDP|1080776277904179602</stp>
        <tr r="J111" s="17"/>
      </tp>
      <tp t="s">
        <v>#N/A N/A</v>
        <stp/>
        <stp>BDP|4109548107832344076</stp>
        <tr r="N127" s="17"/>
      </tp>
      <tp t="s">
        <v>#N/A N/A</v>
        <stp/>
        <stp>BDP|2674923496044772522</stp>
        <tr r="H114" s="17"/>
      </tp>
      <tp t="s">
        <v>#N/A N/A</v>
        <stp/>
        <stp>BDP|7003675352307680049</stp>
        <tr r="N105" s="17"/>
      </tp>
      <tp t="s">
        <v>#N/A N/A</v>
        <stp/>
        <stp>BDH|7855111618896073263</stp>
        <tr r="I96" s="17"/>
      </tp>
      <tp t="s">
        <v>#N/A N/A</v>
        <stp/>
        <stp>BDP|5168639291338535133</stp>
        <tr r="I119" s="17"/>
      </tp>
      <tp t="s">
        <v>#N/A N/A</v>
        <stp/>
        <stp>BDP|16918669917779793</stp>
        <tr r="J106" s="17"/>
      </tp>
      <tp t="s">
        <v>#N/A N/A</v>
        <stp/>
        <stp>BDP|96859976675458549</stp>
        <tr r="M76" s="17"/>
      </tp>
      <tp t="s">
        <v>#N/A N/A</v>
        <stp/>
        <stp>BDP|299876683466682281</stp>
        <tr r="M122" s="17"/>
      </tp>
      <tp t="s">
        <v>#N/A N/A</v>
        <stp/>
        <stp>BDP|815003494515336899</stp>
        <tr r="J103" s="17"/>
      </tp>
      <tp t="s">
        <v>#N/A N/A</v>
        <stp/>
        <stp>BDP|163763952597883266</stp>
        <tr r="E97" s="17"/>
      </tp>
      <tp t="s">
        <v>#N/A N/A</v>
        <stp/>
        <stp>BDP|255825576429198150</stp>
        <tr r="H127" s="17"/>
      </tp>
      <tp t="s">
        <v>#N/A N/A</v>
        <stp/>
        <stp>BDP|956779298140982828</stp>
        <tr r="N102" s="17"/>
      </tp>
      <tp t="s">
        <v>#N/A N/A</v>
        <stp/>
        <stp>BDP|541205853155258407</stp>
        <tr r="M116" s="17"/>
      </tp>
      <tp t="s">
        <v>#N/A N/A</v>
        <stp/>
        <stp>BDP|175599928965589408</stp>
        <tr r="L104" s="17"/>
      </tp>
      <tp t="s">
        <v>#N/A N/A</v>
        <stp/>
        <stp>BDP|571221876546443565</stp>
        <tr r="K114" s="17"/>
      </tp>
      <tp t="s">
        <v>#N/A N/A</v>
        <stp/>
        <stp>BDP|899367356532018542</stp>
        <tr r="H128" s="17"/>
      </tp>
      <tp t="s">
        <v>#N/A N/A</v>
        <stp/>
        <stp>BDP|950009716976429634</stp>
        <tr r="N116" s="17"/>
      </tp>
      <tp t="s">
        <v>#N/A N/A</v>
        <stp/>
        <stp>BDP|449886680175129474</stp>
        <tr r="M119" s="17"/>
      </tp>
      <tp t="s">
        <v>#N/A N/A</v>
        <stp/>
        <stp>BDP|664261700821334277</stp>
        <tr r="N97" s="17"/>
      </tp>
      <tp t="s">
        <v>#N/A N/A</v>
        <stp/>
        <stp>BDH|381727520490109540</stp>
        <tr r="G94" s="17"/>
      </tp>
      <tp t="s">
        <v>#N/A N/A</v>
        <stp/>
        <stp>BDP|137536336170168604</stp>
        <tr r="M100" s="17"/>
      </tp>
      <tp t="s">
        <v>#N/A N/A</v>
        <stp/>
        <stp>BDP|812776533840276742</stp>
        <tr r="AF19" s="19"/>
      </tp>
      <tp t="s">
        <v>#N/A N/A</v>
        <stp/>
        <stp>BDP|342623276774880781</stp>
        <tr r="J119" s="17"/>
      </tp>
      <tp t="s">
        <v>#N/A N/A</v>
        <stp/>
        <stp>BDP|371922325152002490</stp>
        <tr r="F98" s="17"/>
      </tp>
      <tp t="s">
        <v>#N/A N/A</v>
        <stp/>
        <stp>BDP|361479197802615212</stp>
        <tr r="K127" s="17"/>
      </tp>
      <tp t="s">
        <v>#N/A N/A</v>
        <stp/>
        <stp>BDP|761807844297983438</stp>
        <tr r="J112" s="17"/>
      </tp>
      <tp t="s">
        <v>#N/A N/A</v>
        <stp/>
        <stp>BDH|753613907247883888</stp>
        <tr r="I94" s="17"/>
      </tp>
      <tp t="s">
        <v>#N/A N/A</v>
        <stp/>
        <stp>BDP|805495489186584284</stp>
        <tr r="J120" s="17"/>
      </tp>
      <tp t="s">
        <v>#N/A N/A</v>
        <stp/>
        <stp>BDP|299095783156067698</stp>
        <tr r="I75" s="17"/>
      </tp>
      <tp t="s">
        <v>#N/A N/A</v>
        <stp/>
        <stp>BDP|573168989927589584</stp>
        <tr r="E130" s="17"/>
      </tp>
      <tp t="s">
        <v>#N/A N/A</v>
        <stp/>
        <stp>BDP|220654524987686993</stp>
        <tr r="I120" s="17"/>
      </tp>
      <tp t="s">
        <v>#N/A N/A</v>
        <stp/>
        <stp>BDP|834089748899334729</stp>
        <tr r="J73" s="17"/>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26" Type="http://schemas.microsoft.com/office/2017/10/relationships/person" Target="persons/person.xml"/><Relationship Id="rId3" Type="http://schemas.openxmlformats.org/officeDocument/2006/relationships/worksheet" Target="worksheets/sheet3.xml"/><Relationship Id="rId21" Type="http://schemas.microsoft.com/office/2017/06/relationships/rdArray" Target="richData/rdarray.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volatileDependencies" Target="volatileDependenci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Structure" Target="richData/rdrichvaluestructur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SupportingPropertyBag" Target="richData/rdsupportingpropertybag.xml"/><Relationship Id="rId27"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360939219902246"/>
          <c:y val="0.17591863442987773"/>
          <c:w val="0.48073010599060412"/>
          <c:h val="0.58797911667734915"/>
        </c:manualLayout>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legend>
      <c:legendPos val="b"/>
      <c:layout>
        <c:manualLayout>
          <c:xMode val="edge"/>
          <c:yMode val="edge"/>
          <c:x val="0"/>
          <c:y val="0.78547593616803535"/>
          <c:w val="0.91193917042870754"/>
          <c:h val="0.21452406383196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7.7827080005605301E-2"/>
          <c:y val="1.2444568999010804E-2"/>
          <c:w val="0.81827696383999604"/>
          <c:h val="0.77530987711723032"/>
        </c:manualLayout>
      </c:layout>
      <c:doughnutChart>
        <c:varyColors val="1"/>
        <c:ser>
          <c:idx val="0"/>
          <c:order val="0"/>
          <c:tx>
            <c:v>Weights</c:v>
          </c:tx>
          <c:spPr>
            <a:solidFill>
              <a:srgbClr val="7B1314"/>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B058-4611-999B-36A98E9EC690}"/>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058-4611-999B-36A98E9EC690}"/>
              </c:ext>
            </c:extLst>
          </c:dPt>
          <c:dPt>
            <c:idx val="2"/>
            <c:bubble3D val="0"/>
            <c:spPr>
              <a:solidFill>
                <a:srgbClr val="7B1314"/>
              </a:solidFill>
              <a:ln w="19050">
                <a:solidFill>
                  <a:schemeClr val="lt1"/>
                </a:solidFill>
              </a:ln>
              <a:effectLst/>
            </c:spPr>
            <c:extLst>
              <c:ext xmlns:c16="http://schemas.microsoft.com/office/drawing/2014/chart" uri="{C3380CC4-5D6E-409C-BE32-E72D297353CC}">
                <c16:uniqueId val="{00000005-B058-4611-999B-36A98E9EC690}"/>
              </c:ext>
            </c:extLst>
          </c:dPt>
          <c:dPt>
            <c:idx val="3"/>
            <c:bubble3D val="0"/>
            <c:spPr>
              <a:solidFill>
                <a:srgbClr val="7B1314"/>
              </a:solidFill>
              <a:ln w="19050">
                <a:solidFill>
                  <a:schemeClr val="lt1"/>
                </a:solidFill>
              </a:ln>
              <a:effectLst/>
            </c:spPr>
            <c:extLst>
              <c:ext xmlns:c16="http://schemas.microsoft.com/office/drawing/2014/chart" uri="{C3380CC4-5D6E-409C-BE32-E72D297353CC}">
                <c16:uniqueId val="{00000007-B058-4611-999B-36A98E9EC690}"/>
              </c:ext>
            </c:extLst>
          </c:dPt>
          <c:dPt>
            <c:idx val="4"/>
            <c:bubble3D val="0"/>
            <c:spPr>
              <a:solidFill>
                <a:srgbClr val="7B1314"/>
              </a:solidFill>
              <a:ln w="19050">
                <a:solidFill>
                  <a:schemeClr val="lt1"/>
                </a:solidFill>
              </a:ln>
              <a:effectLst/>
            </c:spPr>
            <c:extLst>
              <c:ext xmlns:c16="http://schemas.microsoft.com/office/drawing/2014/chart" uri="{C3380CC4-5D6E-409C-BE32-E72D297353CC}">
                <c16:uniqueId val="{00000009-B058-4611-999B-36A98E9EC690}"/>
              </c:ext>
            </c:extLst>
          </c:dPt>
          <c:cat>
            <c:strLit>
              <c:ptCount val="5"/>
              <c:pt idx="0">
                <c:v>United States</c:v>
              </c:pt>
              <c:pt idx="1">
                <c:v>Canada and Europe</c:v>
              </c:pt>
              <c:pt idx="2">
                <c:v>-</c:v>
              </c:pt>
              <c:pt idx="3">
                <c:v>-</c:v>
              </c:pt>
              <c:pt idx="4">
                <c:v>-</c:v>
              </c:pt>
            </c:strLit>
          </c:cat>
          <c:val>
            <c:numLit>
              <c:formatCode>0.0%</c:formatCode>
              <c:ptCount val="5"/>
              <c:pt idx="0">
                <c:v>0.98213508695932328</c:v>
              </c:pt>
              <c:pt idx="1">
                <c:v>1.7864913040676774E-2</c:v>
              </c:pt>
              <c:pt idx="2" formatCode="General">
                <c:v>0</c:v>
              </c:pt>
              <c:pt idx="3" formatCode="General">
                <c:v>0</c:v>
              </c:pt>
              <c:pt idx="4" formatCode="General">
                <c:v>0</c:v>
              </c:pt>
            </c:numLit>
          </c:val>
          <c:extLst>
            <c:ext xmlns:c16="http://schemas.microsoft.com/office/drawing/2014/chart" uri="{C3380CC4-5D6E-409C-BE32-E72D297353CC}">
              <c16:uniqueId val="{0000000A-B058-4611-999B-36A98E9EC69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
          <c:y val="0.84039414564704851"/>
          <c:w val="0.96682457589059367"/>
          <c:h val="0.15960618687395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8383734549246683"/>
          <c:y val="2.8277260805995564E-2"/>
          <c:w val="0.60998885134394543"/>
          <c:h val="0.73875878730872724"/>
        </c:manualLayout>
      </c:layout>
      <c:doughnutChart>
        <c:varyColors val="1"/>
        <c:ser>
          <c:idx val="0"/>
          <c:order val="0"/>
          <c:tx>
            <c:v>Weights</c:v>
          </c:tx>
          <c:spPr>
            <a:solidFill>
              <a:srgbClr val="7B1314"/>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DDB5-499A-B104-6F6375BDBB19}"/>
              </c:ext>
            </c:extLst>
          </c:dPt>
          <c:dPt>
            <c:idx val="1"/>
            <c:bubble3D val="0"/>
            <c:spPr>
              <a:solidFill>
                <a:srgbClr val="FFA3A3"/>
              </a:solidFill>
              <a:ln w="19050">
                <a:solidFill>
                  <a:schemeClr val="lt1"/>
                </a:solidFill>
              </a:ln>
              <a:effectLst/>
            </c:spPr>
            <c:extLst>
              <c:ext xmlns:c16="http://schemas.microsoft.com/office/drawing/2014/chart" uri="{C3380CC4-5D6E-409C-BE32-E72D297353CC}">
                <c16:uniqueId val="{00000003-DDB5-499A-B104-6F6375BDBB19}"/>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DDB5-499A-B104-6F6375BDBB19}"/>
              </c:ext>
            </c:extLst>
          </c:dPt>
          <c:dPt>
            <c:idx val="3"/>
            <c:bubble3D val="0"/>
            <c:spPr>
              <a:solidFill>
                <a:srgbClr val="7B1314"/>
              </a:solidFill>
              <a:ln w="19050">
                <a:solidFill>
                  <a:schemeClr val="lt1"/>
                </a:solidFill>
              </a:ln>
              <a:effectLst/>
            </c:spPr>
            <c:extLst>
              <c:ext xmlns:c16="http://schemas.microsoft.com/office/drawing/2014/chart" uri="{C3380CC4-5D6E-409C-BE32-E72D297353CC}">
                <c16:uniqueId val="{00000007-DDB5-499A-B104-6F6375BDBB19}"/>
              </c:ext>
            </c:extLst>
          </c:dPt>
          <c:dPt>
            <c:idx val="4"/>
            <c:bubble3D val="0"/>
            <c:spPr>
              <a:solidFill>
                <a:srgbClr val="7B1314"/>
              </a:solidFill>
              <a:ln w="19050">
                <a:solidFill>
                  <a:schemeClr val="lt1"/>
                </a:solidFill>
              </a:ln>
              <a:effectLst/>
            </c:spPr>
            <c:extLst>
              <c:ext xmlns:c16="http://schemas.microsoft.com/office/drawing/2014/chart" uri="{C3380CC4-5D6E-409C-BE32-E72D297353CC}">
                <c16:uniqueId val="{00000009-DDB5-499A-B104-6F6375BDBB19}"/>
              </c:ext>
            </c:extLst>
          </c:dPt>
          <c:cat>
            <c:strLit>
              <c:ptCount val="5"/>
              <c:pt idx="0">
                <c:v>Food and beverage</c:v>
              </c:pt>
              <c:pt idx="1">
                <c:v>Delivery service</c:v>
              </c:pt>
              <c:pt idx="2">
                <c:v>International/Royalties</c:v>
              </c:pt>
              <c:pt idx="3">
                <c:v>-</c:v>
              </c:pt>
              <c:pt idx="4">
                <c:v>-</c:v>
              </c:pt>
            </c:strLit>
          </c:cat>
          <c:val>
            <c:numLit>
              <c:formatCode>0.0%</c:formatCode>
              <c:ptCount val="5"/>
              <c:pt idx="0">
                <c:v>0.97627660532623162</c:v>
              </c:pt>
              <c:pt idx="1">
                <c:v>5.8584816330917505E-3</c:v>
              </c:pt>
              <c:pt idx="2">
                <c:v>1.7864913040676774E-2</c:v>
              </c:pt>
              <c:pt idx="3" formatCode="General">
                <c:v>0</c:v>
              </c:pt>
              <c:pt idx="4" formatCode="General">
                <c:v>0</c:v>
              </c:pt>
            </c:numLit>
          </c:val>
          <c:extLst>
            <c:ext xmlns:c16="http://schemas.microsoft.com/office/drawing/2014/chart" uri="{C3380CC4-5D6E-409C-BE32-E72D297353CC}">
              <c16:uniqueId val="{0000000A-DDB5-499A-B104-6F6375BDBB1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
          <c:y val="0.78547588479925956"/>
          <c:w val="1"/>
          <c:h val="0.21452406383196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Inputs!$B$109</c:f>
              <c:strCache>
                <c:ptCount val="1"/>
                <c:pt idx="0">
                  <c:v>Fixed</c:v>
                </c:pt>
              </c:strCache>
            </c:strRef>
          </c:tx>
          <c:spPr>
            <a:solidFill>
              <a:schemeClr val="accent1"/>
            </a:solidFill>
            <a:ln>
              <a:noFill/>
            </a:ln>
            <a:effectLst/>
          </c:spPr>
          <c:invertIfNegative val="0"/>
          <c:cat>
            <c:numRef>
              <c:f>Inputs!$H$106:$Q$106</c:f>
              <c:numCache>
                <c:formatCode>0</c:formatCode>
                <c:ptCount val="10"/>
                <c:pt idx="0">
                  <c:v>2025</c:v>
                </c:pt>
                <c:pt idx="1">
                  <c:v>2026</c:v>
                </c:pt>
                <c:pt idx="2">
                  <c:v>2027</c:v>
                </c:pt>
                <c:pt idx="3">
                  <c:v>2028</c:v>
                </c:pt>
                <c:pt idx="4">
                  <c:v>2029</c:v>
                </c:pt>
                <c:pt idx="5">
                  <c:v>2030</c:v>
                </c:pt>
                <c:pt idx="6">
                  <c:v>2031</c:v>
                </c:pt>
                <c:pt idx="7">
                  <c:v>2032</c:v>
                </c:pt>
                <c:pt idx="8">
                  <c:v>2033</c:v>
                </c:pt>
                <c:pt idx="9" formatCode="0&quot;+&quot;">
                  <c:v>2034</c:v>
                </c:pt>
              </c:numCache>
            </c:numRef>
          </c:cat>
          <c:val>
            <c:numRef>
              <c:f>Inputs!$H$109:$Q$109</c:f>
              <c:numCache>
                <c:formatCode>General</c:formatCode>
                <c:ptCount val="10"/>
                <c:pt idx="9">
                  <c:v>0</c:v>
                </c:pt>
              </c:numCache>
            </c:numRef>
          </c:val>
          <c:extLst>
            <c:ext xmlns:c16="http://schemas.microsoft.com/office/drawing/2014/chart" uri="{C3380CC4-5D6E-409C-BE32-E72D297353CC}">
              <c16:uniqueId val="{00000000-C818-4D7E-86F0-AA705E8DA356}"/>
            </c:ext>
          </c:extLst>
        </c:ser>
        <c:ser>
          <c:idx val="1"/>
          <c:order val="1"/>
          <c:tx>
            <c:strRef>
              <c:f>Inputs!$B$109</c:f>
              <c:strCache>
                <c:ptCount val="1"/>
                <c:pt idx="0">
                  <c:v>Fixed</c:v>
                </c:pt>
              </c:strCache>
            </c:strRef>
          </c:tx>
          <c:spPr>
            <a:solidFill>
              <a:srgbClr val="002060"/>
            </a:solidFill>
            <a:ln>
              <a:noFill/>
            </a:ln>
            <a:effectLst/>
          </c:spPr>
          <c:invertIfNegative val="0"/>
          <c:cat>
            <c:numRef>
              <c:f>Inputs!$H$106:$Q$106</c:f>
              <c:numCache>
                <c:formatCode>0</c:formatCode>
                <c:ptCount val="10"/>
                <c:pt idx="0">
                  <c:v>2025</c:v>
                </c:pt>
                <c:pt idx="1">
                  <c:v>2026</c:v>
                </c:pt>
                <c:pt idx="2">
                  <c:v>2027</c:v>
                </c:pt>
                <c:pt idx="3">
                  <c:v>2028</c:v>
                </c:pt>
                <c:pt idx="4">
                  <c:v>2029</c:v>
                </c:pt>
                <c:pt idx="5">
                  <c:v>2030</c:v>
                </c:pt>
                <c:pt idx="6">
                  <c:v>2031</c:v>
                </c:pt>
                <c:pt idx="7">
                  <c:v>2032</c:v>
                </c:pt>
                <c:pt idx="8">
                  <c:v>2033</c:v>
                </c:pt>
                <c:pt idx="9" formatCode="0&quot;+&quot;">
                  <c:v>2034</c:v>
                </c:pt>
              </c:numCache>
            </c:numRef>
          </c:cat>
          <c:val>
            <c:numRef>
              <c:f>Inputs!$H$110:$Q$110</c:f>
              <c:numCache>
                <c:formatCode>General</c:formatCode>
                <c:ptCount val="10"/>
              </c:numCache>
            </c:numRef>
          </c:val>
          <c:extLst>
            <c:ext xmlns:c16="http://schemas.microsoft.com/office/drawing/2014/chart" uri="{C3380CC4-5D6E-409C-BE32-E72D297353CC}">
              <c16:uniqueId val="{00000001-C818-4D7E-86F0-AA705E8DA356}"/>
            </c:ext>
          </c:extLst>
        </c:ser>
        <c:dLbls>
          <c:showLegendKey val="0"/>
          <c:showVal val="0"/>
          <c:showCatName val="0"/>
          <c:showSerName val="0"/>
          <c:showPercent val="0"/>
          <c:showBubbleSize val="0"/>
        </c:dLbls>
        <c:gapWidth val="150"/>
        <c:overlap val="100"/>
        <c:axId val="1004925920"/>
        <c:axId val="1004924280"/>
      </c:barChart>
      <c:catAx>
        <c:axId val="100492592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24280"/>
        <c:crosses val="autoZero"/>
        <c:auto val="1"/>
        <c:lblAlgn val="ctr"/>
        <c:lblOffset val="100"/>
        <c:noMultiLvlLbl val="0"/>
      </c:catAx>
      <c:valAx>
        <c:axId val="1004924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259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Region</a:t>
            </a:r>
          </a:p>
        </c:rich>
      </c:tx>
      <c:layout>
        <c:manualLayout>
          <c:xMode val="edge"/>
          <c:yMode val="edge"/>
          <c:x val="0.196181861759879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546549027666"/>
          <c:y val="0.16130487604074661"/>
          <c:w val="0.58000814797057032"/>
          <c:h val="0.63288566647294286"/>
        </c:manualLayout>
      </c:layout>
      <c:pieChart>
        <c:varyColors val="1"/>
        <c:ser>
          <c:idx val="0"/>
          <c:order val="0"/>
          <c:tx>
            <c:v>Weights</c:v>
          </c:tx>
          <c:spPr>
            <a:solidFill>
              <a:srgbClr val="C00000"/>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5EA9-4D7B-8219-529372BAB69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EA9-4D7B-8219-529372BAB690}"/>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F0B-4B5E-82ED-0B9DC81D228A}"/>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6F0B-4B5E-82ED-0B9DC81D228A}"/>
              </c:ext>
            </c:extLst>
          </c:dPt>
          <c:dPt>
            <c:idx val="4"/>
            <c:bubble3D val="0"/>
            <c:spPr>
              <a:solidFill>
                <a:srgbClr val="C00000"/>
              </a:solidFill>
              <a:ln w="19050">
                <a:solidFill>
                  <a:schemeClr val="lt1"/>
                </a:solidFill>
              </a:ln>
              <a:effectLst/>
            </c:spPr>
            <c:extLst>
              <c:ext xmlns:c16="http://schemas.microsoft.com/office/drawing/2014/chart" uri="{C3380CC4-5D6E-409C-BE32-E72D297353CC}">
                <c16:uniqueId val="{00000009-6F0B-4B5E-82ED-0B9DC81D228A}"/>
              </c:ext>
            </c:extLst>
          </c:dPt>
          <c:cat>
            <c:numRef>
              <c:f>Segments!$B$6:$B$10</c:f>
              <c:numCache>
                <c:formatCode>General</c:formatCode>
                <c:ptCount val="5"/>
              </c:numCache>
            </c:numRef>
          </c:cat>
          <c:val>
            <c:numRef>
              <c:f>Segments!$D$6:$D$10</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4-5EA9-4D7B-8219-529372BAB690}"/>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84039414564704851"/>
          <c:w val="1"/>
          <c:h val="0.12570754926820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Segment</a:t>
            </a:r>
          </a:p>
        </c:rich>
      </c:tx>
      <c:layout>
        <c:manualLayout>
          <c:xMode val="edge"/>
          <c:yMode val="edge"/>
          <c:x val="0.2088019160724208"/>
          <c:y val="1.46108325946116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360939219902246"/>
          <c:y val="0.17591863442987773"/>
          <c:w val="0.56636184889669605"/>
          <c:h val="0.61848911753405766"/>
        </c:manualLayout>
      </c:layout>
      <c:pieChart>
        <c:varyColors val="1"/>
        <c:ser>
          <c:idx val="0"/>
          <c:order val="0"/>
          <c:tx>
            <c:v>Weights</c:v>
          </c:tx>
          <c:spPr>
            <a:solidFill>
              <a:srgbClr val="FF0000"/>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0160-4D8E-A35D-11187DFD9877}"/>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160-4D8E-A35D-11187DFD9877}"/>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0160-4D8E-A35D-11187DFD9877}"/>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B458-4C4D-847F-D2D86AAD1B71}"/>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B458-4C4D-847F-D2D86AAD1B71}"/>
              </c:ext>
            </c:extLst>
          </c:dPt>
          <c:cat>
            <c:numRef>
              <c:f>Segments!$B$17:$B$21</c:f>
              <c:numCache>
                <c:formatCode>General</c:formatCode>
                <c:ptCount val="5"/>
              </c:numCache>
            </c:numRef>
          </c:cat>
          <c:val>
            <c:numRef>
              <c:f>Segments!$D$17:$D$21</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6-0160-4D8E-A35D-11187DFD9877}"/>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84039414564704851"/>
          <c:w val="1"/>
          <c:h val="0.12570754926820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Porter's Five Forces</a:t>
            </a:r>
          </a:p>
        </c:rich>
      </c:tx>
      <c:overlay val="0"/>
      <c:spPr>
        <a:noFill/>
        <a:ln>
          <a:solidFill>
            <a:schemeClr val="bg1"/>
          </a:solidFill>
          <a:prstDash val="solid"/>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832189991630368"/>
          <c:y val="0.22634019121604149"/>
          <c:w val="0.64222360273486778"/>
          <c:h val="0.69328331344335592"/>
        </c:manualLayout>
      </c:layout>
      <c:radarChart>
        <c:radarStyle val="filled"/>
        <c:varyColors val="0"/>
        <c:ser>
          <c:idx val="0"/>
          <c:order val="0"/>
          <c:spPr>
            <a:solidFill>
              <a:schemeClr val="accent1"/>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(Industry!$C$44,Industry!$C$51,Industry!$C$57,Industry!$C$63,Industry!$C$69)</c:f>
              <c:numCache>
                <c:formatCode>General</c:formatCode>
                <c:ptCount val="5"/>
              </c:numCache>
            </c:numRef>
          </c:val>
          <c:extLst>
            <c:ext xmlns:c16="http://schemas.microsoft.com/office/drawing/2014/chart" uri="{C3380CC4-5D6E-409C-BE32-E72D297353CC}">
              <c16:uniqueId val="{00000000-131C-436F-9A35-697B2AD2FA69}"/>
            </c:ext>
          </c:extLst>
        </c:ser>
        <c:ser>
          <c:idx val="1"/>
          <c:order val="1"/>
          <c:spPr>
            <a:solidFill>
              <a:schemeClr val="accent2"/>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(Industry!$D$44,Industry!$D$51,Industry!$D$57,Industry!$D$63,Industry!$D$69)</c:f>
              <c:numCache>
                <c:formatCode>General</c:formatCode>
                <c:ptCount val="5"/>
              </c:numCache>
            </c:numRef>
          </c:val>
          <c:extLst>
            <c:ext xmlns:c16="http://schemas.microsoft.com/office/drawing/2014/chart" uri="{C3380CC4-5D6E-409C-BE32-E72D297353CC}">
              <c16:uniqueId val="{00000001-131C-436F-9A35-697B2AD2FA69}"/>
            </c:ext>
          </c:extLst>
        </c:ser>
        <c:ser>
          <c:idx val="2"/>
          <c:order val="2"/>
          <c:spPr>
            <a:solidFill>
              <a:srgbClr val="7B1314"/>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(Industry!$E$44,Industry!$E$51,Industry!$E$57,Industry!$E$63,Industry!$E$69)</c:f>
              <c:numCache>
                <c:formatCode>General</c:formatCode>
                <c:ptCount val="5"/>
                <c:pt idx="0" formatCode="0.00">
                  <c:v>0</c:v>
                </c:pt>
                <c:pt idx="1">
                  <c:v>0</c:v>
                </c:pt>
                <c:pt idx="2">
                  <c:v>0</c:v>
                </c:pt>
                <c:pt idx="3">
                  <c:v>0</c:v>
                </c:pt>
                <c:pt idx="4">
                  <c:v>0</c:v>
                </c:pt>
              </c:numCache>
            </c:numRef>
          </c:val>
          <c:extLst>
            <c:ext xmlns:c16="http://schemas.microsoft.com/office/drawing/2014/chart" uri="{C3380CC4-5D6E-409C-BE32-E72D297353CC}">
              <c16:uniqueId val="{00000002-131C-436F-9A35-697B2AD2FA69}"/>
            </c:ext>
          </c:extLst>
        </c:ser>
        <c:dLbls>
          <c:showLegendKey val="0"/>
          <c:showVal val="0"/>
          <c:showCatName val="0"/>
          <c:showSerName val="0"/>
          <c:showPercent val="0"/>
          <c:showBubbleSize val="0"/>
        </c:dLbls>
        <c:axId val="187338759"/>
        <c:axId val="192312327"/>
      </c:radarChart>
      <c:catAx>
        <c:axId val="187338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92312327"/>
        <c:crosses val="autoZero"/>
        <c:auto val="1"/>
        <c:lblAlgn val="ctr"/>
        <c:lblOffset val="100"/>
        <c:noMultiLvlLbl val="0"/>
      </c:catAx>
      <c:valAx>
        <c:axId val="192312327"/>
        <c:scaling>
          <c:orientation val="minMax"/>
          <c:max val="5"/>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733875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489495687747911E-3"/>
          <c:y val="2.2093019039313346E-2"/>
          <c:w val="0.3654215408474436"/>
          <c:h val="0.97790698096068662"/>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B0-439D-8074-43EAB194AB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B0-439D-8074-43EAB194AB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B0-439D-8074-43EAB194AB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FB0-439D-8074-43EAB194AB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FB0-439D-8074-43EAB194AB3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FB0-439D-8074-43EAB194AB3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FB0-439D-8074-43EAB194AB3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FB0-439D-8074-43EAB194AB3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FB0-439D-8074-43EAB194AB3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FB0-439D-8074-43EAB194AB3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FB0-439D-8074-43EAB194AB3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FB0-439D-8074-43EAB194AB32}"/>
              </c:ext>
            </c:extLst>
          </c:dPt>
          <c:cat>
            <c:strRef>
              <c:f>Industry!$B$28:$B$39</c:f>
              <c:strCache>
                <c:ptCount val="12"/>
                <c:pt idx="0">
                  <c:v>#NAME?</c:v>
                </c:pt>
                <c:pt idx="1">
                  <c:v>#NAME?</c:v>
                </c:pt>
                <c:pt idx="2">
                  <c:v>#NAME?</c:v>
                </c:pt>
                <c:pt idx="3">
                  <c:v>#NAME?</c:v>
                </c:pt>
                <c:pt idx="4">
                  <c:v>#NAME?</c:v>
                </c:pt>
                <c:pt idx="5">
                  <c:v>#NAME?</c:v>
                </c:pt>
                <c:pt idx="6">
                  <c:v>#NAME?</c:v>
                </c:pt>
                <c:pt idx="7">
                  <c:v>#NAME?</c:v>
                </c:pt>
                <c:pt idx="8">
                  <c:v>#NAME?</c:v>
                </c:pt>
                <c:pt idx="9">
                  <c:v>#NAME?</c:v>
                </c:pt>
                <c:pt idx="10">
                  <c:v>#NAME?</c:v>
                </c:pt>
                <c:pt idx="11">
                  <c:v>Others</c:v>
                </c:pt>
              </c:strCache>
            </c:strRef>
          </c:cat>
          <c:val>
            <c:numRef>
              <c:f>Industry!$I$28:$I$39</c:f>
              <c:numCache>
                <c:formatCode>0%</c:formatCode>
                <c:ptCount val="12"/>
                <c:pt idx="0">
                  <c:v>0</c:v>
                </c:pt>
                <c:pt idx="1">
                  <c:v>0</c:v>
                </c:pt>
                <c:pt idx="2">
                  <c:v>0</c:v>
                </c:pt>
                <c:pt idx="3">
                  <c:v>0</c:v>
                </c:pt>
                <c:pt idx="4">
                  <c:v>0</c:v>
                </c:pt>
                <c:pt idx="5">
                  <c:v>0</c:v>
                </c:pt>
                <c:pt idx="6">
                  <c:v>0</c:v>
                </c:pt>
                <c:pt idx="7">
                  <c:v>0</c:v>
                </c:pt>
                <c:pt idx="8">
                  <c:v>0</c:v>
                </c:pt>
                <c:pt idx="9" formatCode="0.00%">
                  <c:v>0</c:v>
                </c:pt>
                <c:pt idx="10" formatCode="0.00%">
                  <c:v>0</c:v>
                </c:pt>
                <c:pt idx="11">
                  <c:v>0</c:v>
                </c:pt>
              </c:numCache>
            </c:numRef>
          </c:val>
          <c:extLst>
            <c:ext xmlns:c16="http://schemas.microsoft.com/office/drawing/2014/chart" uri="{C3380CC4-5D6E-409C-BE32-E72D297353CC}">
              <c16:uniqueId val="{00000000-ADD4-4ADF-8131-93513DF06778}"/>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40474198403554451"/>
          <c:y val="5.4839785837187675E-2"/>
          <c:w val="0.50344530231438234"/>
          <c:h val="0.9160518762816316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343120286631479E-2"/>
          <c:y val="5.2908089143123768E-2"/>
          <c:w val="0.93558591437983274"/>
          <c:h val="0.73811215454464207"/>
        </c:manualLayout>
      </c:layout>
      <c:lineChart>
        <c:grouping val="standard"/>
        <c:varyColors val="0"/>
        <c:ser>
          <c:idx val="4"/>
          <c:order val="0"/>
          <c:tx>
            <c:strRef>
              <c:f>'ESG Inputs'!$B$76</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Inputs'!$G$76:$Q$76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A33D-44A1-A7C1-FB656FA5A222}"/>
            </c:ext>
          </c:extLst>
        </c:ser>
        <c:ser>
          <c:idx val="0"/>
          <c:order val="1"/>
          <c:tx>
            <c:strRef>
              <c:f>'ESG Inputs'!$B$77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Inputs'!$G$77:$Q$77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A33D-44A1-A7C1-FB656FA5A222}"/>
            </c:ext>
          </c:extLst>
        </c:ser>
        <c:ser>
          <c:idx val="1"/>
          <c:order val="2"/>
          <c:tx>
            <c:strRef>
              <c:f>'ESG Inputs'!$B$78</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Inputs'!$G$78:$Q$78</c:f>
              <c:numCache>
                <c:formatCode>General</c:formatCode>
                <c:ptCount val="11"/>
                <c:pt idx="0" formatCode="#,##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A33D-44A1-A7C1-FB656FA5A222}"/>
            </c:ext>
          </c:extLst>
        </c:ser>
        <c:ser>
          <c:idx val="2"/>
          <c:order val="3"/>
          <c:tx>
            <c:strRef>
              <c:f>'ESG Inputs'!$B$79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Inputs'!$G$79:$Q$79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A33D-44A1-A7C1-FB656FA5A222}"/>
            </c:ext>
          </c:extLst>
        </c:ser>
        <c:ser>
          <c:idx val="3"/>
          <c:order val="4"/>
          <c:tx>
            <c:strRef>
              <c:f>'ESG Inputs'!$B$80</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Inputs'!$G$80:$Q$80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A33D-44A1-A7C1-FB656FA5A222}"/>
            </c:ext>
          </c:extLst>
        </c:ser>
        <c:dLbls>
          <c:showLegendKey val="0"/>
          <c:showVal val="0"/>
          <c:showCatName val="0"/>
          <c:showSerName val="0"/>
          <c:showPercent val="0"/>
          <c:showBubbleSize val="0"/>
        </c:dLbls>
        <c:marker val="1"/>
        <c:smooth val="0"/>
        <c:axId val="1086075584"/>
        <c:axId val="1086077504"/>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legend>
      <c:legendPos val="b"/>
      <c:layout>
        <c:manualLayout>
          <c:xMode val="edge"/>
          <c:yMode val="edge"/>
          <c:x val="1.2949953955591448E-2"/>
          <c:y val="0.84488196610549504"/>
          <c:w val="0.97702197074670194"/>
          <c:h val="0.155118033894504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Inputs'!$B$48</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Inputs'!$G$48:$Q$48</c:f>
              <c:numCache>
                <c:formatCode>General</c:formatCode>
                <c:ptCount val="11"/>
              </c:numCache>
            </c:numRef>
          </c:val>
          <c:smooth val="0"/>
          <c:extLst>
            <c:ext xmlns:c16="http://schemas.microsoft.com/office/drawing/2014/chart" uri="{C3380CC4-5D6E-409C-BE32-E72D297353CC}">
              <c16:uniqueId val="{00000000-E980-4DF7-896B-DD4FDA36ADD3}"/>
            </c:ext>
          </c:extLst>
        </c:ser>
        <c:ser>
          <c:idx val="2"/>
          <c:order val="2"/>
          <c:tx>
            <c:strRef>
              <c:f>'ESG Inputs'!$B$51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Inputs'!$G$51:$Q$51</c:f>
              <c:numCache>
                <c:formatCode>General</c:formatCode>
                <c:ptCount val="11"/>
              </c:numCache>
            </c:numRef>
          </c:val>
          <c:smooth val="0"/>
          <c:extLst>
            <c:ext xmlns:c16="http://schemas.microsoft.com/office/drawing/2014/chart" uri="{C3380CC4-5D6E-409C-BE32-E72D297353CC}">
              <c16:uniqueId val="{00000001-E980-4DF7-896B-DD4FDA36ADD3}"/>
            </c:ext>
          </c:extLst>
        </c:ser>
        <c:ser>
          <c:idx val="3"/>
          <c:order val="3"/>
          <c:tx>
            <c:strRef>
              <c:f>'ESG Inputs'!$B$52</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Inputs'!$G$52:$Q$52</c:f>
              <c:numCache>
                <c:formatCode>General</c:formatCode>
                <c:ptCount val="11"/>
              </c:numCache>
            </c:numRef>
          </c:val>
          <c:smooth val="0"/>
          <c:extLst>
            <c:ext xmlns:c16="http://schemas.microsoft.com/office/drawing/2014/chart" uri="{C3380CC4-5D6E-409C-BE32-E72D297353CC}">
              <c16:uniqueId val="{00000002-E980-4DF7-896B-DD4FDA36ADD3}"/>
            </c:ext>
          </c:extLst>
        </c:ser>
        <c:ser>
          <c:idx val="1"/>
          <c:order val="4"/>
          <c:tx>
            <c:strRef>
              <c:f>'ESG Inputs'!$B$50</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Inputs'!$G$50:$Q$50</c:f>
              <c:numCache>
                <c:formatCode>General</c:formatCode>
                <c:ptCount val="11"/>
              </c:numCache>
            </c:numRef>
          </c:val>
          <c:smooth val="0"/>
          <c:extLst>
            <c:ext xmlns:c16="http://schemas.microsoft.com/office/drawing/2014/chart" uri="{C3380CC4-5D6E-409C-BE32-E72D297353CC}">
              <c16:uniqueId val="{00000003-E980-4DF7-896B-DD4FDA36ADD3}"/>
            </c:ext>
          </c:extLst>
        </c:ser>
        <c:dLbls>
          <c:showLegendKey val="0"/>
          <c:showVal val="0"/>
          <c:showCatName val="0"/>
          <c:showSerName val="0"/>
          <c:showPercent val="0"/>
          <c:showBubbleSize val="0"/>
        </c:dLbls>
        <c:marker val="1"/>
        <c:smooth val="0"/>
        <c:axId val="1086075584"/>
        <c:axId val="1086077504"/>
        <c:extLst>
          <c:ext xmlns:c15="http://schemas.microsoft.com/office/drawing/2012/chart" uri="{02D57815-91ED-43cb-92C2-25804820EDAC}">
            <c15:filteredLineSeries>
              <c15:ser>
                <c:idx val="0"/>
                <c:order val="1"/>
                <c:tx>
                  <c:strRef>
                    <c:extLst>
                      <c:ext uri="{02D57815-91ED-43cb-92C2-25804820EDAC}">
                        <c15:formulaRef>
                          <c15:sqref>'ESG Inputs'!$B$49</c15:sqref>
                        </c15:formulaRef>
                      </c:ext>
                    </c:extLst>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'ESG Inputs'!$G$46:$Q$46</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c:ext uri="{02D57815-91ED-43cb-92C2-25804820EDAC}">
                        <c15:formulaRef>
                          <c15:sqref>'ESG Inputs'!$G$49:$Q$49</c15:sqref>
                        </c15:formulaRef>
                      </c:ext>
                    </c:extLst>
                    <c:numCache>
                      <c:formatCode>General</c:formatCode>
                      <c:ptCount val="11"/>
                    </c:numCache>
                  </c:numRef>
                </c:val>
                <c:smooth val="0"/>
                <c:extLst>
                  <c:ext xmlns:c16="http://schemas.microsoft.com/office/drawing/2014/chart" uri="{C3380CC4-5D6E-409C-BE32-E72D297353CC}">
                    <c16:uniqueId val="{00000004-E980-4DF7-896B-DD4FDA36ADD3}"/>
                  </c:ext>
                </c:extLst>
              </c15:ser>
            </c15:filteredLineSeries>
          </c:ext>
        </c:extLst>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Inputs'!$B$62</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Inputs'!$G$62:$Q$62</c:f>
              <c:numCache>
                <c:formatCode>General</c:formatCode>
                <c:ptCount val="11"/>
              </c:numCache>
            </c:numRef>
          </c:val>
          <c:smooth val="0"/>
          <c:extLst>
            <c:ext xmlns:c16="http://schemas.microsoft.com/office/drawing/2014/chart" uri="{C3380CC4-5D6E-409C-BE32-E72D297353CC}">
              <c16:uniqueId val="{00000000-F38D-409A-B510-CAA45AC4F704}"/>
            </c:ext>
          </c:extLst>
        </c:ser>
        <c:ser>
          <c:idx val="2"/>
          <c:order val="3"/>
          <c:tx>
            <c:strRef>
              <c:f>'ESG Inputs'!$B$65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Inputs'!$G$65:$Q$65</c:f>
              <c:numCache>
                <c:formatCode>General</c:formatCode>
                <c:ptCount val="11"/>
              </c:numCache>
            </c:numRef>
          </c:val>
          <c:smooth val="0"/>
          <c:extLst>
            <c:ext xmlns:c16="http://schemas.microsoft.com/office/drawing/2014/chart" uri="{C3380CC4-5D6E-409C-BE32-E72D297353CC}">
              <c16:uniqueId val="{00000001-F38D-409A-B510-CAA45AC4F704}"/>
            </c:ext>
          </c:extLst>
        </c:ser>
        <c:ser>
          <c:idx val="3"/>
          <c:order val="4"/>
          <c:tx>
            <c:strRef>
              <c:f>'ESG Inputs'!$B$66</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Inputs'!$G$66:$Q$66</c:f>
              <c:numCache>
                <c:formatCode>General</c:formatCode>
                <c:ptCount val="11"/>
              </c:numCache>
            </c:numRef>
          </c:val>
          <c:smooth val="0"/>
          <c:extLst>
            <c:ext xmlns:c16="http://schemas.microsoft.com/office/drawing/2014/chart" uri="{C3380CC4-5D6E-409C-BE32-E72D297353CC}">
              <c16:uniqueId val="{00000002-F38D-409A-B510-CAA45AC4F704}"/>
            </c:ext>
          </c:extLst>
        </c:ser>
        <c:ser>
          <c:idx val="4"/>
          <c:order val="5"/>
          <c:tx>
            <c:strRef>
              <c:f>'ESG Inputs'!$B$67</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Inputs'!$G$67:$Q$67</c:f>
              <c:numCache>
                <c:formatCode>General</c:formatCode>
                <c:ptCount val="11"/>
              </c:numCache>
            </c:numRef>
          </c:val>
          <c:smooth val="0"/>
          <c:extLst>
            <c:ext xmlns:c16="http://schemas.microsoft.com/office/drawing/2014/chart" uri="{C3380CC4-5D6E-409C-BE32-E72D297353CC}">
              <c16:uniqueId val="{00000003-F38D-409A-B510-CAA45AC4F704}"/>
            </c:ext>
          </c:extLst>
        </c:ser>
        <c:ser>
          <c:idx val="6"/>
          <c:order val="6"/>
          <c:tx>
            <c:strRef>
              <c:f>'ESG Inputs'!$B$68</c:f>
              <c:strCache>
                <c:ptCount val="1"/>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Inputs'!$G$68:$Q$68</c:f>
              <c:numCache>
                <c:formatCode>General</c:formatCode>
                <c:ptCount val="11"/>
              </c:numCache>
            </c:numRef>
          </c:val>
          <c:smooth val="0"/>
          <c:extLst>
            <c:ext xmlns:c16="http://schemas.microsoft.com/office/drawing/2014/chart" uri="{C3380CC4-5D6E-409C-BE32-E72D297353CC}">
              <c16:uniqueId val="{00000004-F38D-409A-B510-CAA45AC4F704}"/>
            </c:ext>
          </c:extLst>
        </c:ser>
        <c:ser>
          <c:idx val="7"/>
          <c:order val="7"/>
          <c:tx>
            <c:strRef>
              <c:f>'ESG Inputs'!$B$69</c:f>
              <c:strCache>
                <c:ptCount val="1"/>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Inputs'!$G$69:$Q$69</c:f>
              <c:numCache>
                <c:formatCode>General</c:formatCode>
                <c:ptCount val="11"/>
              </c:numCache>
            </c:numRef>
          </c:val>
          <c:smooth val="0"/>
          <c:extLst>
            <c:ext xmlns:c16="http://schemas.microsoft.com/office/drawing/2014/chart" uri="{C3380CC4-5D6E-409C-BE32-E72D297353CC}">
              <c16:uniqueId val="{00000005-F38D-409A-B510-CAA45AC4F704}"/>
            </c:ext>
          </c:extLst>
        </c:ser>
        <c:ser>
          <c:idx val="8"/>
          <c:order val="8"/>
          <c:tx>
            <c:strRef>
              <c:f>'ESG Inputs'!$B$70</c:f>
              <c:strCache>
                <c:ptCount val="1"/>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Inputs'!$G$70:$Q$70</c:f>
              <c:numCache>
                <c:formatCode>General</c:formatCode>
                <c:ptCount val="11"/>
              </c:numCache>
            </c:numRef>
          </c:val>
          <c:smooth val="0"/>
          <c:extLst>
            <c:ext xmlns:c16="http://schemas.microsoft.com/office/drawing/2014/chart" uri="{C3380CC4-5D6E-409C-BE32-E72D297353CC}">
              <c16:uniqueId val="{00000006-F38D-409A-B510-CAA45AC4F704}"/>
            </c:ext>
          </c:extLst>
        </c:ser>
        <c:ser>
          <c:idx val="9"/>
          <c:order val="9"/>
          <c:tx>
            <c:strRef>
              <c:f>'ESG Inputs'!$B$71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Inputs'!$G$71:$Q$71</c:f>
              <c:numCache>
                <c:formatCode>General</c:formatCode>
                <c:ptCount val="11"/>
              </c:numCache>
            </c:numRef>
          </c:val>
          <c:smooth val="0"/>
          <c:extLst>
            <c:ext xmlns:c16="http://schemas.microsoft.com/office/drawing/2014/chart" uri="{C3380CC4-5D6E-409C-BE32-E72D297353CC}">
              <c16:uniqueId val="{00000007-F38D-409A-B510-CAA45AC4F704}"/>
            </c:ext>
          </c:extLst>
        </c:ser>
        <c:ser>
          <c:idx val="10"/>
          <c:order val="10"/>
          <c:tx>
            <c:strRef>
              <c:f>'ESG Inputs'!$B$72</c:f>
              <c:strCache>
                <c:ptCount val="1"/>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Inputs'!$G$72:$Q$72</c:f>
              <c:numCache>
                <c:formatCode>General</c:formatCode>
                <c:ptCount val="11"/>
              </c:numCache>
            </c:numRef>
          </c:val>
          <c:smooth val="0"/>
          <c:extLst>
            <c:ext xmlns:c16="http://schemas.microsoft.com/office/drawing/2014/chart" uri="{C3380CC4-5D6E-409C-BE32-E72D297353CC}">
              <c16:uniqueId val="{00000008-F38D-409A-B510-CAA45AC4F704}"/>
            </c:ext>
          </c:extLst>
        </c:ser>
        <c:dLbls>
          <c:showLegendKey val="0"/>
          <c:showVal val="0"/>
          <c:showCatName val="0"/>
          <c:showSerName val="0"/>
          <c:showPercent val="0"/>
          <c:showBubbleSize val="0"/>
        </c:dLbls>
        <c:marker val="1"/>
        <c:smooth val="0"/>
        <c:axId val="1086075584"/>
        <c:axId val="1086077504"/>
        <c:extLst>
          <c:ext xmlns:c15="http://schemas.microsoft.com/office/drawing/2012/chart" uri="{02D57815-91ED-43cb-92C2-25804820EDAC}">
            <c15:filteredLineSeries>
              <c15:ser>
                <c:idx val="0"/>
                <c:order val="1"/>
                <c:tx>
                  <c:strRef>
                    <c:extLst>
                      <c:ext uri="{02D57815-91ED-43cb-92C2-25804820EDAC}">
                        <c15:formulaRef>
                          <c15:sqref>'ESG Inputs'!$B$63</c15:sqref>
                        </c15:formulaRef>
                      </c:ext>
                    </c:extLst>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'ESG Inputs'!$G$60:$Q$60</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c:ext uri="{02D57815-91ED-43cb-92C2-25804820EDAC}">
                        <c15:formulaRef>
                          <c15:sqref>'ESG Inputs'!$G$63:$Q$63</c15:sqref>
                        </c15:formulaRef>
                      </c:ext>
                    </c:extLst>
                    <c:numCache>
                      <c:formatCode>General</c:formatCode>
                      <c:ptCount val="11"/>
                    </c:numCache>
                  </c:numRef>
                </c:val>
                <c:smooth val="0"/>
                <c:extLst>
                  <c:ext xmlns:c16="http://schemas.microsoft.com/office/drawing/2014/chart" uri="{C3380CC4-5D6E-409C-BE32-E72D297353CC}">
                    <c16:uniqueId val="{00000009-F38D-409A-B510-CAA45AC4F704}"/>
                  </c:ext>
                </c:extLst>
              </c15:ser>
            </c15:filteredLineSeries>
            <c15:filteredLineSeries>
              <c15:ser>
                <c:idx val="1"/>
                <c:order val="2"/>
                <c:tx>
                  <c:strRef>
                    <c:extLst xmlns:c15="http://schemas.microsoft.com/office/drawing/2012/chart">
                      <c:ext xmlns:c15="http://schemas.microsoft.com/office/drawing/2012/chart" uri="{02D57815-91ED-43cb-92C2-25804820EDAC}">
                        <c15:formulaRef>
                          <c15:sqref>'ESG Inputs'!$B$64</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 Inputs'!$G$60:$Q$60</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xmlns:c15="http://schemas.microsoft.com/office/drawing/2012/chart">
                      <c:ext xmlns:c15="http://schemas.microsoft.com/office/drawing/2012/chart" uri="{02D57815-91ED-43cb-92C2-25804820EDAC}">
                        <c15:formulaRef>
                          <c15:sqref>'ESG Inputs'!$G$64:$Q$64</c15:sqref>
                        </c15:formulaRef>
                      </c:ext>
                    </c:extLst>
                    <c:numCache>
                      <c:formatCode>General</c:formatCode>
                      <c:ptCount val="11"/>
                    </c:numCache>
                  </c:numRef>
                </c:val>
                <c:smooth val="0"/>
                <c:extLst xmlns:c15="http://schemas.microsoft.com/office/drawing/2012/chart">
                  <c:ext xmlns:c16="http://schemas.microsoft.com/office/drawing/2014/chart" uri="{C3380CC4-5D6E-409C-BE32-E72D297353CC}">
                    <c16:uniqueId val="{0000000A-F38D-409A-B510-CAA45AC4F704}"/>
                  </c:ext>
                </c:extLst>
              </c15:ser>
            </c15:filteredLineSeries>
          </c:ext>
        </c:extLst>
      </c:lineChart>
      <c:catAx>
        <c:axId val="1086075584"/>
        <c:scaling>
          <c:orientation val="minMax"/>
        </c:scaling>
        <c:delete val="0"/>
        <c:axPos val="b"/>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Inputs'!$B$34</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Inputs'!$G$34:$Q$34</c:f>
              <c:numCache>
                <c:formatCode>General</c:formatCode>
                <c:ptCount val="11"/>
              </c:numCache>
            </c:numRef>
          </c:val>
          <c:smooth val="0"/>
          <c:extLst>
            <c:ext xmlns:c16="http://schemas.microsoft.com/office/drawing/2014/chart" uri="{C3380CC4-5D6E-409C-BE32-E72D297353CC}">
              <c16:uniqueId val="{00000000-AC1E-4410-B719-66281604211E}"/>
            </c:ext>
          </c:extLst>
        </c:ser>
        <c:ser>
          <c:idx val="0"/>
          <c:order val="1"/>
          <c:tx>
            <c:strRef>
              <c:f>'ESG Inputs'!$B$35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Inputs'!$G$35:$Q$35</c:f>
              <c:numCache>
                <c:formatCode>General</c:formatCode>
                <c:ptCount val="11"/>
              </c:numCache>
            </c:numRef>
          </c:val>
          <c:smooth val="0"/>
          <c:extLst>
            <c:ext xmlns:c16="http://schemas.microsoft.com/office/drawing/2014/chart" uri="{C3380CC4-5D6E-409C-BE32-E72D297353CC}">
              <c16:uniqueId val="{00000001-AC1E-4410-B719-66281604211E}"/>
            </c:ext>
          </c:extLst>
        </c:ser>
        <c:ser>
          <c:idx val="1"/>
          <c:order val="2"/>
          <c:tx>
            <c:strRef>
              <c:f>'ESG Inputs'!$B$36</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Inputs'!$G$36:$Q$36</c:f>
              <c:numCache>
                <c:formatCode>General</c:formatCode>
                <c:ptCount val="11"/>
              </c:numCache>
            </c:numRef>
          </c:val>
          <c:smooth val="0"/>
          <c:extLst>
            <c:ext xmlns:c16="http://schemas.microsoft.com/office/drawing/2014/chart" uri="{C3380CC4-5D6E-409C-BE32-E72D297353CC}">
              <c16:uniqueId val="{00000002-AC1E-4410-B719-66281604211E}"/>
            </c:ext>
          </c:extLst>
        </c:ser>
        <c:ser>
          <c:idx val="2"/>
          <c:order val="3"/>
          <c:tx>
            <c:strRef>
              <c:f>'ESG Inputs'!$B$37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Inputs'!$G$37:$Q$37</c:f>
              <c:numCache>
                <c:formatCode>#,##0.00</c:formatCode>
                <c:ptCount val="11"/>
              </c:numCache>
            </c:numRef>
          </c:val>
          <c:smooth val="0"/>
          <c:extLst>
            <c:ext xmlns:c16="http://schemas.microsoft.com/office/drawing/2014/chart" uri="{C3380CC4-5D6E-409C-BE32-E72D297353CC}">
              <c16:uniqueId val="{00000003-AC1E-4410-B719-66281604211E}"/>
            </c:ext>
          </c:extLst>
        </c:ser>
        <c:ser>
          <c:idx val="3"/>
          <c:order val="4"/>
          <c:tx>
            <c:strRef>
              <c:f>'ESG Inputs'!$B$38</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Inputs'!$G$38:$Q$38</c:f>
              <c:numCache>
                <c:formatCode>General</c:formatCode>
                <c:ptCount val="11"/>
              </c:numCache>
            </c:numRef>
          </c:val>
          <c:smooth val="0"/>
          <c:extLst>
            <c:ext xmlns:c16="http://schemas.microsoft.com/office/drawing/2014/chart" uri="{C3380CC4-5D6E-409C-BE32-E72D297353CC}">
              <c16:uniqueId val="{00000004-AC1E-4410-B719-66281604211E}"/>
            </c:ext>
          </c:extLst>
        </c:ser>
        <c:ser>
          <c:idx val="4"/>
          <c:order val="5"/>
          <c:tx>
            <c:strRef>
              <c:f>'ESG Inputs'!$B$39</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Inputs'!$G$39:$Q$39</c:f>
              <c:numCache>
                <c:formatCode>General</c:formatCode>
                <c:ptCount val="11"/>
              </c:numCache>
            </c:numRef>
          </c:val>
          <c:smooth val="0"/>
          <c:extLst>
            <c:ext xmlns:c16="http://schemas.microsoft.com/office/drawing/2014/chart" uri="{C3380CC4-5D6E-409C-BE32-E72D297353CC}">
              <c16:uniqueId val="{00000005-AC1E-4410-B719-66281604211E}"/>
            </c:ext>
          </c:extLst>
        </c:ser>
        <c:ser>
          <c:idx val="6"/>
          <c:order val="6"/>
          <c:tx>
            <c:strRef>
              <c:f>'ESG Inputs'!$B$40</c:f>
              <c:strCache>
                <c:ptCount val="1"/>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Inputs'!$G$40:$Q$40</c:f>
              <c:numCache>
                <c:formatCode>General</c:formatCode>
                <c:ptCount val="11"/>
              </c:numCache>
            </c:numRef>
          </c:val>
          <c:smooth val="0"/>
          <c:extLst>
            <c:ext xmlns:c16="http://schemas.microsoft.com/office/drawing/2014/chart" uri="{C3380CC4-5D6E-409C-BE32-E72D297353CC}">
              <c16:uniqueId val="{00000006-AC1E-4410-B719-66281604211E}"/>
            </c:ext>
          </c:extLst>
        </c:ser>
        <c:dLbls>
          <c:showLegendKey val="0"/>
          <c:showVal val="0"/>
          <c:showCatName val="0"/>
          <c:showSerName val="0"/>
          <c:showPercent val="0"/>
          <c:showBubbleSize val="0"/>
        </c:dLbls>
        <c:marker val="1"/>
        <c:smooth val="0"/>
        <c:axId val="1086075584"/>
        <c:axId val="1086077504"/>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plotSurface>
          <cx:spPr>
            <a:ln>
              <a:solidFill>
                <a:schemeClr val="bg1"/>
              </a:solidFill>
            </a:ln>
          </cx:spPr>
        </cx:plotSurface>
        <cx:series layoutId="regionMap" uniqueId="{918A9E4B-5BE1-42F5-A1AB-1A113A9485F5}">
          <cx:dataId val="0"/>
          <cx:layoutPr>
            <cx:geography cultureLanguage="en-US" cultureRegion="QA" attribution="Powered by Bing">
              <cx:geoCache provider="{E9337A44-BEBE-4D9F-B70C-5C5E7DAFC167}">
                <cx:binary>zHpJc904su5fqfD60YV56Oi6C/AMGi1LsuVhw7BlmSRIAiQAjr/+5Sm5u23Xbd/bixfxNpYlngNi
SOQ3ZP79cfnbY/v0Kfy2dK2Lf3tc/nhRpdT/7fff42P11H2KL7v6Mfjov6aXj7773X/9Wj8+/f4l
fJprV/5OEGa/P1afQnpaXvzX32G08snvPqVPe5fqtN6OT2G9e4pjm+Ivn/6bh789/TnMm7V/+uPF
ox9dOg1X1t69+Pbo/MsfLyR98dvv34/w7dmrTx18bZ+q2vf1p5+/8fQppj9eMPlSK0Kl1phSipBU
L36bn05PKHmptcJaM0GURoLwF785H1L1xwvMXipNldAMIUQYw+zFb9GPp0f0JdWSMa0lPOBUYPrP
bXnt27X07p8b8e3339zYvfa1S/GPF1zJF7/1z597XhlTVAspNSeYMQpzhOePn+5g7+Hj+P/Ydl1Q
EktlygZ7eTF1gb8mPR8yZipShotgUzka1TovOtMgWiG5m5ot+xBDCNEEy0h4P1SBhdxpUZIql9NI
wmUtW/uBznqqLqqFVvVOLqEWO9QG1exx1Qt1ngbb1hdh9EVpqs5idrSbLD5I3hevo9+aLidNg/td
xtdhMhvB3ZfUu+Zj0zVY5rGJoTzaFm/39UCGdVcHhHTeuKafdkL1MuXtMte3dKDpdVG2VWa4KPly
RDyUPodBeGW2Ye6bnU19uCQ6lfzCrptsTVuiwI+D4z1+G2s79+eDzerVtKtuB1i+K8vz4JMudhML
ZXlYOlQ2FxQNGt04tmbh2HE5lIemcNVitpKomAsZnLYGZ6GbiJkXSvWN9WmjnZkVqkUei2GdeyOs
sLOZUwpx34sNVf3OSVnZPfehF7ORDrNlNyyW92Zcx6bc7qX1ZXwzNQjz7bz2vIrqM0H1soyXbskS
Gm8nGau2yIcpq6x+Nc5IxPmOZJ3bhryLlR+782VaeNw2U4+sG7a7TVjSjPkEi+pb00QXpnyaaD3r
PI6+xAa5oOWh8V0c9wL7RppODLS/7Lnt0mU9ts1HnA3ejmaR1aBez2uFW7Mt1ToapIOb7ssW7sue
WTl6wxeC3Z0fBtpc05hic5TtNM85bW3IdsKprdrhYSTJqKALYXC5eb6jNZHkfEvKJ5EXzdzL3M+D
rs9WTsbz6MYl7sZU6M1Y5+tpFywn856VYZEHsZYMoqqcEL0ga4X8tV/nWuyXunZvtOsiNgtu0uty
muCbmELMma2RbBezVsZjKjf1uopxwbs4M0qMgKGu4ITsTc0b15/pUSVsGlov76W0M2qMV/MpbkUx
1QeBFrucT9EXJK/FiK1RKg7zfrbTSo4LT7yEnalpZZZWcbebeVjIR5Klodmp2kVlPJ3G4VIvZLJm
VR0RpcFF2YdbrIO807if67NlQpGbYSuKYjVTQAG/zYJF3ZFU9cwPNcR6f2jazI/nZVtU5LzQ7dSO
xsaN22u+yjhbU9cFE+8RhtRT5lRUluxtYqp6PzWTTDdrK1J7TDa17GPaStTXhrc8yw510pms87Q0
vrjZlmmm1xwu//SqGrqyyL1L3D9i67YlH8pKvEbD5HROq63Yj1PDqpyILrzCzTC8ygY8sxxPWN0O
2zC2Z+3ST5lhPmaXlZbblM+eZr2pm7Fn+bDU2OecN+iWlLzFe5RVK9+pslkyI1HTlXu5Fep+VCs/
04sOoxlxPW/7teXVbbnQ5ghv7RYT9YYrM7JqcoYNXUxGjGyqDqgb63PJBs9M0yjhdnYe/XgUQvSf
eWlXva+LednMhrRt8sxm+kKNmJY7BzFyK9ZC3lW2rsQesmktzIRjFXLmm4mbUvKG7TvuU2ekV+Vb
66f1U0QUNXvVdeVm5jri5TCwAu5CaOoW0Ex3wTTZqj4vGx7YzqMBfRQpQ3g34EKds4rrJZ8pbi6K
Aqk6H3CmqJlWTp1J6zKMeRErRfZeF2QybTPNmyGiQhdbGXoIHES7rzJz7WVIgb2dXDtU52jrisq/
a/Qw3wt+yiMr1tOT4ETyi5pG3JjSFv2bulrZqx6jYdmLCQma0xmP227Bdn0lFgVgQEbUeQh/EdWx
gkQXTT2JcLuFriuMqpIIJtAQ6wMgWbVdNZDzXrtGNnxPNwcXqiTT5Has1fiDyNICeYKN623gfZnt
17UsmM3LnozqZs3gJg+mbYtyMAShUplNRJ183mu08GUnGwpHELoo+j1qOwZIp8Ss3/W2XHpTJEhe
RpJscQYnVXlj11AuUz7MumsNq0KVzJoJcVtbXSd6YKJtKsBMvinTRovehazN0oVYbe2NIImofNaq
k7l2DH8hKGRuz2UV3UXfLrYyiFBAv9aFod2zJHWbV4LiLy6iLRxJ0KM0zdKnMZi1qYt0oEsbRN5l
rrjsm80NZu7UWO9c09DrgbiqWU3smZ/22SAKaoY60PHtrNl4X2xcChPbdngNVwDWqgVak9Ehm867
uoBla4r9u41AbJhyqTzkmtiNzd6SUo+XYtwa4gyvB958dVUt1TnERr+ZDnPamH5pp9Mk19Bwo3Xl
XI6laB9kE9doprEayzdZxbP+FaoTGz7biCzsLvG+87um4BaxfdpCo3I7qsHXu67dLDr0VSrJPqp+
6fJo+wztooU0nXcbtsK0s7SZQX0R0t5XCa/5htr1dQOb15jOZ3VpsiLhIueTrpp9kzXtJ/jc+iCn
pO9Wm20QI+2yvpnRJF/NsVXI6HkY3nM8k824ZZH0YpuJ8mYLs/6aRbuVu6YZ3SuN5vperyy9Jrro
lXGl3t7pVLCPMNXpg83Cdl03pZ+MDHV/24oqvKFTv5WmpEszHjoG8GjGWod0CjHfGEfqCWZdeS3M
ouqZmkpHXZtIkQAqQ/285FyXPpp26Vi1n7tluyrivKQcu648A0RNc76JqTmIeii7YyVYunCwlJjL
pgl3GV/mMa8p8le6IcHvK8X9Q1RzeDWVBYlm3Hp7p2wfv8wx8rumKTq2w6jH5X5VthiMKAbgfqnK
imPLuE755GZ33Lp5lueccj7CifRYmHrhnTsg2vq3HNX9RRbKEHYkzv2XtFWcGlEt4T0wtJEAoazo
IyTYBaCY8aoxw9Kk1SBVhJtK9q7K9TYNSw5x0nYG6yLrc4im+Sy5ou7yGcfmaqU9AcKpevQohqrJ
zFTPQZvAdVYata7Imm4Q7s2GSuoul6600thOAedxzidqRhFEPOpKrZmpwiQ+INxEb1bqhbuq4IL2
ZtXBQrLPxlCZLmHW7zfUYLfTWpdqF2XqNtOyOH0YCbPvLcUDDNtVKyS9TTRNjoDARAMXqRt3U4bL
lI9yy76EUdXIWNbVjeEMLowJ9VqkXediyYxIq3p7ev+8j0tRtbVp6ZBQ3kpXJGn6gisNiDGM1Mxl
VmnIcXTAZ76cl+7Q9Ju4WQpakV0iC+1NZZcmmMp32fUofcDHDNhgfRR6A27eMybirqxGdLa4Yos7
Hzu1920o1KHrsvluLlgsjysHsphBxmawYyaRjba5syN/8rAkdD8vcdz17bC4B8/w1mpTMFbr49RZ
0BFSkw3dYZCD8k2ITNc74Zt4Vfh2yvIOBOVtlrDuYHlzeKeH1rX0WGtVxsO6ZQEyci19xrURc18v
18NM+tab2RVAANcGrnwygNkbPzRq0Ldh0+qmDA5ipK7G5a4QsfdAqHq8GIcFRgYBjcS7jPiOQmZH
LBSQ/jtgCwPrph3roh4P5dSvD6ps6/7SNRmu9l01u9aITsTVWN+Xn3qqNmeWoNYbptX0mSxzI3aN
w6Pd9V0ok/lTd/7+rHp/kHePvl9DXVbfZO8/f/2v63+o6b+fvvavv5+k879+u+mf3H0KT0/p+lP/
8yd/+CKoyW/vP6nuH375iwT/XiL/bx/+7xS4AL0rqf6VDL+JKfjpt/uqbnz65H77/V//PY/tJ/fl
e33+z/GeRTpm4qWG2FKYgLbGDIl/iPTTE644Z0hKzBSjIN+/iXRGXyoFCl1hjLkkRMCXvol0eATy
HGmlmGCQ3Jj8T0Q6UeRHka4pZ4zBeCfFzwWiJxH/nUgXpGh96ertLRDhd2wlF6Fytzbgx7Zru53l
9BKr8iA1vSRNIfex9U9sXe8L5R9Gyq9xl9W5jeRqyq7rrbortulQpj6f3Xzkbf3Q+E3kQ7/Ygyjs
GZ/ssp/8CELPl+ejXu8BuG/17B4GJc7lsH5Unl86VbxZa+tA9WWr0RvdMc2j0d4/TU3pjLWQQnnS
b6jF91027GuRnU0lJDo/BGySF1/xrG7GRK8WIs8V3HsvszdI6ZuiG41T9dmJ6I8qOwtL96Hr7Gfn
tcsX6gtwJoo67xr/FEjmTT+K0aSZjYa5YIGGyMGgglzMUwsw5NeP3tXwnaX5kNEWsqjt+l251p9L
vNwzCR8OmE85j3Q3TyCmSuof1IwqGFfdMPhr5KACGpLuspidWRwPcycfgISXeQX5YJ9V5MBYcaZ7
GCqGCAmXzfdlU28m28iFXouvZPZ3LYZdyaa2AAoEe7tMa7fvyDjkyqOD0hzmHJIFQRGHfEjZdJxs
d0tkAv02dPmyDg/wXUA5Jc9WIWFYTw+tirDeBH9WTL6q/NTti3rRubID6Ho1PIE9AtwtG9p8qoCj
SlYBlIJJY8CGiWaLw4Mtt3czLfYrym5Eiy5bW3gDdP4um9Ej9z0I04UNBhPMjYvhDo/iDdLjq4y/
YfP6FHv1ui7rDw43OI/RPZXD0BqtDlbz1RSqe9og0e2QYkB5ZZ2AfdspJ23f5n20+myx6ztt6dVq
l498LMHHkq9amWnDafZ1rOKx9dt9ybg3wBWBDMes3vNVnzFguaYfWrXjRbbndrgDUXOGJ/RuaoeH
BvNzLv1Di9JtsY3XK3F32IPymX33UGzrPdFtucsysI5a4U3p6W6rU5u3qy3MRoPORTVNu4nw95MK
rSFFcYYaeE/FrjSpNlNE1+8GG54aDCccyGVWNbeTLvZqZbmk1VkBJz8O4WlSzVmj8F7Z7hrXpyMo
1O3CQFCqKexlLPaZAs1hQzpOcjiKAV9VaZ7ycSxuqNUxhzv2IbPpCNMzC1+/EhyPE8nOkG3PUA/m
QbQfih59nMd+r2ZyNc7tLV6XNp/nlpps1G+GmT3qHj8mzc/71P05tZmrNw5lX5uKXchWnvcZbA6b
8RXT1ecV8TeY4st16srdNrOLFjVnmvZ3sVnu0ZCdgcNztiqIioxVn6usv0Nk+ehn9XVy2c080AtE
yCU4aR+tF+cNXz/OrntaenI588E+Y94PkPe9g4n/29zIOVGMAEJI/FNupAzVHEjN9tapBu2KoX9v
cdvnytld15eP8+KurBSHrXBXZYrvLeC3n8XhO6j5b3xUcF1/sFH/zNBca645lhxjeZrldxm6Axk8
DCEgmEXX72lZZKZv+BkYbvuStFe69fe27z52uLzs1+LCBwreRP01uW7//4oD/Fum8P8h/v8a+vNP
7tOXH/z30+efoT3j5KWgVAFMU66VoOSfBnyGGf4nmiv6EnAfAJuCIX9iAHCC/0Bz/FJIGANxIU4P
+H8C5gJe8Z3hzqRimEqMBUC5FljSnyMFaF3vmCrfYVG6WZt+i5NAe0Skkg7s66E84cQ4F8PnbOHb
woCjktYtQNr7sX6YajF78I95rYa0Sx0uXAceJymc35fDMtv1fMpSqU+mycY7ZlQalQ55owpakjPR
NTHWRyhJDOBz92030z4vS+nRAq73OAzl3lZzC/MqEScwrzKbSaWPsbQUMqUeOrCILrql6Bu/V5Ig
eUvnrlQyb1Y8yS+gVrF/y8B2gtm5DJ0GFMEjePVSlRMkwBXsQvg4512ZyFkWgbDcZ7SRMe7kUCSE
LzfwdUZ5bIrMM36ACgrvu+vS9bb/EhDF43zY0uwXubNsLKTMh0JNMP4w1Nk0XamldbAJTUoF/Mas
t/C2gTMHyx7AiIIphGFYWHZswSfMhlyM4ATJvB5HMLdBCRE+fP51doDg++nIJRYEKD5wS87oz8kh
NImL1s7hAaBlKeU50L1imy+QnSfBd0PlRar2pNyadT73o9/67T5LzZzsGe4KLpqzX08HAv776QDJ
1YQDjRSKAa9ECIpL3+eqZiAMrPqhv+/jTIfPhEffAEqNkgz2kAq0ZN1+bomG7aM08LnapQoKHOQ/
m4ZUHDKl4oQCvxagRn+6CDWvEtHLUryNSAuI0MUisJZ2WMwrTKAXy+nEprnq+uo2A8YgpqulHl1Z
57/ejj8R4l8lMLiRHLKDAKbPBIVDOiWI7/djU3Ntxz7Kt9I3nnevphDdZI8B3FXBbjXEBRQcyhGu
RQu+aLMNPphsmDBEeA0wOK8H4BinH9O8atitbux5wjcSrHya3XTgfqnPnqaxbK4XX0CBQ0EBS9z+
ehUgNr4/VKkE0lgiyCoIcpVU6MdFcKzZkHi/vl3gFCtuxLRR2EY2zl6vx4rGgU4XOnPRL978+tUY
/Yh+sIMSa0UFgQgHiU7JTxHVBbBcq42Wb0H8jmvxZpy6Rg6HFMUAZ1jQ9vRyWU+nq8h86CzJURYn
PVy7jUdHX/Vkg/qxqWqgj+V+mnC1zWaMHmoZ+QL2RUi7UGFp9Q2UqgjhRzG6U1abp8rDmCIMqySG
4E1CxcRP26Q/FF1jl/6uh6IbJBNwZ1vXGc3HjOkDbeF6aXBDbSGGw0o8P+WPGFuY5rqsEkYGvjNC
+lunMMKMugiumzZZXZ9SY5EtAg4faQinkIcJXKmYg+tZBZn3A9jZraFEgi2Uq+dRpkGchkbJ1rCu
hUFlSh6Xvurgj8q58rS8xZ3WbGtQAp8XHwd4OfMYs+qxqNtxXi8jXQqoD4LvhIbPkMsd7LCL4POW
4DfFivS7oiUC73Bfo2p1JujOgvuaQDH09flazljIW9vXDRyJ62U5Fbc92JUi++Sf83QrywEObxkS
lFc+TDi1MDRdHez3O9SoZPFVa8kpV9iCeLsE8LzgNkCe36YEH53B3YFZK1b0sC5tyym7Z1M6Jdfu
eZ5DVs/ZvesjxOrOc1lWNicrCR0+rO2MoORWj6IFG8ehYoxo/5yghE0ZHNO3ocpTX4C44c+JfUml
X+66DsV5P5RNnMojr9slkTejH06HW3OBbfsuTTPUGkwjZ2yLi6Zypzib06jFeEkQSIvq1hWkhC39
9d3gf8n9UjC4e4CEgPhwOX66GpUoUNw2lR78yOqtyYtt04PLv+W8bAgLbBkYsxsEzewshh/eAZks
998+Qus6DsOOQlU1u9VEnTgD9QQKIsc0yzDfT6FAHdQ52wApHJxKcrplfRBYHHlnyziYpYE0zu4t
Bk+vrKH6CnYXv0+ek7TdQSEylncz1JMXcTXIbUV4M5z0gxwv6TOOExp5c+2RLOEFz79gik7x7Z+j
HU8rDviVVfaUszmbsnUGHd5NEAdh5UPMXvfYt6gXoCEnn6p330AXL2SFFWdlb0ETDxlY50Oe9auD
8wCUtrDWIOuySHnJbInQwdlqJPKqHFWIj4hnM1xcnDiUgK4o3sY+22VtGqK4gDJaWeh91+HNLVCO
x46KQ4OL06XmPQjz/0mI/NhIwQBVudDQ3kG10lL8BVUXPmdjTwZyj9cwlFleT8tW1iDogQUCrrrC
8oGek2xOc38MK3R3kDe/jrW/4jqEGhYc9h6d4u1nHAvgY8zQ0XAPldpG8nczWkAxHjKNOziVRtJm
Wk0lQookx4q1oMWk7Oi6PEuQfy/JTljzHaAqBI0r9GSAQceLAEz6Keb7jlHIzry5l2Jj4G50xQQV
qpw4uKYkt1yeggXc386eysPQUgEmA7YV5pd0pTPg0+YHVLP/EOcVAmYPCkBrBATor8x7q3vC67UO
b3kiM4TBNoEQRPs2DkXU16mfeH8HMKQ8IFdCcZkfdatlvx4XouYqe1xRQiDjNV5GKo7g6UyDyl0B
DjU4OYtLdjFDKCyT15mygp2H0vpYX/76kH/CeVAxiDJFGBRSwVeE3qAfcd42YwpQBowQZjHzUPgF
jMwoNFlAcxNRX0WyXWwuLVukLK9//eq/xBe8GCiGZAgCHLjjT4RtW31ofLP191VWi969hlsqIY9P
BRhMafft1lM3htWfU/BP1oeiwLz1Z7+eBlDnn+ILc405HKIkcOkgUn/ag7lVPjad7u89uPcQSvT5
PCvr4FKctSlBHj2qxgc43W/soetWN09XlS+gFcM0jm/UHnBTnXJlkyEgZfVYAxmuEj9lYtbzP9f0
PDAFBlfF87ldi1jmc7VAH4Ophh6qzW/qDLon7A14cMlneyQbocm5YhVrxCVx0wnhoTwihs88UyfE
DnL1Wdi1hJV1uCuh/gt3s0dhtOsFKKR2qk2fFcD2DrZCBKZSP8uxpEN3YiBink8Q8Zx37QSc/XMM
24ldRChP2ng18YXWxbHB6JStMalLKsCQQ4LrA5ni5t+6ZQuQ3LHboNj6DXo8CmuSveFDk+BZ49oO
Jss8B6l1uUEZj/YHhIuswO8yztvmlSt8wst10XICOJBsCWs8cJpA00AXTLeFGloLoN2gPhSqKCYN
pig0Zg07ptxiJ2goG8Wa8s2KrH8L+wKdP2DBnQ77AHqygSlsnFcwBf9MFubQEZ6ZekuyWnPIL2Dy
HjaS4IIdZ89OQNFP0G8RQMdtDCYGXTMbyEChQgWD8WWt4CPkWapmcLvgk9++gEEMQaA4ADsQk0CW
Thtc0LWEoYF210DOugoDl5kSC7TdITuxpTsDhD1RLzcDTgMJ7BcNP8hzREUnTgwnLaIFIGt7gFa0
x7wAYNgDEp9AEi9ZBq9jS0VCOGxQ2SuqA+3cWnKo93asaaf3iyTNWl6Oo6/TCKaplQX46KMHIoDA
zduaQ5xcmr8OhfyTNuO0wh5l1nvoIFO2KRDNSzclUDFZ6SDGBa0ttKLJ56uxJehZImdpa2ifkCmq
blLZVQdNH7WA7o24Dmja1ZlV1dcOiDi0hhAtqI63rIVWCHkRoL4Jp2Ad22R51inXemiR0VMNueMh
YwhqsxeZhSyITeuQBXYblkjReCgiNLJcCg8eef+qK9YFagxwYza/DbuuYIWujqgV9Yk3EjZs9S6D
aibvzvHzfUIyJdjPruw7Pu3sRD2sE/gRJWK31rSBF8kynBj6N1nx7byxqE68xD3zGMblaZRvIJCN
2UnvarlmsCXP3PXXaesv2VMRQERMgSMgwqGU82PiHtpTD5Pz1d0zqQXHADgVhRUtt3xeJgBGJuaT
BGBZU4GA83KCu/3rOfwFPJQ8wQYUnpmCo1I/MYQBiqR2gqaOW0TGdrmFpjfRXK8OWPxD5iiIjAOU
3Fsg+L9+LfuZEGB4G1PQy6oVdJryn9eu+g1lXs7lPTi427Z+jlXlKrabQGcP6W2n+AjdaxLcK6jP
t37EAC62hOJK2rW2hP06TIhzkDQJmt1shA6PDnruzlmZlRIdIYqp/QSK7pQLtnpOvb/Rp75MckZR
jzUk7lCDZX0NrmyjXK42mbXkVpBN1fdoxaebyqF9ClyXwo0sHoowkhObheYcUJPf6Eo5QQEJqmjP
04JihAZSxyw+ZYQ2y3QI99AiQEiTQz/V4NsddtDysxpo+owMO1MAlbZybze1YQZC0qFQ/A/4fOoK
/oF3EYIReHIIwz/geJKfPAC9nBrTGK1ul0KNwK1UU4HhfjjV49VHSGW21DtiuyK8tVMEzZe7cl3s
I7CmESD7G08s+llvfV5BwcG6HaV9Nsy70MvTffp1WPx57N/zRAwxCBVXDmxRw/9/nq8V3cxrncJd
VRdQyz/iTtfaghNG+iXbz2yZq3iNhypqlGNcDdLvIUX/X8rOazdupGvXV0SAOZyyk1rJloPG4xPC
sv2RxVTFHK7+f6rJ2cDYwBh7TgRp5CZZrFrhDUvF4j1EBWqs9XOUGe2Q3k1qJQicqqYMQnW20olG
4q6zPQQRx2zNLd4byS7p84Nhlc34IV28lg3X5GaWTxdbuW1hnVMUJQPtKK23VUK3sPGcY+kgkjD/
0BO6CLv//Z44CD54TUjWdSCcfwkFlt9MU+qXw4eoXn2r/ZbPbku1KdpuIAw40uKiEH3TwIauxWLr
fSfd1WqPgjAcfurn1OVnoGoaObDMjvOr6IH5BalmhE9Hc0mavgCTGDQIhMBCf7CL+Ddv7/vBmt3p
FBkthyP2C5Ow+xBEll+JE5IqwMCrn0QLG6cau4bF7mtDFymWYxTC/dkEhj97D9YquJNUqTlrj50A
8pruZzUtRYncsmjdMLYmipPkoDLbmlUVNwm0oXiZlQOeewfiEo3GOaAos+y4QU8Bgx17lCFDgWRi
WfRbVn2y3p69F5Z5JqRXfv0H7OrXro2G3KeaprA1Q9sLfkXj824WUbIM0YvjinFUX0BYivllzZyU
EKxLWZJ6lo/6GM22qyPAf5+BXyMyADl0PtAjAjvi46/wgGxIwUtRhS8Eh3J99bYUsDhlwBaws3Lk
irQRpIr/7+s6SP61rCJyPZQF/85Gnpp8Mbmr+2K6Btd1Vafh/cmW+ph3s0MYDErP4mf/fd1fiDI6
F81+4GDwXQwOwK6/pKAyE/XcTuv6MiK0QTBl903liMPexZC3MlveyyoIAtSboCPKe9+UdI4C3j5b
qg7IAcV4e5XZ3FhLbHeUx1+AfMJpGv7Qx/4C3YS2TRPtmdpvEWLR+LXf6RozD+e68t57yzJzfnyR
6bcyu87Cd+qWnwVy8/yI2tyulouJYocEXthOAgz83wv320ZBYIIGFohB/xf8yiHoaqyXUBovtT8I
9qY5oLJrD47XBVyrC1fqiK6exPr639e1fl8FN3BpOoPAY6v+1sxH6ZyubetycoPG6K/4ADS8XNdz
kxQHu/c0PLpKOYyhLvEzWbzspW3aOToA91GXUHVN4aL7F88SK7e9I46VanzsAKE1a6DXHpd0EM9W
mq39il+kktRnrpwKT/zvvx/K+y1TOiEIrH63li7Lft3+kbtkKzqX8WVHnCOFtPLdYDVLmJ1EsPpK
3Y2AtWuNfNZvivRO1HaHZMY3S12WpN2E6jfuW2QRSAppD0tJngWO+7AqN0iMA6iz7xgHs+/gVWLH
nSO7ODf+bJZo0KvMK4Zr0Lt+4Vzc3qDH+Dw6lmkap60msydPg9DCzTQz0gJa3b7A1HR/Z2voe2Cv
QYcs+RQspkIL5xvC9RBc1L451id0x1iOECCMvfFxlUjz+7f9dawLwhN8GFhHNMbY1dKhS3QtmfJw
aWmV7RlXgn4dIIgVu3nHyss5I6UcB7g4GdKiKmL0Y4kKkt9sIt9bJkTzWVitPcR36NbGNa1MJS2a
jZmm4xCMlsjaP0ST36I3dKwDqeZT1tq/703fy9LVDYr+ZawdfUJXCbL8VmZJpAs3JfQaBlaZ9NdO
FN4fg9nvl9eHwopMTyMSQCK/BFERiRwaQ73sUK1r1ybxuhhCn+uLG5PoeoXDXZRpzkv/w+Pbv92A
RxT1fQ9SmQT929nMejfPrbUZ36d+qpvXvKQeAgN20iEfDt6UrHN05HZWWuAGZIcXaK8ue+RkRI2k
d9tbYMOeNC46UDDyw0QZmqbAZKI5j71rWmTEXko6rzWDuK/Tcchjw7tddd9ZlYv4GHI1HbRScgnG
uhrjyOyH3D+ivw7wZwAFEDWQqoo6q4w/RMjfApUPwuc44FKaprd+TeVz6Rd2p9Twfg9RdH0ur3wv
3B1QgeatWDJimO/XDrtl8bN6fpmq9o991q8FnusHIfsBSizQupRfGcXEmksvXcr5U1X3RurFxDKu
MRVDSaiOQvbjf8cz69cGC5kaTxN4rmYBI/Dff+/EyfD8VCbo6DM3EY5zsEzYRye2FkBCSjCZReO3
yQ0wVPRdnzRw/cS6cj4gjSVoxZmCkPrT4fyt64MXZAl0fQX38XvK6uayX9DwZ5/SKNWRZHEKhzqq
gCOknNwKngkSbH5RxsCaVLOpC471lmdIa27x5GXLpDMvUBDL6K/YCZ46Yei3twXKKnWq9TVA3Jir
yxrwLj40UwLLf+jKStPJW0HXUItyCjt/obrbeTtMKnqb+0iY+2tpRXRGcdaNyLKjyoeIjFVgJsFj
E9W9uRxSI1AeUkBHH+0mEAPtZT2IimZ5nJobnNRGuj603Mri9sLB0D39vGGk//26f60FOPSQ5uge
LCqCyDN/qaGG3hJmBA/ycW/gqzbox7MU5picQQCWHFGg4nj/qWGDTPhX5+I5NmGOitXCSegS9vxf
Ip45yZLdPtrn3stWI4yDPK1dSC3crw08U08r0YBIi8hvD+sUzUl6QpSTyXf2RvT4Dr2LfSeC1jLe
rAFABwA7DQHXdt5qp2RHSS8xxhXa+TY7wm5ybA9Ztsr2qU2DaTEPVZBlOHuA5DXTXE/lEIAdgIqV
z+WEkxYOkSZkqbTYg04ecYujqVt3xDiGvyUrWhwrgyZy33b8UJaqbgxEsbi+xguugaUT1P6dp56k
hUKluhiR3dnfUACUUp4Wr3KC12JNPJJx4BpDV5yScQV5eGjsZM3My4qFI3meTCgudHRlprSpwCuE
zC8YSevkydIZgnIbL8LU4nQZVbQ8L20Ha0zZJFb2D6jxmhZ3y4giYbmaHWdkPjpTIgw8K7LXoJrX
deFs/LUswIzy0Dl4EOdYUpAYKDRN04NXlFG7lHg1oe6Diwi9kmA/LWG/UpCt/VKmJzF2nfExnHri
VJUPOmUlphEF34HlsvyCO3Bqgjgrag7xsW36acY8tTHlwgex5SLebOB2s42FEvY4zh0G2EPvLFla
H4Acsty5VsCbQ/spBebKEQk2EU3kyyrzXDSgqjIwO2RBgyq+Ddk8mW9RY9jhdVCtZaWHYk7KITso
O9SJbqfX+1uQEGE28ELaIhmW4nEMlYZZN3R71xxEG2Fv8EqJPH2TgPSPq9SFUF/glZpwIZGoOuqa
yRuqGPyuHX9sTGea12zPLPAnkqi/wI60x8mRIyReHhr5n8pt2q9/nzEyOUIO1N7I1ejMaDz+Hcs5
2rXvW8q7jjITDn48hbMn/2QFSQBxXdVZcqe18p6PilfWZdQq+mU7Ce6mEq0CzrpZFA+yJwoeFTDq
4wQiBmQ+WOmnshyAzyK3SqcnO6i67pDNrn9vsgYDh9n2XGzMYTPLUhaHMuo78zi0/L/sUtmFId/l
BfDbvaFAxy8DAIk4ZthqvyVdseRnxxNTdSptq/1AuyTkqQFVLg/tGlKYKunb09VX5lyepZNEqGeT
FIu26OcgxUnUF7P1EEW1ejYCSofY9FL224Cl4jiFqYfhKgvVEVxURvepN3Yh2FsdPNJc1NFpAoYI
edgi+FjWg/U0tO44HaB47K+WH4n7EmczzqMhyJ/bKhqOLXjC61zNaVz07Tc/y5pXw7KL59I1sBqt
vSv6LrZTM6lGaIEM5cBjQ7qyw+PsuauIDrmDSdB8BNMyfkRj6lxgd6vjkmTrSWGJOgReF97xrJv1
tIoltMsnHzAj7rDbAehH62O/Jm4aR2WwfDZLdz33jevKw2iV3btRNOp94qj2KcXefS6W3vvQh4Zz
SSJTnmSuNI/refUDxVR9Md1sOVqrKjWkEzyBUKZ3CsXBJ1N53t+LHWafE7wTL9jSk8cUmuJadm1f
xEPT4RUV0gIIw/zqzzka7WjFlmw6/fAgczG/k3ZnndapzU8FRn/ojVGlsRtYyw8VTsXHBtnT+8o1
+3vIjOx5CsyqiHEYN6eyatcHcymjj6Dz5b2VJt770F4XN86RW8RFWoYP5pC7n0tvaD9jwc0v6FKM
w+i1yZ3XDopsUvvVwTIqJhEgYXTv3NGvP6p+quUBeB+eaBmNb6ktsKwxnuHgW3b/0Sp8+zip1rlM
gbSfbCc1jtM6rj+LNpFvqS/AxJbEOMoRu1O3JtabBdNyF8iluHOEt7xbsVg/+WmnLhYM5jWb8j52
UIw/lEqE+UG00n2PlCicTwiRaq5ioeAGH3hQysX1E4ZtcA7LIvlfWMyvkS+HN4v0dqmWPIoLGsK4
6z3ioSjMTy4B+GTMRfjOS4PgzlmFhMboeIC08r1PIX0nJfaEHekoQ1l/G6rcEzEVlHxka4rDGKmJ
c2LXhwa8kyMTFtZjCrDzbRaucd/YbXhI6B+vHuHkRUrRxOTM+hVsZ43lOubfshr/8GGy6/l94031
IVGJRfEDZRRP0+j0h2oq6zcCauXENl/ymMRTHFDo2E682EbzZTGC4ezhDbzivB6IGdlavEBl9i8T
ySZeUTpdBuBwTARO/dGfmNQQJ5W0cL0ZYsT42cWzmsdzmVbd31bQ188ZNOzJmKoxOCZjYArmUkzp
CXjjdcrhDedB/pXB+11Rvn4fO+fVLzFqp0Mxn40hKA5rZDfnwg+UcbXwykePkZsgeVdJ6RxgxdQz
FUUWnUt6o/HYNNjE4gx5fRaHiSK81i7aWtvKzW+tYeCZjjxmebjK+NtArIojpBVujYVclD/8tfbu
8sxwH+S6NF8jLKX3Rd6PHC53fkpdZ7of0OaruPa96kgH3Pw9kTserMXzP0NnNS9V0pjuEVtuzyyC
yX9F2V+1xyQx2ntcHwGqXorAn0aGUxAkUvV05PgHrVPmdeKpmZ0BcD7BE4HOPKjjKIiSLPziVlN4
sLt2gURkhe9R4tlH3Gz9NcPr/EFC9pwGO8/EefQi80NaIJ3BbFMlPJAkliAh+UDZbrxYcEU/pbMQ
fiLhPKJyyAUzOHrzfoI3OYXOUH0COPfieV7Db4kj089FajbYe9AW43dk1T5aUe6d89lCNimStryk
WDC+ulT/d4GxZG9u53RXF7ciyMmUHQZ/tfE4JHXC0Syn6gwR2NwLW9SY5SrgerdIjrlQ4keosobh
HmH40loygkZy07syZI5AOXb9CdwzfajWUT00Ynnmxr/nnV99b1arBuGATZSFQ+xmLMipDVfBv/JU
dF+4ffQsgtk9LcJrz04zpVXsTUJhrzK8R1fNfhzgswCDcx/mYg4OQen0lymyEvRLnF3mj6jyy+ra
GeI8DytuVfTRnXLH9pMPlwKDURTi2UgN+0ASlh/qdh7v/MhYrybR7DItS3Lncu38GIyu8SELR3wh
so6M8jznhagvRRpm+U+DEnx9bbrEB9hfRUhHWayWxhbE2migzS98Gie1UqiJg0ACSBVpR6lIh3f4
XxGy7B2oakYa4h2e2Huhbqp75XwYQuz74BgEFGizrUUL+yKj18kqCyHFqYclLDExlem0itegZC/3
xxytOL/ibVgyxZVulYIbrr2CKw01duyhwoVu9VC9r7Po0+avxIuqeYw3UjRa65HJBFUQNvk1qr3a
/c7Z1HjjbPRIBg5dhfrluAzjuD4hYk7buzYxDAUqnKpFxZw6v37Oq6EfBwy1Xp+fBki/7GR0rdNi
+Kk105nUS/jTRJqR3KMptaoH2y0o8QwEyNO5CVxVv7hTk+RfGMIhewXM0UnxAdI/sayDUkVpmw8A
tLPnX8Ck0kbEA9ITpF4TCtfl1I+JEQKNNYXExA1LnZ2TKSdxxTTpXge8NgPnl1uzm0dlnR0Hi0rn
iBqP/x3dGIhmXdUSxbQgVf8TOXcx9HGfmZ334x/yx1Zh8TR5jDm4X0yfIxYGUl2SInGq8tC7xep/
oyALxGnIp8G4NI1V1O932SwWeQ33myqt19etQ47U2oT0IBnLGGSj1f2Prknzn+Yy6XYB27YG1Qol
JNzoVhoL09BA4S4pq4rJTQikOgq87NTNro6KErf0/VPikPzaZ2optvBEo0VPb5WlRtOdwV6r/LCG
RrekF5hKxTXF6NCuGyvU3bW8yXOKFJDpZcMGsABrtfXSoN/Iz+xz3c3D2IAHYHsu+QbVs/4ZxLaW
vO3qbDnZWjSYmZNm2cyS1PGy9RFqrrXyXMtp5n8QxUbUIAJXuiDlB1dzg2UDphWxJ2FwbVZxu5vC
CXl59Qb9Y5HXi7W15/1o6Y9t0yqpSx18wtm6ZsHojca1dBmpA0oWsDTyQve9tPa7ZJQt47IY29Tm
D/TFmIjicYKpUAzkQCOPf84k+VenAaEo53QTlddoKTsUPNkc3lS4MlAcRkBDfasJ4B9vakksA5Ua
Ug5pWwjxCgtteOV6enlkE7LbLk02pUyDEUh4XofO1cSXb4YsSLEx371dZcAqKeOSiLWhgDr9icIy
lcDaSVh7AbvHz9dXpLXAKk2U9ll4pVlHkhBLJP0dLohpBaC5WLIdFpSw21o1rj3P5qkNjNGGjgJt
541tOvDRttfM/WlI3GpZXDvUROYpb/qFFxNN6W371K2Gjmqp/NsbYepVFnvba9o5tdSdQgQOVYLZ
1TuOWaRfaELBUnqPeeGqEou4gFmXceBULEHuNxo/orPQHJw/Z9acX6oJsRe1T1K0C9UgdCy34tpe
yRpbdbjwr6fOQMGNIUVvvWYBnXhbNuZwWIM+kAeTXZtWGphq3M9QcJqv7SFzzOwgcjqHp5kpVeEA
YZrpZxqWXj+2lbua9vGbcbyNQ4gyU8Ul/Mv8OsMfdG8SBye8rIwE4b/0K20t6ewgENzFBI/bHRJv
1ThVJJZoIQkMy/wVn6hlfjJR+iiic5Tl1XnAxzN+pWsT32qtRpoOeRtZxQczKwekSbPT0jx3bZO7
r9ma5uWjwDTsnVv6Mf9liyWMbNG8rbxlmD7FffzN8MaVpxh7E8jVGE1ghu3QNaPQaz40rubWxhKJ
mn2oRqFX1C57AsVOhhY9Onuq3lvzjpOLLVmrQStl0CGBwMUgNL6eqSA8u3hqObXe1ymAWPouM0rp
t8LrdaPf2qjOvX8O7U35t6FAXWJqkYjflJnGCJSL4bdaZFJ9UzZUBvMrlmFezHhxEV6JwxaPdsgy
vwUnpE76dkoDVP2yVGG0HJKgdhX94A3/VdEEO7EtUVsUqmpiLwmXhL1A+zh/CUTN0lq4rlkpF8k2
0W290bMbRrll7CIKPFaqnl2d7e0QWa84OAAq/HBKTE1ATjWjjl62GL2n+SXIgVmjYnF+dp50p+pg
4kaYXyL6df59veHUo5uyrPYSaJ1riSLCno9pK0vv0xbKEDDlnIkdBWUkCnRjtwEomkY1+nfT0upA
U/Wd/sWhmQBsE1w1zdtgK32QwL30LVrzok+qYoYVhUkC0cDttxVkh4yTmSKAuUuKKhaB8AYEF0L/
hmyUfvhNsoQQV6efdaJdJ37V9izlNR/tasaSsAVi3zQWzsHqWZpAsxADafRxxCSdMZ5j0a9r2y89
hmJeey6miZDoYNJbX/1xQfN6nZcaJ9AhLSKgXep5WeR+cCq9aiGcMIcNn9N19Bm9Y56ABnXNk5Ym
sW9hqhBPU5N9JAbqUgoifeX7eoNvfO0/+oYl0ZzoyKBAou0Uipv/6XZ4gszUm35/2T5ymfVVaiW6
jJs21eHGnxKdnkXVae1YIANd4Wnh6fyC8eMm6YIMNJCtrgh1KX4Hwv5Te8tx7lowmOcuYZ6YM5wy
TB1leQ/8GTbtxepwxdXv68ifZ5htv2LzX0D5CxPxeACaM94XVTai0hih9FE5Di5y2Chk4lkp/PwO
MZcWp6w+iLKE/2z1KcfbqHerb0onUweGeKj+e1dazHr56LRu5YqjZ45LMJ0ta9FUgQmFzMo4FXLK
NzlGWj6OBUUz3rA5Dl/8kvLxxb+lHKPsbvn7BvKnNKDcXBVQjrx1m3xpJyBgLfUCzk2tKwDlC9JV
Uower3Nn1bfkxc99J40dEFyq253cG+VaB1lsQNZKdQfID+l0L1HUcGtrmfB+3N5cDceLq6p0Swa6
0FIep6nBJPWMI4DW9Jg62RwUx10/DWWn5WZaOmfYn/M+ZDbKedxO8r6NtwNdZ2PvJE+pMOY1OzRo
LWTzlTkEU3OSuDXG5djgSOIp9krH2d6/qIzA6d8Q4t+2141wSVMp2dpFNHqUJn7QCdbKdFsddTP0
xxRms++OHAXlgwO9iK0KN5tEB6V9AYs215pXbyp1ZpJDq09onmSozhjzA4nuHdWmFugYpMEStkaO
3hDGusNm7xdtxnbJbuKWwY2mJHhp01oHB8SBOlG1pFI+sSppVVEH1K7+DGaDzXzwTgwZHfqE7Lhr
Iuj19SFQJu5T8EjXpHV5KRgg1znPkqIPE22dG/ozLVIw/y6V1Zr3hyIvByD6Ge0yHz2aSYqcuq/o
oeS1Zk5gi32jpzqC1ZltBN+HtSh9A8S5XqcKH9itjN5J+rpFmBZeR8MRAUNzduYLtxrvxdr8Xw1F
Czcmb2XwlhHHaNTJ2/DAf7xjHyKOYSZiV2l2fcGso5D0Ly6Tmb4VhafFenu5CwjT8gLhtrLhKtul
YyPte6ZVtiZ6J7Th/LBPWlS2l5CBVHwR8InFUzY6THR4pSrTx2a2E85BWJr6kO3riuROn5QIWwY3
Mie9Pr3mRDhhkFcX+IN5nFv00tVhy21A6VqYtgBGTqfAMddaHnPfydFP7Htm7zwQBd8aEEZ4Dtc9
7IuNNvc2+Sv6c5O72tukBTliZx3rkiGfMwCfJg0Zd6V5xD7PetZsS/L7mcawuT07PXF+bjZibrEC
zDfxiD2NOVjSZPTPdQ/YRjlpLTAPL5Cv7/a+SuUZ+2DIwRiWS7BpKcPF0VF3p/zcBbcJtOKW2jaK
ue6lTjl7yM632D6Y2cAPcybrsT5lzmAE77jxzyJLXHUZppXBeFd1q77D3F25iKEcrE0PmbCIfKeh
QU6Tn7eF3rZcRGXIGm0/ssdC1zcBS0ACMCudO/95m4Otk1vadvrlm+4M3hSj2CfXr52ho6nDHFFO
bVuTqhdQvMHw44UpSQUIo5P5tYpTmC1gfCAnM433vb69B6cP9Us3vY4s34apvvXgRqruJfeeyCMk
LVwqKmadi/fvgA/0K9olBzSEOkFbnZeFSLNDN/WQKmyHoumUfv5/pHmMdONTCj3hkkFhM6M6Ieus
VocP5vDpCsoCa+F6mOJwxJ73W+7VDATQ1lJnYYeRfetrliCT00oqSD5KqFsJhBpab/UtD/gboAFG
eTPdrSs+i3PnNHrtzWUuGq1WdrUFg9ZOb1pza0m14pX1Tm2pO7HdZTpagcZRIka9EnLXFl84Mgzg
DaRG4zDrl7GwvfkwCYLNhXYRYBUGWuGyN70rIzb1TWwa12FQ+nwOGBL4TN2u6Xu51TB7tThGE8rC
oxb/SC/ukwkBE7Pibnw7/RfVOMYTHfz7W8W2gTapE4JgHjzQwQB5NumGd0MzesOGtp1cGWxbmqQb
fz/NtuYjt2J3T914+Kky3Xa+dUMZ7jnKsE3ZuikPG1ANNox/g0bsm5QVmkAXeVsV1bkTYanaKv3U
VVpZxxhAXWYV+TAynrKmvEmMewbd6a1gVx39z5BiSdTBe9PKOd4NLdv2+r52RubMXHiDW/YTt9Wa
s7h5CJZNBLobc51+gYsA9dflU5Lge32ri4aWPyCQ6de7wV2MtLvBZFsO3fW3pirGmgKv6Iy1Q5iQ
DcVzMJTmOh0ac44sqh7dzsi81SqHrdSGU+jYPIx91SvnrKFazuiTzZZBZcmgM2EwTbqMtexSE8U7
Puc5+e1cJJbWBN9ulkS+aP1Xinfr1YlyHbx3CQReQB3ft1Yg3KL8vtTIrW4QBigWbz3wO62lCZg0
Z89PIXCi7x78zWJu2dTy3hHMbibHMYJJ567VNiV7cQ9ASIx1XbLhX1sDxBRNre9wa8sDIx6cSYZ7
Eqk6WzQF3Nat/f2XyNkW1e3QmXBDJgVrr5eocwo3KJkAN5TRUp+QG+p2YEc095aeXkzX+vt3JlpP
fmV/s8XmaeaY0iVu22GHMPFbL237ijwXOWzV4id/2SEXleZ9YCMJns1z5ht6SWHhblKV20beRGf4
CxlReVdvsQq8kiqWOtFD2OcYXXfZTko7h1P3VBG+5Qtte7W8KxsUoGHszg67DPGltqIhSw/Y83t2
3HwjuzC5w+NKMBANbYp18rNubcd7S1XUKmckz+2Ic8ZIOzbpHveCiSni4jKHlc56jWvqsqf1la5w
1K1GS9l1xL8dT5E0dbqsbBngKuO9VXL8SZcNcjOM7MGK4YN6ekSblLo5rbfKTXqhVqFnFXiPvNpI
IvkO/57DCKpxwj2oqDJv0x4Ku9FzJiyPsa9MtPSTAoxpv1vmXYIovfNnQ9tpYZb1A6U+48vbCx6F
0FqOYHRaf1dagcO5RBnHN75u/lk+DonepDdwPJS4Gd6c1bB4Kg6x1rpPN+Bww/J2UW1xO0RBDvRP
U9q4usxoTV8Xx9qHoY9gVUPvHPvJUHxpGkIZibqbdJGMuUnrgMBLVx7XW1u9FfbCZNwA9nWrpHah
NZXj7TNNpEOgkFtZU1eBjqkG1v4ARqzP0TYdHFgbgITVB2W6m7w+oHTce0mG0ek72uoD69biD4NV
2ekpayy3Lz6CLuvCHG2W3gKhicJSohODGAEMxeUfMikNzKpBDnADLbLS8Bt+sb+FXBeZKc+99czS
dW8IWYFbVcYChQ3BfVda7YciSCtIhghMl9PnMnmEhUGjqmu/zmWapzi0dbYEnMzC6cDLdwBiSwC7
Hyqau3Q4VWHfig7e6VaK7pCzuYHHPhpNXmG2VX3hHNSQGBgLdDNQr0L3obOsNKYwDU7qmgwJr7tl
fDUyZKN0lGFtWfP9amGnoGbyq3JYnxQuktl77qM06iKNla6JKrOfc2tSQ52DorbzDz2zfUv/ktn+
6IU416x0wI4UIL2idm/XYTjkjOlsfuJnkeN8NPCWFs+02lZ59BUzQIa/OhwJbnjEl5jloEHr6gQn
RtYWxWUdA+UfNRplPXV5UDcPY4MoKrtEJZ34+yUbB+daL7UsX2u20f88A1r3tfSHaDz7zO+G18yr
xQeORzp1L6dm+GKqppXPgeUk1SUZuT9UVE635PJS2KGxeKdutd0LmF82vJ9b9ta5spPFvChpTuuD
vebjsZC5jTJI2gF1QUr4RW7iRnKJeyZjDUdzmtF/OV023bfe6EuQGvo767Fe63o6KsRd/rmH1hti
xn1O8iEU5Wq2Z5chzD0YYIhPUpzdcjLwbAlpDE8G6uFyoY61F8bSCShARnh7dTIVDn5Is3YC2FpD
+rCHTOFdUCGFeceoXCjs1mUwrMBhwwRz/Gc+rSbxgb9AwDFwjk3omt5jQoVvU2hnTDKP7q1WiN6P
ndEy5/U4wllN70r+7EH7TXo1qhb+loE3PTD8a5DnhSmMNY7V0rwTeV4d2Hvt+E4x64K/FQDi6T5F
ZSeNB0+Og/oeEpTVd2X6PmOdQQT65Wu1oncqThiYR8bQdwMeTJBhMwzefAblxgZCxb8y3kSa/INj
KyeFJGKLaGrDI3EzbprDuQp2deDIr95KeQWINszU4btZZQMOAytNjUeUMbb/HpEMKxO3rh4giI69
oJxBEkzPIJbKc+9SqJd6YVqqCYoqt7BsMD+do6q2RLEXyluJb99CkZCMYPorBGmnOdhKJJkmGknL
bwirvVmaNv1mZEdgwLODIP4JJpASavuQfOMviX66Nt8+xbJuE13wMkFH7FwGRs8p5IRxDpLlON/c
i3vC2SDPjSJNHLu5xWYmyrNZg1Af/EECZYtDUOUGhjd7Xb3Pydi0ZvhudtfaCE9Fb1FuChHoFmll
TK382eHOkjWUmi5E/1/Ppouj2WqIbl0opfzUqzCp30Rf+MmPiUlSw3U2R7N66cvelf/b6M3taZcd
d+r08KXJiOiABX95AITZY16hDRnUMRubTLacJOjiEJ6x5TKV/uhkiU7UxcZ7iVtVkvKQNhoOhseI
+tEbchVelrlHmpmYNs7cd401pOVyYSBPj6tv8GgnOuaHWJMe4zvUxTvfYabvl4HCA++ij5ByPBRF
AV5wcvqCwWPf7NLOLeMiu1KkcvwQdHx80Nwh9WHg+0MGeuUzo5eEz3hq0zkKkWJuPzRqrNN4rkxP
nYa2aZsY0ZRtHBo6Tvms5qhB/LRMaU4J4IXFWVAWnb1+yspL1C/IkxB5B9GZUTb2x8I0GvO5gyg8
4sSaoYzK8u+iF95rH6riTtrh8J3k06tjsJrLKYk8xiSjPOSiZZD1D4CIKGPbUU0/RwEGd0dfJz9k
oJjPVT4692E+jqeBSehj3IMvuz8U40XqY4eBvb1kYzl/58+b8D/D1Z6YIdkN6q1Jld0+LmiAjgFg
ysfWC9uHyczdRwwrjNVfJ9xKZ9urmmffm/O3BYP7O6Ibf1zBy93sLKrK+Zyp1rgLEuK858plvLNL
a2rxLTiO+RUPFVGtVLL/izIkve94+WUbJ3JwAqaXIg+0Qb9/gEHP906aZqg+2sisYygIFq9Qnf0G
BVF4TzZtXo2WecqtQwahzbjTVoCQW/7oX9KASi8W0Fr+1fNWJk0DIKc5YjC7e1vrCgVSavuOGfMH
aeDiaV2mw2ILN7Zzs3lCYg1bXAelzd9QoUGCt2vkNaiEc8wtZ3rMk9T6Epoy+D/qzmtJbiNb16+i
0D104E3Enrko29W+2TSibhB0gvceT3++rEzOZhcn2DPn7kyMKDW7qoACEpkr1+/+GiYj+ZLE2XAN
89F6mGaDURa44SGoTR3+Um5fm1OHw3tP337emHrYXhuGWX1kbWNlGNcO81bDLg9xxHPHVu/dULjx
nyH7IexipvSx1IPi0Jt9cHQcfT5Y1qz/ZRZm/D5MHHfrBFlymLQ1fEPuQv7Vm8wcJHYw561Wus19
aVtMqYkWjzsYdkVztAov+TpXmvHc+V0877NRb7/AfcVzDmYjDUA71sZ6U2cRM0tYGyRYtFOIRWmz
gFRrWX3v9zP5LTqysGI3BiUu0r2ejEfP9aZPacBebEcAj7417XCEGDLbN2noaHcOa/zNGg3wBkms
eDbKJj8MpCjswmIOTg5W7nAi+2kKT3A3h2jPvFQ9+8MS3VYNco19TQX3NEXJ9NWs+wgAevRB5C1s
29sdX8R6toQ7wqM+I18CiU59fVtHc3jHYfNNF4XrAcVQ8SXXrMV5m/ojljy84+ALfODvhDXzE5Z+
JV6o2ugO74IFMpNz50+z58V7tt9r4L51fO7QjKk5L0kivOBjCL0YagCgatVWG2JTGLtXoWHt14VW
MML9vpgf1izK+jtzgoZ/gp5TGyf6aJnxeVn6YE63fjD5zvtohNExbDyDp425xaRlTGWHq0vxoOtm
kbHw80Dqc7HLyGEIVmvDQYuORJZszWAS9QLoWpNr6Mqs73m7TJiph4N3N+upDhJdoby7nZYIaLcc
cdg5mkuyPlZ9O3kbPXO6R4Id7CrfYoIWY7A4l1DSNilhBchd0KqRI5GDFe3QRPTLkXm30U8Mg9x6
TIfcWV+VEb/kCWMmhbW0RXsBz1P0HJei+sZtFsOByXVlkbIAPCI3iD0r3Gu2AReMZGFfZTvwDFG1
QGiB2vKSkWzWSwLrupofF00PZqzFQ1yl8veYPhUZtpz/is56lOLvF3au1kspi2PCeDZ5DCz0MyZi
g0uBqD2vZCogpXuMK1CmZpNhLMMEFDt1zZyMA+84V1eF2ZsI7zJHhxoSRbWROsDbxOg43IOw4oUK
UrT0dkZccPYiGw1rEa87/+CEeGU6W4BBtPuoO2zX/cs1B4u/S1EXsQPD7UXgQ0Nvw6y7sRHJQ1rv
J2YWczcAjfBKJHErp+HTR9GeDR4g0d1Kh2F8z3yXrthop3Aj4VFqdmuFm0SeqEYvmC/mzaZ4cxjp
Xn6PgX/I0C+m1uHj63XVxddjAzPrMOysLuCY0tCsxKaoDQ+EWAVB/q6UF2KiXpiXD8wSvmdvTaMf
dOsBR7oxWa4L6G/ucOA5cuzmxp07zNieItxk+AKlDThi7902i7lmSVeILX2MxTH9FKMZYcddkZAg
9nUjvgJuceXMXU3AhAMshBWODQqWJzDuaMOaO1y5myG7jZqp4YatGA4k+ilG/reGj7ntJkZ6qEY7
D9ctGJfocMb5hOfKE0EVlvtXmPviVBKrdHBjynChQNeh7gGPbyc+srapnd6o5lWgZy6eM2U2dXG9
pzu+WtY9NH4CQbYBO16MHwhtWilCtTYS57digoLNqRFALgxPYrvNLddm8ZVxRZnYgHU6HjLWLu4y
0Qr20R3yzSunwrRODiENhSQ3xiyNYND2Yc82oNhVWF218b6u7IaLaBt1xwglss4qtKssBD4qd8pV
k92joYfXia5b3nyFQSE2YLto0LwuutNHEyfATUtUmWMesyUZB+++Jjdnjt8CzRYgNaabORy9xgWH
q1F7A5DlCXc0RuYpqQH/UAT47G70zWgtgb3tk7o3bjtpr4mTIVLJu7lPG+dKS4M52kem3bnJQwov
kHMcEqfmra88z2fp2f+aPPA8e0iVeKotG1WDi/vRy8mDo2O/OefV44gC0G7B4k1Ls8D6YfiXm6as
ZiSjVu/SVN9K90O6FqLn6Utf1iUeDIeQnKIyhZGj6dYoA95r2EH60Z9TyNChf2G5WoBLhTSkyYCK
3GMD+7wIt3BXyq7aoWzWSo8YjpgS7DTXnc7VHXFJBRvDG1McT/newsMBpJydkPYknANhmrtKp16H
j+B1MeoD1yZsK6H+38c2TOFiU5sj1oPRpGVYv9H8pbSF6l1biHb8cBE7tkIbhVsOQYbCNkg55jVp
meNut4FTFzCWU5B0/PvxQpvq/iY3DKsIvr9xMfNGg9HdM2ILSqbRW5odEh6bf1Gz9n7BfsWbyg8K
S4mseizqw2w5xYgeSGPU41wppZ2xia4AEsbZAUo5XSKsEW6WNKpIV1nrDJNaSNEZbtVvyzRoaLbC
sDn7ZVUdgYjFDRXxXMXbxV2EaFRpR7sV6+uk32rFINouzJ1FFT24LjouRmcdjD3eTEo3qlwYU6ez
1+YRzMsxmiskOsKcymwW0fVE3Gy14c4ZcYaAnYFXEG9XZpKheRatNiWUJONeGXcp/ZhZI5MEmAOw
9mpwnhBTXiqwxk0/dobY4e7NzmFzdyozhItweaOzX1DAkFssLJk1jAKvf/0kvNTq4rWgW3hPcxzM
8TzDtIS07geH8FYoQjOSgO4j1GO0Luuzf4DkHyr4QflNKNLHrw//Uh3L4U1aSQxX2jtkPf60ho/g
y1Vh+/O9wtEV4UqJZCXKHyWF6AaiPxIPlWo9/iemAqZ46H+cFHgg8Sp0DMu2kN9blwpGLE08ATim
3DZ7WOAa9QxSatKE2UDXtkPRWem0H+uq4lkJJqFKixNAZQzQJFtCjVYctkIvfYwpJwp3E/M+HtcA
dIbnTrYeUAsKddoARJR8GkhUK8Y3WVaKJU05qyUswG6xj5i4qd5/fdUxErn4pixGeIswn+NWh+3L
pTLXBpxGaNtHD2VUYRm3pxzxy+pAKcKw33dYT/Bc0OwQKw28Uxf5opzCgyquCx8GMCtYcTL9JnNS
qA3DMNz27BXKQ+g6Ke/lcZmxFbLGuNxIQFPhARL9GXIYE85O8bIkt9WzsVnFdTQoxFEVa8IIU9Fp
ZsMJyLLtiAwalz3NK3Gl/KEVH+IONY4EhEHGBkCGSa7R+8IuMoEhsHjQ2i0lSJlicoCFE9bNBs8w
NCSBpTZTKsBNbdIFP0RROyEH0X9Kdab4B6ZHkwSRElOE5daEDENX29e0lgWcUMKzkfAcWQskcLYs
yUD22Yie+qB4ZRJ+1qcYZ4cnCwJU9oyCFBqW1PzOBdgCGImwARVDO7Pa9TDAya2KfSDNorL+TDBc
Bq2bKLq4DfWNFCmrxhcCRwE9+EXrJtX1OLHeVTvQFbpZlZb58TRv9BXziuEmWgsBghFwIZgrkpFv
6/WZr5XD3YWIIekEitvYNqA/2VVn5BGkVMU87WdTgMkS0E8rAu6uygCserlOJc6tTthrDEF36Vtf
eK53iy+mcTaCAhvLzS707E1R5nkrgKhqCe0tSVqDZm6qlL7B8ODoJcbsRxJP0tw8mE1sg9tNmS0g
G/QQEee1yIs3lLRRvKcsyeZo2ML+WBLtYCa0ZbApqjxBx+1hU/MEphHdlOgpGac6ak8mbIf4FGND
T2FX0xbnAIrGo2t2yrtZ8RvqwSUAa/g81jzLbKYSPdJA3xQupaoY3xpLwMHFC4m1uzIqFlXzSl1M
U8PRpt37+Iet/YEp3WeCb1dNlIDq7aY+dCCoFr+0RYIMeboPodfi4xhIIqTluQLKUdBYPwuDnu3c
w9p6syTFTP9Ykh4U0MUiyRBTPyiMCW8Dcdd7e4Y4pQjwyoUqMzTo8VeG6a/9DLPXqBEHQHb09eca
55SMGtoxW2FE5prCrrLS2NdbN05kgCFuFQNbPYx6UnojQV9NZGj1TrF/I3nDgHzFIJMITlBjqgX2
N+R0I4gAlGNtgI97mpa0K3z0DwJKWugIROdqRFUJBLAKBE12LcdcZ0I64DqWOM22Q84bPiO7NCb9
mmxBkIY9GNg00ddAccPQcaa2Lnv0WrOIxKsqImUwlHKHrKe36w5D+Tk/TyMTjyXzAWt/PSNDI5IU
ZBy2c0RCJ6I7qpb56MUR3mqbRC/i7Lo2NbshCabSozG479mEMiZ7OgNMQ6nvNjCrJukGohEbzJmg
4RJCA4VPy+aw3q9IBeOtMroaR/1MqpLOtIp/wMIl8DiDCQWPrjJoxEy9TIPAERXDLmtJKk22Woa5
HUg835GTUFdv7bWOrxzVjT6c1rrzH7HddCJkCFL3IPnc07nOLMJavBMqzmBQYIL2mPq+MnKoSrig
hyMsxEJrkxL9qG2SwveMZnblDRl1BpB3NgyRN1xDGRAUEWEFw3mHQDo8kVnYCqKJcnZSoLpV5sZC
D9Kdg082SvjszjYz6Keb3l2aaCT/tUNt/GTM8eiO6VY9ZpM2hYLYmEztin5uM6dtYuSPtL9i/Afg
25yf5dGH/lncJVUmRrDldoIfm0hRAiblOtbircnWTf9ucO2tGCaaZNzlseDQ1mMgSFhVqrMSHbwE
b4Mo2Ei6VuMMsDmRVgoGUYbyg6kg4tsyhUiko00QRmQ3LnU4rByCf8WE1Rg1/Gpo9YH4nSrHbUnq
0eizj8W2Gs00998vnuejlJPkDXU+ingjqSlzqNm19Ubdr0Gy1Ylzs9kX0wbQxIRNlp4tMjJSQgF6
sqKQbPd3Kk8BjLQR06QMWRjrWAzQqQRUtN5UATpOQnkbLMK/RYJ0+jlMhPMXPD3o3PPZpySWHHP4
pGKO6STfk+n5fJGZ+gG0/ZQ2/XRbFEBi6VU9s8/V96PnotfYOh18o+noSmVELbn3kfBA/JzTD0Cq
EKyVLxRtZ5mZ+oKKj2hJUhmYgJgWJG1ITTGS2qXIJWq5DCWpzjEDm6uvZuximAQVRz/7TyImEgVI
IyUWMCt1wTJwsfEuH0dJNR8lbgs0JzYsuYQ+lFBnkAukIjUgsRb1i6JEJS0af3ya8GHgkVAdgyar
RWPHKUfBToic/szoceGt8ZjDwOdbKekbSJYAjzM5A65no5j2zCtWrKDVRj7NqPO8BR/8ZgBk8g+m
5guOgCP1RqqaJyJVCAro8cJZNKez02ch+WpKw5JjDcGyT8KjoFMrOY7keidz2IXOqWPW1OdrE0tX
TErV91aDSF2M73QZ2Mbi5kjCs4LC1ddXk3Dg8Rham55CzE130YRpE2WMgTW8t41NXINP5gjPMjxM
svgrB2dl4SZSOy2qm7mvNS+/dVrkXsC4ThNO37DeYbLc5SHMG5udVeO5f9n8JbWs7KE1Y2hZ3T5r
wZW8DcHPorsVUfnzLrraopXm+4boXzAufN4WDuLWmJFPY6izfKC8DTlisB42o+9NHIRR3dKssKuw
7IM7dMWp6F/B2uMTW4dgcXMX2AmOxRje2OH8yRqBG/6acEfniymaHl1kThFbMk63twY22DCUqTTJ
8ib7vH6HxEP06azWF326bp3FyJVtIwqIjh9UoyiSbcC6rcVDOSRgWRo0mVCQ1H69n7jcTcArwXgF
cyE2TezmzruNHzaRcd62SDUq635KWGYqHghvTsG6ziisLcddZ05rlWCtPKZWeiPH3a/P4qe9JHaJ
Ae54Lv0v7sqlC4ynx5pra51555+VUurRyWJGAwTV8742nUdRgSi6YiHVGLGsjH59MheWNKaBOR8e
QzBrDFJPcJ95ua8mrq5vOicc72JnFsKweaTKYoY501GVNgT2Ae4Cx18f+Kd74YDXGxZVPm1xER35
8sBm75MJE9jDnSMXXA95NtbryrptsBt8VlUtMCZDgIItknX7r0/j8vvTWBCzu2dwEdhIX7oUgqyN
XYRQ/464D9m1jAXPnxa2YNGx7ReCELWX//WRjZdRVliuQRgAWLGxYAMV8C73tki3Iry8Q+02luqT
3AvZ95B119REF0ubFUWDmqUuaPAbMR8rNo4NrzR8a9QQKF4zn7ocoqbhcS0cGhWBgVnSJWThQmXB
ui3Ub9UOW/Hm+rMqUQ5RKar4zhOUuhxH6m1euU6X3Q4Ti7jAJnPAwKQt4JxejpTWRcjv2ODFIFT2
iie3pIbBnBv1N0vUN/aABLj39E955op2tGG1pfGpGchxiLZBQ94CbejIC9DVOGMOZ+UVp8uLCCSH
nhR0C5Eu6sJ1BiO4OEM91Cnam9W+nQrfX+MPltP2dXbCX8TGFYj5nAnNw225+NPkCtGTmcc0oMjp
oxkGw/3s4Tsw7UuaK97w3XFpypF94eAsXML+olZD7K/UQEBbodYffn2VLx9H/D1sxzddEx8W4lov
zYSZNUfCBgLvTtE61Sa5xvWEaViKLfyzNpCALficxlo4XOpfn4TzMgmJC0kmu2DpMB3hjvqTvSkr
2yg60stdimyOpWZsuspv74IxyMP30TxruPb02gKR62llfue+ZjKYLZEuShnuZfZ97zlLnR2RZOtw
R8I+yj7FBEPbSE/dzhixifQHKs7kaC8A2GwVImGhNRlmRIeM9ixoFJRYsRipYrQp6K4R5qN7wiRb
dXyraB5hq7Eew6z/HLhOQCe0pTMk3ie7bQyJio8cJuKdYCH6iKQylmrchSooVCR+T1jICcMHxrTv
U1SpCc9FLKk9R37gJHg2WaPXjnv65FbnExibpTGt4TFboOYf9bHR6ohvEA9DcSTKXBCSI78THKDc
jONY33sOpVm909EB9P1128Q41+7Z1Mf6+1/fPeOnMUR4C/OG7sBWQ813uZZ4PrM0vPzkTnW6a/n1
qWTY313TJkRZRHjUlAcgkZKZ7UgbedVSbGSOFcx00TYjd1qkDqzAwfwkyUnqaxdAa9U7fcZlaII4
6rvha0DqJY7qAqJiESdwFxH4dvk8WMTl0cTW21v2NrVTfkF7F1vlQbKQVXCT8kaD+XS2SDtr5eS0
HY+wY/TXno6LXqiHQ6VrsloHruHRAL5wjxuhibceUNutt2qA6vQ2w8Iih3U+6z3/n6oDT4fh7Fig
yZ7IRzsb2v1QMIGZQIBKneJWAYqqmGtkqUZ+YELdCJSOtdsrrd/Lfj9TACL/wAd8p/X+U6mWjY0w
bJzq2yROPSaagn2Y+9f34+cehsuPXtAJ5C008Lt7LSblp+NbtJHg4okmuw1T4GJKL/MlJiLeiG9U
JMLEhCC2Vy/SWgrDETqJRoqif/00/XQC3GZIwS4eu5T/TM8vVz2XTqJLlGF3jYPuefawz/sttfhF
sGHFvOywiU+ODtxe78Ovjy++4I8YA7nceKvDXGBSDn5eELJ5ImYeh/ublMllfev7A65hceeG7Pc5
6VbrDgRr690rg9y8rIqoBJlHAxxIqQwZcxffO3Os0VqLqr0hUSRuhnvPrqvlfVC06XpSYHqZGZX1
oTdagWqD1oidj+JvJKGZilZokw7sYToPg951S0QG3Z9DaxZiblZoPfiGmOHBJgvGEAokITYaLZYW
OGSQgat3oKqCEfHry3pZWWGLzcC2WQzYuYu17uVtDeE7zbhHpDd9MGI1soHUnWTehhy+NmuwpMhG
Bz2XzHxxFjrmnwc/7kasHaDIDe4rN9m5vMlca26zL84KaOtyKzLlELRhnqU3ko6anEVtsrKTHaFf
f/mfD8fMBZAD+c7TWZ4v7m2a4LcSjKtzHQlfz8/ftcj5SAHbS0L7Kwf8qTRj0WVzwyRGViYJ9ZeH
7LpwFi4azbUSM0mvgTlCnopBxyRgFxFcN+Y38QIl0oBR72K+dG8OED7zA1lcod7e4KiR0VVTjSsV
pOJEupDTSPXofBYvS/ERtgeQd4lqJNHl0VmHntRyl09laXaEowWJOOEi0IxaSnRZ5T2GsHKdiEPa
+ISvnAmuUkqmpGbOMArFgJcUAkjv46ilXeIPkvBbTqIZlOIUTJeuCvH1ekrkhgmhFX5B3ViI+JZi
RPD03jMSUdZ9r1baMVl1OKgNaM+W+BRYQYnEYIikFuq+1SvF5oiECKHVacnE4SBqU1BFpUOHaqwH
8ZV4fjiyvA5d6orWMexM0VRR/hlwnYXgSlGO5Y4iF1vAzwvGbd3BbzU76jdTq7WLe+wKki2CU9qs
5JrJfbquT7i5IIydEH0enIhMu0d5sdRmRU3HqVQuqh6K6htXGKmt7xWGTIvrLPc/b/9lm5A+i2gZ
nr2n9dLRl/QYkgq0GFtplat2gr4ZiIvpNaMQ3ChYDF8IEaqZnPuN8grIN6mS2i7txH7KUYWO+JzQ
7LKpauho1X9TXfrpBtePdP4kidJg/Dlx70S0OAR0FLiAprTJkvNwLQ0hv9KkKhV+QFseah6rwL0u
zHoKbnBq7Ia3KaGMRADRanbWYCfLkkBYN5cHnBm7AmiMFLrIwp/EtukZ4Z9YfIL4lHjbnt672+xH
vRaqL2VmI31UUJVpESb6GDKPG9fAbtTaV3lGtMWGv6KZ1Wep7hyVEr2kpRBAjTSIvPhzlQ1upN+9
9RBl7pQvO9WPVQA+EmrRg1QdyXDAjvgzLgCI7DckXWT2favj2IN2fx2y9Z2UHFkNMqRvBaI+8inj
dI2d91KKDcw6DF9oZhj2e/DRcXggj7aozQOGV9ry3rNXVKMPmBsJebKD8BpALHOmtcPGOF2NLt91
EhJUzWJC7IReGldcIddXNhMerUsGK3tl12DnVqcVjX0PCGo9KFyY2VAQ+dcCT9/xyfOzXgOGkM1W
JYps5SygCrhgce3kA+x0I32Sw3pwZx7Z7PzgjnhYNdjhjr7ZVXvU72IYStw61Gh9X9WaianCdpTM
HrlVzwiDYmBK5WBqmqmj48FMkOS6q7EkoF2svJiUOZabYhrY7tHhOgPdvBwhBTzTNhzvvcyKJohe
yse5nGMWW/VN5RDzFxedpFIWSQmeMpCSj3rmB772AZ/K0doHcupSMJDSXskHpz/blujnPre6TN+V
yClmuuiSpWRYNtDp+gm3JCl5lL4qSkhl4xrO3EN+bKS/n3uqC4SP8A15gFB1NP1zXZiwbyvLGQu6
ubLfLcEK15/FaERajjDyqIx21pl8BYBqrkwQ7SSgosSatmx6K/OsgF4206GgCZIRLXUYSujWwnNi
gsd0FkWEdK3RY0P02xsjduI7J6ncFc2dnCiTMvSZRIu5chh3WRXrGfzaQCPhcRNoNgrsRto+TPLz
ziYnrbUs/juywbm7mxAVPbJlotIM+N5qiylvzfexfZ71Oq4Ck7xS/smZ0jyTYw2/FXQkFlmxCihP
OYnkftc9nrWySr0a4YC7vh8HV7xarRIKdpVeJGp6kE1G5RCg5G1KoNjCaGFcljj15XmEbVySrO+D
RsMxG9IbG+BhW2qt8H0xpHBfimAwxrOp0kk4FNuvWO6Dv2cYncUy/xpsaBXj3bRAjceCHOE+r7fk
pl8hNKVkBEsdtbpBupTOmthRr8mbFPUXtBG1zNleT00z+atAR1TfJKvOHtOdtGdapPgIlR5YwJ1F
mQFuofSzvZxXalRTtB8HAUZqeziJjl4BePcC9qJOB9v5s5b6ZRSNiygT5E+GtPeY5dFl7Qa1RGwc
FC0pIxCScZQxoYrFeCgZfGQ7CW6JJ1M52HEWxl2q+Yt+2yC5AnWp0eX81ZKqEn+IwBmx/KbFoH3L
U/RgMmEtlyJVhU/V0NBYEFVLW5oBSDedMsWtlEByc2TEWjJ2JQCs0Yh/IdCGRl0YBWVmHTQXDmCF
ROCsB+7ss7GQXU8CwKJnbOf+lgiOMCp3Lg3AodsPuk767b6XhvVy2AbWOX9QVQJquSehmBnglDTm
ABOQfPi1DLZRgwgg3iKNtrT1kCMJYCBIHaWakFXhqAa6VBwZ2SL4MAqqw+AIbbPaISpnI0WqCDTC
DPE4k45sqsYdZFGl6D6maQnmCa4mQkBMdo+YdaQ/llOaDoVWKa00oPoPDJi1c+P5uQeK7HHNlGEd
rSSphia7uWqTGljSEYt5VrwpGoLy8LbVJ1IfMnPjjCZ6o4VUWCuakLS8QjMopF46SwFn1QFX8izL
9Ugq0LSzC1ksZydZPLWyPETILmYLBQJGEnKV7owSBFTDU0pLpWWCKwtS2eTpZGUL79glrn6MEeDC
toScwpVkkqdndEqxteFBTzRfhM/K0axcC1L5zKWC4CwswkYLbmfbQSPyTn5fNlWCLCp07c+FvNnV
2cGoT0lDJMEwhm72ZLm6QH2tMYq68W0YjaVTkUUggv5y3xPMILYAAnuW5A4tPWuVHYlO0qEpcjhl
OGyYOL3ZVNNbBccunYMR7CEJyX1Bcyn9AcG3RVGdSv6UQXnB/W86HCqqR31KLPLulPDelS5e8iKp
Zwza/NoOO99P1tw9qWaFFk19ZmwjlG+xu2nS8dxsZpXMEOKNTEbIkHQwPQBbyW+zckfQyjgO5g0b
b4ly/PzUSX/X+c+aGIsGSzIjR11kFT3ECl019lYwj+L5vpNsElzrsf3ZswmZq3pnI3Du0o+/3t5d
9igC3/RIZAC1cnxybC+bdKvjzlUSlfl1kdeQs5VBq3KlWSSSpbxm/qsDW1ARkXSAnIE8AF5dtuLy
zOobv1rj6zSPG//zwk7Bg+Rfk7xKAmWjzUW5L3FZYJr/9YHPbZ8f2jK0x9nQ+ja4GagHIRIXUSWa
5lstnx5fldNS+/aJpmTvRtcB2bJQuEG7B88/IkRuDSgV6xB3ebm1k8UixdZlTW3N2+zsttfrhY98
EdOCYaoff32Sl/xUSKk4UhlsH/A+0X+OOl4gPnhePVpHxRuTzLRZ5bO3qWiX6v5c59oBQVUdeymu
db7nP8/9WNf1scpneG0bE8sD7bmtEq2KtvCn4BpvCoaBVeztsUcsvG3iIs+RRyW5VsJSdVpsjTcx
laoV7wsMq2nay6fFOXfUz1/z/7xI6u7++T/8/KWq8XuJ4v7ix38ev1X3n4pv3f+Id/3rVS/f88+3
VcH/f/mSu+RLW3XYkl6+6sXncnR1drtP/acXP+zLPumXp+Fbu7z5hjqiP59D9K0Sr/xPf/nbt/On
vF3qb//4/QuR1734tCipyt/Vr05f//E7aCkDn7A9HjogCBuQ8IfxIY6nXiyuzD9+f1cm/bevvz33
n/pv3W93SVm1vz3Q81iSMvrt1OWfyq/dqx//7VPX/+N3zXP+ADEVcVEGKV0mrdnff8NCnF8ZrvsH
GDZEYYtHk+YtvSeO1Mf/+N30/zB5RkXYi2Wi+NL5VVcRYsIH6n/ADtT5Mjq+1j6NucD7/fuVU3or
ecu5kv9Of/VS62XT0aPDpdMvB8SioLIvOlzm0BXRmLjRx4bydTO2sfPG6NL7ultvtKb5NmE7W60Q
FBfsAMn5QixV7Hu/aYm7MiYc0ayvP1zqf3NCL7vI6nxQgtHhgzXPY/my3Ti12I0syxh9LLK6OWjE
Zm7Of2RGTC5whk0KUvVXmoqXcUp4pds0OOHpu7AL6OBf9M47+MPaoiXW28VFwm+0+wJh1vtoiZsN
/tP5vm1me1s2+J5Ryr8HkvuveqxoaV0b/ytSGXG3gQB+DkD/AbUo4hKgHF+YN6uzbAJsI+PGwlqH
HoWrnXScCzZlYt0vpr6+Alq8bO6KAwvAiEGmc/uBS8Td+OHAbRfFgEmW9cZ0NWNneRlJADxcGysc
nwNyeGkBPjtGfdVU9isrIcvAy1YujwUNXMPiPmMVCm5wcex0tKECtXHxhHx5Y/HP3d1fp1Ox9bbR
cdyEt859sMeQ48rfuSf3BPfq1N64J+9e28c7fxdsg722FX8vXldftVflVb95bK96/jPYmyfzEUrC
xuWFX8btl0d3V17pH9ubYG/vPH6dfp4+Lo/5zXqEavfGuYtO9d64R61xG7yjNH6s0s3yaJ7Gjbal
XbIdN96+3X955EO/fMFIfj9vhx3XaZvsnpzdsPX32iHchtuJ/7I22pW7b3f6UT9We/04HtpD8Xd6
avb9btoGV8EVzcAjkjFMtlCOf9XvjdPyZn6YH7Sb4sbde7fmnXalH5dr/KL2w7bi04xTe/58f++c
tIO1Ca7WR/veOolPGjbh9u+rGww1NuTu7cRpBLvmqrnprvLtc7FBTru1TvEx3Don9x5HkbfdFUYp
r4xh76JXLu8nwE8Ajk1Xwr+4n0kwkDTmaPnTYffwNtkYN822OkZP42cs961+E/uboN4X9ma+Wa+I
kNwke2NDUvhhvUr21ZGX7pttevh2vL8m7WTTbp+XzXQV7crtsuEv9kSS7DD/2uZc8lL8c0ePc9o8
4c2JE3u/Kd8Fj6W9Sfh5N11pu+hQbsV7r65+PUHZF3iP+J6ga8B90DuYg60LVLOG+kAup1U8zXkQ
YSM3+dfz2OBfT57ClMT4LCzpsoki/3Ov982t/KOIr1GrxKfzT90yfSRRrzs2BS3T2quGfVIuCMPn
2t76YxXUdCoRE4fGRAbEXF2f/zDS/gtMPtyF4YlsdI8CqQUO3fAY2Te9MT2EZapfhywd10HUqT/K
yq03K9E7u//9u/PrmnnwXxkBzsvZhA+GYwOUHsASEkll3sWVCfEFT5ekTZ9s27jWbO3WLuM3NF9u
/eKb1pPWEuLIlGT3lmbcmc763CX+YW1OYxTs167Zmut1qn8Ftb4t7emtl5afqip4Invt2siCm6Ho
PwzVvEU9SqzW58SePnZ9cVWBLzhLe0ja4T6o3CNJP76x+lBqgkdobcemntcN8VxH10p24TDfsqM+
wMXeY16/r+IHJxv2fV/vw8jeYxO17d3xKg+DvQi1su3+hgyWByvHg6DJ31hl+Yy57/WEvP/Xg+pi
BTpfOsGxAyIWmA/49cuJuMD3A0y/iJ90CHzbPiUSCf7OZtL/1nuvu0n6o+E8Lr17gNU8vnLwCxYE
d4wbxgqIpJxSxDoXxz8sAn44OViIEGyDlxTOBgGeF+zo643dWuve6fr+jZAAW7gSvTJgLsaLqMpY
ggyU5jqkBfvySXKm1u9muv0PaWd+wyCMYMKxKQ40ZB5QnIsdpoVSAD3DJkg74/jKJX95dF+HRirQ
WmBjUoapDS82JjVkgAiuq/6WpATzarGjNykGGjfG0OkbPSSGQ9iIYHRU3VV1BbyUDHeZUx1GAiRi
SF93rl1+snGR2UU97kvRjOEPxgtvC1z8X5ES/vszdU3gZahl/iVNpcR3G09uT387GMlHSIHOttBp
bSWWd4Op18chw403acpdjrf9K2PjIrucrRAkDuhVsMSQM7rwZF4OTIO4TN/sh+qJpK1djhUFhP31
dNglXl0c49Zh1TEj+1Rka3dfJHFNmEf5bilzRFElSRlTMwS3XsWMj0vnzWjjD0KeyFM/me2xbbNu
e/4R56hm79AI3ZaLh8WrvrwboiK/p5n44JP//OT1dfjO7u/XYlpuU3aPRFY8V0YMcQlDC+DvRd/F
s5NuSTQZr3Gf0ndr2fVv4Bve67h14aBivTuPn/9qM/Uf7JMe6m/lc99++9bffar/P9grwTP+4Tn6
aW/0toqqH/c+55fLvY7xB4REiBRsKXio2KMwjOVWh00LicK6oBpCNqTMdR3mN7XZMYw/hET1HDHJ
DGQIfoXa7Lh/QGWidcX/mCNo1rv/zVbHdK0XFed5ewPVUNAHmO/4PPGc/TDR1To+c176N0uQ7R5x
PtJuWWTs5W4YKrfbtsDR6ydW4+XeKovAuI27OcVqKQnie800ir/h0c9UqrkbPkbFHL5PKav/iieY
4xUaMNzgsZOISOhq8AOKI90sUVyO/adKMxtKwklzl41uxgSN4tihI6sUEF/da/gjdEHcQ8b3vRLH
H2LhHq3cbocrs0EoskcYbX00ps5evpTh0hofIDiF8bHtxiA+RmkSz3eunyWnYG0KfYftj9u8K426
ojjRIsN9Z2lmlu1RQpCht2SIbkfS/rCq8FCqAsxUNdYsHiy4ADf5WBtOLoEQ9TFtgso4zG5ppG/o
+7csSkD5m3BAQXyrR1FxF9Vp1h5Sr+rtXTYuvgtg07WfCRxZm4PvCueWKKuyh4oN+XHqvCR5HA3S
SSIRS9KSXtfPZLkepoTshod26BagF+R4KOmadQx2tIIS5LDIYMPbJanLcGs33vAWPwa6gIFZ+gG1
A9bi5casirH7SnIDrveG5tbvHBJ37smdTwbngHadpupqmdHwBG3L+IqXKR48uj2Vf9vkGt+MBUa7
GzDlad8AHuRbTOem6lDDLi02fhF9tUPU/RsiqQn8RDpKRJle5IZ/IOuWkJ6pTNtnH6zCOToszcuu
barQ2oxJRly6BgASnwKIBFTzaUoxuBbxSERxnfWbRs+0fOssYfT3EHYRyq+sZxSQ3BnC8nE0VPxu
ysJHCMLafO3wkIyPBJSZKUYDKVgatHzItyvm6iA6TRe8S/O22IwVKs2NjxfgulnTaHJ3KNLCP7sc
8Q8Weqn9Cf+GmySYy5qSwsblCkcckv1GFFebLgPU2lLerBXDE5uSwNH0D/izdP+XvTNZjhtZuvS7
9B5lmIdlA8hMDklJlEgN3MAoicI8z3j6/sCqeysTRCdM+ldt1mb31kZV8gyER4QPx8/Jb2PEtgKn
Y6IIvialNx512qSx04+GXNuIegWjozBf+1Mv9bpDdloeJ7e2vKFwZJpxyQ4Ehv5uCsvwBRUrQok6
C/N7uhjIv81yid8T0+9vYbOykFW1hCB1lZSmwG4sk+zroMnN98gHTO3kQWq8yF0Y1tcQVkfffQs0
xRhnKeJXcF5BOBYrDBTKgcDIa1foI2Kt8Cz70GypIVlmoPvXXeyHSI+JWRTd9mEYiLakMTfqIHcq
vJczDXg2JET9OJNc9dfRJM+CdVVAc1SEbYvZ8mGgYUaNEqgrDW27aWt2tWz05EmxBJirYDdsHGQ5
ZTgUfLX6nowKiY8Kp6XLmBvUBKORGt6Vmcsd84o+dVfHDEFouJMU8VMbQdY/KZHqiQ6IuuY74ixW
Cfqhi6T9ZMFRZg1QEzqswdDmQd4KbWvwaSi+eGBskOVthEea27O4bRd6LwnotXI/KpFfHSGaUQmf
JaVBFDcb0vupFYI7NSkEIGVTEr0MgRo/BokVwDuC3wNzQoztI50eSBxrJpoPU8S4kNNVYvLctkH5
hMeg4yPGsZlfQa6F7qHie8WNUaeqbCuDrz/KVlRCrpebg+6QrOiynUqZcKt2nvbSh71S25Lf6cdc
apEsVJOkkO2wDjJ/VyRZhXYcMjqQIBtd13KhIp2WzUB6V/Ni7RCEqUWyjaa99Xfg81vP+/+1xnlW
Ov1/7YUHnXnphb97bquwec7C59N3/vU/+qemqf5lKgSDFsNuUL3Qz+DF/uehl4y/YHASAU5TTNOA
zVEE+E9R0/iLzs9c7LTMGSw513v+eecl9a8ZYwfWDTA/f04G8hslzfOKJvBfaFKI6KmNUlSSwAme
v/Ky3liQcIZPoQnwg3kpz25RmtpIXRbFjr+NwPEAtxfBCUW7cyNqOguNDP5TT9v0Khsby5554m5E
5Di3IvCzoOWf5Vhgawm/EWAz+dinQQtauBZwDuubNCZxgZCF1X1soIGN3ZNNXqm7vv1qTFbNHRod
xDY7tzDT9loX1rn2tRdRiNplYto+DPBTqhvf7TyVmVeDGcp9FmwgtD3f4LNDM4S2QPk6MZFqR5qn
fPFNxEG8VpZc7pxmD69A6XQ0Sa6VMSk2FrnIdF+tA89mcoAcG4zwIpmJ8cK2UsWvShp5LhQiTWgL
4qi4dPVngRKkM7nhoneUgsv3lz/vcnbqH9M4ikVhhI7YojqG7q6A6sv0tZT9JnocUrX3HLGrpXqv
QqvJY1QB73FCK46fGyVTZVcfPAPtZF4+Y5ebBfn45V/01oOhW6N8RX3XMGWIYs79SiemSqZC/tpG
AYRgpf9QFsRPcZxKv22IKjMNDqbncC5FXZzHfmaTNQLlq9DE5d5rNXB68DA41uD715eXpBhvNphm
Bpw7dFcpLujMdpwvKtMF+EbK4B1qmH7ijEioMRjvMU1im3mRfgqrPpbQi2D23ZHHzrsxLH9sbFFP
TYKfUZ8UO9I7hF9riEkHF9rC6DuQJAoQLUNdzxT+iLV8qakyZ8qgJnP1aYhBtSlQp9moR8mmLVfo
rTuC6Cf6rVJmogGpEjPqYCUBLSDYVUs/SPBV2u3dhGi96kUKzySMn40NjLRL7axUDOEg6AA7bz1F
mu5MALnHcJrGYZ9qsQmxZdkWzyZAX/WuFiwvuzeJl74owNgMJ4GuLr+SI9/iKUVAFxViSYGouNTb
cpZdNQd70mHHZLZHUj/pXZYODoUmCmAQP9H3T0G2WI6YpPlPiVxJ2yXQhHTXHtNsD2PXi5atQ2Ka
2EmMytBVEfr1deEVgehMgk5xrqy0QofXOg+vfN9XDbtv6RztOm0YuwdDjCfldkJhJ2IoKOyeAiEL
flagVmGvrUI5BhvPHIn3LFWm6H9vdd37OIGlbN6BzPJaZxgqiJUdsJkCH/YgClFQ3pQwiAbiJ9WE
2ll054abcJ+3eq1HMHZBMm9R/TOqcoo/eFoYV30EOV+SWIlBj6NhQGE3FkUFtyeAnawW3gmM/lbV
t6LIw0i5l+n1mumV2Gtp/RHuUWpDdhIlgqd/AoWZN8PBgup2dJgmhp72NpWAxIt7kpxOnhAb14JC
MztbEfycODsdjakxH9LEL+nbOsIkwu2+942QzXcESQsGFEulOE8U1dVBeKOV2nVKS0lbNVpkuJMS
oTjvmpiWsSWqLprWPCTDOMWDzaR+9WuqlBbWXSr0peV0Q1MV3hEmiawdP2hyGOmiA+e0UkWobY5a
j9htCr9Z9lgHVZRDKeYxWEkdqSwUsA/I+6oAZCEwLK+tsobfs21KMX0XgFERb7vO00V0GMLqVz/m
/UTeVpl3FqF1cZ1LqfkFDQK/gBFFT16iJJf9X7AStOq7GmI0Kvsl0svvZb8T3qPxGnqHoZWF4PNo
BnLpSGYmygcDxMD0AQxgd887ofnvh8IXJmqwWfRtAC1jHIg/TQ18lTpJfAxAychEy1LRHpA9NpVj
o6OEfYXKXEVDS4Pr2Y4ynxkGeFXKr3osi6WdTmQgO2nSJTo8kpXJB6EfjOK7H8QDCs2+Aif4YFKX
4CAN4jDYCL+3MwNd1FX7Blk74XHsm055kCCd8N6HDTTve+SCRO1rNALbpJdIuvDTSptS/1GH8N2Y
Nvy5klTbWpvK+ZcylyxaFwPH3YISqQTvQx4VWc1dZzUp+tWd2PSeCbIGUa3HeAorBHHDKjD6h1HJ
M7QZ89yfWu4aestHAVgNexn4NCqlSP8wmkTPOygqWtOGmCO5rzUddR8JgmXL7pisR5ZXIJvdhVFN
i2BsC/nYJwVCYwXJ+b0ELuZDC/ABShe6hOCxEUQfeCg9DTylFkq/EPKTUKQJI6iIsxqeR0eBhGCE
b13SEUPuu+Au5WapnVEC0HoowprXFkqdND7Ig+7d+0oyfK4HUniAShrHBdCEJ/KJdJ6h2g9NiAPU
bgYzGdpjLkzUN1U/VX3XyqF+33eRHuowMHiaDj1jG6JmrlXBnZ8b4Tf6KyivV8xCfpDUQFMcC74m
9I1rT+gdmvydaKNcmr7vFZWrXUKEeebU95/Mpq0KW4sF7xtk2vmPFu4moqCeXiC1n+gFVdgeUuU6
rOGRFMW7otSS2JWaMPbttm3EYNeL5vgtZ/sqoLYRVHSBUgtw0SAp9aRZWRi7mVpltxNDwLrjZ339
pYbN8ttoaun3QO4ReJerDKlM1MUHRw/7/Bq6hzw8BLrcv8sGZlivY0EVoegdUrMjP53C75qRavdd
OSaPktAqz1EqkGd11FUBVTdl+EmKk/opgLf/sRWF/gc3VBShaxNapsszJ1HsN2CEcYrO1Pf9KE4t
8taB8WvwwWbCwmAirTyUveK5hVj1eCDDkII9Arz/CGqHhkHXQDBtF3qpiU4IyV5smz26s3sWDRlx
Ollxc0g4HJAmGg1I0yhLJ45fK4+ooUdKKZEwxv07car724ngFLEDhqd/tWHcHGuh6z8xx5b3rs7D
mtlZ3MrJHUfHewf9h1y6umpSQEPEcIi4aEtk1E2zCqiLzJVnOK/M4YfC7E7sqN0QhvYAcPPHiL4C
9IBWoDARMSI+b9OYaSJKL1r+LoFBq4PYqy++V71WC3ZAOYybBr2QZ92sSsnNdcKMPUQ8Gk2a0sjq
3ST6DKz6U9F7B/7tKqGWV3cxoid5ewwo9OlOGtYZ0mSCF3/lyGTSofcyGRinV6fMpyQNpRRDLrSP
SBgP0/41Lvr/uez/mtFm/6UbflOs/t9t3VTPySKT5T/5p2CtWX8xn0//ibKiNUNw/pPHUnb+i1aL
TLpqgs14hcv9k8YK/DfqDOhRGZ3/T4r7Tx4rqMpfhiqS32igyUhD6dT8RiJ7HswSvDJgTB4LBTPT
pHSr5pTtpFwNV52Bj/by0Xif4fkBIotO/xVoYhbvTj7LSvJ3npW9tbTIi+DwVGND64DamRK0Wzs/
vAF3Q7FNeleVt4K61VWaQ/5/MYFv7S1SAu4xXwSUKR8b471dop6YuB7n9/Ki1oxQWpYNGtLsiLXI
BQpVjTQBzuyjKKlulEAP/6OSokOQKxuGzjOpv1ej0ZYjoWXTQdSc7xMNv5Dw1pePULJfl2HBwHzg
cB9cXs6KFVr6dGkZRSSDFBf5WtLR0MjTXD0yxd8/IFWAoCqzT8hD1MrVZVPntYDXBWGKWVaFSgCu
vDBlDBXRUlKpx7KXQZQYsKcPoII3kKEr+2PQ7qGERG5IZrhw7y6XC4lhDfWY9WXoKp320EJOtJsK
s7gbu1rd2KUZT7d0OpSSLVBliioDulysqjN9VKNIvY46DyjjaKmRPuZ9LhGChQOw7YSOcWKHDPqE
vGCdeBPHfkWxDDICt86tWtv5sLfBigCumwKoURjPbQTh4R7wuhDYUxBFD/nQTIh9idGvoKz6EIYi
ufvmh4bcfujG3rqKUAbUdvHAH24sb1Fg+HvTSG/o5lOQA0e38EJGQ0WVcFA9KoR4u0Yq34Ef891A
MNUrkcwQKrP3qdo+QS8x3SS1UNtlRaR82XMWOIbXX8EUOPepKAJwfAU1nt5ZeuGVetPxkWVAHi5y
abZKQBuZ45xfR3tBpM9bANaxYAqvkOrZMD9XqRYXCxP4HBEZaJvMP86PopobEMQrk3ZU4yJ3FL8Y
7zPpY13V005tGrTLI9WFD6J0oVYhkqqU95ox6Bvt+pWtAKJJNZOXYCZtkhe/ojGZlmloPh2ZSCDd
aGcFBcP81nXQMoay3O/GRESzcJzaA3NV4M68ULqqh0TYqIe8Oce8aTxhwDtxeoq18vnXgMq1VnoT
VSIYVvXDaBnDp5nIb+NiervnmAEuztUEiFRSxLntevJOQUhRKzUjKreV7xredEMW9dOKydcUcs4g
AhPQS0yLllV453+6vOFrK6R1zCPJNWIBJDw3PeRS3KMBKtya0k0lIQelP1028OaSmtf2rwF18YiM
k1+JsdwLt7J8n443HXRf1rWobVyF89Vz5rYag2oK/EXg5KlgLYuveWJILWSp1i35pORIofZJFWZI
kxy5UeQhe2cmwe63F3ZmcuEbtVlVaR0b1q2B/OA3SX4048f6H4zEGd78VN3hzZW7WNfCMxh99buO
0ZFbX3zqs2dNuu6T+99eB8EbdCfw7/DxlhU/EcJJMqIwOArC5ES+SWuYShGwQ6XbX7a04mtnlhYV
8p4+qyRPQXBsJY+6rHlow+HLZRMrfjBHovQtiPug0Fvc4aXZyQMaPMGxR//00IGNM2O/hmdJv429
Yryjmb1F2L+2Kh57mIvARYAwWqyqY8ygKQsweoxAHUqAiZVufLi8qi0TC1frEK4vc3Rfj9VYoU5j
VL5daFsh5XzSF0fIgH+D+iACA8TfCyPS5JG7e21w5KAy/3RjCoeR57zBDTLr1iw/NabiXl7Xyt3A
pQqaBH0QcGTzUMHpvdeKYyknCiZ9+Y6p+tnrhP4+BNZ72c7q9/vXztLFpcICDsgg/REJ9YPaS8DD
x3TYMPIm2QBbMceVoHcUEwKK+SifXOIioINQ6zAivdezXa7CVpy87yKYq1NbKLeCsdXdOrG2cPQU
sY8pzMfgmPrpQW7TG6kSf6bBaOeW4noRNfq6cLTe2Lj0Xl/eN15yYncRA6J72QlIdOCKwUexbA50
tV2/vCkiO5DlrxRRGNNG7VNivAE1xzS+DZIXP7hKa88Jhae+ukvDH32n2pPf3Pk9tcV8h8T9PrVi
yqHagdoknOg+lTXwbuMf3HSnOzTv4MkONaJRmmkiBseiD/YSMQWf0B2Q1tDS58sOt3YNnVpaOHYP
tzLzvPhC0N6DQHpXTsFPv/rih4FsC2290RJ8xZe+2RRIT8CG6XAbzj3j04V1TNX3xqQEx04L7cm8
YurIqp+kqbKnsf1G3fTBJyEdyq+M3lIs8ZL7iFGVoILAejLcNruJuntq2o5ieLZp7H1tC5278ozN
Lbv//sDFl/eiNhAriu7HNk+svUiA+a4dxMBRp3HrWV476zMfGZR8NGGhtzv/FqE46FSxpeCYQCfn
thoczS1TzteXN3jt5jq1svjiY6cz46kNHIPwuW6ru154QtoGNo5041ZZXQ5dfdBRMgnBMh6PEshJ
SI6DYyw+BEXu0hfZsLC2N5AB/WOBmsnygwFVrjqW0tCVioEQm9X9n8Qx9EhhtYICCGYpZbErbd6M
UxVOwdGT7kGSXuVi6QhKsZF2ry6FnjggiHlK81Up6+SA54DcFGR9uYJxfaH7XExPfbGRm6zamEGa
ZCc6YOL5z09sMGwtMj2sB8cou/OgpozrA3wPGw/j2wSIxwQqsP9aWXwvpJlYIbx9x0HORDttaGfX
uh9cM4hQ0HCQ73QFWoCwp86vfQNhjhoHQ6Ibv2LtFjv9EQsnHzRfoW3JUqeBKi6Sg5Y7IvVuh+Og
2Shs7sS83yrSrNqEUdCYKxegXBbRlBeOYhm3bOF1OnZg8QbbnFRHld+PH//gBJ8Yks/3EeHctuqM
+UqiPC8ozxp1IR6pCYm7/5mhRQgfzVlLN5jBMbc+NfRJB7N1NCQ0i2J32dCqZ8LgI77mqqSG5yvi
bbOUnkLKMRMe/Yhpq/FRCLcCgNWLbyaKs8S5FrScd2tB4sLTFIXHSP5l+JMdR+8sM3HVJth41KTV
mw80DZnxDGh6HYs+OWgDlAlGVYchLVgG2kc0tNND2d9l32NgAFl2NcBUwGyDK2Z7lM6ZWfrtrwkG
W6Vf/spKt5wojPskQsxjXqj12KA8Sv61dZWs5f1nNhauIVdik4G5DymoCQeiYOMGUMmu2DdjcjWW
9UFIfgrmFnXtyndlQJO7GIS5SdVhcbVAkdUTqPrhkbGVe6TNXHAnW6zbK65INQHPBnHF1PzyTfGM
Fj4pEKVH0Cp7UmNBiZG4LzdcZHUlJ1YWdwVkMxEI6Cw8BvDvtwawcKp0l71gzQRVKIZ7df7P23V+
pvKyC5BOaMLjZN61WbUHZrlhYeVAkahSXdepE9MrWfgAEtmJPyvLHyvxcyjf0Yf/GMh3iphsFBbX
toSrQYZgE3wfJ/h8JaHi1UFSaviz/qKmH4X+sWGM/vLXWklKaLb8a2Nxp+bo0UpRooZHOIraGz9W
SvSj1eJASf8mLYwvEeyd96JZ3vcRmIvLtrfWt/iOzSSWQtthG90Qq/scad8a69dlE9L8dyzi7LP1
LbxhMkNpGGo9PAq3EJwdtCsGEiYmbdFkVl7SsaRNfVChgyD1MiB6vGx9zVFOP+78AU7uQ1A6cAr3
SgibQ2KjYVJqX1Afs634xx/YmeFfTLJRjn5FiJ3YUQto1cRAI4j6qg/PfbdTywdR/PgHRmj0wLVK
hIHE5vli8kHVI3V+FBXjSo0PaOYYt8Di/2dGFl+MyQshUCaDB3G0+p1Whx/1Sh7tuoqZOh7UrenN
1Q2CGAl1LrIw6XW89+TDGTB/p4ATw6MRzNrAhas3Nwmgixkpf3lhK0ESHQIAmBAYzEWnxUs/qGrZ
wgvMnSExUCLdy1EP1qF1VZQ10vb2srG1h/jM2uLmkIC1lW2EtalyjS/I6tBtv5cmmwZTUN+i8WoX
w2OPTLZl7HyAHOP4e5hXnBC4KX1kyvAkEHAjyefekg1F7EkGd+TgUy+A8EF32rE37UrsVLeSLA9o
lzK5FcM5h9wr6g1nXb1aTswvrharlKVGmj+3wBhLGxo2yKXNMuxrPLO8XFSw3683jCovpylBN5oC
4Nr5ggbJKLwvGTcJh7so/RryvFnVF+NRyq+Jilz6aRtJzUrtCnZBSCysmXvc0hYnpRV1imJBGx4/
j3ltI1ZpJ13g5PGtMSh7xfiDPO3M3HySTk5KHkXMJlaYQ+bU1oz7pHqZos+X3XZt006XtEhefFUY
DHnARtHd5Plz2N6P2sZXWzuGpyYWVQ2YloKyBCh/BO8n32XyrhSuzPFlk9xiNU5EDJbdYYjUkpcA
YA+6a8VENO4IwaVDSGzn/ke/EN2oFX62QXEUs8lDgPu6ieN3l7/iumkZv2SsYI6AFltV9Iki5fOT
nha+cq1PKaPEfTu4oVSYB1jkmMXyyupAfU86KlWNUlKa+hvfefXdJa+Z5VtoCkKGdO4vkZCEpSiJ
rF++z/Ux38dt6U6d8jMNqzuFDYDI7XouGyqFuEuEQ9dfh5m40WJadaiTH7Go6YmAtFDOGsJjKd1Z
VWWL9f1ms2z1HEL5Drp9znyWhWqTCbkuaXICqEqKncyz9GsNuupdm0zadVwAZa3G8VbUCnXj0V91
Zab5JYZOGFleQgn0Xk1zphrDY1Mk4o3UqYdIkibHzPTOhUPQdMNyGDdqaOvbCt86SchMoPJa1jy5
Btpi7KKkLbnWNeGuLR/j7kpmlq1p9pLgWtQjW/MzehrwiTHrCNCy+3bZudeCe0az53mCObxfToX3
jem1ejdnKZF3ZzCESXvKuWxi1WlOTCycxoxCXa96UhQx/zwVpTOJdwrTlJeNrHrNv0aWZa8KyQcY
TTEipMVXotMo/jQw2JjW4X0X/kiSDV9Zi3NwTkYEdN5lKIbOT+PkeWo1wilwFNObaRyRVLqh2hyk
G6/uqksygaCgDEITfgkK6uCgKD0dlxzM0QbG5RjaU6JlrhRun7vVJRmMc+h0vmbJq/MlSUnE0CjE
csdoMB3UqJwGFRF5RJNx6ypbdQiDlBjqPaonr8HWic9bIISbouYqz5PaHryfwbiXAaNqt1PiOdeW
WYDEhKwis1Udog7V1rMOTOnPyw6z9SPmPz/5EVlj8JhIHLwoeg6qENnzG2Cwl22sOiVVorkIAABP
WthITWYagHCER4vwTDOvhgjgb/nBD/ZGsfemDWvrK/rX2uKZ8hEw1sqKPB1wdVlVblpLNooxl5e0
el+cLGkZUmRqEocJe4e6MkKYT2D77csWtj7a/OcnG2MowJvymo+WtfCofPRTbxcEcJR2g2N9riZ/
43Z63YQ3MefJihbXUzsYUTV4HTW2yHPk4X0cM/9Qv8/D67kV1IY3KBegMyl+RBDkoCmtG+QwlOOR
8RbkZ+PbLi+VWJf6KExZeZCgam/ce1688W1XXcSkQQ9lCt36ZSlnmgQrMKCoOwph+6tujQlxJe0r
Wuj5Rsy0epmcGFp4ftmXGlJ+fNQhfpbS2EkyQuo0tb2u3ljSlqWF10texUBSiKVs0q5KOb+hdQPM
gbGr58t+ubo7J0taeL6ZZW2hND0XxuT3dqi/xGG15ftb+7Pw/RFWqLxqsTEZj2mg7LL6uxRvyk1x
gN44/MlCFg5Pmmkw7ISbmWxK7IHR/8PHhOFZqsfEFYzRnh9iMVKZ3B5wtFRKDn022UL6axSHYxNu
ONr6F/vX0GL7mUxCTc/nixmlfpsqL+YIiVplbjjZ6jvMtKcKdBZpmNco7uROKpoeQg+Z4HvwNQMU
l2LYIL9fKYd3VRJKtyZjLBsX0/rK/rU5++OJzTwpgY9q2Gy7Z1Ead3hcAQ/CZadevWxnAj9QT4QY
ywuhEP2AzH4iq8h/xQlCYd2VGr50olNBEpWJ15etrS0JYZpX6LvOHPLCKzLYPCJrsKj1B4zelbmg
QuQd9YeaebUNU69NmKWX00CcGTvpur4ZRa5bKM9VMJFAkqar2pJsk0crTnZ1AE1ccbAapo5gFooR
GIVvw5juNaP91LTqTS0imi2IsT014+Hy+tfuKtgwIMci9LEARZ9vqWx2k5XH/KaQKShCOSn7BQuy
PbS7y3bWrioNjLcGan3GMy4ORR+NRTOYSXRMfJQCf9EEu/z3r3nN6d+/uAqjAK53U0ijI2R1ZqrP
k6d27H8pxtZhfJDJAveyvdUMHGw38EwJ4UoIb88/HMMvajk184KsvtxXZazup1hnznbIjSu/QAe6
nmn0mH6zbKic0q+jBUb38o9Yc94Z3wY0jLIj45HnvwFayybXdBYt+Z8RYHNohQn658s21jZONzXo
VJkk4ZqZ//zkzMcZqjmTnEfHLEkfa7J9G3jY1sz22mXGlQwVAHUEEWzxuZEyLJH4HrPoWNaZ6rRi
AJENaCAXDuIfdYGKRmLpwx/cM7RkdZPQY65iLjySunA1ilAaHkfxzq8fOy1x4vyb5KVOisqzlW/c
1/NeLA+/MSO3UZudeccW6RnTZfQogjY6whHzuVAQCP4WyVdDdoU08gep+ED+ueEdqxZ1lVlEGKaI
rhZXW66IkDEnenTs6h0xT27CIqmPjZOrPiVTw/bL4WupmfvL/rLQHpyrwqoI3xCAJ8aJqF0u6tK1
VqRFMPg0Kn4YezVxy/RWSpz2u/dChWaQmI8/luNB7RkDvenimwmGqgB4i79Zjn/rufwQcjoL9Dbf
e1me6gETJoVfBkdrPLYiqvYbDrRSGsYA4zEQg8y85+rCa9FtZKRdBicZ96QcTehOV4h0fkB6HiT1
Yz+8jFnh9FXpKIL3bmy3CDTeXnmYpzMJzx/tQ+V1LuTkZJYFU6nBVMNCKYswUlV2T0e+k+CZ2jXq
N/qKGx789pAyAkYcwf2NRq+sLZabGEVWZXB9HkujRlvpqS6Ykex/JPqeWebDZS9aswUtGqAhuuFM
pS1OC7Q9aZD7wECUrtjJ6afpQTAmoNCwjv92/VCl7QoyFFgaAKglBMpqAyOIcwIAQf0VRwRRCayc
4YarvD2KkF1wewKYkLlqlvdbKjUCMl6Ughqov6r0sRwix3oe9Wche5G/WP1GRrziGTOFK6UzXvW5
r3x+nVapPGg1NOrHHEpRTxBcxfuiens5vjZziA66n5c3a+0gnNmTz+0JIFJCWAnDo6Qn+8KT4N/X
rpPAOJhS91kBN+wPv6bmSbielbS2Khor9cr54/672oVfVoE59OZI2UQIhCsDIoh88vaeUdzU4Q1C
83dWq+3qwrzy+mYvi7lbdPBMMlOx8RFmlzy/4PkZc4OIWSUROpTZpU+OIwM6Zq7NlRXdGq7lRnZU
8WmMPo9JeKiT2lGUb2Pr252y9Xa+DQI4lNASUZme28LL8S8vFSXfyhOuOZ0JZZg9aeHQ595y4ZWi
BDB6wI7zQAL1xaUPU64NtTEB7T6NP8VDILoFzGixGjiBKtljaj9CwnyYuiuGqPN6o9m5ch1wzVJ8
N8BwzyLl5992viDK0Q+pWhk/ZjmFJHqoqhcr+hBFP35/G89MLWIq02hVU4A8jRnB52h8ySHcS3Nb
9z8a00HVb9DNzfMvGzbn87FwnVObyyqLOhlSQTOF8xrXdv0u0K7C/DaCQOJ7U30MNNXmf6pFBe2w
YXjFZ0EcEdrNRU+S7MV39T2E1cyBoxMkR7V7Ecvn+KUWZ2FvmL+bB9X09yniKpetzoHVcrU6o79s
JROSJAPnm+nlUtWOA/nxUO3mwq5nWgzkTo6cbVyDKy1ycJAnlhaxqxmjnu7PdbQUOgmmGIX6S1bJ
O1IuxWJm1snhKRzF26AIPsBRfAisj5C6/DbAh98w45SYROGcvuYRJ9fCUHtTJM6r7QQBTUsBviPP
ACCiK1G+8cqsHlFyEiIwMBx41OLLjl4N/RS0D4zSotukNFdJ8d6HEMW4KlU1tlXzs6QyXWt4Ljrn
u7lLKCfxEZG9XSV7j5d3eeXJY93//pbFt9flLlKgtaYIRsmwyCzbs55jo0J+00ANBfL2IHQ2q9tr
d+Gp0fnPTz62xVjWnM5zB0vxo1WYbp8Ze7N/+YOlWbTKZ1pp2i2Lz1wXusYQicVxnaSryjwoLTQi
je6aavUSme6kIuXYileXja5Es6RGs3YqiR4+vUhX8gyuILTPqL0kjEl0hSo4qaK0G6/Y2tk8tbJ4
xORc8M2yp/giC8mhCeSrtrxXegoPWziAVUMSFzeTyXTPxcVy0kHrWjhXcQ8KaTvgfGjNaMYvlQO4
R0nJ3IjyVr8ewbI65wI69Z5zx0BwDtK8XGWKCvrQerof89a9vD+rC5onDwmPoYpfFpLitgZJKXCH
p7AUKdqdJOY7wb/ZrC6uFB4Y8T4xtPhy7ShkCGZiCInCo5EGuzKQnWjorukSuFLd6XY4DXvRin5Q
dvj2P1vkwj0GRfOrZn6H9ekqmvZl8qGAQ0byxw03XN0u8ipKUvSB4eo+3y6zYFbQQwLxSDzlMKwD
n+7u8kpWQmRmK5hEnJMnnaTm3IKSVH3CqAiTD3Lm0iT1iJR16WvShPuCdrMxbDy1azcTsxwSDsI/
jGUyriQlfGUGkwNRsxt1ILFXze93UnCMExMLxxgFpUN1FRNj8zHqBrf2oYuFkuzyh1v18xMri61R
NHisIDRirvJXzhIM455xjql4vmxl/luWMcLpWhaBCXpaOowDrGWQKztOyl053MbDuyFqnSLacIWt
FS1cIbUyGsLAyo9tUd+Z0XiTBy9D+UWOqo+XF7VqCB4VqqxghmCvOve5NhY6qRE5PaU4umr5WRqV
u1p0B7/aCARWne3E0OKBAsZVaf6cbtZSQWwuzRmgpT15WaltvEqr+8R8KjAoyNHfdO+qtIBhLGaf
4AVwRuUGRdToAQW/1Fbz4Nflz7d6ZE9szas+edwlgKPDFIELMRCFf99nnnhIR/N9Y0gvFSzchywd
v+vilG+c3NVdm2WuuI+otS4r11Itp2rQAkIwxCbfGXBc23nmfcpUjdF/qLg2ztfq1QeZPELFM2vp
EvNXT+KolhrmEoNaq5bHPPaM8G34/JqHULk2yVVn5tJlQjVVUNUVRfI31I8z3Cj327f4lpHFwQpj
M+3MGWUTSzeNVjEDe6fnW/wga99rHpyg0kcJh8Do3Cu8ogSbb1HrqA2l/CR1JUqTQpRvJKArvRsV
UO+/ZhbOF/mtCjvtwKtrWfBBR6UC1i55Sqoo3UO7GIEqlkbXr6Z2N1itvvNgfXQ7TwjcTNf1XTfF
qd0nunKF3JdF8Dv5N1DHbI6uzHHM8t48/ZmzM5+ckcGX9b9BQFBn5zqcZHWzG6Bg7xXtylRvWu9W
sWKHbK/ZrHGt7zagLUWFJhnHOjctlV5iWSEdrXrHoLU57rPHy+d/7a6hUvdfA4u1KbD2KuFElYmA
5xaIobmr1GwHvVNKeSd4r07hxslfDbXm+BTKUGTpiEbOl9QjyRj7I9GwVhRocbVC7qa9mNsCGui7
WK5iu2x91JhMkrqiyYtvyIZsVZlXPys3AREfai7cCue/IYl6vQ08mddJemJ20ooQk4m/X/6yazcr
1XrGMwEZQzK7OEOZDxOI7MU0AQ1XlG9KpXYFMv/sCcSCX2+0x1+rj2989MTa4qtKqBmJmcLdE8ri
3oAteByJlMd7mkC7rin2QvWUKijSp+0ObfXry0tdvS5Q8YLne+Y2MBdLtaSwCDKVOynrDpUJ9eof
XN/s1X///sXivG7kbAj8/YOXupKc21O4FRzP1+ab73diYuERwjAJo9HzQqhlv4/lcC9Lt/XYXkXi
Q6581gZ7M3hdPXknFuc/P7lVGg39AWViUZH6IxkEBM+C2IXxyUXb4gXu/stbtOrxJ9YWsR/srbIJ
Wy/WAC9PZfV+fjRaOP7/xAwZIcwQEOEsObM9yezE6HV6IX4uo+9RdPMnEyG8GhSFkUFkQgI+jfMP
x8MQt9XIlTUFLi24h8x0y/ph2GKdWD1SZEoAwucyMIHDuZ0WGEUSiBS6kqi9bfLcidKHSQew2+gw
xau2qfTQKQSUKML2MEIK/QcBJ4U8urcKF78qLrYMZRY1zHuyeU3+lYB0oonSYvryhq3cUvztbBVR
C3215W2sKGkoZjlGqo6WmlLbsOImkeJStHBzRCz6bOOuWDloGPw/pF3Xjhw7svwiAuXNa5l2M109
VtLohRhJo/Le19ff4Ny7R93suk0cLbAH+zCAsllMJpOZkRF4qwGNghuAT5IAG4GYuoyuNCBwbkKT
kybhRlVAIzjbX3Q9PvTSoTNFbVt2fLnjDaQrpvIBqFdAVcdFqIYYTd1Db+K+sVG7AyXnSxunx47U
1APrdvbvdw7BiimlIr8FPIMrjJRaOmXalH7iMjK0KCv5OFqPtzduJXxc2FAuvVNPCgwB0CS579Cg
nDV6SE0IH07Hsf8C7lPvtrFVL2F9CrCloRnCdymh+QZO+HBI7rXls4+fQ5BG16KNQiWwzkvjO6nD
Eu974+O23ZWoBTztH7vctnWalS0WqZJ70rlaeJSs91ZEKLJmAssyEEpQuLh6iZR4Y0l2Nib39mgd
Q9rdoWI+TAIoNPudvPuBIBQDB2iqYGKOW0drDL1khzBiKkDpfJSmaIJ8zb8xXICBVwhT20jaL71h
klsdA5Jmcs+yRFA0xBsDCMyCPt3ejzWnOzfD3ZKtWlA83IB+iDPQ12Qbxdoru7jJPS35dtvSmsed
W+JuR5TdarWZsSBz3pChKZxMkqDsU6PZJzuF5Wfqvx9p1MDe9ucTsl90dh8XGroIkB5M7lX7XTeP
RuwPdeRg0Oa/WxiLj2dmbHPuWmSLyX0o77URzEmkvGfFnvRLCp3krGoE8XbVv/8si2+VJIOqdyZV
4d8LurQmbd2WcTz2+e/b61q7LvH90EjE4BLKcTwt3ZLqNhSRKJAxBRBaZv4GNbi9NDZBUnY/62Ez
SB/Nhx6hJLiUkojYZdVdgGwABhV0aAAdXH5VSKI3tFUJkGoWQH5tVXiGXGAMP8nAI41htQUcTj9v
L1hkkqsHgWiLLmMOk6Msn7IeuUgBcsYETB5tu4dGkh+F5V/EfIbf+M8quTACvs6iGqDPdp8aiVuB
QX/T5CrUjkaZEZhnu3wcUoHJVfdBNsce6uCy4fuK1QLC2IaBiJXM79FmT1CebA1BI2HVCGaw2XAU
Znx5brSJtBUGVdCG0fp3YDaj/lXYtlzdLTw72fwTCJMM7nRnVQRlCgkvvnhU3HTGcJn0g1Z4dQLW
qOwUKsgA1k/DmT3umKekjIqihr0qTh7DGopW1cFajnK8GZTWlyhkrdR9mr1Vovf16rf8Y5gfq7NJ
LYHIQUXBWt5DGXcL4RMfzf+H286/bgXQQnZl4rxxn9PqcgrqcQPYG9TDTWgOZw2op7a3jazdmqBq
hBQM+OwYd97loQZ9nxl3OYwkunyfNtndoNH32ybW1sEAdSi2ggIWDNqXJgwlGlF1gYkUGPkZEq32
K1j5/sIGCJQAxccvvmpWQzug7PU4RsbbHQgm/fK5cRJU329bWcsAgDf+x4p8uRIrHMBVY4SI881j
ASneqQOzXH7QiS64UD5HBflk5twSF2uNKaNgG+9wUUZhsycZlA8nAMl2XR9NfhNXjReqnfkoETAq
1lpuPCQKBCXG8c0cTehth8u0LeUQIgCaVXrRDBk3yAgs0IOUQKvcWF8tyGk4VYnJ+lYN7X2dxJjv
i7Noa05dD7EOTQN1Jx5CQwgZ6NsfcdUdkN8ymDz6/TxmhFYqqGhQf75fksQ1sw5CmMfYFF1Wn+ih
qy+I8Vq8XzHiDOzf5V6pdMF7LATMWYegeYeRQnV2LS1ncyCGPyvJq5I9KxpDPQPl1TxGRvJFTiB0
ZTyoxQ9IMHkLtB7aMQAvcm49AlS/kZTXkCiuXvhdFpAYbEFw6s3tj7NWrlVZEguSYrTKkVNc/uwc
ojmLFCEbN6q7ZMwfY0j7pUu516PEk+blfk6iY5cDI17UTDYkAo1y2W/rFqKUZuxBKP0wx4pPmYjH
7V+2um1nP4w7xalqJFWrA7Jt9JM7JZUTH1qN7v47I+xHnCduU2KrmQrMdpvFLvlSTx+FJaierAY8
TCYDrc3oiviBybqea/hLg9xweoKYpytJgnC3GiTODHBriNq6hVwZDIyZB+pTuJeiPKfhl9tfau2V
oJxZYb/i7EuVyVAWbYLH9mTtIbA8TgdwOmRB0gkccu1OP7fDvREaaKPDmRCIFD0wiTcBfQ1C0IbY
6Bv8ggfeXtVa4Rp4YBADAHaEA8DvTr9YkD2o4WVIhVRlcUcT87NTDsDTU9t6SSPf4ZE/ENGDgQWD
q2BxZpbbs5ISuVwgHIsM1rdAY6khoXWqZXLlyHRa1XaNSXZ6uRZh61d38cwut4vxGFtZyooYKj1J
QD5hYTIG4nTbb5BR3/62q7YwYc2GeNCh5gsmc4tJk1nHTg7mIetSCh0yTOVnw66lMQq+Ivpf9smu
PumZOe4GS0w9HrQGDmqH7+grgWjgtcwFt/5qBohBCFAbAtsJrQcuyNtNrunlhNkEhUJiR66iw2K5
8vJOMXGdg8Ul7LZVTr6ANLdokte/+Z7/2ObvsQLizsM0wvaYPdC53XVQVgISyKmsDzv+m2rX2UKZ
JPf5cY8G0pSViZkPglcQniVZue0Bm30s0iX/C1wuNDrApcQmntBp5a4gTY7KphxRiLqr9NpVKjAO
S5Ogl7LqjGc2uNtk6cEumI8yAr3UO11nuUzLp0m8EbT0aPfd3qlVVzwzxv5+FitxHOYSRNrJfW5W
X2US+1Q3f0m24d02sx68MP0MThWwDEgWd5oNCHB1UYORtEptnFnPThXV76r8MJTlnqRLUBWHynbz
HwKzbO+vThoTV9UZhSjgDJfLm3qpMPMFZmvaeiWEnPPqFRxbHZSyqsxRh9JR0QLcLrUIc7d6laJL
gAIz3pUYJ7s0TJDAJAtUNqCqkJuuGU/TfqRSu729PpEVbnlUxpxzozAr4Kt1iVnNHk0Rvm5bWfUR
IEEYTSq0C/hOIlCffTY1uHhMcNb2vs3IphdBL57t/9VGndng/FCrMd2QT3ikqEmksNq87i6ZhEtu
jtwJM0n/5ZI4d+xQZzOMFktS6cEa32UvTUUjr+srApEWOs2o7jIF4fOTlfaTHqkzTEiQM1F/6yAq
614gJ/YXLsAK8cDToadtWpyjzYZmxuOIuyTrFkAV9jMEUv/99p9b4JxMCRM1VZQWrwXzZ9kC8UBP
dS3MbtZcGYhRoKiAkQH3MnddkXgiGRlx3TftAZPIU+hZSeqhtQt9R6ea3Sk7yvmOSM2mCJ/yIiho
I/CJtbiLETc0h0BDCqIc9gvPQuGcLgNUXrBhGhwcDPbgH+s1vzd0r4gNb9HT17/4rmf2eJfP7A7a
e7BHcmuP2XVX7asjKWfBu2FtlAaje6qGKWVwDqHndbmuOsziLJ/wcOiHymvMoz3OTlUfUFQDE+AA
IsXIcnK839TCIxPoyV96kfYAWwl/uM9/AeejcSJVQzHjF1jFl77RN0tuu1Yi4uRd9aCzdXJ+WqZx
OkF8Ha8wfQPiOEsS3MuiVXB3v1otDWAG7Ds2Aab/cUeOpBD44PoagEkDbYaOIgfng4MyED3t8MS1
qPojCg3LjSp58f7G8f4Y4RwvAStDQdlgLgpCca0cLP1nRwuB261/rT9GuAib6m2hjgvLceNqR0PL
qyZ5J0Scr1r5RImBnhF8COyJdnZmraFOSktC7lcaNVg/elDotQPILRdC8s3tr7YaHjBUz4Q7AF+3
uGNUyWU1hwlMRbLhm9/InDpTudPH0Nf+6tsBcAVnZvJ8PKVvFpU6yloL61FLbhF+Z7DzNhcUvdfu
J4bq+o8R7lCqWqfj8kLmZyux4cjLCLW5cTY3qpYX4AZTRYjc1e+nM5lClG/YhMDlVsWm1UAOTIJr
G0RGARISlpigiTZQEW68wtbQMonHXFCZWRtcVjEp/Y9V7lrRorxaugbtp6VtDkq7uNDI3c4yqK3K
wl8Ge2/Og6e8a4O9mWL7F6ZDAlMP743kYUmTA+SZGVqJMcrcdqZVv8UMLPoNwJ/KfP0aUIBaWWwL
aTeqb6m5bbTQtdAx/e+scIvXs7ad9drGjSbhrYdOqf1qzKIq+aofAWfwqU2JMVjOyBgWUo5MN70v
FcsD+yOVQL1mz+4yCBx2/Zv9xxBEyy4diELJVJsJST5r5emgHSSzcyAy+DfR8Z/1AJZyaQaPSClp
B6ynsidPCe2doaVeJqQYZu5+dSeemeFuK61NCAO+gB2BKhs0ZB8wNm8nsdt3RzYwiJmPv7i+QCsJ
vgewFWCUlbu+cpomEklx3iMpmJ7kHGv6C3c7t8BdXtU4RvUiIWxF43O0fMzDsY9Ftes1J8D0CBPM
wzgO2r2Xu6OUVWqB7BrJaJHsolLbYc460SOBD6xtDrCZmD9G4s7IHS6tEGK2YZ8m6X3cQnl6mvwU
CAB0M2RSuKSGPnci2Jy14KgzFUs2i2vqGlv22T2mYtpXXWiXYv6njx2ooNNf4RKbrlUPllvZkBZQ
qPw3ERm4LuiRsHEccJVfGqVTZlvDmKf3mvatKja4TLfkix5Btrva3g5Eq9/zzBLnGfpYNFMRNuk9
HcYNm0GN6KaxBtBXIObZ9RjuJFXkjes28fzCJBoG9HkSnKEelVJdxvS+r4GZRmO23Fadmu0h8QxN
qnSSfDze/ThNDEEVfbXWAdqafyxzEXEu6VQVoBe9n5sZI75yCETxfOx7GdKCLtBhkICHklOT/ACy
W3DfrR0PJCeshgliKAyuX25pkWE0Vin1FCoH6depmOe9NkPDeTZCQTBeXSTm7mwQrUCSGFjIS0tz
HVllFiNTVcfKLylS7sgd0nKj/2hV426ovuSj7bXWr9uOtHZOzqzyFBLKTK0h15C6lvIx6u6KigBp
/DyFBwA1BZ9y7V47N8XdA/mogAyTdRFyQEZaQNrq5tjGUHsX6Q5+ip3yV8G5Je4qIFiTlDJ0VlM6
RZz5dQyA0ZR/AOCWUlSozGGTSpmjzehD0vFbn2+T6VCO70s5BKPoqLKjePVjgKMB7QH4VQB7uNzX
3gxzMypRujWayoO+1ZRXm9t7uOajUBr5xwL3YWO0xkAmAwvgHPX61PTxYYUPg3X/xBwg2oTINa+G
mCRqIqeMJ+TQkb7NMJFeShgmQs5JqTcug1OqE1TV+/6OZKKR7VUnPTPNHUKrkeOSLngpNNlGRvwO
J8fOG5DHd+5oCKl52IZcb9ifhXJ3lWXmOlJ55NWR/Qr8qmuE8aZrU2gXKtK21bbjBEJLWzp1CRHc
96uugmFLdE5V0MZfAYRpYiqhzqBd4btFf4fh621HWT2BZ/8+F2KqGKo0aQNEHPRvqqY5mcVWj0of
7NCChawbYlKWQHui885dhMmc2lM2o+KuKaU/ZQsE6+TtUmwI8Pi3l7TqGsjAwBjF2OJ4vIeuJcgs
GfquyyWXNXKhvu3HreXXqu41ohGQ1ZN2Zo1zxEhtUzQo8QGJfaQWkB/g0je+317RFT8BSKzBi4Kv
hqaIhecq53+2FauhbNVWQOqd0cU7UvsGfcrmJwwRx/YWuiRF8puqbgOGjw+td+dUEKivClz8L2Af
/Sx5qpGgZercWEGUfS/NTdv2+yGWHaJvTN0ZxsdFD/rlo8pSJy/3k4gZ8lPl7vwAwjwGP/FQAGsT
m+LnvrLVZwMph84KlFhx1EbZ9PnyjElJQCGeE/Wk0KMS+mHys8t/6+pLMu7nn0vYOnrmtcmbFKO0
WTmy2joN+oz1iNRf+dW95aCV9gU7xbv55w9FCRCFJRvNEJ07Tz1aqENYt1ZA7W9oxoHx1huAnbWK
5qjPORAgqWMnd3nnRg+qXbgV3c0QeuhG0EAL0l0+cnz+Erx+MauNQcUrsoUhlPO4gs5yMC6LYxaH
TMi+wi6Rq01B3MdEEDLbK2nCKFTLymh1K+ggfWt69o50j7J+TFo3rR8rQ3Pq9i5uBE0M/rz977L+
GOUccezjtqaFZgV28aLbP0aDQtJ1I9hFFoyuVoYET0UPEg8UjX3bM2+HlwyVVRIrCKWk9ozcXhwt
1+qN0ZSvRUdNF7wLyWZCUow57inZWW3THKWktx4Nk6DQU9ki1BIf1D6XDf9neramJvOVnVapC5Bh
YTc7cpTrLX0g+l0GvgQRSzmf0TM7qJeDsB9FGuTX3OdtuzrRQMloBWneOgACeUp617c70JCES+hE
48vtL722m+fm2M85+9CzXIJ7pVGtwIqPnfJexUc9Fo33i5bEHUmbQGhgmbEkzMB3oCSyqo3cgEew
9s37ZPBuL2jt/IOcB10A4A0xjcx5jqV0WdprpR3kAwHC4UVloyHkG3TmRBGZZay8j55b4kKiNlaY
cS4KO2iV6mumP8Vz5hSNtm3pxhzbO/CVmfV72ztQRAUv6e1VXqXTn26is1FrgMABB+fyS7lUIZQb
13agbLVlm6YPmflU0N5VlVMqg7ez3uv9U2cfKvWFhJAsf1XT1Ol3t3/F2rdmAQ6veWCp0PW+dB5t
1tS41Vs7GMbU7frQXfQCap94PliCDv7a6TMwoqWz9AXvMM5SUSpxl4BwO2CkFyhdzjlQA8ke1P3W
+OX2otZOxB9TV3XpIumSyR5CGuTSAcgYB0hIs7VE+3d9JhDXFNS9MStlQDOPO+YljZOZJHCeOHuG
ZF6RuXr/TW4xah5DxnifWY4c78f8u0nAulT7Nt3RflviK4MoTpCuXe8ilFhQpJXwf7hIeMhVNgKD
ORg4MVklvZUyE/UFOw8xx02mtiJx86snC25khFAU6JBSA/LOk75JtRx3UMzGTsq62wFk1WwXc6eb
cJy4cmegLB1N1DS73lLYxONB+pyHA2/YpZ+OKcbWpi6hQdfVTthteiVyx9Ntt1lf2JkRLr9uO2WW
YiuiQZv9TpIne1MUzrxdjH2z/CSq5BV4j902ueJDkJhgpR9gFq7588DWMksUYmhBpD4lCn0rYyNo
Qm07RL+y4r4lgoC39hXZrkFoAvPH6NpcfsVBqyLgERM7kLID1HcP4AqtE0FysfoVz41wQbVVzcVq
1MgONL33ZRWqFrvWtB2wEm6L5HGyvxr010wqwZm/wpExr1RwXxiMjBjlSW7zMJ5otUDZ2sFYBKWS
HKhde+oQO82+70unMTdjhKnrMAY+SXABrzwtLk1zn9UGytu2SGMHTVo6U/r6iCe7vJu8qHdosi08
65fdZY41bEzQMuki69cpJLOO+V4dgGNk91wcMrUYqX3Evrdc9E4xfiT9pj2qyq5YcJstriy5Kt68
LTRzbzuvyg7d5fVpI48CUYiG0X3c1NyhNPSqa8C9aQdd7Dy9RK7slO5P08Wkr0dcNDedYUf80PkO
unt3cmN32zx5853tjU7hzjs3FdUY1k7T+e/hXCCpc3UI2e8xXvURkIjQVcB+MeZ4qrxppeDmVFZX
j6I0VIIwEYc89/IwhXHbl4bV4TBZo09jPIhifVtL30Zqb5omcq1mQzUEK9lyGwqQ+uxM6tGcFjzv
9NadY0/qfwEmYmYEEH0gVrZm/HB7g5jfXe0PjiIeUkwmnOc5Q0s1DY1osQPQgDxEJAod6FU93bZx
fa3DB1CPwNAGxtmvOA1KOevaccZlYGeS09YEC31qy8Gp8bYVVY2vuqTsjGP6CXgDVPwsEPRefnKo
ApVWGOo4aC1UtjG40+Cm7VA0L51WKZykrxyVnCSIR5LJIcrkWgbI7ZfHaEr91jJBQvgSQp3o9hdY
uXxRWwYbH7oimEHnyfG0rImAbaK4DtWNod/Rgbqyso/bTnDcRHa4c94rTbvUEhIo0muo8BY7O1IO
Gp5uoiaPyBA7ZmcPiriJdDkBPDyYJ1+3nQ7klJGbC66JVd88+2pcOhjLZV7ZwDMHxpC+W1EaO1PX
vt7emdWr6Gxr+DK8hidLulRYCbTw6Oja2jaE37z+NBMv7B8AIrhtT2EB5urAWQxzC49gQ3qXX043
EymT55wGqUOeJdd2ohf0Zt3WedlPTudojrkFJ4Jzbx6CIXj+ddv62knEMAROowH0FMieL41jkl4L
ax3GTQgeFcj90KFTi69SqzjRv+1xs4N4bouLtF0LXq8hL5COjVtT+17nj7Uu6NysBXOke4z0CgEM
zZvL5cQtzShwZzSIpmdTgfYb0PvTHVX3snowRDvHvI3fOB1oXww2o0gGdMClMaMu5KhaWjCl59I9
khMMNZkeKJ0/jBjjsZZyr4w/G5Hwl8Aoj9Tp4i6ujLmiQT+ja1tHO8O+ayS8/OzC6Ra0vWfTdiMl
EiWdq3ah0Qa4PbrTYDm8XCx0saoybRoaQKPy0FU44M4yu1T22oMuel+uZZyAtfxji7sk2SRunkj4
sGHxu0pfLO1XTQSRZPWUn9tg8ewsXmHEMiRagvXoRuvkB2Xf+JrqTPP3JD2CXrYMRXMRV5zjn+5/
tiouFKuY27NLBRYNOp2G7qiBu13CCDy0WcPyqUJNWbqDfNX9NOYb4J4FmcdKIRmnD4Bt4JMgxA4x
l8sFl7lRLXMO81aSsAk2f85/VPK7Gj7a1TPQp3anOpLqZOkhnVWv+Isb/8z653acfe5lSbJ5rDoa
jMBH1YB86ZO5M0cvP+KdLLjz1m4JUA3gfypgBxiqu1xpApKtVA7x7MsiLzG9aHs7ZK6eBOj86Exi
BHoqXBNxRiDQex1hLEY255pd602xbrrlQLfD4E/fOszz6LLA6ErhB9vH/ulPYQhkTZeLascamn65
DO+JIYiRb1HlTcluWrwM4Hit/tZZmwrohvA7COuNDZia6/prD2mF22u/Iqj+dOKzn8E5sSSVZgqN
X1xWvQp8ktMbz0vlh/680beTV5cuerqyQlCB9iYi8KG14I4JJgPFCg0yzjzHamvFYImOEdznBFyk
byAGc1Rw6mA6Gkq5JSZlBWtdu5hBVAgKM5YLg9jm8pMnkVkkI9CkgS4Z7mTkr4O2B1WuRg23LO47
8EeC3g2z7qlfoRcjafui/4vrDG98pIiY22dURZe/oKhmwJoWBHtDl1w52djVtjLuaO0pyr0louJb
i7rnxri708IkxKjLzNjyOo6YjT12YST6pgp+MX9nnhthfz+LA6CcmcOcILQj3aDQV0yV75naB438
NYaOjQywTB5VktOPywY8E8WUic7R2qbCefA9Mf4DwCsXBmmvtlmUmzRIULvMNHcJa0/H86oEIx7N
77ph02c/rOpYxPYOTGUm+XLbq9aix5l9/v5OUIeQzcygAWn8rMVjc8qeanC6byp9eJbw+I9FsOvV
M2tpFo4OWJ5tPDsvv/ksJQkZFBvnZjS2eRroys+l+drQO6nMthS6NuVgemnmyt2POkx8iD8fDVtY
uWZW+J1HjovUAaIIqABwAUzppK6SppwgbE6+PT9H/d4C2my2oPzcVW45DY7ZYqhdTYKylJ9vf/XP
gUDOOnoCAKOCPlQFoTZ3J4CfrW4R00kAep33ZTNtwE6Bcgs2oHbtIN1a+9iHboAybgq33oneLWvZ
BvjawB6EeSmACa7G+PqxbVJFI8ztjSz1oniTa0+Dn57s1BnAvSl4xP8/BjXcgCizQPyGi9MTGPuz
NFNI0JqS29XElwcHOK0BzSWLbs3qt2SPrio8XSubjHX+Mcu9AuUcdP3YPRKU2fMkPyh9ukkxyUsa
R4bqDplc5K2t10SxKK6wSHi1vyCBAO8NAMdXxWxwlGJ+vupx5ysxaipOPjpg4O4sB0j27q7XFMcQ
wa+Zw16bBM8l6PiAEOCfTjGO2mQ1MDmT2rHBoI8hKDXU7/oy2t/23pWLDwQxGHZi/FaYeuWCZlf2
o5EQXLpDae0tVCms+C7PrR0ETlxZ/WqOwjbFSpSCRUyByoBsomjP7WOVTC2wFQrCNEEbBI2lefQj
6kzGPrZyd6GPijy4M8l8GWPuvdm4Jij3NVRwkFV7ifKtCJ+V8FUVZQBrOTSjNkUVGsxvjJX6MpRF
oR4rapGQYMiiN3i1XuC/+0RF4MKbTy4c0Epuw3ar5KNflyJlUXZo+B0/t87tgy6HYd/2EQlMuuRg
IiqcUQ+MyqkHHWR+Iqz26q5juhJkjBjxND6hGWdXZZw1ymjVFaxNmyRK4NZ5v5vVGGkGqHlBuuOg
Ki96Fq3kzmDjZfN24PJBwYx7ehVdT3rsJwHeY45BYAAhwhNkHkt6KihopHsbEpCom4EkuC3vlPpU
5HflJLgiVxcO/kKkVZhEMfm2jZqOGXQWChJMxtaqu41Zx56JljFOc6P+UtAyun28VhIfTDFaANIy
mA+mUi6dqjUWkk2o+ARVakieXaGBExNMUQxmKeS9XItTEK4xgMXCOUaZ6dJWN0k0TMMWtlCrcOHL
OxJJ0x7AKWBVsvIY2qACSLNSP4wl1IowjiO6iFe/LoNn4Q2BI86XQ8kcZXMfSSSg8Fw7Q9UgQsvq
rrdn8E+9RdnX2x939SaCNTB2KyDoQdvzcsULJvLALIvdbPM7iqnH9jcUyfVOPxWYztNTB89vSdRt
XDuo5za5HU1Be9SrMmwCmWgsoDr2+8GZsh8iJqq1bwnaK8QhJODYUW5tYzMMHdFtEjQGfSvqclNl
WuI1i5N9bxNX60JBy3bNHprh6Lzj7cm0rS6/ZZnKSp+n2LvedJMu3pJTu5V7xZXqlynf3d64tUhw
bosLtWkcS7RkfjJOixP3NYpNgnO3doGeW+DCaQ35+KKrZhJ8iTrFN9w2Jj5JRCiUtasMYAncFihw
olLHnTijAc95biP1MmrjOFm7cHqx6L6qU0eWa1wgvkjdfXVZQKFpMvSiWM/hcpN0rQSHOUALQbHY
XkJst6NDkKnSVoo2t7doLXChoY6pPZQ5MF/MuV/dy5VS5EjyKv3LaNwX5reI/r5tYvXGPbfBHaU6
gzc2KNwGFBrU1G+/ADZtpi4+YeGYXqx+2B+WqCUnWBdPszZZXUaXATZtkPP2vy37VA1vgnWtBeKz
dfFh0FAJCikG3FtFDJKyOxlMVGog0R3qxc1H+HVp/i1rAkongJBipIDhKSFGyaXkmATp4t6SwpOZ
jZK3qPrsLNBDdwULW/t4KNKCygAFAyDE2d/P0oY8pkrYgP09GLzaiVx0GJ3YMf3Kf3ut3HQj7UQW
1/z93CD7+5nBuqUQUFQBaakLe5tDGsn+MTSy28n2418sjcl4Siaq7sAEcV/QqqLOsmIDrVqMmKRG
uomX9/pQmkExxkiIDmlzjOzNgksGQ5AgqMSk41u+PAl+xdrlcv4ruFOnl5G9kMgEBCv/6MMjPXTf
GvsVzw83KScH3P7ShhjeVAZT7FLlHr+E9PcLRgFu/461zw7kP3h1mZAk+LIvP3sm6YaBMQ4agCjZ
qVLAQJNjvYAaLO0EcXqtdMyGDP5jir92jHCx8sxaAHGZQ9/SnBi4hENhJLuk1k+jjRlT5SktJGey
5KOuPTW9AGOzdhUZrDuGvTeMK7BCywjIigLvn1Y6ziQCE7MgGqxsKQ4mQ5kxjBku2MtvORhmaVpL
EZ5aEIMpcYiAgDsv/R7VeNK1wiRwZeswAg8iMpDFAAjAP86zCnphvZpFp/y3dlg8csr21iH30+P0
VMYOfQ73lpc4lbK57THMIy6eLwbyHoaIgnqZjfSe85hwBvd4PZjRKUPfVPUY6kBrHa1zdDDXmJt6
FGQrAnufmeF5YJiXYuxAx3yS4+LY2N8jCCaT+WS3XzA87DXFoUkebq/wah+xQghuaoz+D+I3Gnc0
e7kLy5Fq4WloMWlUaLtm3GbpY21rr5R4t21dbSKzBdwQUFFAeoO779Jn8rr6P1tAYQEqs61LQBNN
shViRkSGuIBuTXkfJhgMPfX0oQYrPsUDrMsVp05f/mJFeG7BIRkOmReEs1ChavBiCE/ToHrQoQVo
/iFZ7H2p/Lht6DqgsG+HI4AZPvQz8N68/HZZIoVRMUbRyciDZkwYs6+HIoen5eVhUuO7LAO2TXEG
g7jwEan8Llzrmm+e/wLuo0qo0ZX9lEYn4C8mmu7JcGiNeA+iSC9tU3fIoIURftxe9tpGglULWtSA
PaGpwGXvplq1mWrn0UnC47Irvmlj7Rp0L+xtrtsxmagvnphXSoVDS8GJOjGBmWwnhR8dan5l+gKt
0NvLWTtseJ7/Y4YLmkkdDpHRwcwQzn4FHlE91Z0xBQd2LfkweNva9TsSPoNnKytgg/Yfbb1Ln6nq
Ss/xCoO5bnZlxLC3JB4dGgWhNfj660y+pYnsCYxe1TOZUV0H9BH1NwBXlUujmDGtu2xGpC59bUt2
GMe+j/ZRG6hbQ9RaY7GJj86goEKJHpcCq5BfmqqrbpgieYxORMOQyn2Ig3Ck8StRtpHIET/H4a9s
Md8AYRmD5HJbFxLdGuZuiE53376D59A/nWTnZDu/NpvTfrPJndPm5Dz5T/vQcZ6eEm/z8RICpYd0
0nv58B9evj8EXz86Z3Dug9k5BO5b4D8sbhD5v34/frH3j3ezuzOd3jncy+7b7vnx187cP7rPj65/
EGzQqg+eLYQL+FlZ4XHEFhIG2kPnNDsN7CiC9Id9+Fsfi7s2U3WJwaU2wUaYIPcxegOJXihKCj6T
qGszuJqRtwMgzpOBtxA9btKwx20JmTajfB+0GJPcQN/NP4l0WLTYVfJpC3F51OXqcdctDaYhZ1dK
XxrjqegrdyQlBsJUD5iv7e1jwILhrZ/GuSZGYIC3Ig0C10H2indBzXH1+4ITCM9l7ZMp+tLxDTJl
cSIv0Skt7ow0c6JKEKjWDGAkESO/LMHDjX1poB9TbRhLGycr0xHaa4SqaG7+rQoKsgAM7rAGBASB
kaNy0d0oU8DbqYWk7sl50F1F4IVr/nHx7/P1GBqjntexf99MXKgmO1Yh+2Z3QsPAMXcflfliyWCZ
+ULyLACP/KR51eyk1V6Sf0dZhqzhL6Ci3JK56Dh0vV5bMz7sgLn1k1Xp8l6lo2gG8+qlzqygDi5h
fRprhl9uXzQUQ4wmF65qzP0qYEJSdxFEG9VHNXWg8+uC9fu2u19DlDmLXAVnBIVaJlNYXH4Cjuy8
WN7Lj9ND6qZu634jTujgmed0h6/3b/7k+r8s9+C871SRAOv17CX3M7hjN1pLl0YqjU5qei9ZEx4m
irOgkMn6TXVmABt+1ObEy8zeMXvrTlaj7dQB4XpHrF+dXLr6/KNS3qLwZZwwqLkdEq/Xs08Za0QJ
RCBB8r1ygV3sE3fMknwch9AgcND6zqokLwGUsJca1Ji/llkNNe3Sv71PK8H/wiDLg87eF2ketlKu
4fugxfcQ2dRrpTubRh4pBS64kizCkAY6EYwDA3/C3QDq2Cpx1KfxaZbe6gGQzMJT5RlHystVwzX1
N335dntp1z17tvfwd/DvQuwXqjaXa9OMpkgacFCc1OabbCGyy92ADqOyhZStS6i9J8CP22TaG/Gr
RgiYdR4WBcCgcdzd/iUrwRNjXlCek1hTyOIb523cSG0ZYu2TKUcegKrU0fNKROa0upVnVjjf6Qpp
Lro2jE9D8h3kxPq2j750hd82z7dXs7aTECXEx8UcC8TQuXwh7vEm6fo5OXULpryCMjzQoYDoxvCj
yCMQGdiLi3fPbZtr5+LcJuc91KAxyQls2sgfMfTqa37YH8tIdzNDMHq8ZgoIW8zmyRYw7/yQlVGD
8H8EjfoJbAzDvAHHPpCatfZAuyMRloVWwySY6dAnRFsHGIP/4ey8lhtHljT8RIiAN7cAnUiZlrql
NjeIaQfvPZ5+P2h3zyFBBBGaiem5mI5goqqystL+/2xhbdtKltvUSEvEraD6dhtOtcHui5DvXQ9w
f1jPitYu9WfB3xX0WIAzNFjBlz5ky7vusWj/dILyK/mp3sM8Vfb/yKZdBF8bCo09zk8INpl+MKT7
oL4L5R+hukbEuqR0NAmyXxPkEtXGyzsW6DAjCICgPMHRuacQRiObntwnUuHUaxX8pVsEayoIaxZz
9HQeXYpy6yCKBSsOn+TgNwnmcC1Nv6TXOiVbOgTf02Sz36+KYIAhiKOwcEyFdrwLx4cihnfUtOlJ
7OqOSao1YInpTs68QgZE4MshCzIl5WbvMkyEjZuNbfiU6owMKS3AUUcSoyu3Z3HnzqTM3mKViIia
UMfO6aFlJ7X5m0x9tPKSLG7fmZDZS8umpdCuNyFY7H/75EGzNlL6JpoHX49sM/serk1fL0To8BDA
/ks6k7b/OVyZ1CkD7hxbJ3kbwNhiKCUMtYWldQ1RbEnFzwXNFlb3WiVqMoJk47OoVVvJ4P1/Coxq
l6qb22ZuURRlqAmNnRTqvFeRKeE+EMaK21SXG7l9sRoKvYJjlW+h8Oe2qOuxPTJuFNbYOIl+H9Lf
l9dJjCwj0yNiJSBaPiVDejBL0SaJ9OxGwzZyx42i2dromMJrEKz1cS+cHbJhc2Rcn+s2z5KpsdrF
gozsVnnJ80Oq2SomXd/fXuLCbl5Imdkm3esFi0y+/9SYUmbndJ5CDKf0sd2P+kuk3t2Wdj2MOIFV
sByVWjbDaXPK8EEO1JjMevDUwBZ5cuGv34ixMThZnjZbT4zjrdZ1476XitwuITo7QUMaPvi64e4Y
rUopc2bZ29ARedZGE6xo1sLthPCb5D82eoqvZoam0j3JxRXG/bK8fQXQBWn137UKM07CKLjibqSq
/qFW0j+3N2XBvoEEOo06kLQj3zQ/AiE0chVo4aeuz79EUfI5NURbUda82KXEFrD7Ex/91NoFSPOl
Mmty5dWhEcVPAEgPcJ1ahd2MYWlr3qNAE4Fcezh8gGfBdITnmQsrtm9hmcAnc4foSUED5q9gq8hK
AqNB/FSGqR31jv59BBPs9lZeV5HBGjwXMqn7uas+GoZQW038BDxzMdiJrQp2+pgUdvhPtqm+yjt/
ZVUL9weBzLgya6mqFAUuBYZiGrgu8zBPZWlGW5RFfKgA7aJlLvW/GVJVfPLUxFhZ5lwo6Um6D5mo
BX0KF3Nej/d10U0CYC+eOrmlj3dveI8aTWiFbuxDZSVrcpVDn4QxIqNjbyFtoLX0coWK4OtjrSDM
E7/nTb+judWWwf0fQLcxnyxj00rfm3LTJaLtGpIT6StFubneTPI13SIimHpMSd5cyu911+rT0o2f
FBfw9/RbT5tIpP0bIRP6CseoUdmZHWNC8cOK6Bh/KrXK1rWvfVnbQhCunNviUs6kzF5JD8huQ4yC
5GmgftOxf9mE3TGssaFeBXXTlvGH1vMp+OD4ZlumdlXY1VL8FEXSrjJ7wfbTVwacoFOSjoa0F7X0
TkrMnSrUtm9Vjyah5hrjzdU47PtHQD1DXyFEWICnX36EJJVC25hsKR2M5qZ2N/1WcWqH7ndbOH7+
/ftv8tTR2XHbACzdDIsLgXs6QU7MK8iUVb3EjFGWrPZfxPFIohP9dHdSvM3EtY6fxasB2CgYpwCN
M/A7uxpGJPuiUk5LHJ+qJt+0uFck/aYieUxSoor6u8Dq7YKYZCziQ+7/Tca1ovniiiGo54bC3E5+
6nKbtTh1i9L1kyeRN8QxO55VD/doCxF6bbt5BUlN1geH29t8NSXE4U7w/lwWnhTyyDNNBglidDsT
qRpoLIL7IxsPcp99j2XH6sD20I9xtymlF8X6KWrJxobfiaFFHjVtJWNytfqpjE7zE3UuXAqqDJer
F5vMjX16VZ9NRRBhZBQdvfF6ZxxGjwSV1jImlHyUL4TmmokW/Z0EeEJ+ndkKQfOFPlKs4DmrB39T
+bJEX708rjws18o1iZEAMOBcgf2Yt/Go5QTIpSIG4Ja6+1PnUHsP0i6toQXOgSnovhb1yQ/aRyt8
DIrHOq5XbOJVJvh9oWdfMLe8dLRpXW0Gz3oMUk28EYZTG91rav6daljTSjblxRjurEr+1TPUwFzv
sckBO9PtWn4Q3APjNcraN02bex4MToxqYLJO2w5iIlPtlweej0JrJA0H3iVSdhdkYbePYkk6Ki4D
2oVXKvYYVhJNrVJtR52mP0R5Vm/qKpB3Yhkmn1TfnGZ167o7jrU02lbkxo6QV1R/ebw3eVK/+Zr6
U2jyxC6sINz6Psmw27dn7tlPADV8/wSSOI18zU924hSNBz2uHxrJbbapKuqblhcIQNLQ28DMvOp1
LwqkIQwzzCgSenO5adro+4JQF/WDT/kqTV7M+kXGO2rLl7bsbaP9UXbSnZB2e/drddf5p0b7ifka
fcO5vfD3vND56U0rBwcEMA7A5BmanH2IZ7Wp2WVV/SDr4p0nHevuq5I65aYpfMfzgq1aAOnnnqzW
sAvYwsf2k+dv3U9x89PT2l3uPaSqfsjK78we+vwPjzmetnoa3gDD33fDyltyNTD//rVwv/MxRCpg
CV1uWx+Qs6vjvn4gpXPsM9tq1LtYNuwhbhzwl72ocaTqj87QCenho5KO26rWNqq8SfS7Lj8mZelo
yaNfaU46PjLe8VkbeqZw15p13yPe+a4yq/DeoIVjPydtFsuyFmUjbh5iA6B+u+y0/DmVqkp05NFv
6KHyxEDdxKUeW3bjGf5JHuLAtYvebGwxoNJtMjILbKFaysGXIqeN2tYb1TyGhdun2yYppccwapjx
LNwwpStKMJNfY+jRvp57TfirKOBvsCWzzB96AoofflSKJG+hQOw3alqb4y5VIoUOgTFZA2ObLNDV
ysl38dozk8MM5eUJqWoA7JRG1rFSVTuHZk5r/6bSjxrambK8h5n0tv7OX5tJIWDOZO5IgslYezfZ
Z9GFNA6N7hmIo13LLdDUzc7mrG8LuVrTBBhMetaE1IBgbQ4wp0v9WIt+Jjx4gfuQxC7aVx4NbTxF
woMa1cROrvT1tsgr+4BIKooS3iewEASjl9voj55SUtEVHvTwSK33rqsfekLEQH29LWfyCi6OCzkc
yLQy4NkZ8L+UIzVe20ZozmPk2B9Fmp4eS1oaJooyjCoR/OVvN71VGPpAJCSMMLCb5aEsjlpibtt8
jQto7sXPJc0c2yQHiL2Kde9xNEdHFkbRFrr6t1Cbn27v1pW2zVY0Mz9xVbQelSLkqA18A8omT72T
5iWMAoe/4nKtfDC9nJeHM2EGMAkD97sM4N70OWfKPeRqZHg5G5jf48w89O4GbBXtldiglXa3V3at
4peiZo5Fq2RK4wOSDdase+xelGLrNg9R8gMPD+9hRbnXhM08Bog3udMEIo9jGhzNES8dnMscajR2
NGuq0QbE9PbyFg7ufCfnGUrda0bA2JCoJp+DiAqJ6W5G4A8YvvW9v7dlXV/di62cR1mt3ghqlFve
o0hjRtA5anufEmkMa9yDC0p/saaZMvZBZbRqjJwx+053gBNl8k5aAzW/St9wtS6kzAwRvnQPpgJS
OuFroJtfWzd5S135JH+Jnwt1I3jBi5wyA6eNzabTVzAgr63TpfDp788uwJjlllJKLlppvFrdnyH5
YKzyvrip8ZfRPjzX94D57Pf1zHW7ZBS8RzjLMqeXtOBzo8ud40llvmuLPHssmn4ti7x0boAK0NVA
uyVoojOz2CbCOHRB7T92sdjZIZ3tx8QYUp5kcU3UkgEhfTI5d2RQcNMv90/Xy4CgoPIfa7UIhS3Y
FHizcN3R90sw9SmuEq8EX7LI+n0BV+TWFb12DUNw4TpM0ZJBWxO5D0bvL78hgdtZ8YYgevS6Lvim
BBb9+o3bbaW+FpwhL6uVQuhVUpVDhfDWon2PqR9qD7NFZ0Zsjb1VR499mzqy7IL9SGqz7B2v7LbR
GO1D13UaPXiUAV27ffWXZdNUx5QHngJdR5eLLapB1UZNih7BN47fQgtw/kEp0hPfGUH1l0tgRUjC
trCEb7XUdZuiyLzD7W9YMK648WQjyZobtLbPll8beSgLvRI9ZlZbJLt+HLXPVVvSB2RaflbsfF0V
Y0dJizTYuEHkr03wLMnnmYQ3ic9gsnJ23rXhpoKejuGjOCig9IdFvNeaqn0VZY8hFOLzk+gL9d7Q
E3ltzGZB1Rh+oaY7edwAas1uFiQ9gxQ1TfJYV5L3lIHgtrfq0t2kmblry+KjDFEo2pRs4HKBbSCS
i7087CFs5Mooi/TRG1PQyAhns6RxCkwx80XSimrN10YTCsGpMo3/EamBtH8pbJSttGp7Ayz/8HMt
bhTlRxgc1/iN5/biUghFgUsh00SunwvQd8F8IJQPCth3ICKG/R8Yqg+CEtoxmO631fUqM/ouE2A3
JiJU6k/zAYzQTf2yU1zoB/svnfZJUMqNVZY2DSk7ZQxtIF572y+NfKtliuH4tZOkxTY30+qYJx8d
rHn/Fjxua8phcX9n19cVQimqK74lwKWrx+Ahe2fWoLOKuOz2uudP21zUdN5nT08+dE3URHCYhaK/
r+iVqqQ14KC50/MuAhY2kXqlBErZXD+t3O/0niKzUj3IvgmmOgkUfXTouSQf+HZ7PYvCuHWk4RTy
Ce/HfLYey2xagY7wCJ5T/63Xj7Va7gSv2QvRnZk3a/0b8zf0fWlU50CQxC+mhHW5e9SH2zqykCYk
zy4ziUyUxKOycuUWj4i3k7IoiAhgtF8KKbu8ijQjiO6TWvihhcbwSTRo4b+9b0v3mvEjLAkIu0B8
z/TA94NCi5ScNj+MSJg8MDuAe+/5VP3WZqmWNs3AoZq6VHl/5kmuyhrdPAxhq1KPkuukP9bICZZU
4Pz3p5fhTAU6msOEsCuie0PaiKOyTwHhMuPhmIP51cXh7vbGLa8Gjg6TAi2rmp2OVcStljbYql7U
IcBghDO0nDZdhYKabN55EDapGp7hf+TMVI32NE+IJMhG4vg+yirbF2vHqL4WHqgMbrIjyWL3+Z8q
WjOMi4oBQCilX8qnODSXu9nGcZLXPrYoZT6lqxy/+Oonv+Mx3NzexyUtN/4rZ+6Olq2Q1ZqHIUop
tQVP1Vo5dvGcqKWTIaY5murT5TrMiPQMHQPRfSE95FG5teKjb61NZC2q3pmQ6e/PVK/1YcmVC65q
lMIU/tu34s9SBLxAIxy7WlyB5npnG7tSiTNpM0UH0qDrmmGydcMuhSvXp0IZeY70Pa/2eibfD6P5
FIuf9Xh0vO7Zr1Wnqoq73NqOvrwBpy0pn5PmDnAcS4Is50XMaJY1arsvtJfbZ7v0nk/1IEbf8QZF
c7YtAYOTeqWy94DNW8IPWQcyhbxIZ9iCcFcpr170fFvg4mGfCZztjNlVKlMSEdYMt6u28k1IP3o6
rISFi6d9JmV2NSB2NvpARErd/Ek9hmyjg2h90eiHzrt/czum0QEGZiBdmefhFH8AGnjAPLeG+8uK
Dm3V//o3W/ZfCdP9PFPd0O0J3gtY9bo82+bQ0W8UNwfiQQu2twUtGhSdNCYNH1OxZjq7M0F+Aope
JcPFaIU/XBg5o+7YQR8RrtwOafF0zuTMLryYBZ2nCTwzcMD2beek7akPTqBw7fOy3Q6x48Y/ffm1
aQD17k9Wlz8Yofdc5zCekIzvs2plg9e+Z3YJykKTpVpng/uN4YeHTjM+Z0JFCRi4oJqB39u7vHgD
GAEhuKdp+ir6jNrS1YU248pZsQ0dedmONpWH20LmMdb7mzQ1odHeMoFozy5AquRWN4IMDnV9963w
1WdIOXYZ3HYZdRsgIA2AIm9LvMoDTSKBUQPGhZQ0DeGzmz1GpMb1FpGeqTBvdGiTowtvhAGlfHHS
s2yjwoFlVngtjm58vy18SXNxwyYWrndExNlys84aEiFOkS18Esb2zspq6MwaJxWblTzhbUlXAZCu
CpVQipyeNBZHPxV2ZvncWdonIpcVPVmTNHNfoGCswbtEkhXXJ8UanmKPTm3iRxG695XDW9LJ/+4f
uYHLm2/RwRb4QgztKwj/nfCjND/16T//4oxo0GO6dUKyvpIhwa6YJNwyEJ5V1T951UOUFU48VisW
+T2BMH99J8Sm/5ekXK5GKwXBE2XK3v1gOlAhWnZmwJayEeD8kir9t9cND3Ff7q0k+TSEspMY6bMR
Z598sH2lUTxUMPTEr1FIsdJjlEMy9lH33e/GwyBWlg0s9h35iZHqGTyKo7jm1i1fJPITmgGUxXXF
pUu9OGkCPj/txtdQU+wm2DPoJ5kwAGhOJcD9pKmP1ElOvlfbTDOs2OdFxaNiRt0Mh4w+ucvta7Im
7yjccZmgTt5LoanftVmivCmjVDyWQv5RJpZ3w0GfOL1xJJIZzr+UJ+l6HzJki/JB271RxUbf1SkZ
yC4v5MNtHbxKv73LAmJzmpyZMKdmit7qA/zuZN/vM/dTyyjCaJiZk8X5Z9h4jqI5vJpeCYtfu1OS
6tNt2UtuNMX8/4ieaWXt130+FBId3ZKVMRjUGk7fymsspos3mVZR8sbvjXezw6N4HOLrwYOr5cV0
k5v6QVxlGF7SEDIGNFjT6jJhb1ye2OiK+COZi3ub1nejkd5RPj6QVwM/UjJWgCKWtg02KwncRmDJ
dGXm/WSRUhVGKhDIy9FnAzpTOas+2uM3acW5jJkGyrWQ6n43rcerHCC36xF42TWfdHHTJteK6RuR
6aKZELNI5ESLLaxS3e9i70cOha8fNLsQqO+Paxro0/+RNDueweIoNNdEkvLXpOIvtn9vC1hSsnMB
MyXLC5VxS4/9CsQ96Tg7CkRn1YVZ26+ZP9H4RugaBquohQclJklUPgztThbT3b9YDCV0HYysyX+Z
ydG6rK7FnMVY5XMG2305vK6S8i4q8ZmMmX/iemYEUABKnAqvbRUwQ7TWUri4W4aucSyUg4057Vpb
1XFpJhFjPVG2Lat6XyvPRVRvPX0tSriaB+C2EOswrEQWFMDxebwOEo8HmlODiakAWZB9HDpBiCDL
1FqLNi3Zi05QpYmOH5fCRnXrbwy0PDRxWJ60Ngo2mQiWrqF1dmkK+scV8+LTZoppCH0fDhVRvtiW
TtcfayZhO3MlhF3eAFqrwWqEJhH7d2n+IBNNmr4RwnuRapmXqYfQe+2ANVcAQnDfoD7X+6NgtPTn
5k6gk184hZ1o+/LaAM/CNWTsmTACT4P+2TnfX2BIrWhkZBnA5NzVwtaKZEfJXj98PS6EzF7MIfXM
d+7e+4HUVqAM28BkpNYQV17mBf1VqV6A3a4xAYd7cbmnsd8HsF8mmHlQ+ZuU7ud+I6DKSrK2a0uS
LLjKpgFa/Jt5r44LV1KpC0jiO7aF4EOqBfekcdIA+b69ddM3z/xQynbMblBapQdyblk8mtZroSae
JiMebORaPRppmwFCUX0nGZY5bZB729sil1TiXOTM0Fi5ntSaRDZigIQ4d4eXCXPSW8U+WdxDnQ5m
Ok2VaeDp8rSiUvLSURo4rU7umCL0m0PRHvzmSdOATf8XS4IBh5lnBjbITlzKcgeAbiFsICk9vNaH
WPuyVtNaMM4T8wyDivQ5EqfNBEhpGzda7cX3sa+ndgrgi9Nb5Vp8vHAyF1JmCi7GeQG0TxDjM+36
prcjzGbdZyvh6aIUToWq6tRcOC8WaEVZSNIYxveuRFpxfIFh3qyLFU92ehFneq1RPv6PkNlS5NgP
EoYEeGsyo9uOXfRZ7Ept408gvIGaxdtaaAApG8OVCHJ5ceS6gcJhIk2dedCh3zRja5FlF6UesrOi
2mY1JXJjjVlhQbtZ33/lzOw7w7heoLdsYpqHByt9843OtrLeMdoVo7dgIBAEpg+mjya4+ZB0R8V5
DMoyvofR9eAmNUZCfZRj+dAKkgQ6+dqk8eIGKlMnNjgFE2f55VVSrKb0jTKNIWGXdwTGG6H5W8Vr
WA9L+T2mV8Ew1pnswmOfeVSgT49yXLGsrvcw4pJn1wwJGpH44EuRPYCK3pk/u9D45tWuU49HX293
URjb0RdL2gpV/mqmaytfPNKzT5qtXLN8zSV/Et/35RZ6HTFKD9M71jb/guf+fO3zlkYpa81hAGHu
vnVfe1c9SFVHuitz0n6XNGuMgUupArBr6W2FyGZy+Gemy5ermq3N4/tsEOq3JonDu6KTfKdlwMcR
kiR9NnOzeUkVr90CfRluTEn+R+3U8LloU+vbhw01TdUyZGFQ11Evml0bPZHiLBzRLlmTvwjwgNq5
AcVp5G1uy7kaZMEBJRg0REaFmC6j1eFSjU3ALEZLYI/dMe6mscQGw6OlJSSxzyXtPGJYQV3R7FtV
cVxxr0Z/E4rA0ecofu79FVu4dKXOvmXeN6iMbRT38EvfhxVRHW0Jfp9ts2TF5VwyFOdSpMsVA7Qg
Z0PKOYvRV/A+aJxu1b2ifV+rmi/1Wpxv7bzZP+sTn9w86AAQQ9P4Ve7/5DBLyrbC7OBnI7cbd/PX
XTHrS3fzfHEzs64qVVIpJuZCzJVtQhUggay+gFGHjqQVzZn8kvnL9Q4WNLVf0Ww228c61C1PEDmt
tng2qg01UwzSqB2l8E6uNr7wWTC2keSE7ecVwQs14v9FKfo/wTOHKVc63tOgY197dweeYNdsRziS
+p1evxcEmZm32yJeuSmLyjlhI/2f1NnO5k0Zez5crvdZqIP8UNmuC7jGWjy0KAWqC4CtdLoI5+2s
XpUMVcus3H08ZhsPWmyrexW6f3MDKHTT4wQnNQ04lzegrUqh1CPufCP98JVyHxHpVKByCEC3r4G6
XUEITAYG5g4myumokqjqXQpjhCsRWoZu7k212daydEeXzMEbd7X+2RLv3K7deqCDFz/C+l8cmA5+
MeCX06jRHHsvwH/3jKBK7t38sfMovcHeEa8JWTImk4Sp435qKJm5b1opJXplWMl9aei/m078UuXt
rk/kLzn9W32w5pJeeYsY6omWEyAVCejMK/iAnkyzEHr9yYDPHCIdUdr5+L+VdPJo//OqfmUPl+Sx
NB4ZcCBItamXh2cmdRz2Xd+d5MbKfqVGwESPJIKlQW1v16baP5SvzAM47KOzcskn63FhXVgpjZ0E
RMxsAQ0we43FAvK+Uuy6U93o4adE86OXPtK/BupoHdIoehKV4nfD2M89LCXtvQ92852lpGtgcFfH
y1dg28D4nq4LMfXl+rsUmpNa8PsTI3fkY3+koFDEVrG38pNIof/2mq9s90QEYsLVDPoaT/6c+bFs
tSj3IoPD7R+VNtxGqvZAQ8whSPWVyOb61Z+aoOhVoE2NoPMqTxennh8NBqLqb+qxexAcwwlevdfo
ASDaR+FYvmY/q5/Dy4fXh9AJLwl2RMYsJrt+VhJXhLFPSsPsTwP9fkOXORaIAbIA47K/1qGysJUY
nQn+9X3OcB7nDmNlNllSD6c+am2rOMa1b+fSQxq93V7SpP8zLdUmjKsJXIYcljVbkpFkukRn6nCS
w69e8S1cy3NfW08OihZJUh7kVMUr62lRWkuUyBxOWRnsBOMtlFKH/jWAMdN7M043PtiEQm44o/yt
0839x1c3MYnhgJLhIaifHZjYjHHGAPeJYF92ai+hHTQuevu2lIWz0mn/pEIGIvI1vnPdS0FJp3J/
qkRtq9ficxmID1lVhnZJ6uq2rAV7Bp49eTFUQ1LI716uiCnldCwqj+3U83ZTt3qxafOupGdZTn4G
RiDeZxzHASdK3N6WfPWwg99EUpzAgvY5xpmnLztTfn80gmFItP6Ux63tM5yLOsKT8S+EGFSRmKDj
dZ8n/kRFgPFb9oeTGLnQfWsOQmT5oy7mtJKJ9neCBuLkZisZpFpUoiYYTk38JwLsTCI4gePMXNmw
BdNLUmzCKn3vQphnkjLZU8umEIdTrP8yhJ1GVSyOj8yDO2a71kYyKfLsGnO1pjALjHHaSKbDOzsc
TRFqF77f8URhYZ/k3pd2TI6D8jcUZUeWHal8bfR+xQlbUghFow2V0iI9MfNpmL5LhYJPwQTroe2q
z6kZb8iVrCj80i5ibgEro0imXUHHWfQc+VlgDKecBplI2OaV8ice8scmN05dnK6c2YI5nMqKIDkD
YIjZmpnDTFTLMirH8ZQGTfkHLgNANOnLMz/+kEzI1EyiTlPwPGGXx1X1sZ6FqjacAr8CfRUYkOeS
8YinNsLaM/gurwwuLVkNhsYt/lAhoERwKU+p1c5yDWU8SWlyEPOT4gu/2tIujWhXFeOu0oIV72dB
H/EFpqwcqNiscmamqrCxjEj1xdOo1VtfGrdpRAuV8qZX+0TegjhLdWpF5IIVRqRBTzmA/piomci6
CSshCRHpF/6utpIt7Hdp8UcpVvZyQSEZIgYVZQLf5lGbXbVhNEhi6Q3YV5UEFMoQqj8yqAt2ue6b
eyFWQWca3WLlIVs4wKkMQtsybVUTI8PlAQ66FlSpIY+noH82q2bnxifAMWzL1QgbfTtJD7ft8NJm
nsubKUxODK5qKQqjQZC4Hd1tvQ/XnrKljTyXIc/WNDDj62bqeGq1OyN+Bnpwa8l7PX7I6zW2yQVT
9c6hZojT4DKpsUtRKSgOaTYkw4k+qr1Q0VWctNuyc1dmyRZ2jRAKazi1vU3ty5di6r6o00HNh9PQ
S6EduOVzL27Dpj3V+Vptc0nUxG9Ivg9jRV/QpagkisogTVLesGlKKnoVwK2ytUremNoaOsHS5p2L
ml2szBhkpZEQFWsvUiTZvCzuuGIQF3SBfj3KcBroaTQozmSAUyOKddgPJ70BwFZ9Un81Lf0QBvgE
KwHhgoXHtFMwwFCAeqPOtC5hBT70A8PJzRVboMNUHv/cvjvXbUWEjDhnOjlvWhDxZS7PRqh9WepV
icV4+XMWfHK9A2ATuXhXdsG2LXw7MI6R+OW21KVTYigK24feYXBnri46OSaJL/OkaMIA8tV4UJQo
sOGhfP4XggC6oxvNhM1ufpdCJVS8zmB1qIMHwXRYEslb4fa2lOVN1BAxBa8T6eLlJpp6Vw66wDnl
WbgZhL+R+0+3C55Sp7lrhcdhrUtmwcBScsG/RTOmV3kmrvZIyBlCPJ7ocNh4Is2qiS1EoLHJx3IY
jr6yBqa3cIERSNRggqbADOJMoCtmox9X+XhSQd7cZVn2Gvg0TLj0WOzyUf61sp1TnD9zEKehWhNw
UvwOZF5upyV7vtH01XgqCrU7KhMJa0/V0DEicKBzRqbsQQ0LOyh98xQFvXJQxCB90uGfLu1gsOpT
lIzpyou9cBUpveME0fYMy/N8KkuWRmGQ6xpnC5ZJfFQYlRii/ij4LE4cUtAgGK2nwvHsNpI+Tj2v
aMZTdxSfh9+ufXtnFzwdCxdOBU1kovCbJ+lq0QTiIetwrVxjX7rMFb2Y8a/YiO46NxaZ86ijO6XP
Vm77gr1kXhYPxCBzB9/v7LYLDaZENwa2Tu9BF4eBdHhJUp6Catw048/bS1yK4c+lzctYXdnIapK2
6OrR+Fa89YGd7szN8M1snOxulfJncUfJ6fAvRgZLeqmqbl+gwxU7Whr1KZfFAxOEh8LVvwzNrzh+
0txXppoelGpjjJsiP0EhI3fhPbPLteU5ifaSiL54CID8v70LSxeW1CWMmgRapLkmbT4LsfxRH5mo
RY8U5UWVH8IutNXxMUw+vtkwKTNwwfvEQLiiyZdyPLNUaIDFEundq2p9NqjZF/FDVv7VpPotDFQH
kkNXPwrux2NIBFOuA5MSpkgGJWeCk7GJDK3glKufhQXXOu6t2Tq69qf84Wu2X63Nyl0fNE0cEzkf
qQxw7+YTJoOo93FUlDiZYvqIjaQA23CC+X0DZVXR3YW51G1ibY204fqlnMROHSSTI0BV+nKdnTV2
qVFjCvX4q6Dsa+vzGKyY2+vXZGpPwdaKQOyRx5htZdnEzJf5iMjS7TAEm6FTbNV6s4aR9sts5364
z9dAHg4Hw40kuUCmuFxSY8SVoKmYAzGW5UOmUvklgvF/SHmwkqC5Lue/i4IYjmTyxE4589TqYVR7
npLxlP8CE2CfCM2mUav7su7tuvA3XUtI6aUMWPmnvnrs6uI5Ge91NXYysIMo9wNwEq8Nuy8pEgpr
cl9owuOfy+VHJJMkH+Csk5R8Z+bEHnYNNVH5UHn3NYnGlSz3kv5g7mEkI/FBDm6mP6NXmHqoi+PJ
zUA5+cuAYrNWRLt+GQmdz0TMFkT5pXQjVWKTu6/t+FP5eDzEMBBTORQDmfST54isdaLraTHFynSg
7zRF4er5zZtgBB8dPEJZqHRiNElZMiI/s2U1GGRq5AXE5HQ36/uGPpO7vHzs957+fNs6Xz+Il5Im
/+fMOo+mgS0tkCT7sh1Kzc6ygg2zR6fB8zeuteK5LN3v83XN3gKV7KE0tEgLheMfyDQ8xdFgNhP2
txe1pGk0mDGtTF4DuL3ZXSsHLdFqc1KDNNy4cb7JKf/1wxpu1HXjyHRMDMiQN5kqKupMo/tcK/Fh
yC4ImAw9sDulAfx9AKXCLzad/zu1ys9Snz91kbdXBLsKrJW39QoqE96Qiy+YKTx3N3VxZ3gK6nAn
+NX9ZDUtzzoO0Y4oJhbrtzjId4G7keMtgEy9uNZyurjXsD+zz7ReXeGau02ldm3NHoj5o0mvQabd
C2t4nIsyIEfBjSALRxn0Ukk1oY3hbiPjoXf/pOMLM0+rCfQly8E50s2AvlB1md2DTkzrmncCL2XT
HsrX2/p47QJxSmc/PlP7RAWAfDT58Vo4RtlL7j+MOvOa29tSFq8yLWmk2PCBSAhc7pLsUa7MAxff
tjy4cBMJpy6zw9Jput1tQUvPBvErZz7N69KSeylIHAxXqnMEUdd5EPzxKXajP8z2vynywXXbLzLR
vW2sUQQtKQFpDq41FmSqF11KDYW4jToxEk85BIhh+SDITyn98f9iaWdCZnuoiSF9NFoonvrWegPj
cZv17Q5oAic3ZceM5G1pGLski1YM1pJdJI6bKpf0nLK6y7UFQ0Wyviuw9+UX3fikF42tqE/sbBgS
L5Rfby9yaScZ26K8QmmPsvPMaMhxPqCsSLPq/lsleCehr+4TIby7LWZJ68/FzBaVWn5dFH4unoJ0
Cx5xEp7ClHz2220pS8pIo8D7FAVv5dwGe1akUHEuwX4+xNKjXNj6sGu3cNGme89fMbeLGzeFq1RG
6Xufd7QMhaoXnczzpcnkjn0PVtWvFs/L7RUt7pulT3BwExDRvLPEatKiYjRCPJnBYWBKq1WeDCpt
bbSSdV1aDXA1gPCQLgI2fPZ6la7ihWXV4sxgJFQ/tSU2TAp/fnw151JmylamcB80fieeuuem+iMZ
34RhL394bodnEM+auJ5MqHkFyh3QvtnGmSieBvk4DPtadNxmHzQrG7ZkYFEw6jLM7FEEnTb0zFcS
OP18GBSRydHHlDWoTeX0nmO1w3a9MjlZmsvEE5D8E8w4/52wUGeJp7SXSXD1Qnsax/8h7cp6XMW1
7i9CYsa8AiEkqYkazqnqF3RGJgM2M/z6b1H33u7EQUGnP/VDq1XqbGxvb+9xLbjM7ZhnTlbW48vt
07nG2EBNRsW8E54NaIIutp7g2wEOPUX9iRcnbr0PpR9Vp5LdEfVDUr6AwjHKjtMv/WnI9kV5SgH1
Qac78pJKxySoMJiUO5Grf9c6r6Ebr8xKJvPy04TtlqemscGB0J/A1Hmg3vO8n/wP+c74uL0Faz7U
xRYs9/HsWLPcLkEqCTktkArm+yHOHK3yLHtXaiCideyPIQ91MCK+bdqTT8fl+pD/2X3hJc1x9NrQ
Q3QNRG8Z1I57o0Tq2VGVo9EERfYVnKTKu5QAeTnyo8JNXyvpifmAqqkl6tjPs4lsa3yXB7O+U+1f
rbqvzbt6vo/xP1cOOD/esmcWO2XLg0Y6lgTD27MTlRsG6zPhcGsZgq4Sa+hrrbf7E1CphxSk428k
Uhx1eGsV08lRabFAioR8U5f48+Am06/qvikqP5ae02yfo4M8qw5kfDdYctCB8/qu8Key9Ay9dFqm
YyLOo3PuGp1TkrdM+t0AczkFqkS28fZ/ViBvLWN5as4UwUxGy+ZjPJz08gnFwZF5s2Y6Zhws4DOg
qXSrt+RH4dQHC6imsJcdEIkfjco1cQr8RNEjkwSp9SC5efx1Il5vH8Cb6+XZl0p2uXlqH9NwPMRH
dacD4c3udtg0B8dSH5XipfKrJwkElNOjHhI7LLK3XHoY5T1zhpfxC1ecNH/sH0CWVanOiLE/9U6O
Hm3Atts7exNecbHJVxuBziYAMn0yWAjnySYiNSNSDicgZqHlbyqanVnz+VAARtElY6mesooWTqyZ
j3Qqhtei6TJ3HKetQfNP2JfLD/lke0EOGjCDSJwI90OhPe96gLueZqgLejBdxehfe+S7kVl157o9
kV/c0sF/lzkVV3bUNneafLCnv3LDdrJB242GMyHHAkoTmrp0yHfAGAuWZC9NcofLDu8kt913Zh2Q
JbOPOVlSnNrGDGRzo/y9uRZhU9WuUjmzE/Q1Sscpca13I5BwLapH7RTnuzEm6MHdjWNgd15aAGor
QbYYpcnqkCuP2aNmgdAnSHdpv69yN1K9vvpZ+ckRCUZLC8FbhOfCMf7Yg8P2o/sMzs7C+iBiTCas
Aja2WQynv/TDk/b0x3b38teFDUm1BEElxa+DRQhnUfuFum8J+tbBg41qhqQ82P28a6fio9PuGkDg
z2aylbv9HHy/0jBM1wA2FQEN/O/LO0+yOpOLLhvQUTI9SrL0BDwwpxqSpyo3jmU6O0yt0bwMM1ah
YDCpnszdKKL7SrWfOzK/JP30A/m7+6QmpUP75r7nUYCqzXMUFzhUN1U0L8bsouTboxKU87BrNV8j
J6t7Hkq0Q1umG/8pFCyg+hZAcw1jk6C0vmoiYbLWF5SUwwm0D+iBzLyq6FHs2EWoedw+w8/A5Gr7
zkQJF5TVis7ruB7gO5jPdVxiaBc9K5UZAhXkTTNSj5YS+r4tT9am+36g733OvPK5TX7RpnWANhP0
ZCHL+DbUR63QXdUY92oRbHzltS+FDVk6DODkoDBqCIccxT2pmmQeTjFNLX+Ser8ES4BXxKbplVKb
3VVS9ICecdj8XN91ksG9VgeZr9RMNniAS8WdG0nHxes6n6OhxNcBQ3GXxCXAJ8ay3KWcgO+6KJBn
mU2EjK3pN6rePt9exhWv0Oe5wpdGNz2gKYAZcamrGHwALIbdDKcKoI+WCtDHDjihUmUc9LnfN8aB
kP04fdNBCZjcczvzie2UyuATZToweDJD/k3l88bjvwgVNADdNSjioQiCmUKRdxMTcgA+ntGuPZDo
ubT3bRUqse53TRGgLZX3p2RuNzzDleOESMyBLqVJuKzq5T6MHPPGdi5DZF67c3YEfOS/WRR4D8EX
h1cFDfeXElhrDRL4L4ZTCQcgSfat+mCp1G36PUXNuTtW00Zf9nVoAaaxM4GChmJEEuDeFQQO4IpK
HYIRAmM/Gbt+68au1CQXSSChw0VAVU7sxa7BaDzQEZunWEFWZQF8rHvjIZYfmh/1l56CbVDZMBKL
Hb/SkDOJQgQYURIVcwyJaRY0bvUD/eYHkKzcvhyrQuCyoMH2s24t6EQX6zkxK2UAL3bkFNNfdiT5
afGsJf2hK/7qtwoBq1p/Jk5QkFIvZlYlWBM9DPeyCTq45iBloAHaQtS/TgbguM4ECYoxqfrE8wmC
+uxNrQp4oz8t6Q4gXRt3aiXauhQkRFsdeB0Ki8BGau/FvvsVfRSu9lvHfKfTbBQ31lXwbE1CwEXV
ucUMOURlT/WTBhKJXecXnunXRzwg1sZV3tpA4YWakXdl1ghhk1s8Y4x/eASKxG3dW4kgL/dO8GQy
DbUFq1727jF56lun/d5/7bzkKPvdAQ1t3dcNedf++aU84SHIE6NuKvgSp9bHcAB/K/baXr5LHOlg
oKN4C+rhOk90IU2s25V8tCvdmgbUGIK+e2hG6OJWk8Da23au52LzQtp3rZ3KuL9g7eGpWwSg2yln
bz6pYEk6IvJOTtKe+LLjWf0u+WvD/K4uETqHWg4awTEEfGnvpTEtSymC+cU0wpE2sPSj4pRbg4Tr
enImRtBFOyuKVJJwmePTDAqOX23ljcg09H4/+HYSuxOH5U92wLdyN1ygrQUKGmpJqpJly5Op5zuS
7RNjT+Zp6xqsXjVklFENA9AUhqAvd5EVXZy1vYpwoTyAYv5OO1XUMd3ssW5Bq+RUB7qTQcEc6vVG
5L5uUZaZMRClw7kWZ8ZaoKuAsFiDiiIb0qtz0L3bRrWzyhPJB6C+YuqIfQAzzR30aMO+fPaci8/b
AmCDCcdlukSMUencNqyNDDxvPAl1um/Mrxbt93p5N8uPhgbQ2fh7rTt6BjQs9V5JU0+PT12zH+rX
afk4+0O2/VgP/hwkFpSewChA4QXzQ+gHEqxElFY9IGIpBk/SZzb8lua/puHLhiVa06t/ZFw1iWVq
mrTouwHf+p1hBsDW8+kpeTCdMQDcVGi+OMNB29+WuSpycTaB/oU2ERE3SJZKkPUoWNY0fmvUh7Ha
61Z4W8SaM4Em/L9FLJ9wlgiytF7lHSawTtGb7s5B69gP4zHZcsXWfIhzKYLRMQAqheAjH2HyXiw7
d8xM2s8UDS/mvpYPTRtsgoF90nKKuoq6BUIH5PwXQurLhalsKEqgSowngGXsqiDeobxgPfB742i7
ddAfx6P1lH6ffXMfP2qH25u6Zh3OZQvWwSpKYsxziZmyfY/qCabzjubbbRHXg/eLyqPqv3QQgZBF
rKMVSAApegMZtYd+64Ac0n0b5HvLZXv9WfILn2yUBBb362pDzwQKfmAh5/rYMggc3NHZQj5a3bGz
Hxd8v0YrBitrC+xYMWDEnT8q4/dE6h9wght36rP76NY6BI0f62iKwOMynqQXnz+z12YXfwPG0qF3
yGEO0iP38qN54IdxTwP1PXuwPqKH6dQ8bbiGq3cbbTWAVQG8Kab1BP3MIr1Vc6zYALr3A5UMR2Hl
1jO1nMnVWjVwbIBzAN1PYvmaoB+RacuZ2X761r7oR7ID4HSQ3tUPzaHr/Q2dXB71W+KEp1fLzLyq
SoYpx99NYL+0uHman+6UEwuGp+E9eaDfXpD/3XjwV3XnbJGC8c/LmaamvSgm4PqHHdol3YK/5t1G
Em9DzGdUcWYpC3ksu8qEmJ4EUv3Sz4+z/jBtZebX0kxoy/j7yMRGNQC9Y77HqiCGB0XhkT07mNxx
Sg9sG55ybF50B9x3+ZOxA1Vs2B+VI/n/7afo20wxqIRJx7Gf5rs87pNEcXIwiFJ9w51YvQGfEK4Y
gEDDybLhZxuKaVHZBk3oeOLzHk2kqGNPWwOpqzbrTITghYIES24iJPhPo52hO/VBwVZu6Pxiy691
fgGi/c8qBJ2vUtZnE8EqinDgTvlhqA4t78v+GV1zv0wZU6PomN8QekXai/QYlOQfoYLKm1ZsKrTF
upA9jx3t+3w3fSP7OgAKnm/dyz/g8Jo/suCofSCckJizBdGw0g52/gHoMr88O73txtxuanzA9Agu
9WPjmj915jQDkjkOJt+/dVsA5be1BRmxS4lTU/dyyrDPgIQg0j5NwcO68cKtmy+oogKqUWASCUdZ
xJKp1wbMF8FEh/mliF/4E7CGnc0a/qoTj1v8tyTh/OSID03U4IrlX4Yj0HB99cCCKGAucEr+lVGG
8wW6NLTuIct3uXFRMyey2XUwKKr3qPXOXDna+/Awf7Vjx7yzjsNPs3OjH5WHSLeMt8KV1RfoTLpw
yeMoKXXJgqZmhQsSl+o3yNrIIf6Vqw6yjOSF/2zKzWLOaqACsJ6/1yzc+7RmKu/R8oM+dVQ27fgO
NJBac8geR012Ca0dMoWlfYjp18T8bicJGKL9aDik7Y88Lr/G5Vs29g/tpAXT1hDRcrJX5uLsywQd
4wDfqnS2nEb9VVcl4CTtZstRf5RpGFM3/3eR6vlWCKpWpcDknpUeqhbtNO4peJW5e0AZHs8lKj1O
Gdyxwktf7cO/MYz/rFTMpSiRns1zhJVm/ECf6inGKN1Xs/bj/rVWfnL6V6/A5SJhu9lrsO4bn4kW
bEUn2RiUynD8chjdm2HjAs3dZbvBIw73xmPtqBuWY/WdORO4PBJnT1lrG3IaDfJ4ikmleFwaMZUY
SdpG6mbVAzmTInjgqarQSc0GLCsLatVREFvY+VHfjHSX7bmho2Kh0JiqPI+7xdQCOeKg9h+F/Ngp
upNFjsbMpSxfSY/a1G+8aovq3xIrGCr4PLo8USwPuEm5az9EPgmm1uFfbyvm2kOCmWzQo6CoYmKw
5PKsiqhOMtrO46maUtcc9z2D17gFA7MqBOMqGN4DwhUkXQoZQUhbZo2GyF092kwBhV+oGlvDMVtC
BCuXVIBTMSIVIa72Je6II5uHtny+vVtrmg32+r8XItirjOl93KiQQaKXKPsugejttoA1g3guQDiO
oR4wJ6FAAPqryOR24N5hO5MfMCgyVhhW23iQVteD3BUGHFEEx9Di5cFkrFE6pYI4dpDcLWiI1QM5
+3HhQMbEyPIK3KCnPEBJ8F3aiEA+J7bFG7IMC/3v44XDWLKR48jx++p94YTj4wh6IoeH2TcljF9b
9zf+w799Oqum9FykeDyEkKG1FESQ6RtwgNCYFx1bi7tdYXikAUJU8wtwZ+X0wniNFkEZ6Kp150zx
x8Z3LFsnLB1jKMvCkeSzMet9eW51FOttZum4UDQtLLc3NPaNkDQ5ZuC5j3c6NczJSQcZTWUKlYuX
KGE60CsyRRkPeW3ZQY85ZepJOpdzwLIV5GgY5XjXGnYXo02MbfXxr33vMlOK04KtuZqBIhmhUjss
at1gTLjsCulHxUFcqsb25JaRkZysWdsaBlkVulgbsEphyEkseI7qKKdAfEdE1b+pwze7OXCmI+75
yfSX2+exounLHDlCEECmoe1i+fvZg9eDm4UOFJLyUdM9nSdmkKl15SIwsDe0fmVRwO4CajoAbxH7
iicfa0zqdBldteB+kXmOec75DqRckXQ/mcXr7WWtPEFodkUzCVIlyxiDoO2TXetRo0dovO/lr8i8
otXKflhG8rTqQc5mD0Aa4W2JK286RqxABbigTmi2CIzdo1KE8XZFxiSDHfvFnNseAbndoQMEXAN+
k/2/ELdsJBLKGJsVY/ukJGU1lOgetgGZqaFIIrX6PpfJr9iqt56nlYPDXNIyy6JhhP0KdTUlBTjV
Bqqc9CoCeHDtJuPs5phkN/X5tW63Sk5rZ6cASA8NIxgVwpz+pUpyllhmi4Z2YCnNfjoFbVPbXgqO
ahJbx8Yq37mp/Prz3VwAXrCT6CsHQOilyN6KZTkqiHzKf2uF9rtoOegmfiiq8ftfyMGRoelEwSy8
mOtt09oCo22nnArQE+TTNwyqt4rTNHzjcVy51TAdiHwBDKxg9FVwMBWVG2Xe9gBarJJ3y2b+MBse
4E83lHCtAI/pYYzXArNBQ1QqHFXV5I2JhiTlpEpsDg2jaL0CUZivjMq4I3Zv7aaxbX4RO5MAk9vH
h94gW6iPK9q5UAQvYFjgl7oCV+jUfIxT1ApPBO2pbd77lDCfxPF9a6u7JP95+wTXIv4LcYJlUfSk
0kFfoZysTHYZipLM4p4+focJtWm+N/EAmXrsjqXpJyAi/XMnC9KB848WR/Q26kJANE5KxEvgsZ4q
pXKsCE/eHO0Hm6Bd+p6xPZX1n1RiG0OwKxcS7zWwbpa5GxDyCEKJrjUNdh9aWyavYNQtv5a9dpDk
18qgvmayja7TtQM10NcIAAsIBLD05WUkSplEdo+GXQA7eWWG5vKI3aU894smBqGqEW0k8NeWB8cV
I7gLyZAsotiq+azKFSjHT3HizjIqoWgHjPl9HwM5ur7L0MByW4VW1wcaFYyFAYgdVdjL9bXT1JkV
as6nau6cBfjYvjNoGhToyi7ULXCuZbMEdwsTOX8LE5Pd5jyMhFuNeup6zP70CsdAE4LaIk2Tp7bf
4lMUnPKlNgEuUR3+OCbC8BQKdlQBH17a9DQOp6ptgrmpf+dzrP9ZjL4IwbMO04YZY5CGiQPwhGfS
INkkCR93we2TWfn8i19WL09GlmwFVSX8suQo7kbML6KYXn22YJOtFhifcI2ScEq/YprvYOiP0jsg
zEvgxNt09jX9YOSvLHko48lV6/tYxUSf6dbE9m+vUlCJzw+BRwTMRUxdYvps0c8zl09WiqbJkiYL
Wz0LkpTmu7pumcs0C7MB6RZT9oo03QKDtYGxEDAVf7aYn0mTIgX0jLq64M7PDuagHCXpPTnZzXT3
x8uCe2mYGITFkCewvi+XNXFQsXZ1lIWESBhAGgK7mL9nJHetWN14XkVghGULDRvQnEs3IjCLRGAE
o6A6ARdjFqZZ8jSyj2Ley/1LR/f9+N1Aky5opzPlUUU7/AxaxXlu97KUOnUVlNkvU6IbjrXYo/Of
zyE4y2WkENGwsPSy6JSpkfs8nOBT7dMmKzXHBnuqw4bkaGd2+TyOFgYN7dhwM6UiGDEAw8TQowEE
W5m4sdEU+9unsfZNqFtj+Bm5ahg5Swgs4HQkE5Cx8jAaKB4K+zEn3W5CL436WtUaMLz3penUAyJA
IidOlMwONbeOaVn3mfFb9gUjiQifZMyEIJBaLP+Z7k2jQROwY9GwMk/w+x6yHMxY+0Q/VNahUaGG
6OU25a2+MMH5WqQClQsOiY3mnmWi/1JqTuuYsB6nYQ66k4ID3GK/u2SLO3HFVsGBBM4jsA4WwF1h
bbDmcm3wlIapQkaXg+/UAQPFFjTxmqaDEBL2XAO4NRYmGAuGUD0yyEDDSC1cNfFrA7nDpD2UBtAB
SodVk0v7xGWYNFDAYlKTU09/ooLt1Z2E6Y97JK037rlYsvrcXxAPIeW3NMiD2uNyf83EYEbUqjSk
CX2xIwKOyvqHMfhGaf/grHenKHKkKZi0X3Xptfm0YT7XNn6ZpEVXPvCsruAZJWkozb5KirAEyehO
GafJN2Jly4NfMZsWCoNLmKAuQbNwpbNMLwelaIuw6KkLsIvDNL/ORfYiFf9qPfC3bB0jlQhNhHep
l9KiT3QT21lWfiMd2njLQ1+7EIDVRzEcfc5Yi3AhUmUeNDVNi7CuYtltBvNHNHYZ5p0x3LdhdVZu
PNxGFMiweXgJxCg8pzOvOs7KcNrLaeIOpp9PwWiGUfrcqU/S9Mq3GmlXFkfQdYWWfmRPQMYmbB9G
dIDFx3FQea8aTtr1kmNL2kFW324vbfEKBVuG5wbzA3D9Qf0mKgSzq3iq0JCHsc7X9qA1LprKXPut
7e6y+rnGDPltcYKTulyyC3GCzx/VmTXTqSxD2ahy35q03utY+yudxhwjQzYmX8ifzgD9V+YCBw1E
RZyhINPsGyVSZsjMlF9zR31DZ64xh6Cq33gYFgsh7qWKm4VePCRr4DJcWhAWRYWk06YMYxAyZrav
TLvxDbB0ZVs4MghPbm+lvqYiCJ6gHIhPEdYIDn9UkkxPhqIKMzrHd1qqp7sIgeqTiq4vT54J+ipj
efTaWFV2KHjqPq+B42xJ5uSVcT76ei9jjtNQmVdLWuMbs6w5Jtdtd8wYGpxGAI8CSjDx1ME0gOWS
VSe5aJTAjgb0IccMWUuz7fwa9soHPjqwa9iUH+qMZXcNTw3AAaXqG1Vmy42wKQ54DGDE46R8zrlC
93UxxgDrMr8MEm+9WFKTY15TdgQXmPzYzMgRc6vrNryHtQMC4DkOB+BoyG8tNvjs4QaVj1rgj1U4
6QUaxSOl9OHzj65hZRjaLKji97VVv9m029J7Mb7/VEIEgfDEMYu2GJJL0clsA00DCDlhZzNHV9xe
UdF3fBgwB2vs8zrzuLw8d8wHFeThtqKs2Hy8KAv6HuQi/hVEM4nMhLdZFQ6EvFT2F7AEhtZikzfU
f82UnMsRHlDV6NTKiJIqjLiv5W/lo6xLSCa8kwIoQP33dovId/lu8bqdyxP0H4gaeqxQyKvTv0j/
PAA33D7mtHIYtOf2Fq5dNWCEAGoF84QALRUUp7KAQNUSuwy5muqHnqQqgKHIwzTQ9tdtSaubiPwy
pnxBYI3uzUs9ifqiomWBRen9XTUa4LfHoEuW3LfdD2A+fK3oY2NvhJAi8MGnboKxBHkf+HygcBAO
TkJCTdF6CQYy8RR2iNPEIfW3VH8d1M4xaLaLi4AYub8wW0fAZ4PDnTlGgGAaaOpHsMrAy1ZTr7Xv
JpkeTQxqdUg6yOT19taI5a3/fidab5A2QrpKzKi0CbGTzIbBY2AFcmQXo6hV7cLRjndoEn5v0MfU
OUntYIry5bbotVPBpOHfkgVXA1h1JI2MvArLlrhsxkwjy725yfcSGXwW8Z3Mky/Izm7cqDUNB3gR
EKfhs4HFR9Bwwgsl0TJWhaTMvaYv3KT8ndo/TPqa2c+3V7hmGs9EiQgoHavKulaxt0at1XgaUldX
6HBPzJG52ozBX8ug/dHGjPLG1dpYo5h2Ge1GK6Wmgk0ey5cZsxGTcsc488b0nW5lWVePEcj8iKDA
G46qyuXlyrWym82+rsIkSh3GH6s5nMGiQzIgRqQPA72X6427JbaZf+qsuUB9wpcDWJ7INo5IS2Vm
l7NwVizA1wN9ojSKwlE0rrvgqJ1Odm/EDslnaY/yxxi0SVL53C4nIKjNIPY005/zgDn4huttQJSe
BmXE+kDFEx8BsHDD0V17KjBNi254tKfjndQuN6i35UglI16paLQBU0SL4kDoDDTjSoqB5FZvlY/X
7OoSbiEjCxBaNBEI8sjM6CwVLBz9w+huJGDXIjqYs39+Xbi1M6Wjlkb4dY00vjK85MUHNQ5R9Ghk
j5m67wCmQmKPkT3Zmpr4BBgT3yakrjEMs5QOELBfLqxjpT3hErGwndkuyk/IW7y0mu3qKdlxtXvp
8p9M80DrPNbPnHaO/TTT02Sg4w34ICngJhIQoedBS4cjWOvciB0BxVJI1oaBubr1AKrTgBxtwLaA
uccSzlueM7NKMomFAAI+KagXjdE96e8aQOPxKntFY/pmy/my6Vc7Yy3FsIWNA8muy51J9LEBwvKI
nenjfp/UI4J+qoAiTy1nYJmp9Jjg3QOy9MiD1jCmBzWbin2qdTZYnCN1S0cWDbv6HBgDoNZaCE7E
Rhy940qXS4yFOqiTuRI03IniQ2kdS8mdnzVr8jAPn/+4bWzF/txPqwA4RpSS8YwtafTLTUCGbGpn
UrJQThWw9zlVoxzjnzQBWm4MrFw2Fi4fyV956efl6Egkvh+GwR3YjNdfeo/nZKfzOGAAgAFGMQEP
3+3vW7OTALvEWAyiXYyyC5/HDAmgaGPHwoENaMNTbVdqosnRQYV2wOCM7YCNiQZRL+k7qauajUyI
OAD5uTs4CfS4A0kdbNeL1Thz01sCum5SchYq6HcEnsxYIOeYkbj7AGZIcTeAFi12tXou0a6RkqDv
OQA/7B4NnG2WqcyZMBV1kvUm/srKDjzqUKj+DiBSbHAN4PbvJLBJfdzesVX/HsVj3CX4USBXXCzr
2TebmRyjl0KGHqnTsTJGNOVHaIaB2zvEu+JFM09JBJgW3R3mLTBisVz6n/0C+iDemQXtWsS5V2jc
VPmoYr/e8xN1CP7R3Axu0L9a4z9yhOcT81m5ldmQYxa/reg+ISaa8p8p+5hr4k5NsrNNRyHNg73l
6V8/E7gl4GMxED8tRNSCNeW04SWGpliYEiDXRI6V/Cw2EUy3hAhvERnRrmLkeC3UMEYPdP/aRPcx
6BL7mnlZFhT0TfuwjLsc/ibFAGMFJ1Ta8BaWMOLSGCE6RMEbxfWlr0M8SG5wDP1MA55DHRXQAvg+
Mj1sHOJ1KguRIGCXkQNE5wUu96WiLjSmPfjUeKgAeSfXuUMr3UEh/pAWgPFgrmRNLpe/VNHG2q79
vEu5y9/PLoic5ANTAIAXmuZpro+jstftfWa5oIi8vcK1c0RWEKwAigYwDlkwXkWlEamMSx42ho3Y
KekiVzI07hZtvMUkv3LzsCg88zCHSPmglfNyUfUodZEKPKiwjOu7tNXBO9M4FvqCpBjPFWcBy6ST
GlUHFEuebi9zpRIC2Xi54OEgJr2CtuHRPPExnXhoxyYgfRkcDUtOTGcoQEU26u7Ip8przAzASk1D
d+WIDhsyDc0BtHLswNpqK8dx5UzgLVs4r0AvhNAVebDLzYhg7YxpkHkICsoXycyezR4gOIn1ozKm
Q6mXgTVuuC8rHh6AuZDRWzobES+L3rWh9hFth4qHfZPtrKRwbZMdpiFEGl3lkzfAtUYhxs3V1isn
dD/+KSAATC8+gCxggfgX5hOFxIDWtUWK6hOUzezgWaL9JqEmPIcJwdrGeV/75peihFcR04/VnCsD
1lrNf41jBlfhdzzQ35gAPs5W7dbacIc5N1fWJ2D3FKem110wdsB/kQGfEoxsC+tu7aKhUIRuwoUf
FFtxed5dzm2eW5SH9Rw7MogqUIntN2cU15YNUp8lewtGYMQkl1JyneZjh1xPCPjDfcNUp5HtX0xn
gcKb3cYWr9jGpVEDBRgcKOCPhQdO57KWjp1dhySSdlxmrtyTkLboDgEhhDv30mtVSY1b8vzeTPzb
wldsP6hlAUaDCgNg+MUAHFWHyprtsg7t6LUyf0zWhoeyso/I8QAFHM3aADgV21+YKpejPHd1KKPL
VQVi4nyv0vt4a7R5RSkuxAhGING7jhkKxNTvmqc/da+3d2n15xW0ZH2m4lAuv9SGupm0bu7mOqTa
4Mp0N+Wfg4H/QghcT1DdocKMluJLIY1spZTxsQ5nwDPwJHUzlOCHLUS/lQNHEfcfKYKy8S4GGFUH
KbWnOxtv4Oph//PbYlVHTvvWxEnUYVb0vkUlV9Z+c/UbSf6NUp3JEX2mWE45HSBnbg8EbCISOqns
bM/yLeCVtdfus1kUkBZLQ6CYupdKANNllYqrSdH9kCDDDALMvnBSydcRPmPKcJmr3MP7TN76fosE
dn0/FyDx/0gX1I6mZT5wCunTPLqahhQjuslJL3kxqCJuK99y7IIPaHy+60CmQspIDH7KUU+jqqEN
lM+UfY1LdC+p/RjoaDehg8KcOlVlL0du8N5U4nF3W/ra/QLQMrpjQeeLNoNlI868NGZZ6ABUyyac
6udoqn3aZ848VRtS1t5thEho6Vq6SdHUIPhoklI2nWqyJuQpQIEY7/1KA7GDbGHaHbwLsYSZs2BK
+ME2Oy+bNd8wpOD2Slcap9DiANpyCy3B8Fcs4ZarFhAnFFI3YWnEH4zcG5GF4qe8m0ASapITAFwc
VkqeMaiOamEIkSv8TpoBflvHfm+8KslWMmZ17xHgwGU1QVJKhMuURCapxrhrwhS9PSBN7CmgfuaN
hMeyqiv1OhMi7HwMCkNNUvomlCSACGPcmUwPWv2NxM+KfFC2mqe2liS4CCTJVImiZy+UWuZoQwde
FTMs1Grr0qzdzyU2/N/WiW4YlaUMvngTtpGjl682mZ1WfS83zdDyel3vHkEvAHJFoBwSXrdeZnrS
YWY8RJTktJ26i5MDj6jTKPoOEHW3NXR9Uf8IExQ0LSpwd8QQVpq/bfsjJm+oWmtIHt8Ws2ZwlmK1
rsHLWjrIL6/8yMFYa41TG3LER3L5ozfee7QKDuNezl/V+JRX77cFXt/+pcFySZQA7Rk072I4n2r9
rBqxVMFr5246lF5jcIfbyQJcYMtBfpd1fG+As8NAp023EYdeqeQi3LTBrAQQBcwJCcslUxynGMJi
IbXf4NBlAGRqevVP9xR5VRVbaStwJ7Urouu4nQx5Nk0kLLpn4BwfOtO3or0inTTae8lW5+rKki6k
CZ4EzaUOuHgGQ59eqESdO+ipw9V5KwBZFYNgx17mq9BvI+ycVdpRFtmEhVxCHsYaTO5Six/HWJYc
xGAARtcyfZcg0AwKjJHsVUnFcAXtNL+eAE/cS9xBimfwkqXaflulVj8N3WRL1L9MyghXxeakyZM+
YmHi6vnPen41t2D1r27+cqJnEoQ9nigmxbQMEpoU8SQrfQ32khrO0Mj32uZU/LKVF3bmUprov3Xc
iOuugTTKEpQP5IOegYWK2G5ekXu56p0a2cU2SxxYB24pwe3dvPJMBenCQWMubcYArMVCQ4oqJzHn
yE0tttUusJyJuEa0bi18Y8hdKsZypmeuBmBoKekjrJEU+5kFmRH00gCQrAKlv62p+uv0LJaEZx4k
iybcDiQTL4VpbAKd9Jjz0JjMY53wn1b9wgdlx3I3i73aUnbNNLRLzW3HMzW8vZ/XaaJF+sIXD6Zu
hHhiB0Y5YfqhqLGhiZ44avVb73Sv0tvXxKjCMZPue0s/JkP8jLb6jYtx9YZ8SkaVYWHuvkbzm6uq
UIw85mHL5X1bNr70rW7sfa+mh9trXLuBaKpRQAoB/gmMxl1ucJbUE51rJEJkWndezInmJqRGmwSq
iRtrulbP/yPtvJbjRppt/USIgDe3ALqbZNOBEqWRbhCy8N7j6fcH/duwQZxGaM7VTAQVnSiXlZW5
ci3OlsXlS/mEVod1daLvpl6ljb7y0jmdndGoEB7VW3VnQHtWlMsBFbmg9W2kV94o00toV5V7fcI2
tiTpSWpuJuxOgI7+oB3e7H8hTXXuN6Pywo9wxqPBbdpDeoqspylUHN0/jtXRzCB++nTd7h8Z2stz
h1024sJkiUyVsfJkY6sasdREvGVqGaxMSNirjQRMkYj4WJJKMtVoPXbSJBncAZZjmvnN6YbGCKKD
Pn0FuCvAA1KXL4oajoc6Fz/OeVzfTGVXOIM4ZMdMqI6VLxIVqeJLoQbhQzIZysHgpXgYfLU/RrUp
2YIh7HEfLl/+fmQccAqu+nvszDxXvamkISkUpT7EdXiQJeVYtC6QuNbtWljt5W5Paeq9F1tm839s
vqPlV/zBYuMHtSd8zl6Tr9anzs54M+zEE1ubkYI8dNcWg+PJcrkZNZocEjMrSXvMFtB2EQ2Idhar
nbfBn4zdegIXrR26kqGBN9deUsjrIgWLUcNFQNdS+nmcGgc0tgTahuTRqS1jVxdQEzAGVwwKJwjm
x3CO7XYQHDP6AT0+e0Wys8IpyfYm6VM53NJVcBLK6p/rm/i9W6NqTQRC+Ags5h1qNVGyktJ+VntZ
8gGmhuDVV55T6em6kfdXPkaISCiTmEiKr0U+gSuMs2WSkZP956qd7+Ood7pQvSPj7Frhjijme/+J
MRjCQaAv5BNrJETuW/k8JjXpORSV5aS6EWOf0GpPanjTDGVCmlKX4s+6OBK2HFC5EWuvjczGnQsz
ouCjiDc0ye8JeW1OH+9YautgLUnYXe7ZWvFryhBS7TXyXWSJ7pjfhENqp8HnoN2ZvK2DT8WHNmjT
WAoxq1AiiqoqiCej9rpI+JkBDVtIcgdbrIF2SGTKxfKziErK9e2xaZTiD01IIKfpGLscXzEXAS0O
5ISM7uT70Nj0kR19lApHIYbJjFPS/bxu8D2WiFwJN+t/W0SM4tKiOCOwKOQ6G/Ik3aaC+1lx1ON0
TFwkDdzCGZ3abg/1SflgOv7huu2txXxrehUS+oPeltkssJiCL3zQrOpbKLVuWcNdYGRDfsgCxdwp
cG2atEiCLf6OnPhqtLVRBXm85Geq5FY9pLjwVqIn4xRkeyLiG/EZseHCDcsJ5Em43j9qZEmUDUmK
TONXtIdUJ1aPcgKdnnYbmtqxEl+sWtuJYtbMGbgUjFIqI/bDvxDSXK5mGTQU0aKw8TRor75Wr8Xr
9Bo/+dCOGIfRmf6RBdfob68v49Y9AniS1y+Bt0Gi/tKmGcqtIhVV44G6AGzTulL35bqFrVOh4zLh
DyB1Dh7i0kJWB0WuSmNDqPsS51/H5ialN8IKD1KuHJCJQF1tL8m0dQXTJw6KCatENstGehNImUIS
q1OtkDcLNMTF46I7SS+pVbtGoHziybizcHvmVndxE6Sd4ftq44nNZPuoMveVfBST/FutPEjyGV2b
nct/0yCl1UWDaOnPXhlMg8IQulJqqEpp8zEwE5OozUxOSZ5nN9YwtoeipS7mJyh2XV/MrduCCHFJ
1FBb5XG9mlnojBuIkpjZplsC0rA5BkacuUWwy86wtTOXpisUkQlA9DUSrQ+rcar9qPXSqagOMKNA
fx9wa1wf0Fbc8NbK8hVvtooizVIiwvzl6alvR7F2UMOXIHhFuGVnzTYNccku2K6FdXr5+xtDettr
Vut3rVeLlSMLoav0r5H0ubX2DG3MGyRF8GPSMMr2X0fzUWnVSWuEvSdn8XwQky5/NPwg+eukGfI5
oBiRYQSRZf5pRXkzHLQwhjDo09bDz7+CAfLmMDqKWrhzpW7sN5JySxOcDJUL+dzLWctSVIKV0mi9
Psptyuo2s6bAAnd9E2xcLGCA6bRFP4bNsG4h7UXVn6wo67xQD2VH6PLYKYfmdw+88pjRhAh7jL5H
K7U5MhJnRG9Lespa+agkzmQJqRZsRt/b8EnJHoXo0/VhbWw5LhFquyadXAuQ/3LyplJvRhPAm9eI
FMLSQZNdoQQ/2iWG5jZA0namcWPnKYA8eO5TjdVQfr60B3zImuRQ67y8sarj1OrzrVgW8uH6qLYW
izOkgfta+pDX8jOaPxu+ngwdWaLZkfz6vpg1R3mRKsg40j0ys603+UKPpPOsBZ1Jt9jlmBpofcIg
0gY0m6TxMWwhsbKEWvboxkSijPesE1bWAP2YIB9TMZLvelnvj3VSyDuOamvY1KTocCb44UisTkKl
xtS5jXjwpFbPT6oALr6WRldv84+ynjxNbO+da20jKw/Ejlwcrd70lMnr7jWrKZvGUoXe0+eIuxOE
qltD0X+0yqSl1lkWj12biy6xhfDIfVOeswCCkEGkaUQ0hGTnczbiiIuvWV09AsmksR/03htbsXSV
wm8PvW4hAZ9ZuTsmSnTXwVyNEmLT3Ul9sIcs2rhzQRURTIC3pllrfedaVRsVWZYNXs5Fa9TmV6N5
QPLemdvfczXfhD6Eodc3+uaA31hc/v7GxdKIaQUmSFfaj5tT0X+pXhO/vlk6qRR7NO6n8PN1exvu
grQr3ddkBan0ri/cgo6D3NeL0Zutb1LuDdYfTTfKgTvj2vB8ENKRfaRlZ6PnTjF6Tatja/TiuTp2
MNdQlbvLpX+uj2bDCqVc2BSBlJMbXL9rTXB3dSoPk1drxr0i0GscqOlBaBtrxx9teD1uW5UUCQwy
Bi+/y2UShzaY876bvbjXES8sjAbCMbnaCbzeW1mgBha7j1uX/678UKUPU2V1Wu8JUQFAs7bVPTjZ
+wnDAnhaHq+0ppDLuBxHFQZCEPhst2aqDlZFZ4RhxI5Q7amIb7jUxRAxELACYjtxZSghLO2lsR08
cXoQlPC+KopHfY5flkKfbJfzlzz85Q8/umFPBuv9BqdKtbxDkMImcbZ+P6pRKqt+2oze+COyDj2o
p86VlJ1LcGsal26iRUCCBdNWp1YJ+lCirXb06qlyM7OliblwWvP39d29sR0A4lMkQQYAlsO1zkfT
C7IRBM3sicFTWaKiNH+/buC9u2Mr0KnCr8PGxjPjcjdIfR/Xeh6IXm0Uw6GMRZUcij4+g+5z80zs
3RJu2cM4aNnL3xs2yWryegN1x8VzadhoNClN5kgE6m/a9XSETVufBXginagHm5C2O8d3Y72o/7JS
9MOS6Vx3gEWmnwxqH85eNXa2ONzoSW+P0+n6oN5f3iSjgIPS6MtbGw97OaiEFBU+IZu9YrrJmu+h
ojqJ+LSk9LVix9TGJl8otAj7FINNvtavn9BuGBSrnunUMI9j2r/Mg+4OrXYyhPn2+qg2NqGKqBzp
ZyZQV9VVSEI+uDYjsRc9FDUtx+jE0K3rqty59zcWiPocbdKcWR717/pfjVQCFDWKXpANTp56c1A5
Rrwza8t2vsxzLwh4mRiHCohBLXu1QFEttNAvi16VHab5SUhMJ4JdO1RPitI7beYfZPHb9dnbWChI
znQO74J7IrNzaRIsuJ8kmiB63aiFx7jJEkeIh9lOoLJtE0vcWayNLUhJVeRBCAIB97s6V75UqWql
V5KXPdZa7lSGcfShsgPPNOZ7TB9btiDjQaF9eQ7Ia1AMhLZW2fi65JGJj6LRbcbIiZLwqZTPw4fr
s/ieNwbCD8gOJODlFsXcPyrib6IkZZK6uE4b2SsRIfXHh1AIDulQ23qdnkrx+9QgGR5AECMd1bx4
SHv/IIb5YR7K2y6UHsugP4q+9fn6R204z7ffpK52U6fRPFuMpewlZXSYI3f0j4J+B29mZr52artz
QDaSlUt6jewaSUNWd92jOYbmTFk3ET1Bv0mDzPaVj1GdulN1NLLHRHilyEun5vH6GDcOP9cD7Ko4
tQWFvRzbN/MeFbUKzW8ueW02hfZg9CMts/6entXGTrqwshyiN1aMTO2NuYklbxlXodG5JbV2Xs9O
IE+2Eu8Qvm1ZI6HOPMq8fCAmubSWkfIKk6qXvEZCybx0ZP+BtuARrslmZ4dsHP7lXYWoKYlXoqDV
7MlaUooQFEseRJ0HLe4TO6zi3u5UIKx5upfO3tiPpE5kvA10sQsz9+W4Km3IB23yJc8aGtfXg0f4
OmLto9R/lYTgQRi861tj4+FI/EhPEZrCdC4RcV3aG2ojSfMU1IRMQq3qP87FbyVvnRypXU07jIVw
NP3vXZHcW4l13/vjacf+hjcnfiWRy2VLxLy+MmKjTXUzqDh/2c8pDj5PsnmsMvFWaPW70lDsCRhS
UisnIqdjLInf0HN3Ar2/rQrPMITX6Bjely90nF//rPc9nrhd5mRh00I9jfW/nJYu7bOqMkgeFG3t
Kik21efa9BAhTs0vMdqGpP5NClXJr86yA1onamDa6WtfznYj/ooGFY7I0vWtvQ/bciB8GCBfoIWo
QK/XCxlqLQAyxnzxeJnqwI6DyY2j0jaM7rDwxE8qBC/pdGo6dWetNtwIMnXAb4j5CMvXWEOpGlK1
NQfZ6zpU6Xuhh7JZEfaqHFvHjYYsSKEge1maSC9nfhg0KQe+JHtq9WkcYldD5L4GCgCN9+H6Im+4
kOX3AYaDDXvvi5sY5XZTyWQvR8QyyQIXtAtUP4EdQb5Tmv/KGlGyieS1xWP3clxZMCrwnbBwWWwa
x0rjWRPQCnscR8G0R1IWv4UhzP8+kjB0nh5wHwIgItV8aTTS9SQ0jEkGVPFJyw0XeDSy4A9D2530
fC/r857ig0PDki3h8/LeWVORqHXYtYGvy54kzIcCYu0ODhk9UA6zOLkQKTi+Xt7o0WMQfbPK+K4b
fpbSzaBAQTINOwd4axeRGIGagPc3zaer2R71QapmeZY9c7q1ms9D/zE2Pkz5zfUdtGlFJWVh0ITP
jbOaXqmfLGNsBdkT4/RZ6scHpc6Kk2a2331L3wOrvMe8M71LZxOUe9Ql3rVsTXqcFQkey8saMt/1
CVkbEOFHrUnuRrH5EEQvef+jtA5th4qYJR7ktHXTzOD/Ddeo9jo1N8bOCVWX14RIakBZXRxzPozw
8KaqV2Qna0Qain4ObfwIj9X1OX7fPAJO7K2h1SQHvqbkKXr2XqGehQGESpC4UycgZjneK3nyYTJf
4DWp0SmQrQPgx09ZI+yQHS9X/OrJAYkLgQb3Mq+b9cMzNvq5hE5B9ebcDw5RW/Q3flyLDvr1wfH6
cDec7FtTa/CoVCeRWMWj6mWFeC+M6ccEFsXrJrZWbulNAe8HfJN358opqLCiZpGqemLeai+NTIk3
Gwrhdhyn4ajuVwG27LGEZJJ4FdJfurKXZ+gfDpwer5/yQ621rm68lprqBu1OoWtr7t4aWj7kTQQq
dWIS4w+YuwqGmDyyB3MnXNraCBx1sJJ4OJoIli94Y8Hs6rQf5UbzKAZV4bNlAJveAS5tHXMKAP9n
YzVd09SUhpjVGgbGw1Q6YXNrCclZ8pvjJN6WMljiuXy0Urcbny2tv+vqp7J7HcRjTdPL3++Ut5+y
mlBxMvsoAz3BDZkeCrlxlkmNrPJg7d36mxPLJUUgr5LBWqfsJ62ZeDMysWkKF1gOEdSrHO/kZbdi
XRLZC0U6NRK4KVYuy9KrCgIAQ/P8rE1TO5Ea4sxSI7Vp1L1b+EpwL0v9S69mRgraPbpVfFpSis4o
70013Gsz2DoWVPs4hNTfFqHXy72kWblS5L2veWN3yrtz39xrr7sbds/I6h6Euc6fKugOvUJWbWM+
++Fz6sfOv1u/N4NZpSyiDoyd2FuaVyelncVfVRgTe2EnmtncJG+MrJJYZNKyKKmZMT07yeNNFL70
yc6zcsuFvF2U1QEvuiAPwppxMFeN+mMw9yh0thaEFYd+Ha5oupVXt5lvAbERrVr3QutHLc3AQb/M
Sser9fdfH10KKX/cO8SZpIYvd5cPWVYfqTl2QqirmjxHRdzy60ORRBXaKtXeuLaSO0u2lFoUrZ4g
+VY7wCibto5RqPEG8YvcJLZqPBrDOW/yxxRFeB0y3GTSnyP9FOt2phk3ZnvbvyILFXWHfI/keWOS
LSi4/0QnKL2sU4SdWsxxDueb5/N6y4oXofZRLkLrZa/XY2O7XBhaHa+u7sySqJvtoqO6EKFJVPx9
6MFGIWkDhohM+7qEnlDAF2d/WUcZYeaYtDqYM//lX2yWN0ZWu15b8KRhUOlejVyxcW9kZ6hThr/u
LodMGEwNGVuq4iBSVlZgSG5Nv+z05fhSprc5v3CX71xZWyUrQAC8QkQqLkC6l1ffmyu6L9tQm8h1
eFUaT/eD5r8K8Je5fQXYy0hzEQ59C5pBXkvlrdSb5imZE8jGwWTtiXNuuCvelYhIgIYBlG2sjqAC
Wncq+tTwJOvV0JAZ0o/VbqFs0wjJcCCQ4kJgtPz9zXCnaBiHymgNUu638D0p8tlvnv9+d9Bw8L8m
1uPogjKRCkxYChm2UPrWlf90Kb0v0g6EfevYvjW0WrpQCkeaaSrDU+ovSWi6c/8adF7f7ZWB9+ys
4wDBp6uj67DT3M6D9iELpscyin714k5Aurc4K2ev5Wba135hsONpbR3tJjTtMPx9fXl2jKzjiGgY
Ul8qSsOLRUrNtB/30V3mu9eNLFNy+QIi90kBmAcQJRy28+U2M7rW19PJIi1paOIBvyc7ejIph7qY
LSeiayOMgvAmNNu9fOjKw3KfkC5ZWDVESvZwbKyulVBP5YQ9IZ/z0khArfnFMQjbeWd421YMkfcJ
rolEyeXwxKTxOyOp5XMztONJjvTfeh7tyh+sVuo/Y4E1b7FAO7y82t9jEs9dq3aIvNRAcuy6jefn
XKynZxX4zgHFR3RqM+0QlOgDlH6T3AtFOtjxCDYwHJH0wkUrdyW9qTbCVHugmfW747+/DkockwSO
BdDtcg7MaJzrSh7kcwgjbG3Ithxap0S3bgcpd7P07GvZty7qzg1tDuYprwzynp/q7GSiGFoYO7H6
Kjf352OAHLDREKKjErs6OYIgxhk8dmgaBU7XfLOgRaqLkz8hfZ3smNpaeygpAHJzw1KVWY07DGat
AZovnRtB624g1YKqIRnLnWfdn/abNyfoz4jIiy09byQBYZ26nN40r8us7wK2WJbKN8UsqzeDH/Y3
2sj0RmYuvsyIILqFGXwufNZZCwfxRHLsVvWTj1AOdLedOYx049LuKLVVdRzlOXDqoaePgF+249pv
bChoBNdsU/k4DT4EUj6Ff9MsBNdSZv2m10rNzvNKcmn6+aQpSXYb9pLPtIr/NN2oHpMuCw9/5Tj+
DBvwEKwvRIaUF1fntzKKpB9mVT5XfhzedKbon9WyTH6oYfNlyHrzRpdq0x3TWtlxiyuP9R/DBh0s
1KKXF9ZqB4WJpRRtYMnnWdCPtV8+5mF+LJv6yRCnGyWA5y+VdgqcWzuJWIJ8IMJnRCCr94kQdfUY
qqlyDsk420F0NzbQtF2fz3V882dcIFFJEpGBkGg7utxHFQT4uGru+S4/Tc2xOoWfmi8WHYC+jdj3
911N1XX+7Z3B1ajaVpQ62cdgrIx2kB2k7wIket/0D/T4K9+C50BxO17Jx51xLj+7Pi8WNWno2ZaA
cZ3BVcvEkOreoAztP/ehmz5B23Tfq0c0TaRH7USv3jMtEDtGt1YQcgMCVaJhCV94OblNrkKcT8Hg
3HSdAyI/jlwgNZr4GZbh8Y4+T9gzi08xPfNp/JuOuR3zyzXzbszcPrxcgHcR0F2aHwsf4bHBl88C
tO+nLFbrz35aGbOjmoR3WVEOx17U58NsSs2POlhaNQOjuCsC1XRp6/mQCxKcaVKbHIYor++bevxw
/Qu3bjD6g9GHUgB44McuPzCyBNpShVg5S6U5vxRZ0x1kBcBKodD9et3U1vn9P1PvGviSacotJQ2U
86wcdGQ7dPXWkn27S4tbgoJ7udhb++XgvJv8/x0bXWGXYxt4ntZywtg6tbybqv5hysQjAgePdBke
Y+RPgURISgo8YHLCoXLq/Nu/GPFSQoccnfzs+qlHIRK0pRIpqMqahd1WzT+lKLqyMX8tdVC88Ryc
8miPfGXr2jd4IyNdRdALc/3qXtJFfxSCGJnLSLlLRvPka4GjTvKjNf9sPwde1SquMj4ERnmmJuHO
fEhlDKcJAqf947exvTjvXMILPws8SqsAyQ8sPw9nREWNLDtG2ke/Ec5VpDvRIe0fp0605VK8E8un
QL+psxc9958D8yvF+Z2rYyP4IOqELIo1oPV+3WMQGkGTKuognf3ikZXG/fggjRAQCn4lVrS37zYO
PdZohAXwg9+xlr+/ecGBAauG0l+0KuHf0qTxmOXTySyTzwPKHfJAErJ0ozalia5D6PBsGAGovsAb
6+Y5ytuDsCvVvnXFIKX0H3CVvNSaLr+on/QwKwQEJel/+TTLr6Hq236afbD67KBNqV2PZmBbwXjb
Kp/lXNrxgluzD8vdIkC8IOPWcg1douuwPRCP9YJwzKY7qUkOOb2n0/BJ2iPOX4KA1ZknX/U/tsDG
XY5UqQueLDW2pOZu+tTm9qDa1mf9Xm/vKAJfP97rnsHlIkUEmMjaWPgPaKy9NBaz9GZaJvJZVXqb
2qFjyYEd/vTi+mMhZPagBw96OzlTGzp1f6h8b1JT5/o3bNxvNA4SH0iQ1C7Eo5efACFXnKidxQEL
zNalHdV3LCPdq2GtW9H/jFRbODtIQS5hyuoek9UxEs0g4tHWQ5wTfKeo9lFBQVyvyUIq4V0x1ufe
d/s2uRXJRNJ/W3XzsSzL3+jDnSw8UDoAQwt+kiB3xjm7lcrw1FfibRyoO8fv/TWzBFEIg9CcB5Z+
jbdJ1ZKSRNIgLFp3A6+uQxW8Ru2hQa3Jd6PA+HV9ATbMEYuS/wUGtkhErfaAoseCVI88skCzWc4w
WZVdazc1ihtRT1dIW09c4MOe3uJGDIc3pcZg4V1Z9XVkKllhjqujwTENLNKt3zO/dDLLtbT4oevu
dONTPP9Iq59qcJAyJbOTdk/u6//xBQu0ln6j9/xoJvKtqPVM8hnV6NhpZlh1S/++E/3fk/k9k36H
QvwhGLRbQ2h++ZHMPZ87/djvnMH3532Zh6WbATQsdLfL+Xjja8cwzQMaEeSz/koO+gArhjxlxy6W
nc7SbqrEm/bePxvO9NLkysXAyhBkfcYDSBO6zo0SBajfPCsvchsPB3MyMldF1+1no3bZsU6VFARr
ZNr0jIo317fe+8v18kNW90wRm3qEU5fPlhALwI3D6nmy5vSo1r3oXTe14QCwZfDKWSJFKr+rQesC
ws4FQJFzHarHWFWhclajT7HlwjIMHf1TZHmaAmvKeCj9wtELmFLs+VOrQ53ylI1Hc/xhLFoiDu3A
PPjtwtwVDHx/615+4Wo2giBM2rqVEfgt/J8qopxBe1SsHm1qGz6AuzL9AHLoGImf0RLMsnvCv0B6
jHhnddLh+mStIV14y8tPWV23cw1eaGYyz53hGB/66SiJDlrKQ0/3tZMh8BXvpCXXXAT/sWgtwKA/
jaHKannCMrVaoIDyWVQaWJuGJ32w5+G+Lk071qRb2fxZxXD0Ficw76hIH2vp4xRVpzY0CEuPU3Du
EscMdr5qzW3z56uIuAB0LlkYqiaXh7OSy6qg6VHh8dWnH+Upag550KOGNs0Pta8IT7MWR3YLOcZL
3DcWDiwXD0ErQZtGvRYSkC+kKWH3gIrRqYowdSPL7G9Cq/nGPzpbPJufgcj+I7VGctdSCvCKRM7o
i0s7dwSK5qhzNt32XSP9C6cDCgkdWzp9oVxe3YbLla/3dIEsKZCht8kPTl4hWRB6q4XgFKb+rFgB
OruFKFk2HVd7Aohbdw5spNjmYUsKdbW/FuEHWZmxr/eqW9VOqOi2WUZ2mCOJid6qlQU7IdxaBGJZ
Sppqlo5wlpNkxCrO0A3B8KswV86Z3nV23ov1h7E3C7eL0vAHQLTpXlF7dKiiJslvtAKW73JW7oNE
qm/kNJroTQisb0PZSk4AR+0vC0InO0+r8F6ofGXn/G14Aq5+sjaoVrB31pyCKMWncSX1ylkM5lOl
yj343k4GXZF0jhz5w1+nG+khYHdDTwy7IFH25S7Px16Ku7YHy9T+I8P1V1R/v91wGAhuQ+KwYG5W
y91HQa0G6aCe/byx46JyKxNJCapuke9Af3CTJvYeRHr5ycswepEaWVrqFl0+UD6XYyqyojfKNlbP
MxQdN5kixg9pVyuIwpqSI3ZxfKDsVx7/3m9ylcs0eBokb6kRXFrVcWKtmkbauZ6Lf/RAva2U8KMf
WTdz1z1V/TkIxlMzR3eqvwc02jhRvFNFcsawZHCkV9t7tHKr0npTPVu1bN22KpIuMT3awGJG/Rgl
AsysSKj+qmHa2lncxQeuZnq5VmkOWTDvPJUvx+wbemf6vFjP6G3aCTL0YfWpnnau7/evBIiMeKXA
MbZkM//oI72JksxSIhFFHeOc1AL6cROMfpZQ7XXfbU2ignYp7P9sGqhiLocyZkIRx5OmncW2Pw+q
4hjht9G/DYPwUE4+qdr5w86GWSZnPXm8Kcmr8bYEBbSK/npB0ru2NLXzGLjBy1Jkwe+INgT47WRX
mVN//Z3tcQdsHA0iIFrsl+6/5Y1xOUpuhYYOk0w/W9FrnkE1corm/jQFmZMn406NYcsWqUvwU4sU
OYX2S1uILgUdRST9bHQofuvCQaokxzKFk5JnsLj8szOdy721ms4/8R3tZCSj6US9NNdJTSW0cG6f
W+FBne+09pBHp6JQYElMqNqa95TdQaw6182+3zaUIZlRVNYB6pAhvrRaV2ZEgd83zpk/HIJc6p1e
471g6fB6j4OrKxnwpnrcg6G+PxOYXYgZCJsg3lvzFjZWOBe8V82zXKMeXUrxTZ3Ewe31sa0R1Nyb
l1ZWjmUSVFks1BwC6yr8RwkSe5aiFw6h65vFUWl8txKq5+GzQt+UFZ4byPz68GcfR4dyrzHj/V7i
S/DpZKQgvSAnfjnNhlDFggjL/bmsxEMWPZDyLqfOBjtBGXJnSRdHfbmRLm2tSjW+1VS9zl1xzsP4
eTbBufj6QYGBLp33nM5GsL3YWuCvy71B3u1yXOk4qJVWI0kuLVMq9NG3KGlGdCjRhOyCOnHyopbv
gkxHog9Kiwe9SobP11d5aysphGFkt5AkBdNz+QljUkx+PzTmWQh70xbbdrCVUt3r1tgc6YI9gYmB
G5nU06WZZghUcc478xzEH8aytMNMs1PlKatyOnSzU+xXeD6T3pEf14e3tZokfUimkW94ryQj017W
lQEzXFRZBb5iHD2IsB+McIRsVx/2miW3zNFXSF8FfeqkDFdeKBEaK++T2fxzIwrC01B/jUIeL9Je
EmVr2d4aWl291qgUU1VN6CBnJbA9Lzb3NHj2LKxWTIuiqQMzZCJ/dpatT9MeQ8+W66SsBNUQNVFA
CIv9N/f62A21KrSieR6F2fZ/9l73pMwQQx4BY1/fA+/zLAsR1ILbZyNw7a0WJc8SLRs7wTxbxRc/
t4mku8BNp4ODIN6g7cCGtqaNLU4khvek0LxyH5FZM2l0kZ2zxG8dtfBrp5SqPYqV95HXwlCoEudC
aLcwNl1OHpocyH3UjXHOhdeCFvcJQd102hnKnpHVvJWJ5cNM0xrnWA5hNhftUnr4/zay3shKly84
PEaSBo5cPgKic6M9AMfGSAi1eAGy23jRr+EOlsTTXZ5C8TxFwQ0IpXNUJU6l1jsbbWNL/+Fop8OH
J8+7ULWW6ReLhEw861Hkgq19KoP7RHXrVP08pyiiN+MOHnPD3cD8R/cdNFcLTH8VtU75nM14bPFc
Gidd+2g4hbKopuzkQrZmb+mJ1EmewTq9ftrkYjB2UzaLZ2Ln/saMUjcRcuMIPs6+flC3DAF7gXiF
/ksydqvr0AgEUWxl5i/Wiq81pPB5aD339XD6F2YWok103ZaHy8rzUPDU5cLHjJLASW48hPGHTnu9
bmNrK3DvQHQG2x4P+pWNsEwQeLAa8ZxVrY36Sd73h7781eefF2aPnQFthEc4NsRHFg5IQqTVNsh5
FJnUQcVz8Nj6D21VuJWuk6y721M82HBukPdRHVzcDvmUZT++8dmxHMwiTbLiWdC/q/7vofjrdARs
wW9+fxnom99vJDlRw4Hfn6dHs/j2736fOGtJCBG2r5NfyijFqV6BrOzMqsFpxomdWPXN9aXf2sXk
txbucpr9kNO7HESlZWFd0h2M3MWvFLXAEfSGlO/ENZtL/sbIyjf7miQA55EZSR8dLL9/Yh8HWvhN
Eb8Ww14GbcvNvB3RykfLTRAkfSuK57ZvTor8LYfxJNETVxN2NvLWqcFF09auLWIe5mp/KZOuQoaE
IaD4he03n8b5RcWkfsz2chebWxkvw61Acldc0z/4bcDDtbHw1Q0VwdnWkb+9vg+2Zk2DpQ/iRl5q
5Ncu94GqDRIi5GzmPMu+ya36Ik7VHRqVabCH7d60hIcmtwk4CR9waSkUtNkIKXyedeWYqbZW8Ry1
i10t363VWbwz5XhouChMXZoxwc6FGZHPWaPNvHtspYNAjljqETsCsz7s0eZvnSOq4WA/eVtDfbny
aiXEH4VCCuFs+MJTTKWaf0PHyJfrq7Tuw1peuQugl9uG0BB8wcpTZzEwIs2Ilgp/9ZAHEI8k2oTe
rnlstTvd6uw2Cmyp7l7aIrgfkbzbVX7cmldk+ix4ZEAWkfS9nFdfDqyolhLpPLWtrXafCvPZSjA1
nWrdLVLv+oD3rK02y6yXOgQyGQjTLLRrtTw0gUj7g4EI5HEWpkPVKnsyC1vOipQMNOFLZgYo2+UA
xTxJa6nVCFP8kxohNzn0J9n6Bf2K06vj978fH8yVPKj/0KWuybTpV016NQFCNJQs42idO3Iw5sJL
UNlgMG0NUPp1i5vDWyhAFzg6gKlVyK/HgSKNBRsV4lRbzhKYOCpbyW7IOhNk7qEmto4FkF08JBcl
0exq/Uw9nikVNtK5jF5K/Q6qEW2PzmSjTEw48cbG6qRnc1RYWkKdaiTyB+/F8VPhIvs4SJI7qTLC
WDfUw/roR9v9i7lcYj/iGQ2Zk/UNzY3ayc1QS0saD20++IF/DKigQqxFuHm8vm5bMwnxPw0EZAeW
h+HltpTCXummAFsIbCONo31CKNxpm7/kx/vjYIA6kByUITZ6FzQt/XdTInUU/QpP6Wz4mlDn2CO7
2roC2AxUKkE1kxBc9uibyIk8ZCUQiErnAZarITkFwmTX5vM87rwJN65NxAIX7i6S8VAarPZ6jtKe
oC5vgRGyNXukXHcjF80eVevGaBY3sSSLyBjR4nE5mlmVprFAJ+Jsdtl4CBS1OSizZEPO6QZmKex4
xI19wNuG5CLKqAvL8n+R9mW9kes6t7/IgOfh1S7X6AxOOj3kxeghseVJnmX7139LOeeerlIZZaTv
fmhsIEDRlCiKIhcXBWunjBpawhBL6elzat3N7VM17z5tahDByR7hBFFmEA5thAdTH/W4oXPAyTgh
3l05tQMoYNuV/VnW5a8gQZcR06uqGsqezOq9J6cqCSdjJUhfFIFKDE8a6ghvhQuzQ81bJVyXaS5B
8nnE/eWWawu2aGdgvAPxCsoHwOhcWkAhEYkkLFFOmhJ1dwV66A6omn67vSuLZoZnOioGcAPoJ7oU
wtDfYmRKpZxyUFJtqsgAk5puRPtuTto/xAG09ra8Jb/Ko00bbT0fjyhB4Nw6zKB9qZzkue4PDIMT
N7pRpx5SPTJyRVLiW6QwdkpWw9CHFG0VilptMMxqDQG1pDnPN8vIjIHeRjT5ziGIeaQUIQdN3Vi9
a53o61BiJEv/tKIyD16EdDqeDhijA/QkcKWGENyoDPNNy6lWTvO2Ceb22GHsZe7usi8IGdeGd3C3
cCWLv0x5URt4EsEyR5QOBotBFpBfrlHtowkBRqa4VlVtdf3ltmYLcRRHFAC9iMZpFQXYS+OpYjaB
6AR7SYtTUZ4kG5Bc83Xuq42tfe3XuB6WpaG4Be+uAhvI/37m3xWUrOukgWoNbuDCH1GR9PQ/dbNR
TPe2XkumgUvqf5KEk9d1KZx/AUkDn6z0qypemcE8s/wHL3ImRgx6c+aQVGIImlr722A2npz8LJwV
x84/VbSHcxmC141HxrJ24Pbg2jta7XrLv+9mr//D8hVtliwPISdm3aK9HYdK2B4M96kHcKMglNAq
dWO3c+nrFmkOCFF7ryyq+GHukrVb8ko9YCQRbQI7CywN6oGCubckla0UGIiTOs+uGsUHFg/fu347
Os5h0CuXzH9Ylny9bR5X3h9pJu6WEWMAMgeQ/qUhyg3Rh2ZQpZNU0AepPqRy8eQY7QrzwXW9iIsB
FpYjR/iDU3wy5FUhOZgPdsqLeqM4X8w/OgZ7ok8KrXfxtif1YSxXkqkLmuEqQCEXDUtoqxHf6yCT
RlODLicB2LfctN11w+w6bMUk14QIN8AE5z/UmZoEGA6TEB/sQZr9/dM7dKGHsHRRNKhaYUBEYrau
iSwdTnC1EmZcXc/8oXy2VoLpSbWDRx2bksA8ltvm03cGfh2gEj45GvEYiiiXNjaQHD9vYSdYeY+c
vmt8c6wf+biNx2NH3+Ni8uzh82aNRwAASqhFIdUgNp7UJqiGumJOgokB/ew0Ljp8vXFYcRNXvpUr
hrwS7yvBh8uCb2VxglJQZyYBYmxPkjNgPlpXKY7T8H7bBq780aUg8Rkll7YptSo4soc0wuP3W0GC
yNyh8dCT1xBe1xaNTBCnL0fiCTpdXbpgv6VmYxQBwbGpUcHLwVn36dsCP3wuhH/E2fU3tDoSJDOE
SEl0lB1IkNptUXz6cEIKumF5WAsyKrEwEE0g1BxSvQhm+6c+tiANPpZrDfLXqAquypkQQZVuSDKk
C7UisMBMmhTMHwpr01TZd/Ab3Tlpobgsaly1x/zbCShErUGLYVUHwCl6Y1OhGWktfbG0gSZ//+oa
T7mKmdAk6eg4lIQEDtgrDQtlql291tK+IkMkttXnSU/BqECC0XltZMfjZ7ju1/LUa1KE+17PEoe2
DTRpzBejBfWP8tyra2Ny1oQIHpyV7VQRLsSJn4hceQqmWxgkXnGwIucnsItIggMqAYwPDhdyg5cW
36oETLmFXATtAHIoO9lPUexmugvAhN1nd3Jf+bSnLpgBAoV+I+abljfboS2A18ZU4fwNxrOXW/2g
go1zbj7JaMi/DgwcAI0AgISHrbifjpywCjguGlR6C+gwhnZse8UsPNIVrT9pPdnd9mfX982lPGFn
rayKlcxKaFADfqTPIKNdm8G3JkHY1izvkxlzPWkwZiAIMt/I2nvhOlq7VEG4lgc5mhLDgAqoZw49
yHlSyJHeFPDcUHODtKhvjisX6ZpOwi3dZhmelFVOA40amECH4cDyyr4sHIYLO+B/P/PLDqMN7aOU
Br2yw4jL02wcMW19BUm4KMTC85FzzWLQkrA1k0GSOB8rGkyoqXgo3H4fKviQqGzePm9l/P7HEx0H
DlX1S21AdkjR4FrToEhmo0TPPNHv0R22Boa6jgLwUkBogxIh6Hwh6FIMJuZGTELrcFA8aRiZa39n
LXot2YoHWZKCIAM0B5y+GczUl1LaLnd6gqgmyCS/qOSwpvK73h6AWV8DoyyYGXYGbXMWYjYbWN1L
SSVDI/JgljRw5pKeIozC2jqk/Xp7bxaMgJc7QTWMCgLANcLeyOgQqfRCp0Eqx+1hVJr4lwRGXrdD
+m7NxS8t3bksYemYnalIDUMWmV/kujkYxo8Rd7JeKmsJoavsCB6NyNjyNAyiQpTvLpeuGyZkTgYT
J9SStjkiAm/O+l3VNJ6m5ZtBLjxaxw95Yh7a7vH2gi74owvRwoIiqVRwZgicKlTFXdi+uskRiibU
7/I/TgpSKikPegLi3NtyFxcXE7jQqI5gESTflyorWdQqWUNp0LqjHeYyOIj2q9MpF63lrxDxlQqC
CHCJDDjJMrM3UfXSpyA7Ki1MVLmtzJLpI1WCtD5ag5HfFxYROFEwv/UTrLLDOF8N5P2bKa/XOFKv
o3meQgN5CG8N4dPXL5dMtRsj06O4QvSEuqBUnEarv9ct6zdBW6vr6OrK63tx9dAMAnvE5CowBF3K
02ivlxgSQgOb0NLPppn6EkZ2bKm8yju5tICYScaLMCZoaERf2Ga9YTZaVgVOHe1atUXba2T0wMjc
3qcljQArgvMABBU9EqLR9UqBL6BV0NqP4BvcJHgJtcUaKfKCMkgecOgXcFLw78I+dSS3Z63uqkCX
d+D8hIR/iLuQGEFIiBkZoHQRr8KkSyVMJR/qICPVo03zE03mN11N3oxybYLC9ZKBWQNNNHgZgPQE
1dtLI+jzIisVDDcM0vSnRL/hVaBb4Wd35VKEcBF2Rc/6gaZFgGLfiJnHaLJQypfbMq7dHGSg3wGJ
WgBNYQKXamC6ZDQ0IKsO8qE+ROapTl5qdmfHT1q+k8FPI69Y2vVZvZQnLJsZYZ6brEKeg3yFfDd5
WQki1YPsbG7rtbQ9iIYwsgc5daRi+N/PIi81w3/I4BdB1TpuGZunnNzpIGf4rBSEQxhJgnwYmGAg
6FKKndLYlMqxCMZR98cJbLTlZjWZdL1FEIIBPQ6oNtAGKqaC6xrOszbxuGf17NHRcnWGXoPhnSSj
h2ZLumtpvqLX9SV0KVLw292kdlYPat0gNSRPYV8toPRgEKuMt9e7BDmgzESqFOkeNMFdrh+ARcQc
ZRVymO4X6JBywDSwiqFd0AbIAy7ng6biiq+4wiWUmVYRqFXuWZGCV1mBpIH8vLpVfL8vMurcS59J
EvzoNBdy1RmQ5PTfyHjnsDXWoWsBQGRhbhiCA9TjAMW8XDDVlhQklKboVBf7MgPJNFmD510vFm9H
4uBPxF4AfwqXW1YmmlK11DlJfeNn0te4mNHcXR5LtVpxBddsNhyLBfASuFvQkITn36Uy06xUjabV
EWAUf8pu48hfUfDYYgypiyE00qzuB+mIZmfJnn5VyCRUXRA3B60jvrHWQHNth5xcHclNoHgBTRc7
9arU6WdtmEF3NtksqKwhxyQjlAkaRy72t13GNaAKLycYIvB7KFaZGBJwqXXSpMC+Zl2EWki3q+y3
Lkl9raP7UVKPY5E/mqWMTH7rDvkvUs0vVE0//V7kiDFeowC9OmDEggtmoFpr8cqRTpU2bFQtIPFL
iVFOt9W89vNQEw3iCI9w56MKeKnlSB1NYx2fQqhHWwfD5uAd48nZTslrr/28LWth92CoKIRw/MD1
/EHbaGqtGmISgLPxV269YnhSVhpfbwtZOHlwILgqcUeilVMkOazbostqI4sDMtb9ZgbZGThP9DWc
ysKyYdoW7mNUMWEaoq9X876eJySngba7AyvLvdbep3qoFMNRn37dVohHD5e+Cq9eVLhBsK6g61Gc
CaEWCchrIgmJOnvYFCCuR3I60totmEW9vHqvzZXk/vUuQR6a6vkucV53IZrpE4TMc+KQAEOh93oy
B0YlnRwQadxWS1xBnp1GegJd25ycC/97aXhEH2eLZD2SnKQYTnUr1SghFeVWphJiZ/CGeilW45NH
Cq13SLygwwC4H/yrCcmrIo1zHa/QNGjLo6S88JJS935bL9H+IAK9sOjRAlEyMDLiVdlGxCrVjGRB
YqE9h47xc2wUa23a14uHQeqcawiGDhJhscxDmJ062dRlQQQImw1sRWSp/jSw3xSMhSlbs3bRJLhO
ABSBPgxgKcy+EZwEGbRSNsDjFlgtUrSpi+QlsX7cXjcxevqQYSN/gJwSTF2sKVm9TdLGGbOgLCsP
UxxdAOcxbxNcBu7Yfykad2hePy8Rnb24SxB24vEmGMNcqKSo7CwPqkb53fRkfkypzh5sOPZN3Tbp
IYnMaTfWrN1ldbvGyCUea64vbhUwOiF9AcYQwf7lESS1DUbcBLoD/oq0s/dVb3zHKKhNz8adNh9X
g56lFQZG0ORrDBCXODN1bDqdqKAaC+xZbTfo+NW8iHVbXa4tN5ey1DNyjfpFI0cYNjC0K+f9KoqA
wniHA5sMN4ZcnoielXqpt0cjL4O5txGskrrZYdTp4OkJsrpWy6qd3FW1n6lVv1cqJwUv5pg6h3Ic
e80tzXLyMRN9eKJdlJ9I0dCnvJDJSjJp4fCiPx8E6QhxOSZM8H1DbERpgZFSwZhbmZ9LevOaG1Kz
kpe44m36WAqA27ALoPFRxU4k0IiVtlLbeRC90Oo9fQDeke7MLyBijO4y1atGr3rTpP1tc1/wGRxW
zwcr4VGPlo5Lh+toka3OCra/Ut6b4S25V6Vj8Zy+3JayYNYXUoSwVO8tWqDekwdZeYoRHGWVq1hf
wIdVG7krr9H8mMLd+J+F/KuTcIQNrbPiKtXyAHPpR4+pTQzuGnBpR7k2+3HbxZvb2i04QmBFQP/B
x8LjuSoc2iHOMs7/kwcTBVsj7vtjoa9cv0vbBLXA9MR5U/Brl9tk5Fnf4gTlAe2rxDPk1LnDoyjB
gPDceqRqPrtVsxZpLm0aQCpwhgirkf0WZCKDRLqsgD320ePkO+7sKvPvpH5P324v34IHUuEDeMCE
NCPary51m+yklq0Gz3DMb0ZTaRzrT6ZptndVVNb+xCTjgHRrcj9R6RdQs2ulsUXp4OJEcwKOgSny
50gZutNBi1ME9Zhtk5xNblX/sGrgsxt/kJrnuU1ey2zFYpYsFME18o8OUmUI6C9VZjqrgWM1kXmI
MpfXPsckjJrntUF4S4aJGxq1GATzoNnkfz9Lo5TE6CzWQEzeHVuQ0WjxXbVW8l+yTLROfhRy0XEo
wgqYZvRskrkM4lp7gBdGxbMal9EVR/XRqnIe8fJTjclggILxdwnQ05fKkCHWmVNUZTBVj4QQpIVk
DxTcaRtqsiuX4Nuj26IHpuC1iTpXqh6os4kkx2/M2GVp6iaRBpB1Z6Exmjy07LuS7KMhOVbz2st4
adXPP5Sv2Nmq9xU+f0jbMtBAoouCtTtr2zkr/Nun5tqE8JgB75PFO6OAbRBOjdzXE5sy4MTU4SV7
0vDmnpV8D2rytWvpWh0k5zmJJTCuYDsR3UBX90AzVnIZjAXFqKbBlZRfdZ+68kwxu3TwDIwVLrvk
RcmebVnCOz8DOhVjOntjm0h/biu9EC7YDtBFaCXSkCG+GlaPga2zNZkR8DjNti/96D53dt38hxRH
BAjbpGP7YlbBma2d7PFPZZCw1hpvMt8Z2d7+kisIA47txZcI6z+bdSWpEr7EtDb65APx9ND7w3bY
5ofk0T4OB+2JDm42uG2+rej9nLmrM8CvcITiNwjXaqUBDwJuaqSYN9+Zn3iZ7/bfu/u1o/cBkrk8
epe6ChcqaTpJKjoHPtLvfWU7BN1B95UvzpYecdcds5Ac59Nw6vaW/wj22K20A2vwDmdrFz+874vn
xkVb1H7Y0U3pg214a6240+ubCt+H9w7OAn+/mYKfq8cmrUGEWgZ1ljXbTJtx/m2r8ZS873eykWp+
m5iRX5bd2hto4RRCMs+RqHgzYJLN5VnX5jw11TQtg2yW3K7a1T0mwrptd7htbUtiwN6EzmTe94WE
56WYQkJYII91GcgGpqmNPaZG6PSuyROPrKVjltbS5MOsAPVFG8wHoeGZ93Lgy23MKcdxb0DWZwAs
2g+BFp3ApAY8Tv3DWJsDthD3oicK0RPnykWvgtgNMdv5BAhVUgZ5fTDkeiuxNwuKpa8RmtgjBQ3l
OVhi48DABNOV5v+rngV+gs5kixkbNENGHVCxZdDMv51k1ypIYMc/8rrbYMQ1Bh/34286bON+5UWx
KlfwHtFcpVlKIRdzI7cWczCV7JEmB+XowI6o5s09+B+nV4rZILctacmb2+iJ4GluHaoLkUeq0rkc
pgZHRWpSL8nKFIV45IyUlq7V2JYsCeVZToOC0OpqlGeiTwwNk3oZEAM0v06SSLseLDmuFbF5S50u
9VPT6kFHWNYrx+UjZBQd1plocVAPK+o5B469DGLT8LRMf3HM145tFSfdDnp3UDrTBQRxBs/ms4N5
ubXPxiNRv41NfheZzW7qHpGo36uPZo1X5u0NuMogc5M7/zZh6y2daBZ4R7D1zlG1Nq2yjxO0qXAu
r208PTr+iDcLri/Huy34o2h2vSi8sw00FBjoIghmZlc7dYlFKZ6QSDk8gAM9+mpS761xFQ+ZFbfz
cl91K/fbD0w78bIN2ky8yiPbeMv/P9sgnvIj//ZXXYffWA3kjpBN56BoQ/BsXdOZGLnJ4EDLXU+o
R6eHudjSvNwlbp06bjOv0cRdnwB0CvJNAFIVKT+xWo5ZLqPag70tSPPZcK0mPkWOHLtSUu9vq3bt
tM8FIWV/6bTTRmtVPesA6xvsU5RZ32LQeTW67TXyyiLq+KXLneWSOEyZE9yiAe5SEkYUMWRRANRw
+uQXsku9N+RFsnLJLhjupRTBftre7JPOHIDswig5Sek8tXpz6trDi86b6OwmRuMrPYYbSD7GKrRu
ZegrubnFreND7cDtjs6ujy88u5sMnc3SyFfUcl6QqG2UO1l9ub1p104LSqL3GP5KQwZBvGlJbbdl
JDMasNDqjrVXGe6ceNH3LFnxA9fvpktBfE/PdLHVukwt4PGDzkFb/EaqdoO5Nb7IzcqxX5Tzcd55
hhsaXcqZMk2v017GmnUGTtM3JX122t4jzdEGEe7txVu0+DNZfP/OdEqirrarGLI6sANp/qQkXlz7
q8mQa5+BpTsTwz/jTEzaN5Ie2SPAXZYXmxiHvQX+KfYZxhz7o7q9rdPa+gmvOTu2m6KYFBqY5N1O
UiQmn3Lk/yRzlehmTS3hap76rCirXAWsq6fo5irvUmtsXBXDKFWgnYdyG03Kw4TJuf9/CvLPOlvN
lmFeVm5CwWbW7/JI31vpsDHYHjkK19JWcJvLOsLpWhjujSYrYetaZYyBnzYgbHyPyB9D7VyjcGGM
SkE863FU2IpJLm/fX4HC9pUzYB9TjUVVjF9p5LZ27bWHSH8wn26v4rJ3BL3q/9NM2D1zQGiVgLgu
SEnQfzUk+8vU+Sx9nZphN7O9g7jdyfoD3ulokVqx0Y82lKsL4Ey4sIfg580VvMGrAND10iUVhsJK
RoZMfgPYpRub03dLmVCsAAbT8tPMAZmlVpNvkWmmG7NIy6PdSaD4lMDkvbIs/Oq5+jITzIt4JSGL
oAsbXsTOIEUMaLvinpxqT7Jc6SV77J/Vwp3XgupFWbxnm4+UAiBBcHWGVrQOmXA9JPaO6N816mrR
6JnPLfM6TMrFgGG72v2Lfth19MiCNAZvpsvT4+S4RVoDvqjDyHDDj5zvQ/2s2jtTe5LYSzy/jfXK
DcW1EFcULG8AVyN1iPYx4RquFKWNhgJOdq7Kx8Rx7jpl8m9rtXRKUf8CtoPnnK+4I5icg8CwtGHL
1r6DG2DFKemZx+THIsrdpHut9c+VYEEtbSIsRX4Pz3jUE0WlZg3U8KAe18JG77wkfbAy1WXj19tq
CXf7hxDUENHQzDOJiIMv90pLR82K9EYLbfbTcsKZtUDBB1l06NCnROUV0xc8z3+loYuENxsjPyd4
HrltasAMRi3MZiIhA0l8tc9bXyfWpjLYae6GlUwdP0pnhvEfgfxVhxIEsiAiiNwZR9DXAq4estFP
+xB5XxC5H0G/sxJRCAb4XzmcTx3ZAeQ8BE+nxbGSU5ANhU2q9R6e9eA8j5W1vPyyNn+lCC6tIgwj
CNDsGSaYuGi0u0Tp3DGu3VV8GQ9KrpcNDRhAVCOjKC5b3hZ1mgLvEuqS7BWYgkGo4UbmysW3rM5f
Keql7cVjDeq0DuqgMWrLsvtGGzA+rnE/C9T47+78FSQYuZQgNU11CIL1uX35BNZy21qJw5csgBfI
cVIBZYOsS2XmaUZlQcNBasdMP6UFGR4yPf8k/fSHJjwPBVNC1gvV10sp1OlZrs6dHvbOsx0/GDId
npxI3lXq8BxLWu0SdRwPt13E0qEF/Bi4U44MxpDaS5laXfXpIDtaWDaNbzdvkfQ0FwTAxmmDpMr2
trAlmzgXJngIOxrbPK0k2IR6V5EfenVIGi9aYzRZUomT9oNGE0Bn4FwuVZKGrptNSvRQZelXMOfP
TuqpgWIm+06VVi6OJVl8DCi6iyyMEha3TMtr0sMH6WHyhQyvJiChsfan6AY/XcO6LJggTA/YATwH
Mf7iCiGsx5Nuj6kZxtHcHFgOYG2aZ83n9eFeDnS0qP/D1QmnFuTV4EaLM4z8LnvVtQcjHJTGo4Ad
uFKU/kJn5PdPmwQSvBauCzCsgh5G2Cxj1kE9mBZWWOH0bSS1MDyrxgiCKMs8Y1qbU7RggCCrBkcc
Z1vn2eVL0+gy1lLaQtrUGUnhDXGbKsj54vb3kCaxf5m9DDjIbQ25BoK7xWAqpB9xKfJ0veDX+55o
SPfilgIhnRYj01m4UnkAI909jdKHJm5WDtmCe1fhRRDI8HTPVf9WDX5kp2gNLYwUUNbTnwXHXaP9
+bZWiyt5JkXYt1Lr5roGajJU570GbpES7b8M9Z/5k7TF3CleqCMsXyqPGeoZphYq+txvCwVwKPBt
Iadar46/XTjMcLuotCKi5sROgnXUGktojzFwYYlB3focShN5rOPhVGq5m3f3joaJXtStMVYGM7ZP
k/GgsY0Ue+h4movcM+p6LXXKdbsyHU6YIXO8kPYx9/nspVqqHIVURVo4I+h1MM4sB4rzPjF3cxRW
aEdxMxbvP7+veE2A1gC5NfDuCPs61lTNzKIywlxTXUsut0P2XExvSbuWOlkwUzDtoP8JQYiGYj33
d2e6teVkyZ3UmOEk3dtSqBN/MFce+gs2eiGCf8KZiHSeqrTVOjNM5pns7NI8ZHI2bKI0N1x4G7ry
8l7w0KjWg68Iy8eHFAlLF4NPM1XtCPcOJfHJmarC1cqIrnjopXXjby88hFDNUG3hPNiTMpJuyIww
7pBEB/3i0KBwAwu9bQcLZwE4Co4N5X19eBJdrl1rIoifhtIIE91PwdSZl4k7SxRVhBd5XGNvXbBz
CEN8Dbwoh9oKK1eUQw9AamOEkYOaadx5bNh0za9yemnzZCurrpZ9va3eokT+bOZ0oRbaoi7VqxyQ
6+gUEqdYfdGSJDv2hfbSNkBLtCOGJVo5SQ7DJEmbmVrT5rZwro5wrEEcghYmUOLJAPALdllOWRwR
DPUJTX1rRD+1jeTJ/Z71x7RbuQuWTgDqtABOYCvRJyeoWSNMimSpw2mWNLdQX8c+cfOo9bI1bqZF
c0FF04bX5HgV/iFnR8102Gjqc2SEEqbJdvJbp/20mqeuZ1vGVrZuSRTHZXCHiAkXpuA4nBa0pHBR
Zqi42R3m6yDhsdaNJeIM+KUDp/RXhrBDnW2luZKVZmhjZF7K6pcY5DtO80bLAniPxGsljH+Ko8eU
rLn8pR0Dqgg1Z+AHQZgkpFd6jOyNqTObYWGWyMRr1kZlkWd0zoOtkPfbdihm0T7UPBcmmEcXk2Yu
0wnzu9SIkp1MQNbsF0ZeBdagOL+VmZl7ohETBLbDcSjm6k5q++x1GiR7myj23LsRbDz22kx1vt3+
tsV1QJsahpjg36vm/TRhChvt3Ayjmv6eulc1xqy3uHgtorXpO2Jp+j+rgNQsarZI14H169J2Mayk
/s81QSfJteaNpGyiEnmgTvLAUpmA/bWn7Vs3FltV+Xlby6UrA8R2KAai25jD1i5F66SczIpEZsgy
f5ezlatiaQ3Pf10I5g00zShmjl9Hu8w07TIvn3f5y20N+EkQfRkuIyCa0fHHOZ4uNejsuZ3sOLFC
m96j3OeOKsosn399Y2lw2PE8hbc0uEc4cy65kXd5KVMrjIoThS79GtPg0kJxplWOskIiVZxUQKYx
tpS6tsIm8Y3Bm+I9ZmOQfiVdtbRUuGn4oEQDzavi6G+guGjWTiMYQsxdQrb182p/4qLfOhchmDIa
3wp7HCBCluKdZdeH3CF+BJx5lvpqjWLsKB9Iw7y0Uj6f7gGWnj+DgX3AIRLiBUzhQOKC+y0a+Q2G
sSot8Bz6Ue2Hf7g8zwR9LMGZMTj5IGVDr8JnJS2mP3qKEUgKEnISZnSBbcnR/mXXOCMkWo74G1VQ
rNeayQYO3wwrVEZlh25jUENmTbnynlo0jr9ixIq20s0aS2eISRrLfihahe1HNv5uSba7fWCXXA4q
4kh141mFxi3B5UgJKIWRfLZCYMbdoks91uTb2yKWjhNHFuMFiqIypgFdntdp1sapmWP4BKnyVNZ6
sxoWKsg9MGnz05Jgbjiy6FvB5jhC4DhVYyLhFWGGFpoxEW/PzQn4qbn8h2j4Qo5gBFE3zuAdh0Z5
c7DsJztN3B7TlS01nADoua3TgiX8lQVImhABOKyPWMkNTu40Vx33kg3Cc31/W8jCFgEOBFAInrmg
uxBfEUCfDY6c4mqAo9A3VCsrN01mAAgbtHI2qvXJ8VP8jgU/HmaSAjeI0EZMoTudYqPvAomXuvtN
FRM42ufbCi2u2pkAYYfSeJ7lSIcAovzI8vsW6KJybYTe4qKBfkBFugpxuzifJyu6uK2m0goNIKqM
92oOSBW22Vr0yT9VuFKxVn/F8M8483D6oClS00OVHGNVfaOh2c4pUBMoqUK8tp1+9rQ3DrVJneck
r1bc3VI0BEwin1cLjDWoaQXz04CoieYSXC5G2nrqMO3LwdXnF7w4XVtr9kmCSubP3gB3wBpZvFhR
/jCSc9GCa1IxgHAmFkRrkKlo3bFp5p2SZBsLXup3Ce79OPrgD9+XTv7QRmu0r8u6qwpwmcgSgo5f
+ACWpbIK5lc77Aq67cf4OOXJEUkQv5sCpkcn1UxOaVWlbmrTJ5p9v23CC55ZxyWDKBSp+Ouu7jrX
s4HitgnVoSVunquZR2R5LdxdeHyiFAhmJ0RTPFMhBFPzTHNa1I0dIjIE4/uPlOZbpj+lKfWAGWf9
+22llt4YKCwA+4AYUUUVUjiYRmpm0hjJdqjEm3F8zuwNpT6whpUcoXlC2nRms5ntL9IwvlQ1BkYn
m8FZK6xwncQTheccqC+AA+Vre3miqraHtXYgJL7DJPZI3g8guZM2+Vrtf0kMwJ+Y2fTROydC+zIA
1ax4QopeYqbPnGEf4znVx35lmodYXYmDlpwRmlDwqIdEsLYJ62r1tZm1TDdDcKmxrV2iHpm3mnEo
1MrcqvZneSU/DidyCIDbIYeNhJBgN9MkxVJGNDxMMd4Eg8YrzUVOf/Boqq6E+4uacaoF5K85jkLw
QPaQU8MZoNk0dPuutUqvAdGCW8dBQsyVe1DsavivWn+FCUfe6DAhp0VEG44KMVKXYdjfvjKoDTxJ
E9HNLM8D8Ct6u9FiQn1lLHxDTYGz6NQvNKIyqPLptGVaonosspRHuwW2dsxr7YhXUbmXpjQNNLI2
FmDJU/Cl4U03HwM4L+05QcFWbgrTBAvc9IKp9+CHNlfugWURCKx4DygCXyGGy5K6nDAGyQxJbr5V
Sv06ydMaMdvSeeEoCDSJg08F+ZxLNdQ4a0fMH8Dagwgwj5Sd3fen0cYocaXZdWqygn1fsivONYdH
CgpoeO5dipvyrCAU0zbCuWDKnaHlKNZNDtuBcGn6lY/jEN52fYvyFDRnAOWLq1QkvXb6qTUHB8Fp
opmuMc1b0lK3pWDnL7e3JS1tFkwY7fZQDCGdYMSFhAnYjPIweLDIFtMVBnBe1p+kevs4Kjyo13jv
rImyxOX6Va0xUbPiIVbJdplKD92genOFV1juHP5BoTNR/BI7C4FsjCtVRhNlSKlDKphEpHPtwvzk
gML/KGSr4Ajn7eeG+JRUOdwiTogVOlGlgu6/azE/cB62NiZlruzQUniKuPd/ooQdYixH0yzmP4cy
NXesMG0XjfbUzcfVQeTcO4p3HcC8AJcjqQS8Cv+Ss6WLqm7MMHcNj6/yMR3eJavbmGgoGbfEQp8a
zXyHPMbRP1xGIHzixGJ8ioL4ep0UB9D1FEKNCh1Svf7Y2PRRT/STYbZP/2AaiCYQS6CJFmWxS/2S
OmLTkCNXI+v5vZagJCivtX8tHVy8jhH8grzCxCV0KQKU1yYm4YxWONTdgTnNNo3ir1UiB7oh/7qt
zZILPBMlRts5yClrTKW2wkxvjwZ4arVval9vHfA0psWKrCW1gIdG1wFvq0aPyqVaiBMGJGlsK2TU
jzFqsPCcAc39u9sarUkRLH1WZJYipWuFCjor5qdq3CB/XdGV87QkBfyJsDm8lZHj5H8/s3LoqFRK
AY+n9miNJEc11txpBNwS2KxP64OiFDweHsn81SdIiu0ZJFb8PVShb8fDo+u7UhHf7orCtR10v92W
tmAPvH0I1BSIfixQZl3qFTmxNmlN4oRjS3bl7CACwW56k0S9MevfCi3KVyKghbvDAKEVrB0kh5zt
4VJiCTRf3YP/KDTM/K0mQCUXo7TWisM/W3BKBu5A2BziVXQaCEbRFmCUZ6xzwqb31NxtDrCMqEU/
klu90sq/vYYLvhZYeQQVqF5zbnau8ZltFAqiCpv0TqikaHWWMebUbU3ypdKNFVNf2iwk0jCbDnNa
MYFWOFCRk9RzojVOmCpvYNJxGmlrQlhOVc/Svv2DUpyemz9i8K9ghgjJq8lpJieM+yeA3ErlLlvL
Ty+cKf5O+58Iru7ZumVpQtC5NGDdHN1DoWQbJyWGW5Ubwj7ZC8JvXv4Y4u8X5FWvJh2rIylqVkOb
wfo1pNqRvjR5487VTwSJK+d3yfSAU0F9GV0u6KMR7oscdNzOgGpWCEZKYmFGl3+fAv3tsmdUlG7v
0VL+ALSKf2UJp3fK7CaeQIgfKrlXHOdfQHA6T+RABteXMt8eV+QtbdhfcWDYu9wwFk+UShhcG1qg
j2pPah2M30z5z22lltcPvA3wqUCGiclcMDhLrT3pTsjYa0u+KvpL4WxY27tO/IBur8241h67dKoA
PPmfQMEhDQYz7FidHSDCYtc2c19Wvmf/R9qV7TiuI8svEqB9eZXktVyL1V3V1f0i9CpR1E7tX3+D
NTP32LSuiZ6LwZk5wACVJpVkJjMjI5aXSj0NDZNcfmtXhQ0iTH79IZCIZDzVoGoz2mQeOvFnNn4e
qpex6SRX+tpXQmrODy10adFBuP5Kiz3NYBbJ4/Ogj1AOPltgFY7NP7r+/f6HWluLw/kRADFDWUBs
L5UkZ53G4Ohx2tEQYNI68lq1eCz1cnff0uqKLHB88g48n9K+XlHSof2xmDH8znhTTc2vSITaSvpf
dF74BYEeAt7faDAKQaM2QQbuqW18buOQWgGU9grn8/2VfAx3i4HJQd8SFV20X29jRdGZWq6q8Rmk
StkWu8sOrtYxTC2WWdA1mFfW8uwLFJvaDWppSzA6o3IsKwezm4UGHdtZGyBgkC67IjXUjTFQYLMM
dX7U03byO1BfSWIbv63E38uBHChmuUD1i3DJxnTmqXO8+Nwt6mPcJi+lcirjT/kw7Cy0pmbv6/0N
WjuMl/aEGy3O0qQaKiU+A2LvMchqboB7+J7IiGnXGpcfAJV/r0vMTVUF+6VZcXxOLf2XF2uO72RF
2KJyAmiLT6D6ZlXxNsOYT2vK6gJrBwcANN7cQ/X15uC4S04xNOh6ZzJ+x8iLr3Q/3FpW61g7M2A3
gxm8KVBVEZISZ8xdg3RZfC5mJwdTKEQ9NWp87Rqz89HAklGyrHw3EJyBJhGANAcM2fznXMRybdS9
uEtx6VhWpJM/TT/wU2pDgrXMJC65EiDwGuMYDbgj6H2EKOTVC1DBda6cqdKHZpXtUqjBaMNpHrgq
RmDSOFgqWVRf+WaoeUI3ACqpwPaLOV5cgkMhrx1+Dmagw/xUSXyZU67ZAC835lk4shvLu97DplWm
TJlN5ZyNOmZVCz8uIYVAJdt3a4VDBVE05ppvBnL+ayuJ1ljTVMMxdJyvJDV9wxt8XTZIzN3r+t64
tnJzl8Yg/zZIfLZLaG6YVZjK2NJvHZxbQNvXApkf5v0Fj4tVDkscy/icd/vReI/HNFQg9Tm83L+Q
1rfrHzPc8S8cux/VIjZIhXNUKu0D8czlqMXlvio9GcfK7RG6XpCQOJKJmQT0DfEZU8MWC9PQ2nm7
SSbduWYFBVbgAcH3CLC2sG0FYUhABt3jI1pF7AaqunWAqMoYRBwMSbazkp8iAYYuBSjVEOpuqE5a
Y+oKra7hBR2Yo57VGWRGJjTSikDJtzZ9yfXPyQjlCq+SoENW4iy3zPWPQCYMhKfw2fByqVltYTMr
9kPLXltQGTqgcCu2tb3TjWhJt6wBwo64z/FL2W5VZYPBSW96VlP6jtHnz+DSC+870u21hV+EzQC3
HEAKaAtdO1IaD5ZBUOPHUNe3cph8YgdDdUTwmV71HmPcEnMrB5CL7GL0gCs/4KRfm0NxsQUjHwJ3
kuNSbAclDbOqNiW55srp4Gk6VB6AZVKhtHttZVTUZBlHhm2ecV2BupF1fiObKlzZOYyhILYgt7OQ
lwk7V4GvFlq3uPCXZtp6LMiHtxQoXUTOeg7n+Wfh/Lr/qVayA9AAob4NsK6monkpLEszRrMru1Y5
OxWb2k2jaFruKxiVob67dNMPe2gzyJjrWvFZQWOqDxrAdzufsc77eyADd2BwgPPWG+eTud5hiw2N
4paWAtJDC835pvk+mYNs4FBkCML7GFZ4QMDTGH3Tm5fdPEzeXBlYsJtjIL44mE4ZYnDVN2Y38Lpt
Xm5Y9+ga9BkjC9tewbzW34MH8RM4khewLjChiU8jCNTZCRq7ynnUj1n7BQpdLgv+lsn8Xwu9sCJs
Z93O1Io9Rzkr9TvEPIy5RNFwd999bnNmrIRXgpCgoGMlHope6VroC9EkQumE5LudM75mVTh/qv5+
5BHFGYxVgt0FKD90SK59Yxl7bVy0IomyZAfwcEjrR2/Jgp5+vb+gtVN+aUeIGQ6ze9bZeRKlGYBv
c3Ns+OxeLYkWK5HpajXClU2WhiWWjW3LsgXNkWM17GPL9svUCQbZJ1p1eOjC4nCDpEa1RWWKZmrq
XnNZEi3V19zY5GaYae7eULQXyzxA9CzM2hcrb/zpzPTm0IMZTHJzikR7H554+QuEj2cXaVJzqtTo
jdhgxPQN3x7D4gx6F8dPaVATlI6CNg5OQdFIouPaTiMq8/oAGEuQC177TaPnLsLRkEQm9eN5w8Vq
1QAHbpolJ2HNccC3i6cOyqKowQkP90UBlbZiGwkIPZ7reuP2u3SU+OZKGghWun9MCHEO5KV6FS9m
EvEiomK0vm08OXm6k479rkUhV+M6Iw7HDN3QthWl66SkTaPuZSZHRn5P7UNXN2C5/963z7FKJIS0
q0HowqD4zgGxRmu2apdGpW37w/Ib2oWbki8wToNFPVUa+KxIVOcZk5T51u4vPp8LKnoUqfCAvHYP
3nd1eghOR7Stt9S1kCZ9GdFGnk309B5dMFPev17WPuGlPcFLIJyLuOmwNPJ6zWfzeaGxHyvhLBvk
+Ji2FB4l6I0j+eVRHf8iLKwB2+fEyjGNdLq35i81e0jtn6Nb+a1zAuQMqXCVPOqMD3Vry7ep/MSU
bVMMO/KXorcfZ//yhwgrdkiqYoBFT6N2AKvqN6a/pZPEfdaOHngKMOIEvCqQ5sL1koPIe0kh4RvV
8JMu1gOVVn43yLpVa76Cnhj0JbgiA8aFr31l6nUj8+yERF0aatW3qW7etGKfRZ3Tfafu5793lEtj
wll3U7OlY+emSN9dpJnmA9Ve0tbXWbf5/xkSsoSm0IA8Yk4aEULDev6t5WVggt2lU2Qi7OL+YQKN
k/RgygAFH5DWiaG1w2k24mw8N+XGy9Qt08K62YKZNUyXjRdLQuzH0b08AaI5Icb2mplhzI6OZxMR
D30+vQy19Mfi/EzsSLe10J1/zWRrEQkSRgw4wAyB1B3PhI9ZRU+UmtfBE2tZsaGel7bZgt498013
jFpo0QUVo4eOqH/uf8A1g3htoUbEu7UYrbp2y0Jr28GmhQbkrAfNW3ufq28OeHNjiwQD+UsxFwA3
uYYtVNW4/jcnzr22po+V04xGrZ0nSsrAYs6PuFS3ceu+98N8hgyK7FEgxiIwyeM1gAFGvAcAtREB
A25RV6zGCMR5gVqvM1in0ljeVKU6oq4dJHn/AtWgDajCJLUQ7vaX3iOYFcEDM3FAdERhFonFHw9J
iqeyt/sfTmZCuKIzcF7gmZmi/kv1Y5F3WzQ8JYdbvBk5/AFAdBTYcYzABSB8rbZO0rp3SBJ5SQE1
JW+HcLEn7Zf7C7n9RNdWhJNm2h4Z4hy5uTrlPoaJgtLwAihK5zk9pKhJdN4jGpGf7huVLY3fNhfF
qpwUsT50MGr0mGlNgAStNl6jSU4z36BrN8DSuCosYKCAtokVxJmaSz1ZsGKWzDfaJnDA/4Rp0hyy
EffXI7MkeEPszaVC5zKJOuWI6sKkbqZqR2Vt9dVdg6YLxONQKQfi7HrXRqvsJ1bDirUYYemB1wUK
j7J4fJPOwe246gjQPTi2qPwLVhqlhsLBhFx4nBzA6hPFZw6Gj/MXti1p+jHzTDE9F4Iz4nx/F2/P
FCzDiZG2ohoGIbnr9ZV5abKyh964mYIUrC+zNJwy09net7Kyi6hSIGtErgH2CbF6bZdmwmJEs8jT
ywM4FPxOSw7UltBYrXjElRX+/194OAjUdJoCCBFprrtJy9faPqZdvVUaySj/zQORfy683/FAROkJ
ZSe+3AtDkwF9C7NAYmPE3ylUmNzUDa3yXE9/mvapYN96VfNn6zBOGMsYdgCcbO5vpxjBPuyjIAwU
CzYVY27X9gGmBxA2KQmipBamFgnL6XX+BIS+LPte+258AoBj88FpZQlnTE8Kl3kpXhJZvOzKwXlU
B2XvmJLQsfbdMIgIoSGO/cHb83o5E7CDbp5OJNIsAmYXJ9DjZ6YC/1xL3rarhlwIPSOZByRHlJLp
7LJ1encmkeXuWG4fcGekEMdzpljygF87VdBwQxUddGfogYsrSpqEloNKothIv8VJQaFEkMhkLG4S
NpToodXFXRG7By8Uvg5ICkoFykw0KvrXYj73Th0uWnfIza1Lqy3gH8HSgPq98mVDQTdzFNwynp/o
HqoAzeBEX38xvZ8hsGYYWaQ4s28lpb+4O9XGUPrzpCz7xiE7pw568mA6bKt2Tdjm721mhvdPwe0m
A0CI6RRQduDeBDjy+ke0JI5rhcQ0qs5lJCOuuSnBYIkYfEd1Ar34D7e8/uulOdZK5iR5lBSYZTh4
1YHG0dT3JzLQvaduKPB35Mmh9c5Nd145PXvpvqr1M24ciTPdHkKMYqIbjFc3PrKpCYG7NQnIdYa5
iOb8p1H/Ak6yGSU32poJeBJgfkCZQv5I8FcCEaLBAwY9at+b/ll7/Gt0GnYT/D//GOA/4OLGTNPc
qvS2KqLYsnyleYAC0YyE+zFDof6+V6wuBZIZXMkO4F9HeAfOWcy1f5siGvvpMMZ7uyqfclP56+QD
ol1cTc4G7gTgZiFstkvXst7UiiidbcgLFr6e/1Dj5qWYf91fzkpqAEs4Y7wygUe0WHBxIP6RzLGO
T5OzgDQ515goQbRCj1XPAm3OAttEEhnLUHFrB+DKsPB6XxLbnZUMhu06SsfGH6pXYh7rydzlRR3Q
QQlr/A8N2BIaCDz9/AepK6ScOy+6vwXiM5j7DqjT0PwGNQFkUIQvClIqgLgXu4iaofeTDIyq4+dq
PNi4ekzncUYv/L+w95H/A5wMSK+wcCfNXQdFEZw3bX41685s/bwuW5RaJ/swGloWLFqZbyFMN0ie
4LdxnY9z4kJHewkphggnz6tBmcCkA9pAsz/aOV4CTuiqIXHNL5MySYytXeLgAvMQCHnJC8RW12ey
ya22aZOlxEkpkKwAdvJsZjUJ+zoOMwWChUVHuq1VmF2ISThlV7lQwIqbsT1oVZHuk26moTuVuWTY
Z+1zozmLc4UbA1RMwlUxYvCxnJsaV7pXQu/Sei3s/GDk8WGu46emfG4zwBfvf/FVX4dKPKBMvMGF
jvT1VlgaS6ee2GXkaE/TezruoK4Y2FOzQ+O3SXZDk/rV8GI7R11jPgfJ0Lf8WMsYCVcCGtp4GD7i
DH7AVAmOXjXA5SRxWUVtgoG2xWjcjTZksySc3CZBwFAB8YpaNSpLN0IEnWYWOt5OVeTu0A56y51Q
lXzBtSv40oJwgAxrbvVFhYUUKQjRf6XL2ZSY+HDO63cmr6xg7geDHkCLi7rUbOz0EeWdMlpUz0d3
xlTe440+/jR37tz5ZR2a8V5PVX8sIUF1zPPv4EgbH2LQ2xZ/5uq9fAI9wzJtxm434sVl6dteRZfl
vlut7AO2GEJjAGRjgtcU9qFT+qycNEzn2tkMVQv2qzbBOZq2sjrrzawybkh0ozHPCnY2l/MgX7vv
Uli9VppDiac91Lmd2g1JpgZAhG9666j+qMlbje54bQU0DhUpeGHFoa6sC3mYVy7LWKaoi6vgq3Kf
lvFJ0Y6UfP8vNpO/djhxOYrkvKZykUEQG+KqADjiWogVPHSo3zU0zKDdcd/MR1FVcCyUqvkjHIQR
GEwWkmq19GJFSXEVJMue1amvJM8Dav8MCnyAW43ZY1vvsmXEC7YKPDcqyRYYRNCgBToFlbp7zF4J
eU6mbTcFWt37uTftSvekxe1RGSXPmZX7gquygg8NtzcmNPhNerkl3QjuKd0po7wCDZTlYiayr6kM
FLT2eYEF4yIyOHEQCby2UnvTMg22WUbN+D2Z1B0BYzPXm3D/3N/526IYeuKc5hNTTuBCE+eiVS2n
Lu3yKmqcTx4Ar4T9cWMazACieT/G/DzGtuRbr4TbK4vCrZ9NXZ6laH1ELvjkmjJssjKs6R+9KcJB
IRJjq4cUtE5AdwN4DSCk4MBaahTGYo5VNM9BVo34VG+V8+IxFrZtFyTEfgNBfTuYqFmY54ZIaiNr
j0VkFJwUCfEF4HnxjsiBuEMZBrlcVfvlOPkqSR9jd9g2jvIy1vO3skoghTF8LibmxwtbJGFnzVlx
qlAFB50ZUhzBWdOZQO8PMMmoVGNly7qm/DIzRZWUElascEZaLlKCdwxEZq6d1bPTPMsbWkdTw5zN
6C7TochaTZI6rbgqqiJInvCy50Nswl4yxW48ZzDrqDff8+SJlMouVrW9RrStVzuBMwIJMXy7fzzW
VobHLp/bxCsNs1/XK2ubym57rWqignZuAMUIIxgGU0Y7unIkYADeAaYcFOtEzcp8SctEUVgTgSDl
s5pvSDLsnWQMiP1bijRYCY9XtoS4UZuZ21SoDkTWjPbjYj6kbD5a3ijx/NuPBadXUTIDggiFAhHU
aJWQJGZN2Uaque37ydibemNu2yk7Zln9pJP2W9ep+tZxU9no5m0mC8sgveWpFnD9IgQnx0GYIRzU
RnNxrKCB2XtPqAQpGQ0NL1Jj2cTP7X5yc0Ag8IFb1N5FDxl0IM8cu40KO2TDg1I9ATQjucVWNhO/
GOA1FCTQzRLHrluuUOnlZRdpY/MAANyzy75R8gACyS1afN8qsjGk6c2t50NhFo8/JOZ4CGIq8Nrz
x3bUG4dlHbastrbzmOmB0gOgef98rewepvChtsApI3mp4trKYLdlruV2H7XOT8U6l1YFxe33+zbW
dg+jN7oDInAAi0StXW+kDXFqq48yQwtVoiBRpelxYHlwtHX3D60TgI3Y7r7RlWo1cOnQUsI8AQoI
+Od6ZdVY2ozSrouswniuOg9oRePgDYmP5k+TWqcFcq6UZu89TUM7JuGQPWU5k1zMK3UM/isANwAW
DU1X8f4vlpxkcV91EZQRQnvaIFD6fb5h81fTeNIU1a+qIWgwEyBZ/cp3vbLLv8lFkqRQtxnHqemi
/s/ohq7pUyWqzX25hNZT+uZs5nQzoTtl+F4ZOLJnykrUvVq1K9SJimSxEHRhXSXq93b4NY47KCz7
k8Y2uMVntgeZFjhwQhNB9/7Cb29y3kfSwIYIkCHUyYRIOKG8CSmhFpbLX5Z10McDrdHR7P2Fsc19
Ux8VyOuc+dqWfr3HIAOlFC8AeBjnZNrV8XNnvpUjaAwgggFm6LlR/PrHV2N8LlmCisap8H6iCdmO
m0niZrJVC09oc0ZfnyVDF+npcLA8sEFMu9z6XujuaTaJxNjKW4GvG6VwXEvYT/ERChEGBySHRRfV
dq7/co1RPaJe5EEMuFLbP/3Sj21AoHG5bCjIHXrfjTNVO9C2LautOYz9ZoG0ff3SdGhRJYVl/mBl
Vuc+gdL9p6oo9RrEDHS0Noutk7OZtToLQVFPlZ2m5nWxSyurVw8TszMI7ipl+kyMsZQxxotqji5w
iDpKMagFQkkFRRnBhVnv0Um3ZnxcX91Uu2mfPRt7Zx8f1U19UCAD4Y/9zn74VP2wE986hI6kNr16
f13+AMGTSWtMrVUuXdS919nW9JOzvinowzT9XNR91kDS8tA2IdUkCevtuwfrhsoPR4ECueGKTl2P
Ge1TrLsnfR7Udhz7vV4W+8mJhy9OESeR5BTxjbw5RRcGRd+lZdV6oBmKsqnxC9LsdeBwHP1AnSrs
UHUsprfCXAJFNp61El/R4sDQAf4bFVaRvAnnNHdrTe8iUuhGQBM6+tawJNv7y1u7h4GYRwAAlzvn
ur6+IxSrazvVyfuoKR468jXWf+uGJNNbKePhgXFhQ8gUnDhx1ARaRpFtvatD1OTHod2Mm6o5jaAs
YA8AwrBXiI8+6Oyxbb4nAGDfX+TqfX/5C4RoU+rjkvQj7ZGlH9Okf2yZEdL2d0oxE73pHlyje2jH
/nNHZVwNax8R9R+4K5+ZB0/S9fbWKdM9pW36SFlc9VOVIX3BZED8en99q1ZQUkAlHk0i1EuvrYCj
Jmlqve0jy6rUQ6630AzGJLEEnrjyVEZVDwksCCCAyER75dpM3A5ZXFOjjzC7tzW/Q88rqAL9UL8Z
QfdUmpJIqfODJR68S3PC3qXG0PU10ftoJBi5tchEwRo79d/M0U5DaAX3p7pVlmeMEmJk39DKB8OO
UQfS3D4AYQ/ZLEvShahpqE8Y387QwS7cQz6Vw1ZNl3HLFMzhmnrcvDXUy58qdQG9ekJkI0S3CRaA
/hyvju4BkAE3XPwznj4mI+4QFUqd/jIayFOXY6u9VGOinRZWx5jDNnIwG0CrAQQ89dIdNbDJ/rzv
ITfHHL8Cz6yPUWkw7Ymvrd5wBjZn+Qj4uHEg4CVp0+TQdTK2pBtH5GbghqjRGRjGFlvfSjoDqKX3
I066lb8nbmdP4HUZMetwfzk3QeDDDsrL4HvmxSnhTjaUkibj3I5Rgy50mBvFn3IAI6CZz1CpIlV4
39rq5oHU7j/W+KovclU9c60yQcIU2V4ZB56dK5slB8t7i0LJ317HHwtDm4lPGWNkVgiqJW3aKW7Y
GKHl4Dd6fMyLIXTIIgne69/pHzNCEG0A+skM8GZFqWt9xmh7fNQHL5Xc+6vbBgIAEAnrPFsRbiWi
9mNN0gHblrW7Ups2dtMeR1fb3P86q77wjxkRpNV7JnUHjJVGnf67G46jNwdD9qnRJ4kdyXIM4dM4
dKktxcKncTGp7KCbkbHetzuZFjm/1a5uPdSRcIZQjgS6B8OHwiVbe1QnNJ7GSM2a9GvlxGA0Tdt4
8EfVHjYmMOJQYdfnENJisirCygpBl4XuHqgoAF8SX/R5DRUDp8inqFdY4OZ4CNoQL8bU9P0PtrZC
EKjipoC6BejO+M+4OE6pRrBrWjWhmLWpzUhns0/ySQvaFEvrXcDEC9nkzoqPcOp8THICroGkWdhU
vWbgEITGNVAjRuE3bV/5jpr9JmmF2Yypm/f3VygzJ0QutzWMIbPHKRrHces5C/M78Af4dVxMoRW7
kri8cpgx4A6HQXUEM7s38KlOb0sjVaeozIu9qQ47NLf+Fj4Kp7w0IRxls9dH8MXpU2TnX0w2hkx5
pOb3OJbJ46x64D9L+QimF65Rtj1Q2boxRTT/AlGSjUYb6JDMkotJTGRQhONiQii449+4lKfgDsbS
mHpWxNAn7d9V3hFqUfVztPpB99JjVaiBTljIxX+A5XMZwCRxKwkpwhm4+QWCh3hJQzpiKtWpN7eQ
1KbUSn1qM586xcMAtu1FRrkm7Oy/DQKsArQKFB3FFNFUMVmMt1J1MvN9P8Tot+5RSw7+yu8/jIA5
F5yCyHYRLoWwPC1lCWmBrDpN1i9jeogrQN1sP5GBf8V0/l92+EJQEQcKUtQjV4ckXSjXtPWSPHT1
dy/I0fbTLF8LPH2n/xiqT10q7RQJp/rDKuzBY3gmhfzm+t5SZ5Pnm2Z1St4U5ZidWOFnn1V7W5Rl
aOygueQ3v2JoNjS7Zg4mM2T99v72isNQ//4FkJ3C1Qngjfj2VRcTQl+KAx3243PjY0oC/xhbz3+v
/C3nzj/W38l78+W+1TVXBXc+eDRQHQTWlG/LxZk0UJsfNQcyyjn40rv8mfQmgDdVUBBM5T/Wyfx3
4eFjkZwCCWgb4HhvcrtiZNagJEZ9cqfutWpfzYo8lvl7iaavo3j7iXXn+wtcOxp82EUDmhxILhEP
oNUgpPSqtDnpkGx7GvW5P+Sjc8zbWdagEitT/1ob5hE5zxgwwoaQd2kUFY3WIc2Jf7dk3x2SfbKH
UuNG2yZo7+3KQ31wj8lDd6B7M4j3bfqY5Cc1BCLiBNqP++sWnyY3v0Y4rlq7UHCkZM3JqL5WShbE
7nsWP2axs2O2sq0b65iVnT/ItJrFesCNXSGfZqa7xLMFu9M0bU10dQs3UDw/Brt36ms0cBsl9JL3
JN9q0TCDTxEKiF3Qy44Tv+UvMi3+MzA1D8AsaknItUXGgMHO4hLVpOZEvTHMnMcMdEza1PuGlQSm
jN3ig3Xpxhogc8AyQWT5BgziJU5ngsOnOT2AtMJv3roTBOX9dlvtMazpf/sB3Iufhskm3f7rPzT4
PQRLMIfaJvaTwArUUAumzRzqPiAxkpLpWkTkuHkMHnLsMNi0rg85nYdiZhP2wuwX30Nx0V/I18Wa
XpizHNQMdeLlUXH7w0jnzWzl+65xJKiJla9hoJCJ1zAedEBoC7crpHKhSzMW7ITXIz/qid/Oh1R7
zsq/BBLy745zjvvF5ZIgrjjhTMxUXcZiYKfRfeqUKTTyR6Z2Qbkc22nfpYf7p2wlasAaMMKIU2Dc
+KhyXFyfmTPq9TAs7MTA0rBbQkh7FrJS4e1Jhg+j3g3QCZAgaOcId7TFqpSyok5PmEzV8yGkexcc
EHkf5rrjkyYc6vop1l7vr4x/kSuP5kZ5XsiB+5yH/dpniEJLz+rG9KRCMnGzDHp5Uua02jhDSx/L
Qq8Cphs06A32zKAUKElJb/wFZRU+fQmGJ1QboMN2bR28VfZSYV72NOdFdhodDTAqs4gxO+W0x2RM
bJ/OfSFJ24RU28EIFR4tqH8BMMGnPHgoufyYU42RCCTbp0pXgybWvk5skLGA3cRbboMzmcBh4KRi
vI1N1k+g2E9PaboprY1Kfcfbxlsz/5b8JX3Dv5ZzYYrv8cVyDOqCuba20xNc5RMxGt+eX6whUhrz
RSuj+96y8r2uliV8rwokvD10JNMTdDuS+pP+nvyKB06yed/M2lHgoGw01zheF+NA12saenVGuUaD
X2Rf2t4OzPTJaXb5A+Y88oeiW/ZT/Vtikv9J4SBcmRTiWaIPilFY3CvqKYJwLObDu4BMVmjPXeAm
fUAA2O3j6axOiW87wWL+LqhMs2l1fy/WLbjmwLrWgZYbfoQTVmxL98UjEESK5Jbmf+VmqXxGHSo9
Hl5QwlIHBrrcGRInJ5bOfl4sAZjRFypjkb8NR/wMXJgRFjPTriyhPQ3HZDu9anecB90z0GAjZxI+
an3I0biLX8jQ9TeXtWBXuEcrvRgVL4bdVP+dustmmUwonvhF20lur/9jhSiLWS6gDTcsTN6CjkiJ
Fv+JumayIbVJfLwgSOAt1Sctg4hPQcuvWj3/rDpSBEbl1cGclp+NvrIlsX9tzRpKwgAhIDphKPr6
wFCUXQDsxpqpXh8t0Fa7w8YbQecisbN2d2LSEEUtMOwg7RL2tvcaYrPKTU8Wrdmur/QvzmjKcAVr
l+elEeFGy4pKy4zZwmJa+tseg+pnbVJoRWSBSurQhpB9cP/wr+4eWmeorpuc61TI6HtGDYKmPjxV
faHzVw8DVo4ddPqn+2Zun7zwTB1YUgBOeJYkaue5FuY+Mm8kp2oIU2endXaQZcdB7f35EyiyZ4Bv
XnTQF983u7adHNiGmQeQOWOa7do3EohPllY7wUvVfYruRBU4P8Bvo1bQ8ZYNyK/5x6UtwT9GaEpR
UsCWVtXBiFkW6ZyhzILgHBCG0udphgVPQzsow/xI/3eluI+AinYtwESQZkVDTqgRu0j29Jwt5ER8
QLolmeTa3Xv5xwVXy4c5c6FFQk5q0waT/c2y6qBkEjzjavy8tCLET8Ap0tIe+BJAtv0Fitv7n+42
39j+/r5ryVYjRBJVby1FVfAx0uTV7FEzURuIh8maA+uf/J8PIjhwHgMVN5szOS2Ybib9uTD/n19c
8NrYtCs3q7BdsZ4EZXpmYJ27v1GyJQhea7QdlE1nLAG1UX/2UOYhkqmNtTsMDSeknKDDQAFESOTB
lJdS3cWnaDQnaPR5U2YumHy/NTLW/dXrhFfPINIKtVaxgTxYAzNR3McRd82DlZE3z3hmRoTYhNe9
9jhQWSF+NcxiSu9/LfJfdJHhLrrZWDVGsk/pi4KqCkby6k/5wxxajq8FdonpOUk8WHXrC4PCXo7q
7GQ2SlYnzXlNaLFp2sfRlhkRwT8f9wxqCCA+0DE0j/fX9bLArc3ahqnkpJ9BNKU9qLlvviYbe9dv
6EPxzTqb29wfP2ffnSMG8w5NtpVpP31AjsVMEM8g9Ip4PQM4leufwBqlmHRoJpxyaFudl59ADzYP
Xnxc6rOVgzDUeGOoYj0rP9ER9h0jvH8o1rLdS+vCBrA0R//XcHAXsu/G4AYEbGhq8+iOv4v5vwlM
KJvjrcnHA9Bwvl6pl1YpWElNfsRtz6/oWITgbrAlK1o75si+UGNVMcF6o6kIqh1kALVBTrZJ9p6X
HedZVlldO+cc4sk/GAoFIp1p2bGeEwrgaldV3wQV+Ls9v02TpJzKPVx0DE6GDBk9UPTfKHaN4LDW
O4jXn4gbLiWABhi6Mfugs/x8NP0FfLJGmktO3WrUujQqeCM1cMxNoGRPxfwNfZsxVv12Z32xtd92
Mm/tPj3Ew9t9F1xbJ6gzMG8AUhXQPwvhuItB/RFnHjkh61JQzE02y8l9aYrtf7U4Xp/EtBrYD5Fq
Xjsg2C/dqmJpdnKmCU+hHZitnJmANQ9jUOk5nQw/Az/SKKuPivjRj1sGQz+YekSNFJUeIfJUjEFA
tMMhMxB1gMGhfl9AtgQYJlRIm+Rp/qJoz03cHPX4PJuB/qM4DM22/Z3Zn4GmkITBD0Cj6Ff2R/8K
zA1QmRB+jeJ6OYPqDDnNm+kTcKxn98ey7aPkDIDBAV20PTYmpKfh3JIg+YEGxf3PrfPvec++EEqI
6yweRNRw4VV+/GiF1s/pZQqJP5670ifftN3y4G2UDXC1Q/yUBPNDecj39uv9X7HqdBebIIQXnTFG
1AZ+ro+vjY0GqeH67RK0xV53til6CHlCJRu/FrQRrTFLiKlkcH4I3lcnGSV6Bo3CfDGAhw96p38c
MJWVetvkRaY/tXavXxoT0imPjF6aUBibj2SffeqBVd7KrsHVtxTo2zCziKl1ThNwfZ6I1vdK1efZ
aTAAjS3swLK7PwkgFrNpHGvavPC01PDoYxJ/JdJZjfVjhQYidHTQhcZ/XZuv6qSNWUuxxgD3Iz1X
WVh+yt4X6M3sxpc22ZJnTIl+rT4pX5Wvo5QkhL9BbvwYkzeYj3LQphW/p6P32pJYqJlCU/EArrz4
jVK/eY9fYgzbvf+676+rCRhahx+UzBhSFBFhKash7Zqw7NR2014dz+Oj+5P0vl65vjK+dm1gha+9
pLiyekjgqBjoQ9/yRm3AQdm5Lr0hO/XfnX3/SoPqOQd904OM/X31ZFzYEV570AQo6yEbs5NlvXkL
unUuqKhOpvldOQztJLl/VkMcf4P/Z1VCvLF1OC1UFbNTF/5BWepzHPan5QkNS2kJlZ/oGw/BaJSD
ngWa3WI3oVg6L6YK9q8q8mBKt43pW5gB2RN3Yx+Gt8nY5dSv3pjzqKNNGssK4GtpChfH/Y954XiW
yjICZoqFbqcfxg4zmD/u++S6e/zz94WLnEIaBXIU+Pv6ozn7HogqvPLRcT7jxVPb/0Pady1HrivL
/tBhBL15BU1buZYbzQtjjETQe/v1J6l995puCLcRa45i3iaiiwAKBaAqK9MgtcDc/2fh/thjYnYy
2aOSAhZxLFrtHQKIm6LKd519H5amGxq7cLqNIOKeiR5bglVkS3qDMkFmPYdZLUiPe5HIDP84/LNK
rFxbWaBvqK0xi0Mw++GPLgAfh7JrX6Rvjmdvoj3NSCaT+Vf4Zn3XFSLfzEFmEPVf0rL+545y9hnM
rlCHAVxeLT4jSmMiS9+H4a6pRTkR3t0c7VFgeUHPwXpDv4zYUkIRMtett3jR/s3azq5x6F5jNzw0
D/Fj7Seb6x7KDSxn9pjAIusleJziOTmm5SbXV8ZI1GRP2nhjzHelKrxfck+EM3PMHBpSA5YhG+a8
RSXJQPIHfbNUXn20Uteo7hshkFzjBZgzg+v/n73Kqx60qXqE+Rzd3J8fcJHYt8ffixuRyW93ItYv
7n4/s8a8DUoNenWq/GmtOqqu7k5k+DDcj+trxo1aZ1aYa5LWQ9bbRvvqMd/a94BnHkRtq19hE3gA
nnshczdCe2RRUA0W+h/TAXfxm+mQ+5WfAHyUBt2m96bNfEoLcn1cn7jWL6fB2cCYcLzkBZ7FFN6h
b5TBTb/rpPBaD1A14BLSveO3FamfZmifvEobeau9UbfelFtoh/pgbPYoCd056P4i63Y+FUwIX8ba
LDIbSxrqOewYFigW8l4EFOBte9xZgIr4vCexBW7QTAD5RKXkGAO0T8MKGQbBRudOLlBV6KuAFAey
KMxAkOJBfSJ28LQLBgn3P30/7uvN8BtqvMfpMToURweZHGiNbdtjtek+ym/tJn/S/M7vd71X3Ua/
qo0wtbPud3bFzz+KObC0UI2jbMJHSXdNoPqV17odiX36w3ArVw+u+xfbR/YZwc+ssfjtWY0rkP6F
60Giu7EbA9X2qyC5W5BsMxPJu27uk5bqyuBYGPeionxp5hhc7xfeuJ2+/VYCCoemd+MP7U72u5/L
a+Pne2OjbMO7CsdWcoPrDtrpttGme7bJtJU2OWA7gu/iO9s/nsAWkuIs7rVQxnd58o10J+10V9tB
pSSHEiq68J/ibbqfX7Rt8QOPvr15AD7GeqC+5VbvEAZr8Qx9in5prnwvHxMS3lKBo7KsVF9WiQnZ
LchspDLFKqEjl7zU6z/LfVuQRd2/CxkUBQ6oMRHbhlRYrScwJu8dEhNtE3xTiE4S/4foLci7JJ07
HxO1DSMCDGPdf5n+3mf3WvWRi1KV3Lh9boOJ270kJ2hRWB0cUZPeSWQgCaHBHETe5IJ0gCSbl4/r
3sR9Y57bZIJ2qTWS4bSwGdlzUPWVG0MxqQyzTRfN2ypc9lLfbuOxA/11f2c79HYYw6DKJk9a5o2m
1H6k2M9LfyeJqhnC2WAi3jT3idPO+DLnMQUAbva1be+Dy5GUruQOPjQEvhV7kUwb9w5+Ph9MSOvH
sabjgnUGUc5p2QKS8aB7eVB7neCuyLtsnBliq+lgLwpNucfwRh8t/AedOJvEHwl9uL7AXL910FEG
MraVDJMZT5u28izlUXpM48ZrlE1ulW4yCTb95+nzJVb+sfI5q2f3NH0IW6OU0CWpNLs4+VAmurXs
rYNX0zQP91NcEWo6rjpUblL07qCNW6q4eTi7HSBu2ZI/jSBqK/puo4VlsFQdinz6Nq0lP0oav7O0
O0dubsI6e3QgHzG0tX99ktaNxXw+kHcrsQEIlEFfxFzbK2UEqjfv6FGvFrfqGqJr1FWj52IUrAbP
vWxA/JBOArnZ1xJB3k36NKUWoHBdvS3t7K5tgjj1HXmjps+9Bt6PCJrWovwDxwlwdQAhHRjXHADu
WSeYswYvvDY+RgC/NQMNNBO353IRADcEZth81RzpaduDdPCYdXs6JN6sULeTM8HBzLMCCOPa6YwW
FkAmL98EWMheSXQk3lr4j9/L78JSLccdgJD8Y2H9gjNvriWn7PQWhdRsKQ5jaexzewqaZn5ZelEb
3xrEGM+D9KoC1hWUOoFOZEJ+2Cz1MquoCqsZOAZiaDQoECyaFq9P/Mlss81ARS06a0T/ahKMYCv3
2Ffq03gcQNrqYP6gwlqoE4Hshp/0JpjOii3wDoJsFHe1oC37X2vMC1Wx2slSSmAR9NHrzB9p+DMU
3YhEA2JepcBy2m0vqfGxs5Zpgx5yByR5DtQI8+m9N6hFEl0XJfm5NiEzs/Y6QN2DJdxVKFo6pQyl
PqVzZXoT9NamXoJCVFHkHBKoi/0xw3hiW+mVGpWondaNeoK4TaBEoSt10nZaFL8Ge/KK7ZEmWfCU
424AHQkM9GJChpNFp2Rq3oRGawAMkYy/JmPZOCr1xjQr3RRtLNdjL3cHIMMNtBKiLzTBLzebWbYq
ZLIxxFjZ1a4GtKzmVgupg7ASnFIiS4wrSro5a22BugxaqJTouYmIqh0Tf+4OIk1rrnecjYnxSLQl
dCUUyD4tpVDXi/d24Ybp8xj+TSw8M8RctmVgrnQ7XQ0l8iYp992S+kKeL15q3gYb8z9LxETcsR4c
KV2wRKC13cSqEZQ/6LAxwYqofc/yTWGhnGZSErWz2zaCRVt/+0u0WoldofSCjgj20YdmQsk0ahQh
tOV9iR4mUY+J6PcZp7C0sEVLMH4/ij8M+bvwLOH9PtgcZBRHQfivmqurnJ0lg91aztzlOK2q+gd0
vZf9pDqDYA/x9uu5Eeaq3Bl5VhpV8rmHgPdK0QGU6Pd2/3F9q/JiOVoCV3AhEhBfymH63I2xCfWk
Y+PcpOl7o0qCuMPbN0ggoqMY9XIolDHjmA27LbIek4XcldnMGxlCGogORMn3UiJ8YHCX5swacyui
qdWHINqPjwkFaTFRwrLzZhqhjSaDsFDaq4Ofy2n3VCbtw2I1w9puNN72fWF4o5K33liMz3a6ZILF
FHyWwQREe2lKi44r9imOJHfUQXuXNrKIH5+7lkhYQdADgC4klS79smnruRvMGoBNbXIRCsWLyTu7
0J73jwVmZw19MXVdDwvALD+WWRpIUwi2oZGY/W7QdVKp+r6LBeGC40Ho1QIBIl48oHVikzZKR5UV
GoCTy5TcbkgPbVvd973sKt3aK0Sj7b/eEhf2mEhv2flU1zXswY8IRYuHFd3M9V+cxxdWmDBPaYYH
igIrlXOjTzdZ/5HFN70peJFyXMJBp87aUrnOHMterju6lso17jSFHW4zI9mhgcz+984NMkCQz4A/
T4Ou3KVTXJ97XkLw4seYye8BfDNTHedSm/RJUETxrpVodN92pT8nsUJiMDIFpVV+pEOaHhOzBu5M
i17nRlt27dSLWrW/dt2CKBrgFxOUJitLEsvJYUZGrOcZTuPIyQ6FWe/l6EeVhq8QmgscahKzQgJe
Q+vmQpIS56U9EzsLylTdWGl6yPTxTU7Mn9cnibshgAhT8cJAa9ln/ufs/NEip8szDXMkSV68+Mah
BkMsBOhEqTiRHSaYJmFddfKMyxWtyv2QqVt5GQjYCcE1rxyapBTsc86Jh8vAP8NiX+xyZubGCKEv
9P4SwOyG0AM1Sd0KHi8iK5fe+j+tZVX5TLGgOZHD+2+p9RKKZNT5JnQDvWmIxHgEXsZhJTG6cGow
b2qC1Oy0H0FS800bHq57gcjKunpnXlBTi6ZDBivQn50gQ3EEFbYwSnEOLqwJ3pTom0TTD0uWULe6
nvQL0Ge1bfckmQzLndNJBO/i3OIvrDB3BOBk7EJXpfUSsrfs0dVbbRMu96veENib3C7eX586vmP/
GRXj2BqYS5EPiFGUN7pDYlbPafa9yu5lswWKuxE43NXBqWh+uVwnSBvqyMUC1ZRoKlGsFHwnGZG/
9eVdqq50UAK34EZ8kEuicuWg55QNDisZLVJDGBvEInBOtm9j8nx99vR1izD3d0QeY70Bm+hnZ1lq
Bt2eyqbGiJwuiv0kt2ovAlOvO9epROahSJ76QjZAXJ1mfp3UaRDZ9bdJa0fiSLFOlKoNXdxeICrZ
1R/zBJBVRKnmLvGQu9g7jrtM4w8ja3sQuheQjoemhZUn4QHgVpu0VIsitHeGQG9AGvPFgTSGOygR
vVtAquWVJbpOqzqzSVGDaA5JkdLVJ3M6KhSUEbpcWL4SjRIp9MYEVYOmBdcnhz/9f+aGcWVq16AK
SqLkWNHRq+jgSZHAebn7Ho1jADehEw8adJf+hKhj90jLIpttPCjRUZuhlTkQQ3Tr4qU1scp/7Kwj
PYsvZp9ZSSnDjrnPHT8LiWS4oY678j7+Je20UjBx3EhzZm4d9pm5cklQibDgVPSe9ALGK9GUMaES
Ak6dGir47RKIUf2u2S9v11ddZIBZdXPoGrOcMVdREvqN9tyMlhup91Py8n+zwwSuItO0ChoLKH1n
+67Z2EAEtzeyKtjggtE4TMTqS2jl5RqmK3zub+37+EmkrcgNiX/Wmrkx/o8lDWUGNba1DKvEpJXR
J7ulP8cOirqCCeNG+jNLzHUS2AVNXXJYUrIAbaS97eNdhHZLWdRNzd/3/+wWh7nOq5E2o3QOQxbq
slNMBnqDzUOuLz93NChlgEVfAU0CexkF+VKP1V+Xvzk5AFhJZo9daRPr3RRRVnDHsz7X8Yc8B3uH
aaWoKIupAPBD3uD6S7QJ1FkiHBl3PCD4XuEPAPyx/PkZ2Ayk2KiToz16Ghr/itYiuUVXkcHaFJyL
XJ9D8hNZa6gQ4LVyGV+cOgzzskRSqM39JPanIQACr8zRWOtXIowTN5ad2Vo32FksQzp+TKQetuyG
AJlGBSeA6OeZcKYuQx7qIyDMfY+sUJvqltdHIlpRrgOcjYEJaVKt5Y0lYwzFdNsZ70a5B5+f4GrE
XX8QjuhrZysoxpijLEKJAa9WJIaQcacLWg4zhTQZdJ3kI8RFru8d7nkGhjt4GYDBkLBiFiWqeqmH
nDWQnyiW+POw3FpjLW+itlC8aO5jF81pN7o9697cTxWZbKUSBCPelK4lWzQMA+6DJPylWyQQmsYj
s8SULr+T6Gn6ix5RqAz8+X3mdDBtWhVpA7h1De7TIjWJVfystWfBPPJGgdazta0SwlzYSpejAIlp
gZwnKoLVeMjkunaRrT523f3UZyRXa1JAu8kqgWDBgqb5Q9LbwWh0ZDLuLUjSXf8Y7rcASA9p45Xi
j2W/68vEDCeKb1GgweQhJ1S7ZZbdDa3oKcw1tJKsALJvaEj7Xg66LZ1QtbMZ/T6L+r6EheNrsdR7
Mfadf31I6yKxl2sTKuEgjYVe+FdilbKbaGX1aDgr0+ehAs/tfFfIO7qobtt+K9HKuOSCbcgLjZhB
BTkiCHihGfRycMbUp1PTTnhJplGQb6HxRmjizpHqhnNEQhH9wbrRvozwzBzjpjTvIDupKMivxdZO
cfIn8KYDZKDUpJHj3V/M5h9bLCJjUEswAgwYml2+oF2f0LEhhbOQ6aSpDxpdPFnUf8BrMAH5CB5H
K0u7gwv65WwWXR0nS4z2zGIKDCU9lGBLyk42KFBtJydZ4tGDGd/V8SjYC7xTwUK766dm9coSwNiF
XgckoZDYoHUcfSAf37nSWCp/EcPOraxvw7OjTU6cBacbRmcMybbS8MRJggWCzteXjeci51aYa1ue
ObPcZ7BiqfN3FaLl6rIHLZkb6yKYC29jr+y+Jh4BIBVhExwtnIPqMp7LIdIF2zbPf6JRWXZjOv1F
DQD8Vni2ob8TFxuW0n2q7XwI1zeCudidny9Q9sjaWqRvx/WCP1ZYEVR1jixJ05GwkbR3HW9y0MII
/IybEgXyBMQlwLvY4PW5dIGuQPOj1qEyZdS+A7R/F5TPsnRbR6TUDk73Do3X+Te64Y35WxIVbra4
eblTReIlvLvDSvyLXlO0zAKle/kV2iL1nVVXaAJOd/EYBbTc1fHtYM6BRkXtuTx3RNvhp2Yg8Cns
0kkW1MCqBoiOIcw3Q+u+5RlEFAeR9hkvDp+ZYdeOKnZeWfKKq3juU2KOxP4tv4XJXSpq8uGdMeeG
mE08DZoB3VacZulH8wZT6UROi+SboSdqL+BtL5SZEZUgErQe0perZMftehVCrL9rHkEgJ+j14vrA
2a8zp3IDjEEWGvj1fBWAlY+W8Q1CHsQy3ppwez0i8QYC8j4D+WlcVvH8uhxILuVgWVs7tIupOZm1
Acm2bmtI739hBZWGVVfJgLAuszAzxa92IAA65l0C6lSij4/WLOJp59ZYUPMF2kpWV6p25oSCFoLc
ThnANVPj1yhaaHXvGc5TatpuXjgkm7dOvjHpBiwnpND2kmwF14fJ20+rODj+QTwNykuXk5nKTQLx
bEym1SQ9msSdoAI2y0vzoiGRFNF/nf5B2hXd6J89/OhqY2Z16cH+Xzl4ynRT7Q4diB7rcbsmToxK
cN34OjBYwsEFlwftOQjILge29I4V1VBKOOIBGINhBjQzctz4ExoCQ31zfRK/euSlLcYjl1bp2yqB
rfzFzMiCZVQFFvijwfV6bT8HRyqzeXNbqorWwPMsHYH2TBQt2RZl3pLBjB1iW6n9f7THbOdFw6Zo
hx64EAkdLs6HVnxghwkZT/gTh+Q4yKjwHGRVr7qmjspBn/E6l6ofwK7eF212K0WZiD+Jg7FRwY8B
fAuaQR3U6dbwdXZXCgs7t4sI41GygqgRda1cJtD98uoowTW+I6aTbLMWrSXtj77adZXlX3cR3gKe
fwCz0aUczN3Lggdh4jwrxk0q3Wj+KILqcS68GCZeRaj/oqcYepaXw5SLVpdaPKqPWex3TUVQAqVj
4kV1jsiCFiAIIg5GQfTaN/59sePCNHvnLSPNDtu1l6xAL162AXhDESVbOFwnKGtD3vaTtNcCiefl
8MDWn8vV1GESe8mHmJb9VqEPHpUOEIN4dP41zV5tDC54uzWsaJ+CbCzcJ7n6en0tOaj+y+9gdoeZ
VWPdtPiO9OW9dc194xnHn+EbDaoXZ18H0t68zx+tp8gT2F2j4+Vz7dIu896va0iuGwWcKHqJCr/Q
3RXnURF5V6l7ufPRc1aI8pycXA1sIh8E0ouVFJaVTZSdvBzDAjsnKjp04etuOxFgrP0VC2eG+36o
idYfqUgPldOfcGmXid9m0w1LrmCOSyKV5G4wN9TT7+tnoDFx2+tOtU0gqEVTMr7OPwXzvPrRl3kG
lSTyYSYYWti+lypOQcMhIdrqElS9ml9OT31Kp43qTEFPy5ukK+6zOFCVAQPPvhsFVCiuf8Iaj758
gYlbPagRgO1lqUaaaghriO8ifzSPt3KD9i+n/Yk71msNyv920N+um+MGjlUSFjBEGa21rEZIv+Q1
9JsX0APIpQek+z6WxojMlX0ynu3EbeXXZoJgXG2RVBbMNi8ywrfMlQcB5wDLhtNYNYravYoS5h18
ubjTCj8TtClyZ/PMBONLFu4xYWgpiP7Us6ExWjTgnzKJFPduLQILfn31wW/PbDF3gdxctGi2dCS3
e/tX5+gkVqTT9dVao/gX53CgZQXECdaLzdXPRTMg2QXnWHAr1DrJR/GpHMCrprzH0o0t9RCL/Nd3
bowKK2RaBkjpsCfwSWfnp2YuM9SaTNymDGx/8zs4nhS1F8Q37jKdGVn//8xI0pQVmPUtPJhzp/QT
x4z8wZHJ0qYJqayOkqbOqcAm1/vQKYIYB6YkVFgubTaJjfMjN5LjpL4UMiV2+mJN30uAEK+vGW9s
IGjGEwvCsCubw6WdGMRxUAbDBpswEg8ozeE4h8bg6csAbfQx/Q22B0Vgkxu718I0eNDWu8eXO3BI
hzl3cCaP5qF+neZ7k6IhIY5crXDcKdvb9UNuCfYab0IhpgpufUjEAzrAeEpaJMOg2djOFHRMkhsm
SEFL93op0h/kTuiZHcZZltScjMyEnWFqfsrlY5vSjfMK8spglkJHEI51rA6740CyC7Tlmg7GBeRy
9eqlKlOpi9Oj9aqAXkHEG7462bWfZ5xDq1R1KsY8PdbL9zEKSQUG/Ep67KW9CuX6eXq/7ovrz10z
xywRFNskgF8LtJONBinHBxtUbUKST16QOp8yZn1ap6N11qzAwMEBT9V9OGaeMj0Yk+fYfhoB8lUL
anF8dz9bJWYvF1I3TU0Bk1G5KZptEr2AVJcMyDFLzWvXbhTjW7LoD9cnk+vvZ0aZK3cFassph6wQ
Eh/g41JO6MghinK3IJdz3RD3RoTEDSSCobaGpzqTVe5bNYVWapmCNm7TmOAd6zISjQ7ER3p6N0vx
JjZMf4KUY5PuBjkMlHzxy0cDVGGLXB4gqC2oVfDcCJSQNh6laLBCLfdyU0xK1kGIq0mPs3xj6c94
IgrbB3iT+5lSRCkN4qrskHXJ0aH2aqRH5CSIMnysTNdRaxJVEc0uz11RSkMCDGo2JjjzLgcjq4Uj
1YuZHktQONJdNCiHrogO2dr3Xey1JX0amu/XF5QXVFYe5vUPotosTmGwtFluNR3al9pEErxJhQA0
Trf4Sn+7XhUAQkM4ZgJL0zjhGNcoCtrRHbrt3US6WbtER2/Mvy8HpUJ3lYbSBF6kst+OQW8KtiR3
iLg3fKoDrE1/l7NaU2mq8vVRmPZ2EdBKei4cCKldn0eeH+Kx+48RZgfqNJ4j8OPhVRgWgdakpLEm
V8z/KjDzGX3ObidRWzudreEhlLXqLpoekJvciv2QawUgy5WQHB0t7N2uqhwo8wHxc0wWNGoUCgC4
daH8kJxeRO/EO3SQSkKzLEiS10a7y7WpnB6FTxs3n0rK3DFzNtRBrV0H7TBBFNr0bSRDIEAkRsjd
0WBaB40n3NFg1daj2ECJSl6vB81ulqxDjeaPHstV/9XwVvEG0FHKYAxSL4enYbmaYh0eQPfbRLO2
4NAyEjxuYi3Iyxl6BKLrFnfpziwyWQEZbbO0NHBHrtN5p9WbfoZkiyG4XnFXzcIDA83mEN1gG7aM
ptbCboB/pOY39M60gRHulPGlrnD4NPfXNxZ3966VJQ0Zahth8XIKO5o1Oco+SOlYY3cf5ap0V+Z1
71+3wh2RDeg8np1wRjYlbJilBZQW7lY9soxr/WMeyW3fgkPnuh3u8pzZYRxCbq00nm000av+m0wE
MYjr1mgiWWlIcUyxMLrBiPqypjby2iq6LNXF7SYdMln3ZS64bmi8gwpcvxpQAmv7j8l6GXbtouLR
crTb0X7rpNTw5nByXGBn6D5cm1WTJULaIFqOSZ2oLog1KNH13jxUg+Qj9256cpbr23pSnqmkQASp
ULOgcpJsp8waeuXDavHaJmlf424yAvBUyMSOkSEtl+w05M1ILOh+ezpVq7shwXdEU69AsKSKt1M2
xm5pAnInl+bsA/2TboYyp4cIv0y0BOAoKB6ZgqnnPQRW7Sg8UEGRh3vRpZeC5Lm2S2NJj5OUPs6d
/ohUhvmQpVrm1VVE36jUGAKT3HMVCGfANPC4gnQRc+Q0kVmZsTbhXjKTxlNAiuI6r8qT9Zq+y7/y
34rlJY0LBN11D+aP9B+rbFEyzpVU1hJYrbzSafeT9RY175IW7Ubj+bol3s4HybuDlkoUUUCocDmn
qYF+77bEnOo1AIeNnD41YS2axPW+yj5DUDb+pAIAMQR7f0SOq1F6aU7REKVup+41dZp7GfAkZ9rU
zjYvRiJnNenjp+tj49TccK6d2WUWL8avSgPUao+0hFj8KKfPixLXd5URyod8ioqHqIgStL2Mszfa
hrQLVeVbESmaN815tQNkQKR2wn24nH0Ry2tnAwVXS2gPg4YSqY7Wz0gJ1F/DD5n0pWe3Ai/ihSrU
36C7iRow3ujM8KW2VbqewliUoGWv2WU5mn9zv8dcX59oviEgfpAEQCmCrVnFVJ9TB1H3CKkdGdUH
peuI9YO+X7fC3RTALILuA/JXkIO8dNV2bsH+2SAOWeQnCOXcvVC0nrsZziwwB8fcN/1QAJiF6p4G
DZqHbgsWk63m/6Zk9iTPBn/Q9SHxw8uZRSbGZ4aVJsM4gETZ+tX4SPJlev8mFd1WoVtAp5G6nO0b
YyiJBn0AKyNDIVL+4R3KKxL0v7O6zsnZZTeLemOe1lkFeYUHOtVduomfqMhDPtPKX0LAmZn1zD4z
M0t1HkK+GbEbUZRAM3wD7atNTKLvSPGToD2iYSv2XpEH9FEG8OpddDf4z++LL4L68caLpBsK0rjQ
oG2DGe+gDSAsUUOcqvXiJmDNacAmXtUvs+7nrYmX2b9U2AWsAKhCYBig9KOt8E3mboU0YawreZKh
DRmKGI4c/0aD5W2eitJkvFuPY+CeAGw32uPZ03FuACMAwAR22oep2uv2DvSq192VY2KlFcasmWs6
gM0yWu2SZXU5Qh/TN16zAxUx7nJ2uIIbvAFFWzTF4zS6dBKUvPoqLqdszXvoQA1s6wEaka4aCuIV
dxxndpglafXBKkxnyI559QGMNegQhGh0TkgEnAQd+BgIOoFZwdwoTlNbMufsWGVWMA83a9tqK78L
EdbcoZjOCm5Gtdtkm9xp5Ehy1pvZcVQ2RnszJj6AOH+x6mcmmLgb2Zk9NQlMALnSFnuYAAf+dRO8
qv2K8QIsRl3po9gmC+R4OynrgcEJN8YhDJIAxzXp3Hn7+1mU/+HdCi5sMVEeafRBoy1sJcmzNe61
EazgAIk6Wklk6hWmB+rqpvTH7KRlv0QpDI3rGGcjZSJ+HPWFVK8jlShxftkZmQ/R7XCUn5cAKVo3
O/xUtp03HTo/Dnqvf0zcbFt75XO/gebxYQ70beOjkBCvxK2PYJoTRmrOZe1iepgAWZhNpeXr9Lwo
nuxPZNmpsGa5Jmnc0Hst72XQvLw4hPrXfYDryWcTs/7/2QkB0Z0lqXA/O2ZjuGkMf5TVjb0E141w
I8yZEWbnTz30q80KRozqCdfrXDrJ06vizo7AoT/RVMx5dzGLzL16iu1SN9bRKF5P6tt+rwT2znQ1
vB9Kl7rJTtmmt1WweNbB9GpXuf3e7psdBSPfRvNAne7Jnh6Aws3tH6H9pQbZgwJtWrqdiYmZ10jq
xYGYE3NdW/ar11LjmnrG+chmESsnnGt1BbJCR7zZzot3ffZ5xWdA+XDoIs1ogAKY2Xo0lHsrkyCm
UKGhXyNLHoQpOo+7lzbzo5pUGbHM/C63BOcWb8+dm2X2nGpKbWbEGJaVWEE3odklndSjYvY/zIGK
FEs5FwyMEWraa/Z+ZVS/9GMTbhxpBsaYquYuaTfIsilFFGRbxwhaa3N9Rnn+jLcpknq4YUAsgonN
ehyGRrX2pbZN4yZycUBu22/Lh1iewGP97zNSa7/CP8aY1cszKDeEA2DbGp1vDau9ifo30xq8uKmJ
rKTBqIvExLgLB6VoUGas2AibiQl2hJxfVaDpKmkB7ZurGqTLJvqVikZXSILekO316eTbQ0LWgFiF
ikfG5do5CajInAHtSpGy+75LEtzXpkr0Gl69jd1kSGGgmII6LRJJTAyS4ylS27UjqVJe5KoKBqRt
1PhRrb9RfTf2u0ilJEPrr5W+1/o2b16vj5EXZ8/NM2Oci3hesrCChkJoArZbInsVLo9R3Zyu21lf
l1+HiQr4mnZGtofZdBW4jyIga9H6pb3psnHQkm7b5I+q/aNW7rMk94dORDPBH9ofk8zWi4AWBgAE
qCn0S7QeKNbe9Q4Yv9ysBWPjbTvUW/4ZG+OXkZZLi5JjCeek2XSm41Xz8NDZFXU1syYSNAauzyUv
Lp/bY1xmiaUQTWGrX4LJKNZPvf37ugHRzDFOIY+9o4SrgerJ6KlblY+6IQjCIn9Y4+bZ+V4naNEY
avhd0UOeLAMdbI9TTr4H8Z6WZtBV+tCA8bo+LO46KWgxwVaWoRbKrNOM7KakagAhV/cTbjGRm47b
VCNd9eO6He70IUGIdDBeRl9YDMNaTsNlhbAlrfVzDofUDZXwZppElJ1cP9DwnlhJ3Nae5Ms5NOrM
sItuhatNz2a/lYzHvxgH6CVk3YbmAmS3L38/pn2JlBjwRiOopnIDyBXgSuVBRDvAK3CjM+qPndVX
znwhlOdUMkfUNiQFpsIgT8E0ieb9D6ThNqOlAjZT627W2G/orupI0d4bKVDd6nTMsZgRumOvj5sX
91UEY2SV1RV1zYxbk6Z6Tse1QoZcobFDOn9JiS0SAuJbwe0TAmag4WN1gCRoCkvGglEDGdxWPzs8
CfXxXk8Fd0+uM4Ja7r9mmGCRR+bYgVYJhSMwJkLgOJ3QD5SJcIuMFZQslVXBEs91YPmQ1WCmzOkT
22o7azqFkN7Wut9K+xwugjArssG4SdXTaSxKaTpNYESkNZTtG80dwpfri88Eif+MBFQ4QNhZSF6y
zCqFVKWQ1KHzCZgL+ZF2IHgySjnZ1pWS+1ITq7dmOI+CaLhOz9np+P+MAusA7WSEDBYlhgozGmdl
YzrRRjdHzwml3AbNUz3PwRLrzS/DivXXspyqYKRS2ArOEzYP/WkeVxxYNkFdC5+/3IC1tCxSLmFm
x6S6tZetpB0NcBuUw24YFjKqyak3ts4ouPrwZlpHpRklbwC7waN8adU0mgJEqMl80vuTLmU+qktS
/3009yN9ur6mzFb7z/hQYQJcB8heNIdcWopTx9SpQ6eT5UBJwg6bAJ296M0uc9nVQl3UAMhbzVV9
ERrt6M/Gxf/SnJWn81hI2nyaI609Oe2IypiRNOYAujLctsjQ2EB+zNEMYtvQLCMRhpo3sSjfKrKK
gwGryj4DsiVVikFdTkvVHMca9Me5g0JL/p5J05umIX98fXq/2ENJAVV94HTWSugXXodBhqjsgGTj
iYL3eDZGMmYD+LB/SvRXUQjO1i9LudrCYwoIAmh8GgoTBBS0tGetZPcnMx6DolIDOk3uMkQ7VRW4
59ddAVMot+MY+CyCa4zXQGh0sFqtGU6m2fvmeAN33eghkODh78yqSISLS0/jp94UtXeuY7iIBjoq
/CskCYLmQKd+vpvPzkMrtxstHe3xlFWRO8U/bbqPqexmeeG+DaGx6f/lwwq1U/yhuLwymYNUiq0t
ZzVaiiEoJZ8a5VgVgxvS6kGdkqDMBgG0gLN8sATtYbRlgzKdHZpN46ZJy0Q+qfFrpZJ63iSRCsxj
JHBJzhRCwnXV5wWBK4pQzBaIlHia6OLIp7Sxbiu18831pgD+FKshHWh1qin5WeaCFzFvcOdG1ct9
DwIsI+7RlX6KWuRs6E6OfmP/z9rP69uNa2Zl5bAxPhmECJdmkqKjfT1jbPS3DP15NXkxAT6YNcGp
8CWKIYDhJWajuo7LH06mSzNVF7XQTWuVU0XpmzrrpCu9XFdudTogmeH2VERFw+aD4IbAPYFRH3dz
Zb1HMAMD9i6StUnXT4CkoKN9drXS2NiZ4wKpQHB1P0z25Mp99YgL9mGKf12fVvYaCvMgJVFRLAE4
DyrDbC/E0IQSYDyLfYJO76ajt0WZAk7qIC/ll/KjE39U01uyPBSbWtsmUBcwze/SvV3+L2lf2hu3
rmz7hx4BzcNXTT15iC0Pcb4IduJIlESJmodf/5Zy7zvppnVbeLk4G2dvwECXSBarijWs5V//jC9R
joZ2dAMz3aYJIhxMc11uuz0VahGBj+cxJ2hiLYyCnAbUSLAXsnp/XdRXu21iyAX7rSyuCmWiS1HU
mnIZrdRJyCTNUW9scl81cEt8wdS+LknMsi97a6DmvCgsHDC06VLUEJOEmUB4CVXk3o5xXH0fBirf
ZVOhBHpB2KudK7I3SWruNrk0HyrZuG+yoTlmRXtSDaJsBFxfdnlpQbOxbA2pMgTgy9/PTOxC9Gxy
Gd/TW/dN/wTMYT8zt4DoxHkxlMQwTCRj2bDnoI4UV53JuC/Jn1XHHvtt3vfex7hPf1N3eCtBRMBd
y8l9NMekzvgt2irlfvVff6TDrC+TPXjFLKn9szVyBW94dexpOFqY5ZyfTBYmHfIS1M+U3yWvfUUB
5arqXz9q4VH6X2sGxs8CgKDAdwr6KymxCYo87GxWxb4OWuIWM3rXRXw1FMvKzmQs33C2Mqyq6Kdk
Ob3vCK0UN/Vsn5ZgleMOfzY3RpfX9/FMmqArhOaF0kstDTt/QFmcuIbXebErd56JGvn/cvuEO6np
JCsBq0BDjKE5kfqLJlszDeI05X+fEBphkHLE8LcI8qpGNuviAXrROPyQneIH2++PXer0vuTVt8Oe
PLWevjXq8MXWLEe2sLMg4kd7qzhaR8FjbWQK1pXCE7sy77zEzOGPW+uxodkPpsQbx/bFSwoChVPL
8wQpkxg6ghSGw+z4mCoftfHd4P2GoOWHLqK1P4LA7YEHGuboTUHhG1rnmaKPNKSylnq9EREnR8To
DpY0udcVf0uUoPdmkisAQYCoKQ8nYjmSjbww5tquS1m/Xng6gB9gcUFikGaA12iclQjXS/qMSxk4
BO1Dw9RbOh7znB/U90GpDiQnd5m51aT01VEsu3kmW4ih8kitlda0aaiZ7py74LDngdy5dfRRkdtK
QRocPfpAsnLwrLm+7BWFAcIu8LnxFtUxdCCcY1zrQOHvcS0kszxk1fRoayOQGAr5Qe0ABXFd2MpJ
LijLeDPhoaZ9EZaXaOAcKE6yVoFjgtfiI9HzYtdbW+xnK/cOrKlgNsSsAcgFLMHxFoOV40NwlvK9
3oWV5lPVARwC2yrmrS4ItXoYFGB0Y/8uTTJalxK1oASFC8XeE/s5y+9SS94IWL5E9XicLF1lMCMm
mgNEepgu7uqkq/M01DIHI3W0rT0iP6byroSHG3nrqVt4bmJL1mIsL0Qu6z5zNZmaKHinJ2lY/gaa
b1I63wvPevtU0OuJGrhiOwYQizaUQ+x/+G+hiJmQF8TstS5cArlAp6+RsDScVZf9Lu/YD80fdjMq
xjw7MDAmbIC4rO/rX3mC6jepXqGRCPL67mi/8vwhkRxauIALUPQd+XVd9beECUasqCfSpipPwzSx
fR7h9Rdbrjl6JgmZfRhGC0+LeMNwrpk0HOPfFQrH2OtAOUGVKQ3jaHA67amSnDHzuDq4uTr6WfQZ
D0GNXI0+bHiHzbMUHHpu5Ko0TtBZ+WfZpYdetvbkuYqnMG0xwhjDYZiu1SeunaL5vd94wy17Kfim
i2Uv1uFMe7W8ryRWY68njWC8mvcz4qSq8K+f6FqEhAcbjCeaBVRdFyPNmvGp7NMiDYsbcJA4irnL
ywNVABTt12BVnU9bQGurOnQmULBqDKWXxgYyZmi48x7trCXuIlAQptcNXf0ToX/ZwDNBwk2sooXW
Af16IX2ZfvPQPFmf7L2LncHP72Xm/Mwd9fh2o4AhdHSLR9mVnze2dhFw7QPEqylpYzq1UJ9ycuLH
aXTU2yGQgsGrntqdefA2xC334Jo48XIO+jz3I8SNXqK5P5TPb9o990HbN+5u7G9e+rk1H711ksLF
5AlYdjIC1amjW5S+XT0ckGqQkdQbksfyKU1pcH2Ja24e0OwL9pKx8AUKAokM4GOi4UQHfjcOgVz8
zn/UWyWt9W38K0S49JUap1NcNmkYVQoLutn4SJRaduk0bjVorQVMuHsmOC+RrlQg8vKKF1laNBXM
W9jqKbDtj1MQHdSbrnnWjWOc/qzQuPNUY5A+HaUNo/o/XI6/ooVVmo2iFwDDTkNrvI/yz8Y4qS0m
ulwGHLpJOjWKV1c/jafuPe1crXmJ0dkQ/cz55DTVg26/alaQ8i267PXj/ftNgsVjDKxnNsV2xCmJ
PL3KuoChpcTDRGlI5sG/rkybWyCEPcgRMwoqFDizJglqDXxHc96D8+8j1vtvbYsZ+PFo5C7nx/F3
ksqHwdqPcpBm+7kLeAkEgBmO9kFVD12+hXCwfrP+7sTy9zPb32i1VevL6UjspBwNd2SH3rGf42/S
Fo/Oqpf5q4LitK6Ouh+muZZN0GvZmaaaeo1WbEGkrnvSMzGC0S81O7H4gAXZ9rNi+uiSB7qt6jDP
ek2PW+MFa7kbNG4hIYgstY62XWH7SNKRNm57uBjmS/ZdNOXA2ngCsa8zKUFlP+eHtH4eGvfEf1nN
aeqCnBwa2ZHf/kXD/n6H6FsNOxs7SYMpKYx9Obt60BU7bb7NDQxGm/fMuDNSr+WNo+geiKGcsWyW
coivmTdZ80CifUfeDeZojxuf9SU7vMTFZ58lHEbaz1zNDWxP3ydvxAqKZj8l+7y6x2OtyUu0c1Tu
bPBjzfeZ/VNJ31gPnJJHJPwnNfWLTnOSaM8ncDt6aMY75MptzEpvrs2TOji5NfmMbpVV1k3l2TcL
znzItTwDNSeeD8/ljzzMHqpbthv94Ul7TR6ykGzVAVe9wJk8wXfn6oSeIUBihFUUz8HUYKZXq6La
bc0hPlw/jz91L9Fxw/pLiFXgB9Ayf3nbc1a3yMbhchRqDBok5lIWH6T+UUU3krRvgdMkdU/qHBit
O1u9E7En4ArLk6MxgPw41GwdFm+o7mpYeP5Ngi3m4DQk4ErAfltk18xvGro6aEq9ksyB2v7MwBDC
+x+oYQQbm7Fs7LXNEKzygFFJrWpxZ5L4VBahWqaOSu9NAGPP9yUNUJ2MjgP3uHlDow2nuPbePl+z
YDYAEKaaKfDeQi6RVxwFSWPMFchO8t1SthCx1+zumaw/+39m4Q1e22mL/4V1iUlECU3gW1dmzZue
SxBuOZiH5AbFpjRkCjhOJuXAqgaTSIormZsgb8tvfTk0jBybAFFC142YdYopZkkVCatpCh9e0Sfv
pst33B1v+9st2vl11TwTJpiCeTaBQQiEyLCRfNQchs7rTX7ifqTAp6CVav4+GXQjWFjNJYCN6j8r
FOwBMVC8blTYTKVnaF91dbRAKm79ZN9b07GMKfAddxagqcoHk7w0bONWrFmjc+liaD82uak0sH4R
5mZ3MXJCnj1q8FsDwvuNC7j2ajmXtXzLmWYCBL8uymSJwsqTAfBh6VaWaidht2CwIiOgOakb1/dl
YG2FIsv1uqZEghmUR3OcswmCE3M/qr8rpDCAeORkbbSj5i/z6fo615zg+TIFA5cRW685Xr4hLe5q
qQDf8+DG6o8IUBtJPCMa9q7LW18d+NSRMYSZNwSt7UeikLidYOQPenWYBzQLu3zYsdazQrXezMWu
38i/4gR9jdWsYQOGVEMbg0vcj2+BcuPqmDnAeIzmIQu99TZbNWgLHi1ar4CObgv7WddFB4pkCwIT
YjvqQGdn1pFEuL6LawUQ9Bv+FSO4B4UWiqxT+OU0v09UR54Ds7oHqRIuqKOB+E7/1KJABRhz4ZTT
AurqmsZWWmjVsp59g+AnRm7ns57iGwbJZzv1JMuO9FkWLm9e61/qN+4Z2V0uP1n82JACpfetHOMf
YJsvN+U/H6BLQnUwTnq6zFjBOUsosh7j575wdAuo1+gW2lU80LJ9mz1mw431UL5mfGeTI81TIIum
bq+kO2aCNUj5Rqu3wXpM2bT7X52RLgmeB3y1HZIv+DwG8ps06Lu7BN3+7cecBUXq1FYwRw8EpBdS
f5DI7KVz71jV1hDl6v0+2yPhvs3RqPWDYiB9trMTD0Ai/UO4hVG4mpoELSiILaGRAJwWlD5XlK6S
YrT826csRcVDmXyN/mLmTdH+SOvO6bjs1Zav928bW7xmpM8FC9dgHjJMqA4TDaPspUt+s6c7YjjA
E3Xi6RdJne7j4brANZVXQf9io6vpz/jrpVPg7ZSwqmhgN/R0N7X3EntuYt3l6VbcvWZGzgUJC6P5
3AKqsUKtcRwcTgdXt16uL2VNMc4lCLc36ivdbBssJdO5q2SdOw83WX4/pB9VEej9Flz4qjgNgyiG
jIwVOnkvd47JFICky0m1cuVWvPAitMgzwHVHpp66ZafJnppuURl/7YfBE28hQYFgCY89sR8mlYnJ
iYxSXOu1P0lYjp4eed8YiLUwgpj9Un1X6d39vNEhthqanYkVkW6ykc/SXEFsh9y8U9/HP9RHKZh/
SK/kX8Lbc1GCkZEpwCaMAcWxNAcdYn9STa+NHwx7I0z4H5aEKTC0SQKgWWz1RueLBqz1JV2ddRJe
IGT0qELL55rWN4oB4OR6yiaHVZV9owJdDU3goAm+rrGLiojmHiMP//kEITCyG0slrEvT0JQ9rW6d
BGzRxeQU1oloznVRa9cPHYx/2l4ABClmJDupHQupQjoInJPWkfFaB5eNTLzrUlYTNCZiaagmJjow
Rnh5KcymL+HI8TYxp7CPj0P1gnunzr+rzwItm9qDDCQ++mvWg/QjkrzB3kfcH+6tj+ufsbbY868Q
LEE5AcqkafDei2PJ2BklR1eqlG+1M67mvtCHilYtNE6CJV4IqOfO6KMmRfCeY9zTJO7YK75OTqT8
FiGroFtuZd1KN337a9zM7olgDX+qkeeyBdVpQQVq1jbCQGO8Lyg9Ri05diU7sPFZkY49gH14lrpj
86bwn7TP3UkOMsyKENSZD33zMekeeGp0+dCUAfTfi6N3wtNDJqd7jWLMg5EDsG182m+FEGv+DZqh
LsgOfwgBLhXEMPKibidEywPz4/ajlG7nWd8TRzMjZ35JwFmCfGjNA3PDOaw9tBZAIjSDoMEVnXWX
ctvZthsJMVLYJBpabHJbPVlqUu0mohrBP2jfmahlC87eWUY+IN08zCjXYILAT1o+77ksb5ivRYVF
03G+HuEZ0FsRejZbCc9WjjHlY1JPrhGDxymOwih+jwbLN+OtNqjVqOhc6HLvzlbWVxEalxgOz5Lj
QwwGYr1IXVPFc7WjXqyWXoLuSGO+GRtHSqcN27J2ghZQGtCntGDVie+s3ED7/DDgHaKNY+crpV4E
JEuIl6VG8Q92GVEfwDQxyAXnLqyTAPGrtFt7SVUxp0X9nfYeCGd9qTd8QBJdV5fVdS0kS7AggJ4U
TSYyrJUxpUkWqlHSOGjrmVw6NNTrinnr8bglSrCLWjGhoYWxLKza3NhleA77WRbTQGKYIbu+qlUD
hWaQ/7csQ3jKSEByjhRAUoQSr3PVb616QUgFBFEX1LSfq1tM4w1sOhIduSxXGlQNeBJ0iO6bYZZ1
P0MYRH1uKFTdqymYlQ5sNuPu1NrKqHgKTfHfsVqoldsNJmEPZlzS+rcsJRXyiIYy7gDonAKGr6iN
6WQNSmM7sTE21b6WeFO7fS81rTNPSWm5uEYA299Y/1peCRxnwCUDUv/COS3stT2xnFaKmiFiqvyP
2ak8sBNQ5yem9p3U3co6rjleRIV4kqH5HO3apmDfqjnLceHbPKytX7JRH034pEiLEnRUSCEpP0GJ
4iQEqed8vumm4nagvpY9FUMUDOrnSMJI/2XT5td1JVgJkVWkYmQZHc1ALxJH3wt7yNuRxyzUktpR
iOQUUhEY+eTbPJBU1eHD23WBaxYKEv/MSyx1V1twiwgceQP0XRa2QYsZdK8nrvOpvs/PXcg2kcKW
PRVsMBorEItj6EXBBIxgg9OOmeVgQxhcash2XeX0L/nRZffpsdpoBlq5uReiBItUJpCl9Mu6crjn
xDI/E5686zLbMn2rinS+qOVLzmy8PkQRSCMhaToO2b4rd6hERNOzWpZeRPYluS18gsew7kfMoS+W
9KoP+7T3Uv68cZRrygNrCKALVQZCqeixQRHDTc4qFo717aj42ejm0ujbAw2ele/1Y1X5Czicl1YO
kyYnp4+F4oAWQi8fr3/ISpC+tM/85zsEd75QIqQVKVnIGODwJk+uTigQo7Uk3sL1Xw7xqz79lSTo
k8ELYxhsSCoC+lBuFeHXqlEXCxF0yIyBe19E2FA6gYgUoIi7NHtKF3Sb4rP6AN9V/zmjJcGVXqd9
8WzdDTj4rZh5rTa/TBxgshDYzhiFE8xim2uJ2hst1Cv6Vh8M64537uhJDXCznfqt7l15+Nm+xOMR
lFeN6pfdt6p35J1Z47FZbPasr14rNPSpYG8AKr8tnC0r5j5XKnxNdxxz7s7RW09OzEIhauL7lpzQ
E5Dob5pxP3ZtwPrGyQk96snGaPNaDRRUi+D7xWAiAKnEflCwt4xEVnsWvsja+1yUjgWCZLP3c91h
qaf0+0gONfKWae+DuuWoVk/EWBiKkN/9M4x5eeHHKqpqyxqh348Y+fQP2mH+qHZ0xw7mA/Dd7B1w
qT9sT7or982p27Brayr/V/iXhKeU9HXBtZmF3MrQqdCcmLTZWr8conitlrcoqCzRw4w5t8sF6vnU
mDSToHLz0eBurgHKrh9uEsPVX+pnO3Fa099EJf2TEbkmVUgP6RhSrGtpWZnXe4NfeDRz8qC910Ae
64xO52XfyFH13w7tvX4zPu2Kx/5uvEv2+u/SQwX4kX5cN2N/8hnXPkh4micA9WqsEh+kO8qxeefB
R+I2bvrrFqA+h97rfD2094MbfVb7h/Jk4xvrE3n82XimH+/sZ8tDr8Ch3ce3ufOGeG4HXlo+O+au
e0qdLQiuP+MO1z5WNBNl1cYKOIdCsI9hzow9UMPNQzC3esqrLz/qfreP7qTX7tC6++v79NXtoJMZ
wf/SmY2ip5jjVprKTDVtqsOctI4Kqno7CVAy7mCekGWLkPS9Lm9ZyeVKMfIE7URH8dIsJpZXuJoV
fVXzNrSesdD+8BMtmvUL87byryv5roWc1EJbu4G0NgpIwjUYNIthQg6C6CFBg0H3aCs3wwBsmZF7
JDtUHcaEN3rDl6slLg5ACoh/EZli9lnwaI3dx1VZlm2opfpJTjGxaye/6l4NeoX/vr6PXy2JueAV
q0jnLVBEf+Kas7glGplGLbRWhXEj3YCdGy8pupG8+BoJXIoQlNJKh4IbU9WG5jAG4KdDjW9fVR61
ZPTIbPiEjeWI80DFlBmdTiFrbLXHOM8CNdrqgt4SISiExI20lLtlOVMNUhAdtAev18/k611aUDSW
Q1Hx/6DUvFS5pInKqtdznAmfIvBEdF6TWN5MS0/PwSlUDb9tqd6Y992SKbh09NtoUhSxNgSY6QL1
c5is2CnYN9gTp+vRa6NtGIy1bQRYAoAMVMD4grPrcpGpmpqFVmAb9Xky/MkEIlVtSN+v7+RKrnHZ
yr9SBHcyxLWWV+CICCuneZ6dxMtuXqPOmY+uTr1xI92/vod/hS1/P7tLtC3KWbeLNpzcaXLou/2j
nRzdfbm+pq/B1+WShOvE7Fq3zQhSxiB5Sl62cMHXbuvfHQOGxuUi5AGnELewPXqj+WQOdbtHgBdi
UqPT3OsrWTNz56IEPR8yjoazebHhzU+uMKfJg2fSbqGSrUsx0feoAIPzy3NT1qqkoRRS5pF4jO+o
rAa1mn60neX8y3r+SlpU/uz8bTtJx1Jp27AswHkfKfEjlYsT+o5eSFVuRICrWoAhcwS/aP3G9O+l
LL1txyzVJ+haFXsFKLE0+WNGUHZ9Rev3B5E1eDEXqG0xCBzQQ8/lGWKS+jZu0JSt1D6xiwMHpLqZ
+IoZ3yWR6oI587vOZ3+Mx7frX7C6zgXrBMPWgLCxhAtMYwaQjkJqwzx7K20sM7+Jk6324i0hwsU1
utKoWSJjlTYJkiE55WT4xgjdsLErT0mwviOeBg4B9BC1nstDiwBp25laBAVhn8CpczA96KJjS8JQ
Z506bcacfP5UhhK1H4a5AT/tgWleoh5Rpvd6VroKnqAVfeJzsr++yyuB4+WXCTuAbpWKdrUJl4NH
pEdqL3qs0ej+O5p9dmfuBxldwZ75bN7pfWD8skLwpDq6Fm69a74aH3wGaup44yqAAhMHGrpWK6xo
7DHcl9luogDaTAZ90XFijm5sFt0Wl3YZZS2Zarym0RS9VBOFNRNC9KnReLd0I8/AYGSHOnsvbV//
EVfveOM66PQk7BNoQht396vrQ9cTMHUA+YK4yxaZFyw+AiTExAhjYv7QjVOdfVw/zZWYFQIWfALA
k4A1WltWfmaI6k6by1xL+7Btht5wbJ5J8m2fodJ/wzrLpjv8t/0hE6tTPY1Zs+kYWWXuFYI+Le/6
t3y9WhhuR61veRNgOlSsgEvZHGdWlIwhktQy9YDCIe3TyZC4B5q6LbyJr6YewhSgWy6PggV15nLd
HWFyrFTFGJI8P2hsalwuw2aM6Yi3Y7EVOq8uTbUXthwU3m3xCRKNc9lZDR9DtLlIx8mIjLtRk9QD
APvSjchiVRRQicDch/ysLTbwR9SQskLrsbAJ0FWYTc33il6qJzXCsOH1A1vdQyBp6HjsLI+P5VPO
dceifZVEyhimJW2cWNmDp17HIMToA05/9q8LW0n3L7hSyFKiFWQZ7xAsIirvA6JpPoXSSOxvdmw0
vVPqMZCtFpB7EKWZE8++4R7nbhbHdWCy1qyPtDLzD971ePOZZZSPTmHK/VM7sJy9XP/Ar1cV34f8
zsLLIC35cWE3uq6cC4wEhhGah0/M1IplskvZ2Iave475fU2ToLyAisS89qUUc45NUqlkCisMdJ0w
hT8dDUKSQ1s29EnShmqjY29lVThdYOKgB2fhBLiM8a7v0FfVxLef/ZawQ0gQKZERa1NoPKgf2cF4
vf7zK6WJy98XbBkgXeKIUPy+krjZj+yUhED/dxY21Wfw2uHfG/K+uqBLecJZ6CxVu0yFPDu5ydtT
DsrF19T4Mda7Eb2ilvY4El9uF77qNHFRpHOG8aFOflXa1gz/Snrz8ksEazZzQ4/5qGK6NvbV7mS8
G/xWQTquek+DqnClQnfynd3dv2/swHL6l37xUq5gAWxFIzNqN1PY2d955dXZvpkDFgWoVb/GP7eo
SdZ0H5OLS5ssyKDgDi91X+2By8yaYg5ppqD6XlLQvbPo3qZV5PRKWW+8OVb1CaxA6MnHeAlQLoTz
pU2bT3CPcwgSKs+gnxl1qqfo8DbL+6633NynVnB9Q9dumwGMl4WBDA7fFuKMyZYbqg7SjGeB0QSp
lPJgMtutRNXyK+KpnUsR9rHK7SQah34OrRrsmXK0K/muu8XMvxOdwH+2Ecqu3RJDBsazjqc7/Ltw
K/M2L1KZ23NoWzG7k/BOcPLWrA4yadRdo5Vhn6bl4R/28UymcHK9XA8DjDRkSn2KJiEOIPCqtPb/
IgUleCTE0Mn6ZUYNsXZrthTVX0Vrb3Nr/j6gV2lDyJrSL+CCNnIfiP9Egz9mtmV2EkrMSjvGt7Fs
BkqkPuamVXgT1bWNjVsz0bDQ6LdauJIwdXh5xZC+JGXEmRSCa1t3Bqtrf2Kbizu96KoNT7YSegLQ
DJnEBc4QCIqWoBhxr81aE1lziLZH9TCORY5SelO6oIuc3CKT4pe+Rd3RHHh5V9X5dDQH29iIllZ3
F7VzFdEL/iVGS8tgimwOyF3MyJse08xqHap2k5chc+Ims/XrHzQGKOB4n6JDyxQ5UOdMYaMZAVbN
7McmmJkMsrmakw3DtWZFMEdgokthwTUVgXx1RpRKHxIpLM3hAQTBYBWzu8f//5WcyxBtiN0Rk+bQ
/YwR2aF9G7u9vVXLXCmVo4dtIUyCRUSGW8TXNTOzsFQ2Qgoy+EdM2zYn05rsQzRO7WMnITGXWY3t
17EJyBqtRn9pPBmOHMWTX6HR29cpsYOhGUBiXYHIoSMGfYq5lrtJPtHj9R1ZuzrAgEFNA+OIFtoH
L68OSulVYTNFQv9nFHkZ3FPYtwB86tI8C/9FFAjc0dAEoFMRN5ekShE3mS2FDekmV8mT/rlsLM3R
J3SCXBe1qksWiG/w8kWOwRBitlHXKc0bFbokdfHdnKazrymt9C/adCZFMAUtiDdNCosdgupRC5KO
lwcj77Td9bWsnpAN7ib08CzpMEFnLSUf+8yI5RDIFkDg7NE7yGclvUNKaoulcWXYBpr7V5Z+GTf/
H66hCScllhQyZBRQAbLqor+Rx6kc9rE6S91NP1F1ckgz97Wn2hWb9iq1pcaRzblByT7XO6TIcs1w
JKo3sdPWOkafSy3FoMK/7IoJ6FUJpFmG+DbtpLIjrRxJGJDL+FFuTf37JA3NQ9SV9kbJZdlgMfCw
JEChLe8XdEgLVwQtcSZv7UxGd6PyPM76R10pj4kexjIGQBA9L70l7UZItXboC6krfAwYz0wRVKhO
tLkaG8gcap44RK86l5MkCdA8EW+IWot0AAZu6yhRAMZSdNUTwoFeLrkcJmnh0FNreGPk901QDxsx
wdqlPBe0/P3s4R1FUaakVrkocvGNJdTNY7aReFpxjHBPaNxY+D4BDyoc1aAtT+1FK+ImPhZgk0+B
7uHoA0Njy/N1BVyLs1GhhckEko4KSjVhOVNfg4u5x3IkYJ27Stx7RptoAR3r8c7SauK2tBxu2lpD
ZV+3bo3Oml4ZUfnGrq5MfiBdgkkkxKrQFVlMIPMcs9PxmMpokzCcuMxvRw2z+cpLDYIqTBi41VFr
AfATK97A8cKfjLsm78Ak2d+zsjyQIh43rubKfbn4IOvynHkNrPxBWe5L4hoaDZS8PEXYhQ6cwdkw
AUcYjKze9dNY0S3IBCCcCXOAN5Zgiq2Ra1JCG8iMmael36Ria1Z8fVV/JQjB+Ygnl93WkKDVSRTk
qOjZY9gN9LnuayQz6AMfo5vKHjbeIWsJpIuVCWo2I63L87qVw6n4ZWSv5C62kUGap6dU0nYlqHXK
FhQm1AXtgo+J2rusdKi9AcC6UiXB5oLfDUy6CLNtESS9mAvE1AQ2Al1ZKvpUOBnczNRBuSijWbNg
SD5Gx9Rog0geDadI1Rt13MK9XtRGMMMX3yColdnAo9gT/GA9ZN27RCS8/Iq+717HHpHSDLDvmyHr
FW9mRbNhIlfNytnyBRdsDFYh02X5JqYRiPUT0aurmR9zvpVMXjcqfyWJDriqqzRGyzJsZAgaoTR1
yB2S1+lL9TTcax9buCkrXgZbClQslJ9UBEvCrakjSpM+reXQaG80NSRNoE0bmbgV73IhQrg2fa/k
+TRUsE7GT6wIKIMKe48HC+7scN0ErB/S38UIF6Vlgz4YBi4Km110CO11izmlUd7n40ZAthbfX6xJ
8DKIOSceSzAFHfKzVXaoWWA0mqtqnwrqlCQZQDbtklQFEwkLRmvHexwe9WptAp2k8aox9VOn0q/r
y1+1T2dnuWzPmXeV8TaTmY6NtuS3hHpSxB1tPg70R0PuC/leTTZC7LWHMOr0SLEawGXGzKEgsOhS
miJHgbihd2roqgqUhHfjF1McC51K/LHZaoNdt0JnEhddO1siK2dpGpd9b5LI51XlmLO949kDneKd
Rt5LEOF2yo6XYN1r+he93TDFqz7mTLxggDpWTYkRdUvLpV3vEktOnSauUv/6Oa7F4NhX9CwBDX/p
hxX02CxHAOYVEGNYrvJ80HD7Z0B03SgOsjUA13C3njGrV/RMoKDOLQG4N7FwcTTwh0x57XSW4hP5
jfHEa+fv15e3anLOhAlaE3ctp7ONM+Ql/9F0eeFaqSw7LM8z97qk1QtxJknQlsGczGEaIWnWW5/p
D5nl1+q+MW7syeV8dpGM2pC4aoHOJAoKYrOBpYMJiWZf7KxoP/XfG4ahuT64vjJhD4Hxi2fPGUuQ
sDJz1AByWoKMSM37yaPEeOhogZH67vd1OcIO/pecBbobZSsV4xOCHEzLRfMMZq+bkkX2KZ1sy0Va
Q/eqjFEMMg/1rsao6qFUKiC7Ykz1unThuv23dLDNICVkymgDubzt2cSyKEbT5U1/Y3+oW7jJy1mc
RRN/fh08fkjlAfpcRcx4+etpomSRyoBLC/fkoy/gQPXWHZo+YPxJaXalsRFCrZ3ZuTzBD9oj5mtN
AnkmHiQaydySl47BX6/v2XIi11Yl2I6SN3JBZBnEfcaIE7Jv58a+N9r22Nt8n2Ybaci1E0LYi+E7
zUI6R3xtwX7ZU4p/bmptltySxaOLsG8LrFh0NP91VCDGxhscs0JI51weFS9L1uYSmM0qvQw0aU9K
b0HisQCyayCdnOceXmlek5KNayZc5y9yl7+fuRvOExVDoDgyg93Z/a5lTWDzbx3fWuDqNp6tT7hm
ep7JSlktzG0g5Am3Xt2rinf264JRIvZQtP2ye0qz8HK8S7HkW5m8cVlXpSwj6waUHOMKwnUauJ5W
o05wWW2+w1QdYGc0Z+AbycpV9T6TIl4iW09MCf0WN7r8YkTcbZUM9EWSX06fjfr8D1fJxvMek3ro
MRF7WIjUwMzWEsjmwdzkqHoWOWpGJU+p43QHAkm0DPCs2V0XuraN6BZYDO7SiW0L+be4iGSoGc2A
zPvZgswx71FYyB7+QQiyiUhlLZUZcYo1wnIZt4rsZgRBTK9Ld3Gr342T/XhdzNphoZ0GqQmQ84HA
QzisnrF+UrIquzGnIKvfTe2miD1MBXrZv3CHnksSrN7Q48VKFPD/Qe8OSeJU6YYlWD0WfcmNYXRw
0e9LSxAP6tjxFgIA0Oxb406awAMSbyj3mrlBW89/hAhXyMiJ1Ekdglje+NH/Je26euM4mu0vGmBy
eJ2wibMiKZFKLwPJIid0T87z6+9pGrZ2W/1tw7wyYBgQvDXVXakrnCJRnZ6car9NkiBWyAobY0Cz
I2at+M57YzKNjagzLr+L1PZDgTVVGbz57asXsYLGfgCio9cNNWjO5pCtTrCswCJxl0XmcvaSwDMf
iayphO/pezPQl2RY/HJhoFU0t/WOkdNY7QBNS6dtDrpN+6atNTLSW2In2ExZ0rC1gUq1JCOwygen
CWpTGX11SE5lDVg3w1mrfWHOSjR0NmaBseE3nIxtCqxlMqN1Nban22cjuoCLj+bnnzutabA0GWcz
I7Pe7o0t0mTlQVFsY+F+UbhG8IbVOdfnAhzUIp06rDRN7btxfEbnxr2OtiNvcvxqfJmNLnoHS5jl
ZWkEtP2p3HUDEKmuR20u4tIbsFRjsNQ7o6swIdMVlsRAinyldUGKY63rTNSqixFLsyMnks2mC69G
Y61ayOsiIc45/I3Oo9axc6NoWO1LJ8jwTPBmifkVKscFFWY3L6S2M9Z0oyao9Dq2E6B4Ya008MYf
mz1+ese9QAzYCx0E+d1jva4hG65MRTzkPyzncUsfZ/oeZtAiiMKUpmGf4B9GC8vNKEDuYqt4XtnM
0Fb5tvcoDZ9FTxHrgg7nTEyvJ4q+IRYrRyOymjwwFYArKWvQYwVBtqqBpwH2/L/mOP62MOhjRV4Z
85eoXF7f1ZqnVr/OCJ5WQEdlwIzqtD1WbiHjeLCrPMiSv7BBKXD7USaKQjlnlX2UMZD+tTnCTa0X
CyD1SEwLdIIkrx7GcN8hHBcUmDJciCHaXpDI7vG4W5LneTkhcevP4+fbNISGyME2CrQhoU+BbxzI
ctue7QJPOLfaq3mAZTuGFnloEVqDpZBYBlG4YV3Q4k6snyey5gpoYehit9Wzv5j3Sbp3zG6nW1Ry
eMLr8TDvbrMWmj+GATN7Q85pRQjlpoDwUVHPqmsqyZzyzfRvwoefxpuH1X7/KGI7i93NQ1eQOLUe
PbfHjKHf5yckFH8oejTUn81PhRmo9EvSRQXGcHrDNyCaS9gA2Jzo1e72XYrOF+1XUAbAkWCkidN0
VFu3daElgLyBnVmVj/qEeVQPq5bLx3nxJAGEyBKj+wpoQOjnQezIBVx1YqBwpCJ2pMdaxeIp71wi
23abIZFJYYoNfBWVwTRxCrBqXpMs9UpiVDZORVFiJIFGTaf6BI1YYIuGBgb7a0uR1cdEwsOKk1j1
hnP8o1Y12ATIcCrSN+pcAQG6CeaFHG/zJrysCxKcuSSjaY9Kgj3SqhsAieWTZp0LowN+N4bqHUNy
WTJinOaV2HypKRY2cBt0R+Ym7lLf6PJdagI71pTl2EQm5fLwuFtTxkXrC0C4QM3Xe4tu6HA0fQrQ
KCdBXRNrU3RpmCkURsNig1wAMEM/27WlLGuvy/SmJ3HZI8/hV2tZAzZdKRFLqpmufMHaRwy3ULes
Kl8dNa8FNHA/hPVa6z9NtHO3fp61ZeMjDB3/KjunfyhXkhcRAwncNRvdgjrp5pfUY4PETp+oT9ni
5IlvjyR5GKnmJlDuqcvPCqGyiT4xb6z4gx2awE/iQh7NXQgZG2ZjKPJDmp8OGIWRZfKERND2jXkN
/MGe3OsDBJ56qq5I58VKQnx9AzR/66vmj9siL9QqgDUAmYm9bt7qqBf+rFRohRcHwSMQGIF3ubOt
ETLpMgwvUfAGe4/TcoEO8Qd6T+FuY+dqeKS1SJPPYVJGm3UaNIn6CnmxGVQY5iFUOIDrA8uWvuod
B+YPUzteMD7dPinhdTgqjgptWGCDSzIUrkfy3sWvW9j8VXxwgMEzZBLPL+TgggZnwFVTqc0qx4u5
n0vrmNSVgh1wbh/e5oQvjv/tInHbGJMHUCOm5a8PahuUZLM29mYGZD/1v7qoj0wpFnUcutyn5KN1
wN6hQB331vNtyiKbh+YjF11QmGtAhvqa8LKu2WpTGw4qL9eoT8ce9YRqOyrTVt8psxpj24oX3aYp
urdLmhyz2qhWRT+YkL1q3m1qcy6Ruu7RPnibjJg1FyB8SIuj0sCbhLzv0YfskDgzjRD4zmFbmKGu
Vg/eqGKMT9Kxw1e8367wbQkdemkxZcT37lbqPJlNOkHWPV+bPmRG2J66KrIBW2jvh68HGb6n6BSR
ScaqdYavgHX21zfnLFWa0gFJg7Z+wD5dpEStSClkg1qiQwTGF2YhbdYywgtmkxuVVU7APG4ttOWi
fIe9c5V3N6ll3EgRfIQsYbJA09HsyIol1yzVW46n5GaQOAHgEnIKw+z4o2zhs5CjCyJc/KfYdoJs
i45wqV6CYuqArLTbjCVIEjc0xsfbMijmiCHfYFU9FJuTwXqtCgxpQQYnINHX8+OSd/60SBJuMiKM
4wuPUdQemdUKRMiIzPgG0PnJCi1VNuYiI8NlRzwD+yNbBWo7jP6S7QmQsiQBmIwCF6BM5bb22IiJ
lBIAhpvJQvDaA0FfkjkUmXTX/PdO+MTVmlpLarQ4Ltfqg2ns/W57R42MBVhIWqGKAOtzfSGAGLPq
xGFKU9i+4/0sChJiZZYk7heelu3BiWOkEWM+3H1ogGTwDAV8WOprhaHvfAzwgPt/EuGupMnpmLjU
JXHeY/WPdS7XVl4OEQUjaD/+hxN+lRMBWnabMUvtaqf2B03uNBqlEm8gpOEYKpDsHIz28GgJRQL0
lL5MEPxmX4zxtTL2cxa3puTmZVQ4C6atbp5hLB1GWTtXYVdoCKcfpkliVcRUPMzqMmBzDHBcy1c3
4QWrFwWNe6s66NmJDN7OwIRZ/eO29WKXy1dh0Rb6Lx1OjlOg5DltQ2i81ejA9DBEB4AwND66ToE5
jZ90UgNpwCXjjYux6xGVbszXIxf+vfCexw9O6hNTOtnAvvwPzpBV1pCiZvOcXOg4lCbcJf6PuNoe
NlfH1g4dzeBHOgTGgPeK6vfmS7M9tVvnt4YZ3T5WkeJiegB+G+ACFurB19dnbhVe6d6CdoRmjyJM
252d/PNtEsJaM3JuaOAzUbpA3uqaho058t4rUPVrgJEZ6Crdm/n6wZn6qKQfjfV+tAAag80KVi/D
nBM8bDEdy+YDkblHkZvzRnOtGnRMYfy2+ptS+3PrW/Q0qAHK26+3mRSIChBBMR2I0ORt0/A1j1uG
NffL0tK4mK0DUn/Y/rWj5FDJMnJiOuCEjcZjWp87y3YDcnSrdTR2TeV5Mfsf0+wcqzU91XiO/nd7
C55+02LfcuHLU7VuS1INNHaGk5VH4CqbJDZKEABdkeAuSG+JtdYO2AHKQB+U+TD5ulE8YKH4I1no
AcMQErcucLiY9mPAJKzuiF6Va55Kw2j72oQsqtmXzRl9V1bWFNipKwIcR9TFiMwyIG7cFASMUauv
+7Q8ug9pne3srt+bzf625Ik5QmpZZcutEYFfc9R0g6VRnQUqqf2i6NYDpl6ebpMQCh36Pf4et4Vv
vCaxeJujLCt4Gsag+tUMd6l3SBuJUxTygUYvNh0KN8Jj0yy9mrSKCgNfLeVhcq1dtvz3YAsu6jcF
9gUX8rypqZe0OYXuZLaP2s2Ads7bByWwplcUOO1Ebt4o1w0UbP2xRfsO7X6hmPoOIqgK2S6yZsiU
83gVVuFodUrhL0rnrvk5YgQuus2F6CYuCXBc2HOzmqQCAaP2E8Of/2MTIXud4l2lYnsiKlyA9+Z0
UO3UyUSZGAyoExpqrTTYVu9Adcd31tw350dtVT9ZugyuRiTFl2Q5RcGcIAWmXEXjLDmr/YtiIv+N
HvdUVmYS+bsr/jifuiAFVdg6+Cuom8dJpWNsZZhpOFn5A7Xu6ardrxgnqGbgpihlIpvXETm9Sz65
MDnVptHUG5DvkvuNPk3z7G/+uDbRatVBn0hyDeJTRUEBGRuUbXQuRsqnPqONAWrYSJ8BRF03Q4We
Kku25ldIR2cTSAZmdPGguVZevJS1zPRwe+ix2MaTVZ8qevKIRPSZaHOxGGsDxbg95oDxX9zVKY5Z
dOkGNw4SyfwITqSlahkJ7npo5vROyiIF0wTOpUucLw6y7gBglvgF8YH9ywqPoUMcT0lVF66VVKz1
pZyDrd157zJGWBDLEDwBecL7U7VBE2HbTTQe3Gc3dUOYo7lp3+G0MViPJQFwrbh+FkFfGG5tVbpE
GXBkhqJUYdmiGKIUViO5e6b/f9z92+uVQcogVXdNZR0qHZNuoNJrdojLT9SHVjt15RTqsrEbkYWF
o0ANB3ASOraaXJMqlbkCJo1GY6+pu9BzqBog/71Kjk0kabqGZlKskQBuGN+WpGy6NeVY2xsXOdBu
jOTbpuch9VRZ1VskaXi9QC1R60ChgDMBzTS4tUUNSDT6ffZk9l0jyB3JO1PIDFLDb9UIFmZfHxnV
6g6okjo0E2HI9LlXQywdvu33RAKAAfN/SDhcmLNinW826LiVUjs1XYFW87Od7gEjHXhElssUSYDB
OjxcvLrw6OPZMXLSbtZUxn2b7vDwYmnn29wIKSBPyqAy0RfGQ1JQLEpEAgCxiKEQX8HO8eodzXVA
QvtNgXv6l820WMbb87j/0ZPyVI2vKn1OHXq4zYnQoV4S4vQ/S51cNyuwgmbHJD2tRWg8Ws/IM68T
hqvCbn5HhHVJjxPoYjS8uWNhHDs61sfRPZaO5OUjUhpTRQMCYiHWjMIJm0vGdSQ2HlfA8Ngrne0T
7E/fhu9J3Um4EVLCmDu6/aGfwAm41py2rDtn1GCiDfVz3T54yCrkBmpgpQzdXKSimNMC6CKmGExk
aq4JZd6QAB9leXsvArzmCGEgUrcmEutLIpziwAqQphhg1FKgkiAE6Adbcl5CNgBSz+qqePHw6A2F
OSbTOIHCXPb+gJpkb72oluQtIiPCLu3CpRmppthAAIHNzMvQG1+ZgnrzHN7WHBkVLuSdzSklfQ4q
TZXWIZ1cJ1jctg+SopB1l7Bz570n9gXBemKm1ULS5ZqhdjWrDDNOeMl/tV/pp2oj/gE7FPvui6zY
JDLTJubD/950glXJ15SomnhKtRVl7HWbHW5VN//q08b1s0xVHteq+jHZoy6RCaEOsTFIBwU8B/tV
rmlqGK40VUpKuNIEpc8l6EjvGxXG0+eX21cmogT0fB3yB0xgJOauKeVKBtjXipaxZsU9Fh022SMm
832lk6CFi0QDrV0Mw9LGsle+YX0BBgJQWqoyHqOkDX527jtE7/L3uRNrqklxO0DrxapzN9Yx2q7T
6eH2UYlE7pIEp0OY0wI8o1WCRPZlme8AwznfoUc3GI0XlAYC6aSEyPQA+guNmR6kHJtSrq9GQ0mo
wlbNEjq7+pttAqf+822OmIXklQjtU28gT0i88TG73nf9knbgiADHbCTYumJ/zb913c516qAksu2u
QseKxh/WgoOZAli8a46w5YmqTVmDXtI/9GX2WKNEkKrDXVHYir/Qn2n1ih0wWrJJrk4k5ZeEuaPs
pkTXyh6E+6zbK9vqr/m0S8pHKmsMFom5rWNaAq2XeKTygBJDblnV6kHMlXHv1Kdk3L+n5IkunN8k
OEkv1WZbesxTxW+HlQfreJrS19uCIWODE3W7NQBHoUIwtP5xLiKanx3ZBLaMBGd4bJolXueCBE4K
cxI4KbM+vYcL1h2DTLmBC7kWN8MqMODbDWWsG+m2w2ZLLegM59VatTS6TUlkGvBORLoAngKlTy5K
KNKqwQY7UHKXYcZMhjbhIWeho9jrFjVwsEP8PCZ2e9jaQfu+TbqssC88zN/0+XaghuZ2YTkwFbb6
HfeVkOf33ZeLDSsMrMf+Q3eHVKGsjgkVcpvABXpfvQWmbDRAqKcXRDg9VdwZy8Yct4zzdN6nAHme
p8fc1R8aGSSH8MAuCOnXokETT7XX0oIlqiI2gYbMi9NLQm5R4AD4KvR/A3ADwTBPgwC+r7WSMjYy
1e+6c4/FP5Wq+JHE9YmsOHwEHvjoNGZbra95yavNc3rFeONF0X2z9bNP7tOUnaUeScTRJSUu6LIG
u6/cyYQH1NMwq56T9tWk027oE7+ZDrdVStRUpAM0ibWOYPwMPYfXbM3o+DZhYMHWa039DaMWd0b4
4I4B1k3Q74A5ldATicQlPY65qcynXCsgEsY2xs5kL34LkEq3sn1gAkUrxgfQUbzsZ++F9AQA7Ppp
GK2vnr4ELbEllkt40MhwAAsCqETIEFzzriYTUBCKrIpH9TRnxm7sk8Cp7gbrUzLLgBcFtPD6YPNK
SKkhWc7xnVvL6mJyNY+VxrPv21W1fSMtS1+ZMZDl9GUdMqBuicF8Q5HnQg8A62G+DGGAhgvmlMMq
AV9ppF2OtbVY6vi5tnal7S+e3+r3a9NGnpE/aMWZKpOv0u/LjIyy9kWrx2jIXo1q3N2+e4HZwcew
RC/gukydb76yZ0DeW1OTx7o37LBPvMemU2Wft7VExsR0WDYJLgIunIt/KsvK1Eofc8xrFO0OUze9
b5r5EmEeaz5gzK2VWAZ2dX8cMrwf/kGAj5moazFSFOzb9HDQ8QpcO38jSRWOi6VLqAgUBxny31Q4
o607Zu4YBagAjXeuul2W7yqbHm9fkZAIEBlZ9xKmHvkiztw4WO7bzTnAuKq9oz+UwJ5J8vfczwUR
pioXr+SmrPC8dycUUTAbWjwlxkvm14bELQiFgBWl8NpHOobPLhOlxLYKB5xMunEiavSyrYHbEUly
8e118MfdX5DhTEi+Wqu+JUsepwSY1NqJ2PdYar9vrDWYB/OTi/KXnj5q1fOqAqvaDrx+CZO2D039
A3bW+V3kLbFT/MCOGMc9AHQDuhwrpD/WM/YIavfWEd2z0dgoUdKfXVnkJrJJDK4eyUQ0iqAP5/oi
Jn1u60wz8pjWfqfctUfybXrBLor/LlMXVPiUZVkD8G0wQQUhKGK7gBC8sQbZAhkhL8hTuGhIQUGB
T/MugFollFGpjCBBgWcDYPxDMnwxnafb7AgJATsNsQYmtRHAXB8agMOUEfti8thCO/UDddNf3ZAD
Sysplb2VrshgN3Ajt2mK1BIu6l+anMZsmTLTfgRzcBmBXf5YtFM+SnyFSGEwTY8RKuQtsTOBdxXD
MiMRnxcxij/+UJ5752ft7GUQiqbIWGJeCR4AeTgkSjlWtII2elqCTBuZ+ylWDsBaqMLk2DzUwbyv
Cj/1HV/z6wAr63bZjkTfnr90gXF6niLrkD50Qa/789HZVwG0JyBHEn6u/Coo9vQ4vdw+ddmncpnP
aR2zJHeyIs4rxEL9z8zY3ybAwzQxuwHc/d+HwSmgskw91RMchmGTPepxO3sZ/El9wkbNaCkN9LGc
OuvRnELHqYHgJslW8niIPPm3qfELQ5zMJK3MEQzqj85XJ/fHze+/o/2SPLv304/k6/Bj+dBmfvaI
lN9tzsVH675NveMI+Ox1anaTWtAaGC9tinl0WjVhBgRnidrw8GN/M4jufBeuDIMoHucz7aRq4bC7
IgbiiVV8T7Cy2bGLQzP6xDf7HFisjo+CYLWGw0I/mvMBNUibTDtMeLLNQqu06CEyHsgq/PtBnJJ5
5ZL0aYqJZier/A5zD4sWLLoTmEAK3BaJMxezz6AroGka+m84U2VlWalmYwXx6gHklBBgXWY+Sb5m
rk/Gs3Gufi567RvTTp+K3XLWPqrrLtUeamRsJlmLlpDzi2/h9L4tViUFxhwgYuzQ2f6aFWzZqQ+1
7TdEVr0Wzbpg6tFCUxCyuiwMvDbRFBiknjVjyj5RH6vCxczO4BPtrLSnZHV2SYollEPoeE9NHi3N
YTUzX58nSSZWGHpffgQve02OaoCGkXK84Oe7CVYr2Ppz6ue1nz4Nr94Sat8Lf8XAw1P/JJv9EzmM
S+KcnGXofwF2Hob/ARgdLvZ3lKyCvpOYL2ad+NiH4bsbGOrBIfPBoofdJO2ygcPuSBH46tiJWp3m
8qdqxNP0A60d7/BQmEN5Ay5FdoTP+mH9GHapWbhWdC62OSqT6PrMa+R9ZJ0JogwqwPqADM+StngW
cFFdWjSJgha8Iq7IFFTZx1ZzAlbNS/Im8CYMccBK45H48bZRFL3FDfROIYhBGQSJTU5uS4MUTplh
3HVpvF270WCju6T7BcxOLSaFd/a2Z63aToUkVOa3i/xtJhHJoPEZ0SCqIdf6oqlZY9BZL2JP/6vQ
FxQS6wi44P5c31VZGgJiGb1cqz+kNpaSbb6d9we8sSSZCFH8ASn69yM4Y7UkVV70FgAEVOcLOu6C
GTAFGPk8Fo5EjERii1gKbWroFNVwx9fcGktpuaOeEnAbusNu+zFQP52C/C8Xuih5H4j8HEoKGAVB
Xxy2IXBWDxCvpbJtNp46ufVSN90cZErhSNwc+2BeDx34UAzZsW1yb+upL9x4T+athE+B2FiRvjxm
bWT8qLMYOw1HWTFYZMUvSXF2BQ1wqNM2IDUH9Wctpp8adI3671CDSyKc9pl1thEyg4ijh9/H2W9K
fwqKzdeLAFOx2eNtcsLTw6o5LJ2ysI7rTTkuTs8pardwU1BLHPW4mqz87C+P6aIBoWPyk14i5iLL
zIC32bQWWxTB6bjj5gXrEYLRnI08qNrk7FH6mnSJzPmLrgprKDwM7jHfz8c+q52mHlGBNzIY3cHS
prAs77ZhP7aBlt3RNU5bYJjbH3TvM1u3Ou+oah/6CTsxnlJN1rMkUgPXA0YB/iAS44u7Sz2rHdCv
gHlmNOToOkMR5WmvSZRNpNhQMnTQurDdJt+1ho2rxtosZhFvU7LPqBJVOdr1sz70ltwfqlPfTo+F
00gcvehCMeyDDWlAA8ObhpNWQOFg+ANFkDjDyiCgPTgNCaWuVnSAl0TY318IqabVpjajhz7eusdm
+2xmm0TpdJG4XFLgfECyIWFjYf1AnHn3tT2GCQb1rbI+qQCVqJzNL1P2rC5H5ZSV9wU5K4hYCRYe
t2TflMOMETfTxys/mmmONk7nQzFHKd12JlYAaX6ldYdB3zm5bF5e9tWc0yBrp2B4ml05idc6ShfX
T+j3nAYDkZk+8T072NrEXAe06voKABKBtZsenCSQANCvlPsKUopU2922RsKLRrM8JtoRBWCg4ZrK
BvyEiSSgknVYQNXlgUIeblMQ8nFBgbtopde2BRuxEZdqaFSd7cDN4rqStSeJqWAdOzIxqH1bHB9j
atJy7KEVzuKEE0o/LIe1rPvbvIhst4d11P9Q4Xgp86TNAD4ArKPtrCdW6M0vKPpNHUUwGlZqKllv
IQpRsPIMexfREYMsPidtNUByzdIDVkhefUA+r1zIeQTKJjr1Uok6Co8PbVVIXwNI/o9FGnmXkKpP
lr+hKFdEDN78rGsyZFchPxdUOH7A6lY7DNkVC1kiOq6P7sSqqKcN231vX5TINLMUI9YVYU4ZPb/X
Yu3YpBucBBdF7RzmpA5aK7DoV4xqNCaJtClChvQ2RaFluKDIROfCYuaVkypZDkXq6ylMdH23em3q
u1N6qIfsS5fISi1CUbTQWcbWyGL6iRPFvCZlSzZwSKrOw/RyZx0Wuz9WFWn8lqZYdwp52tOlkD1W
hKJyQZi7xAxImEtewc/bbMR8POvmCwatJPcnJIJFRNhuajCcQp07TTTNJVsCtNzEM/boCCXIovS2
JBITXhmQw1DDhfWz+RGYNMl6zIrBZqAA6o9GcVy+eMDZHsx675FREjTz4OHs0WNi6ZGGLWh45KFD
/Jols0qmflBgB90m9zNtOwCv0sNLa0JFnPpZHWRn9VT6WP9B944dOe3H2wIqUD50iqKFm20nMx0+
+ZalhqJZlBLkppB+N9Lma5u1QVPPTpCktSRIERJDshUTWEhaqy7nvJyxWyhRAPkyq2sVLh2dgnoo
jdAFcFqEgFQG3CSk56I9mYF+oFrOawNxLewYGACBsBgYcJ20E9vAq25VpOfZX7cPUiCb6LTGEkfN
QFDt8hnlsnX1RoXyoVyO6YGULkgrYTg+NJukkAiNjBRnVHpsAMoUQOfEWoIMQD762lL4nSabVxEl
ZiGZsCUMUhfIs5xOz2nerCgvYLbW/pj7QBAPyRM5qn5yX8dNMO2skxJgIc3x9kEK9O+KKmekERYU
SqmySCrIAsd/cfYkvE2B6RT3UjUZ7BCCAsy6em9B6IVRVug6laODOc1ungA/o7o7TOV/u01D4Grg
0jAdzHYjwxZzebdsTiunsTA5abZYMQEUkDs1JdFWR0avRXVefgN01KC83iYqEgx0hmBzoYmJedSd
r43JOtOirg0XcSjmskj3nSKPr8juR+BiUNzChB2yNBiY4JtxS7tzigEPqHhI+4B4+k5NP1qnzAlU
5VmKfisSBnT8wlgA+chA68I1R+U62oq6gVhdfS49a5d/N4rEn4syQEPfOw4PU0DomGc4rPxGoqFp
OhXwIuCrqA0fK37VPZqwyqDpVtnyIyFXF6S4x5qyUbxxGigwdt4B2fb7PH9c3fsOeZK2kTlmkbBj
8ATGFlktFC+4l/44NSMtZ7DlpR8nG52etSnxyqI8JVwXQ/t0kf7BQPz1JRVkzpzZgA/BFLGfei1i
XiyN6taAUMXP+22fl78sJL899R0zsQxrEU9508VwLy/whmKTOS0wPNwYfv9tagM86W9LhciFGAAF
cmEwYNr/SEo6c1YgowZcrJU+0XHx67o+5YUX5bIyuEh5Lylx1nbK8nUsbMDOpEPXBFpuN36RLHrg
WlSVGEAZKc7EGptbLHUNHJI2e23K16n77pqSpibxucGQQ3WRnLc5xe3s0qO1A25Uswhqhe1zO1V1
ustHibsQ84KmMfYixsQvL99tQ7euAS/zEk31gSJ4kSSmxaz8psCx4hpN2puQtBj7Yn+iZyjB1nWJ
CsmY4ALbZBvbMWXwSYn+LWv8bvqxyZyejARncwClUmXAMgR2QHM0d5YXeYfbmiIyagCoYyDlDtwr
b2jsZs28NQfaB7ZKdGPjJ+2ZJMfZffx1m47IoF3S4a6jM8hYkAp0JiwSAL6qUpT7/04BoNhIsHjI
jsKsXdszN7G82lmAnNVpIfphVuPz7d9/a9LkA5BLAlwA5zWzoieEwSpQvzf6SI/qOkCBLj0426c5
f92qY4Hye7lF89QEzZcBGM1b0NLva+n5xalIj00IfGFFBgAikhEAT2NsFPEe2rw4xtdVwcI8F9/l
uECkVV6W9FHajCu6PlSzUEADyAh8LWfm5tZYnMnx4PsqrKXD2IFpSfRVVHBG5PWbBMdGkuqlVysp
5obL4pDq57WYA3sJ0al/nxToPjcS1dfQ9Li0T0Pn+u0nUofW6uxrjYRG9tHK77pG1tciippYTwvE
Cl0AeGxdy9RqNBOZRnxT6tRn3f6Urb+0or3TK+NDZ5hHLGyRtakzLv8QMrS3sHcPmzXjDpqqmz4B
0BF4EfWDprW7xvk1sox0eWeXz7cFWtR/ZrJmeGgLVrvq/MOuSba6bnSgZ2Ft5qmK1YN7NsJhZ91N
Bz3EJqegjOxP+Xm4334CpjA0/SZYQwVtPUNghuXO2au+LZtRF9XfLz+Kr78vSqnZKcFHJTqUyCwO
CLuxPdo85Kq7J2sfDgChNMfzspqBm+ePVb88uIP7BZ2+u9vnI/0UzmahMjIkvQkXotyXB+VAPpSn
ZKd9SQ7AnYyL/XjMP92myC6Xv3zcOgYyMdUOtGSOoJmQRl+YzxoxzZrNvr58mRrAhkuyByKpviTD
+a0Skq4rGY54mT7pbZDXEZwwOcA+DRJKoqo0NllixS5eVRhM4IGetM6cjMJBDXNszU+e1f3y0uHO
pNbgb/mTa4aERBXaGpLOCbXOlvg2kWHE0x4PEbzoNHiFa+3tR6XUW2D8xsTYJ5sTtEO2W2pZV7pI
Y9GajVYGNEIiRcmdZmqshtUW6OmDqfDtolXQjVlhmBYjEs1k/pX1iqRUJSSIei2AuyEpmDy7ZguZ
qWFYbJxpdnSPVr4rgw6L3KPboig8uwsi3Nlp+pwCqNlE1yBqNRNgCFvvu+5KNEzkVTBq+C8n7CMu
nvRbNqEB27byeOdLrv4NmoFXpcuf5uzo2PQOadhPrxENS5/cGfuiQYeaGQ6x+tI/Vg/bnfbV2BVH
M8Br8QFoCFgx/TzkJ1fWemKwC7n1LZxn89QOjx0P3+JlYXqX/coC66u1Q9cUKuE0Sk5GrO3g2Krd
HGfD3bJHTxF5MO/Kb0tU3yd/lffDB7Ij/vLsodkgvH3Pwqjm8qCYsbi4gynb1CRLIU0wbxFQYWEP
ohSodhGW3ZZIep+ab97guxDoYD3mx0X5MP8aonwI1IMjeRTIBJt7kTr6qucbE+wSKSr6OQ+LYyZp
WxRZ2N/cws9ec6uozZBhCxXEOhzP9q47S47ztkSjBnf9+7lFa9VScNVqFKXB7au6fTyYF7j+7cpM
5tpiN4Wo8i/sng7UULb567bWW3zvkqeQBAEePt+279TyNNsHzZWUEGUnxP7+Qt4UextnytqRlekE
HfV7TbY1QnZOf1iVJEMFh50T9ScDuKDYnvCLAL0H+Y3bNyIqfANw/R8DBlt1zYwGt5dOLkiFSf1B
D17RaPutCMkHPXpK7+bnvPVfgNGo78iDfrfiNb0nX6dnepBN7crOlDMwhYq93wQtIfHmnusFUVom
C86Z3P5vE4bg4ZrRTVPTrh3hDkz0Wxs+CbXPwx4VzHtl9p37an/7XGViyBmCGdvUjI7CcVfxbvky
SuoZwurNxa3xyQfDzvouZcwMv9YPSrB8InuKTNTq60HzCY+7/NA1H+b6vMpCBWFu/pIyZx70rKtX
rQVjtd+EHv4VF5OfHvRv/bE9znvvA0bZZiyMk8gpO68bt/fWSn6hc+aUYTQ0gZhuwEZ2/Trf9ZY/
hdX6arifslEiLDJqXHzSOouiAPA5j7sQU5tfpwM5poEWZNH/S0j4boclU8wl15khUcI2a3bEoFFr
S/yFkBdsD8EMEAp9GKO4lnvqjF6DxBt4gevOTugmM6JsCcov650MNk0slhe0OOHosiqz0wLnpiro
RFl039t0f1mc/eShXaZbsSTlq1b7GS0f89FBIzTd2661d+1y8gciawAX2pSLr+G8jbvo2bC6cAVO
PhXBtjgfzcaQdluzX/lDMi+ocLLimOucqEwykzMNt51zUHdG7MYIN/LdtJMNtAs9wwU1zve4q7HY
yBbD++d+iZmPozOHjfOeoPaCCOd+6plo3qIyHa+0aG2f11KRSL7sajivM5rW0JYeKHjV93K+q1VZ
x4X42XbBA+dQMIWUWfMICorxuRjNKCmOazHuShKhlySfT1o2hTVWPrjIGN7WapnCcY6mpnah9kwg
ytf8VO6bSLtTnk1kfo636fwPbXvrcWTttbxN7PKlW7x0RDeqToD/W42WrQf5SMY8aJay0kJXrVcL
Dzqyzj6WP8+PheZioXC7ORtWzdRGcxh1rcr3SVXamIYdcrhDrzJkUGqM4T815Pd3chqSTajyImEC
C5TszAXxeNf4Uao/LLPkRIShMV6TbGMJxoX+yARrm24bbJ6oI0mACRs/WXfJ3IaT8iI5eqHSX1Di
DJ065Yabrim6tXsaFP9H2nf1Nq502f4iAszhtRiVJYuOL4TdbTPnzF8/iz5z55NKuiLODAz06QCc
zcpVe68ggzaj7SLGHZ4aMBmfRRhUyNjRYLYlcOfHoe+2ESbbkoinOsRSqXkt1VrCZEIKy0Y+JWEk
cKRTNVP2hDXGeem+fnfkLoJRU1mY2LxrB7BWgnD6GHtfWCnZMJfXAlYvO1ClRvibWepYLSWE764h
+OXC2xZlbDDwrw8tuJ9WUpACJtx4Xxqyo2F/GPmt31uVf4iAJgIo5XG33m3pRcD5gy7uF4nEMV7Q
IeBY9zbUjoFX2g9Qwwk4VJEkyQim9eOA8x56syhU0CwA9gHPih7HqYTzB6A9WLw/kZCtR65+kTnw
gR5HuXtcwFdVEOERPIvyXTcrD2Gspw51tLUUeOoNNjyvIpH4SzqGdyuxAGvMAwamPUy+r+P0wAuO
So7WZFA0mMBc5P/koT0yCeGqI4ipJC8BpV2qXv3y5OhOhKIp5geIryjBUc0L2yDvYJgyM/iG7ejI
68Dud/5H/6T0pD2lJ3mFU/iLZ8i0KZzsNFo50r/tuWxJ9YzUu730mrq7JV9+ENUPTR+psT9/0Kgr
lmbGpqLndrWJrPhZtOKD8B6dpsWjbt4/H/UCdZgGySj0noegLNofHb88ozIZe9K57Z/0uPSwuTej
LltI7T8KlG6Uivnt8sz6BrmMZObjOftrEPioPdTin2pRCsMeIVBs2mtwad5rtb5FpnXDH6un0in0
1sEmZHFr791fVet2xb4+/oT78/liYtHbQQrnWLnFJyQryRDteN2Qinh49S49Ae5t5xfdST/kvIr3
0lhDIMj4VM2pKNbQwYZh2MvjBt3bbS7DUOcVgIUT3M6wvSFRzhJBX4KbCgvTgr6LdP5UqXKGdgiH
0mnNAUUYTy/exTVR9vleXPnmtB5s4SzpvTUaoZ1kRDSzr8ia9qMx7INt/4r/rnkSfwVOpksLN4N7
HC+ADP9np6BpLtEUBchh4vvG7KUC8G8n6kVAwgSWS3q4zwxW+fK0jYxnyuOOv3sPvQxMbVFD7csp
dLSwRem9zpJIVzYiUY10xRN1YeHcO8MuQ1Gbz5R1ZZoW81wypVV1RFrAnDOeCw1amkrUbuOLjQCv
JUTZDX+P8WogNenMDnPqGzYbK+2QLuQ6llpFbTgd14xlGCBeY8imZrXG3K4lV4ilZUhtOSJbqKHW
IcjEEWY/rWPEeNxvv4DWB7saDVaSoPuDZoCNDPomstIF5NL1fM2bsiG9FAd21XZ6t8v2w0uO7bv9
+wkLmMdfcLeNIHXOZVnAlgRqemhTyEbKhDNaq07gxGrDRy08K+1CuuHuRgD5FNALQYuFksr1TWAE
0cn30gbAc4mUWavDni3SjMnXFx2l7x+2IAjA+hU3DkAqr0PlUJLMUgEsAeGsQP1etXowX9TwZeA4
q1N5HSVY0oJ7obQidIZAnttJ6WcKBZLH/Xq3yArCHtibINDBqnV+LFzcHSM2lYfIQ5O5Ru+Lv75s
lYXZwVXiLWQ/KkgpydNAtCg1U2k7CeslXOQ9GQUYWQLDjTseN2tZXcfH5p6o0jCj0wtRb+M/4jgQ
EVqRWe/0P2lk9bAi7VfcsB60vwtNvzva0B6biYPAmtKKz6waSGIRAEXOqx3Bvjrk7yEkE8BFYkQn
b1mrSW0UoWdyP66NeiOe2KYk01iQ2R1lyUtrPpVvlhgQB/AFg0I0JDauOyKDg5pUJDMXLc5UklTM
uc21c9jAT08DpdKMkiggPdDfkNiK3xe6Yj5CHwWnjti4KaqKKcC4gBGZEVScKwrvnb8Fx2U1ReK+
bqGYlvpm/hP8L1wERGB9UcEF3lyC/ex1s5Hl8POmBS8H1i+NugvVbV8chiW1xnudOxNY1FkLFyuO
muVZHlZyI2s4Xapu44fZmi9atKx0y4DHa6n5nCruDQJxfx73670ZdhmWSh549QR+0YSwvN2AmOAX
qcl4GfGUcteM7cJSvne2AbSPmaxBrhZo+uueHGWBKZoJPRkXPzATzMG3XXSOuneeQfcIUqvzmuXp
p20tJkHAIOGFmeHrufCOW5+YZ0YcmWMLdaCcW9j272bsIciOWjvyv2AKUNsky5f5P9ScQkJltP70
S4j/lzXJqpPmtAljFQGqTGBNsxoqCKFT8kjcNpOpFupnEbALxbO7XQwmDXRf4HoApMh1F7cMm4hM
gPEUxIow3HMsgJGrLPHv7l67oOYjIREEYUS8r6/D9GNU8LHKYE1A10VYtU1M2FgBL7IzusiE6IpY
6GGmo/bzeLrebR70VmY1XeDUf2vVF2eBN01SGjQRXPA6dfZbkAbZ6L2FaXq3dVCckGAphHkExP11
63iu4ROhaIFOD8N8o2asoMdCHZiax0arZuIbC/lPYTMW+KtcfRf6Ut60yLYv5KLuiXwAfQWk7Qzd
A06eugs2VRdpDDKO2248+rFRhT2BayIRJEdRzHwyJUbYwSiqnGrDz4J3XnQ8cccgCZHPXtaN7/z7
zr/8HGqmwxtbqkC4AdRUiZwWoi/T8JwxS3Pr3kYIHUxQ2KHWAM48tdHDSjjr+xKnTForpqJ9jEO1
yRWQg2WIONb+XuFLUub/UkUZpxkSYTjiQRAAiQm/vx5ysYKHg6Q23FmsUkhv9pHNNsjkwLkvDkuD
S9t/N5HpeDRR3wORPG6kmjsP8qrG+hSx6U7sAg6IWi03QaiuTLkcVh4hGsX3mtmKYHVMECR6fjwr
6PvRTRTq5AJQDEDMClHYU/2ZGaX95P2tnD/Rvoz1JRET6pI9x8JpNYvkgt+Dwvrc4ov1n/aaAD9P
ljvnVSVtNc/jnrxcYr+CoYoMv9ekhe30fjwoa8w+NZAYoHpQjAS1CUrE6xR7lDYDjg+Gz6yRURbW
Fp0S+e+W/ScS1Yu9xuZVz0zc2c9NCC+WGnjt2S4yxPK9Tg4QUej7JYF6aqX9ExLUBzDAIMgLkfrr
zpxVHYZcGLlzkU39iq2K5KmrsswCj0Y2m5adnqSoSkaSiuLg+IMorBZmztx7F3e6fz4Atx1kaYG9
uzF55P0gamYS5Tl9if7iyBxcad+/pUd22+yzJdLgncUAs7v/BKM2U6ZLGjlHtHMdFpuUrcykifVx
bMyFRi3FoXoVZbe8ECCocO47vD0D/9CWquGr07oU1kXD6TGeS1IqMUROskPRays1jtdsENuxzxvc
2NmPv+fuIF80m7pzQfCH84NeQrN9aG+IyH9NO/jI6CMnbMJE1OuMhe12vdALd9fNRVRqO43iMJPr
HFGB5LEa2bc8LzTijLeabsmzZqG/6RTfwOSRpvSYRA0HTSFxelPq/SQqS68AOsVFT9bfS8PF1tN1
UY97J5rEpj+p8gYZgHXLqWTicnCGeLCwGSfAkcHKk5UzIoGqlS7HS35TC6NJ5wEl0M1zv8PkYtKC
hL20VodqL0byRmo6QyrbVZJUZiMs9fG9PR6LR+OQDJhNWn5zBReN98tYZJSQwVbxDu4hB3oqmfR1
Z2enAm43pHt/PGnpG9h/d/Z/4lGLtYw6uZRxyT03geoUUIdCOcfM004fikLHItYnWPqmEqxJBFav
tdBaiH93UuH18PvWBYKW2o01LUYFvVO5cwaFIGWMdrjx6qzQ7SeorHZab0vjpLejvKmnrVjH5xFl
nyl0ZAYax8JChu7umF98C/VEqwauQfYBE09IkGuI9Fok4K+MZkT6KSTDkoLH3aULwvrvE0Lh6Kaz
PlMmtYyhHof3EkJZk8WJJFvKY9FViH9G+CIM1aqaU+usV3L+nCV1ZU0pLG06iKIFRGSjjoGgB5Jf
etTXeDTVkaen0gBwblP0pqDmmlGrU7zm6wG8h5YBNp0f30NlKDeKVnuQkUlFc+KnhihxPhlhLXZ7
Py2i1eNJMj+l6NMLKRmITf/6sUnzuF2sid7XOlkUff4ce+WhqfKz36rMv78mQtsL5+Ns3CsotMxS
qEZtp3ARekkeRwdi28pKrTmo0nm5uhDq7gYH7RHcciDSBmopdVJAf0SsubDgz0osfMSRbMmJ3fN7
6AIRSTvHUKFN2M+gDPUkrk1pyH09y7WFc2M+HK/6FFQ/2CdB6gjXAZShqeerMhQTRFHr2mWlgrBd
oouhBzjhTyH7hs8/PR7AuUFUMLwz4G+P6iZeGjTjmQmZUeSYrna7uDgzJX8Kh9zyi6YlBTutmKnA
vAd1eOFApvOq4J+BvKGCdgBTGPCkBCqN5pcMFNWEoXbrabTUprNn2834hIXG1JPVjG8VvJdY12/M
DnIRfb2aehuAnoVHLo05//0M+PshrwkBa+5Gxzyuo6AfVa12p/B5OkDXGDJWSWcjyeVJKB7Bgpgx
FYjX/6BgNhabULZSzmxRQjMDad2MDtuTchtwdijAdWbr5aBeQZh8A7Buyxzq85JGyO+jmx4toOxm
uTEJg0U7MQRKKdSwuKndYqV8pd+h2ekl+EeT4xnNhj1WpoDzqHYqq7F6p91WZnruN40xHdj96CzR
h3/LCY++htq+mFyMGdQ0ape3Ydhs1nprwmBSx30dB6NH/nyPRkR+fGPhmXBnffBINckcrsvIONGw
hrSdSl/L2MblQghv5nrLvyoSuj7Hjom98/H6uN0RoPgHLh9SD8iEYNJSM7Wsgb1rGszUqCscJavc
LH7XqsKOgwbZQn+bx5wxcRKE9vufhvlu1dc+4Rbm6e3VY/6IGV8BqQ8VP9SWgMw/3zGFXLuxBlkR
uVoJZXTyT1JuRCKvj40BSiC4Jx0sqXqFwDf+baEX7mwTwmxpjncnKOkg+l3v88C7g1iWhY0rRq9e
30C38jvy+ZWQZgRqEwSSb0UcrIaXuoKN6a5IfKcKGh0YF8l/C7lYL3hx4UZAl0TmtQuFBnwPJERl
RaJzJAx8NdoyFRoXqhOoC2zzSmd8G8DdCYohuSYZQ/sTDrYcHUsWiLC0MGOBX0guzP1OrQDYLcwi
l+Do4xfqaSzDJSDzcD65fl5yJNJGCEr3MNJY6P2bNyKaCmQNyl2IJSh0erWrghFFoa51xUCvfRha
mbH6Egp7BeJ7vevlBpsbbft3ISp/0zjIKkCFDcOOqQfzkusx77SojdkokM7q5ABvM+7HQReHjkjS
BjVs3AgIjC4GZ1p8zdyuOY3lkLWGkRfeErCxoDeWCN4OSsmrZ4NxrNVXCJALLty6Lm8WtpLbA4CK
RC0s+L/DBb5CpNEuILIL4R7ynaF2PhFRRy3JGHWLI4HVOJBtdDoztFVDNgadM0MjWKcWu/Gt6SgZ
j3v+FzJ1Na2or5pv5he3qlwSWlhyceoZHjH6YER/1XW2yradVUK3XdhwTmIlRq5/AxlTmbXR44c1
ZIuxIQBow92TJHZsFXaygCe7uYRTn0U9SKZEYGsUKNVzr3MIr5gZKQhjKAvNpznOyKlfDz818bg6
14Dz+o2Tv7A6kI7Qr3d98uf1EwgZUm89wpKF2U7Xzv8JClV+HmLeeOTROC+NZfpUyiT1PFk9+lxw
JGdyQp1bR0CPpEalR/qBAR1gjX61H4/33B5quFGlQPoHuDacML+C/hfDnfFlww9hp52D3FX5XQlI
W1S9h8UuicKF4+zOECLFCyIzUPqz4gd9Xxc6OaiigjmHAMqXOoA6UBzmC9xbkI8x2GJhKMXbll2G
o81aJy6YMJVL5qxAFr2MvtL6X3cdzkR4aPMg3At4qM0fcNF1UjkIXFV1oSs0BWoCNVELCyhhHRcI
nfOXFM1uB4pDDRSlaG4GE+PSeB1NZPx6ToAgmhoQT/BJ/s6/ijVISwvDdDfQvNnDyg0HC33FScSx
y7NGCF1eRSkbVX23QP6sdMpw4RS9nQ/oM6Ai51okVG7oQxTAWyglMGHkKucEtYVATMwcwlslmIU5
CVneHJY0e24fvRpIxnOFF2RnmJHSQ4ZMX14ARhy5jQXfld2XuB71H4ZEhxSGFL4d6535zhqNXeAH
taWFGXmbY57Dg8YvoWo3QynmU+9ixqhiwzaDkESu/Fzqk+FZhVNbevv6eEnTzFpsJ9dhqCOs58qo
igApclPi2RKRyGiiOK9/QWN5VZm+DdjvvjUqAzhjXSDvz4XuG0vnyK8c7/XGcv0R1OpIcGFR6hAf
Ubz5DkMYULc60mLrnkhIRGMwj1Cd1cHuIIWtEmyuiS4dgORYuL/cm82XXU4dZ3KUcr7MossVMnIH
AV4MEQmKTVydH3f6zSUVfQ6VP8DyITmO+jrV3FocZTmLm8iVkBhUs4DUusjyROFO/WpZr3G++NOd
exmNalXZtmHee3Xk1p+xmUAyTiOYTrpq8joPZG4KwFprgZlBBmMyvp4aZ7JlqGyHdr6VdJisGA1k
nWQCZCmpbNbGG0r/qUjkMEYE4xXNAL7RYFZLtgW/9dKbz4a+JHSfJAlnHfXZQRR1VcyLkdtZgtFt
VhOYdQqQzJPFz1otZNTZdWMUq9KOLP/01Fq9JZN8BcZRgrP3MzWy9TCQc2gwx8D+X4wfTifsDqh8
QkzkemkOfYPTAlLDbtdCCkZ1mnYympJzZNwzIoGk7NPjeDdZPswXYLrlX2lpiGFS8aDpoaVMV8Zu
XsurDGYAubeSGQUuSguAtdtULhWJ2g2qtsSjbkAkkGsFy4dlWmt5yiYpbdFgkFt4Y/PV/61t1FoI
KjDymKxA22A5EwXHdth34UCapZbd9iEP/RYcvjKEx/EypC4UYRpnXB4zkcsrRtVu0sT1cRmdVoEQ
w/YEwAgR99Fp0zFOb8dnLiLFd720p9/9Bg0KbTjHcI+ipTDZqQ/ArQhjVx6dSjl44Qb6TDz39bhH
aZALtnT+/9Xj8RrjNKqpAz/g5c3GsTtYGmD2pZn+FMfI4FeA4NuNg2IaYXNSLlRfF8LeJCBm3oOf
jwjbbGEte8pPtdEC9z+tW4u1ijW0n/E5/EJjb7dsXBCxCuc8HfK7tONskvh9EvND7AaM5e0ALYud
0UOKgVvQe6bpFXOn4ubBAqcjw0kZ9hjXa54N8e4tfDZx4Yt5eoNIIMFFPzQB2iYDebKP2+2r/X38
/vbe+kN8YArSLWFW7zQVueWZxifPSBeBGtY01SKgTMvM9T4yi/nkzHjxIL7NlKGVs+gUVIsFyO/S
1+6x4Eqvq4bMHdfiS/sRHPwP4CtsyWGeRuhE9GfvFRvrLmZJXhjR0hqdd5frLR/RYU2JNC+kqTQ6
gQ4bhCYtAyFzC2PYoiqw8e1XTlfJ7OqV7MalN/XtwXgdjtpWuTHukliSEW6VOukJ/kupDmu+fbWR
VwDDO5DPeJb2tdWYmt3Y4Tl71lzPZJ32FXhkdc+8J89LN6E7GYXrb6I2YFYLo9kVdO4C1iwsWS/t
wJLM3uCN3PL2SwyWec486nFqVhdFF1ZhrmQuw0DDRz0JyU4aD2Kra9WzADmTyHi8N82H9qN41KFe
MJ0ySCLisd6e7xJDKDehuERDnj+aCgLz6V8rNWQhUSzAv1/cnEPZHwWlYgO3rr5Y7rVYSnPdaQTE
j3Btk5F3ggw21Ygu0/IOEkWBKyl/h+bIZHboLUGO7ix23PrBBYVlMu6J2nyFvGjDIKXaIMIjyz0I
hmg+8aReeFDdpiXxtriMQG0nSEtmjFcgAuc/5UMCg7kjl+zY0c6lvypv5a7ob8St9AkqgI4a7uN5
cCd1chn95rBARSrleWgou+KHX+r9S/wtWdMm+eoNf0cEZ4xMcRUWq+JZAGd3IfidYxi9CmleSLPP
EDIqUy5mmdAKVYknT0p6PHac6iQvuVHQcxBXDOTiEYSHV4YIjd7r8aunPqzl3M9df2RgjrFXkRFd
6EJ67dIhqLWbtZ7S+ClCZOBNMn/QnJfyhf9M18E5xFtJWscemX6SfXrsXXZh77xJ9P8THLLU6Em0
kc4wdFVf5eoYIbgrbIrXQA/O8jYxGXDswoAsnQz0iqOjzavlYjXE+VAWwxwtnxJjaLaADROve3nc
ofSrbA6CWzYUxuZ6N+hR10GiTpugicLm2HpV0Bae41QfJthA9Qu5+JuXPR1onp8XrSn7BtSkcspd
AaRs3d/kz8mGWxd7qFwuDRN9xNGhqI6TJ5B5eDCXXWbj7YpVcvBtfxs8RSRZOLvvjdBl51H7VanF
2HZlBFJgFiZ6f0t5FcX24wG6O+lQ2hFRBZ4h43RKhJMZIfZggOP2a9HEFOi+ilftOXKSZ+UoRSRd
Gii6nIHeQ7JTkEEoEJC4E6mBqnApLOYriSsc+IT0T/VJPeCmuRF+wsPSpnRn9l3FokaqmRiIzzJJ
6cabEAxLzymt9jVfmA/z/+TyZKQbRI1SAP6zpigIEqySo+CwBx5M4ceDdLcdQAfCfAxvSRS9rid3
6HUxjMHK0oWx46ewD76EivCv3ufjKL/S7VRLcMSjxAzUvDzX+67D8FKcgIWTl27yFujD5sm2rGFD
cFPce+RVPzkRaRcadqfvEBEC19jt5noutT2kWh+3PluXbvrkl4Q/NDam3fZxs+6sIuT1JbxkMNkU
KPhet8rPmLjMGaZyWW4XJRphU933l4QM7gVBxhboaaA3IKpNHfwQ1km5rghqN+RWEdBhcWCrABI8
bsnt+Yfn0py9RzFw9vGjZpqUaFVZlBmwIUqBgmMiw6UA9hnm/y0K1RS2Bfw8ZxFFDM4M/EvzYZGz
ettbc0PAFNFmgoZEyzNKOVzaag8hWm49iZ8so1lQFpFlpKOOxUhGqKd2ua75a0YAxw8mLwtT4m5H
wmcIEw7cPriuXE8JLpZjCVbPtTt0jUZSpUz1thoXiTH3w8w2qRLq51hW12GkoPXG0Qe8BnLLrESg
sg0p5KzT+ZoAIsm/sfFHN320tQGpmEVzXvpChqkoA2Uzb+xg7AFIeB18YlJA+zzgM4oR/nTsqyeD
AMS/1NHSrLw3mJeB6M4EhA3wd6V2mwzVaRF6IcVRWjqmbqqidHPmr7g43xkJ2hVBDhCEBP/qL6ve
DV/+d1bryN05QCmhJhgahe1Al2GwKuPEk3VAWiIZc/bdR6L93OKP/36hzGLMszEAlG/oQnUw5VKa
ckXj1koYPM3q08Y0BUuGhjclk9+WA9GPQ0SZjXWpWaRM4xSoKtOgmKCuuU36ZFjQ4rG4DcghEGFY
J468Qc2XN3RttXBY/wLArk8ETKKL2NTe2ZbdLBGD2DlhXncoRuuFUa3kdXeoLWSErXz1mVup8QJX
disxz38fd/BNHYVuOvXoTLpC4Frfb11AMC3VLg6g/BLWLlZeQpBjtyR7cBQQ/lHEeOK3wz5bL1W9
bzAC9CfQy6hPh54V0AO+CkLRl/I61GtPeYNMrvIaifB6xCOvtuISIo12xkx22miQCGWzv6NQAiiz
bWMiK/k2jBkjryO9ykFYNlINfzs9tb6dD9/S2JGe19vc0VjrcQfeuRUj8wEU+myQAZCbRI0fzHzl
IGyBHfHBRiu2tW/KzAae8K/ZTtsuHeb3tjucfChbIt017z3XS7RoObYqGbZ12fazE2PC9aHxuD33
9jRcS1C4mJWEgQq9jhBGoagMUdy6QR0l66HJs1WVqZXOtppGAIEvF+LdpO7n0UdqWwD6axaxpCF3
9RgrCQOnPTxfJLKLztLOOQPS9vO4Wb+1BnqZXYahJ5mSKBnU/lt3tMFDXUtn6Q+3sawdZ8jHyvG2
tvRBbEKeOvK00szo02RWpxNLgo9TC7zHGWqW5Geh6cK8th590zzaFxsuW9WTpLX4JhnKeuomUgAt
e2IDS0MVA9VEZBJP6TOqWoU7SVb7lsUEWo1AZCtG6YxQQq/N5lmINtxPw61q/kszeNigbr3RCJby
XzeVTnqUqLOhSusma+qkdfl4U3c7odAddIhvZbpm6D3pN/jTSPCCNiOzsnX+yTgtGkv+ohke9Rc1
N/mhY+F9kLdun9pjbAOYnrNfwGv5la45jHaqpbWWntL+UBYTEfpNUqxC9quQEz1RCOolaaoLzNsE
hu5OqQxNNkbtqQPePTZFPJjFdc9baQ8+6U+xqmYWJOEYu4oPeWwOqq7B5K/dB8V+8I5RTfqi1r1R
hu0sgQ9P9x2ndgsfNnOSLWEV/oHA1Ub1gWkm/uAtHIq/2WyqH6ARgsIBOFVItNGQyVqroZcst7X7
9nH4AmiGIc2qJNmRIV8hpDxCMpefkd2HXSXxzciYf3Idv8dfwlKW7Pdrc82S9WfiPAvQ4YhwtJ8D
MwDoakTK+p+fHhIuWAOPl+G91a7gMEduCddSgaeViduqStNBGXEtVFYJy/4J5XYnvkafCuPImpVV
jau2L1FUWY/jzjPjpsdg6zDjvTVcR6npK+Rh4iFr17i9BDu+eio/xEh7YyN/p4XTkkPOvSNBEQCe
RGkFWymwH9frWoiqMGvlGbcrJJt0dGupNgpWNBRkpuW3SDhAKrMul3KT924SV2Gp5VEKJVvxM1xY
O7xopDiKJUnO8dp/Bn0ZuDXB5HSeMCvW4JBmY1b1JrNLZ0na+qYSgJ0C5Zw5wTzja24sEHslLESm
A2STZ9ez/rzFR77RPI9naEoMAgAKJh6IB3HJsWHeK+kRBqMAhtTAD0koAV33eTpGqVixuMcw0i6H
mWkNab3Hc+h+yy5CUP3LBCVyUoPXuCVnFxjKICMdH9idb8XMutDzAtff/gvmi/3L48h3sgbo04vI
VHJCLiJeSwM0Do8Yq1rBugYr+bsjf/4A34Dh5PQKh5RvaPhZwsTf1Ed/B/QiOHXn4EU/m9ogADh2
J6478Dixp/jrAHsK8PD8G7hZg11a46Iw3G0O8LrR1CO5V7zKVxl0d21WgGoEuqxzgAzGWwkoeAFC
9YBL5FZ2ig0NwBd+oXB6U2egmk2/CbTU87tcQHhmU2yZvbLXnoZXZa/sBrv90o7Bbilt9/8ZZaRw
AbcGUYRGIVc+38n+gJXjDSR9iZ+Kc2BNjqbnfwI0PiBw/WPeBfdcm6xPUsPbL4lP3UlUzl3+ny+g
hpoVgChIRQx1IZhKont2jTS8E7ObFDqcPLwb2dJk+7+PZ/dN8fafnobYAh7RYKyo1NVMZVgvE2pc
g7g/w0oGn9Un4gdrioIV+ivQu9kjN25VPC7PYuLCA4IxeIhALIz3vD/c7h//+QjqLtbXcEoLZHS+
mrS9GXDYq/tQyPVOLl4ft/fuTqXBfhlvBTjD3QBh/UHj80ICvWL65vMdWzX64wDzKN005SIAtRVq
UJVQIoVt3GHLvEmOhIfQZnqWFzrs7ikHk6v/aQe1HXJTlSlCzzVu/CP8Yd7ib+1Z3Yrn8pDlCw26
Py8vQlH7H+zHiikUEArK4fzHhKWwSwIdHifdht0OO60nzfvjPqRlMYC1mXm2+EUWkdWU6Gyjwk5c
WqZY/rDWrd6BW3pP15K07o3hJY5IvVHc9BUSJLD5XQg8z3Z69C4C085DYs0yuFZoYILgEV5tZVt7
0zbljsOT4Ce1wuOSt9u9bWdOYeHQxL0Ik5IaxygDCzXj8eJryh0e1YFc2VL0XInPVTk5Dcw/UFkq
CUw/SmYkA+uIol5lwmwv3ObrKvX0LM6cPLPyemnY73TF1ZdRw972lcB5Ix4d8F/iy40E9kl3DPj3
LDbEae8xVvne7KZ1En09HoP5ZLkaAg68OYCQZ5kO3FVpInKlBn3T4jp1Ah9NA9Bf1nEIPrXjsfQq
k+s9MPqXcOM3hD0wMLHp/44AhNeQEMI3XbwFQ9gEonBe1KeAOfjjydMYYxAPWQPETrUeXwNZF+Rt
3lpCT5AEi0abbb8ft/o2C4ZPACwAzLfZSAhgr+tPyAs1CEKtqU+tAtoxYRp9ZD8SvjGDnLU4idFl
BW+tfTiuknKlBEaZHnnmZxpHULfKg2Zn1V+fIYKqt8zCgNzsaPOXgYGkQQwIhxBdlZ6kpq3AG61P
EMgxOnFbMj9N7fbjWyNrjoDj8nFP3JwFczhZZOGbAf9nPFeuO6LJUwbqIH19ggWYLgYbbQh1uT4+
DnJ7naSi8NdRcklNk1Ee6lOf/igNpKYbxdC60qhZZJDYpzi2It7JvFQvWyebnocwXFhf9wf8op3z
+ruYc2wbSJIP+vOpLfUoyGyFacyozHSFGVf1lBtcqItxQaB2m8bv70O5FeOPpnmGpIzpBfAaWYtK
DVG8I7hnnJ85j/vn7iAgGTt7tEoozFELIuczNpSjqT5NgCC0vjN4tZ50q38fBMmuWW1cFOE1SgVp
VTWsGsWrT53KfNV1WDnxbGiAmvqStMNtlhPDLQuo0UMkD6jY35fxRWfXQhs0bcE1pw6mvXLomf6w
m0KglEWbhxky1CRm5pHgZKlRC09d+yQMa6l1wmO5iTywp9JmC/GngLcC0Ag+Qj0ye/BhU+/Qlau8
s3OF9ND9KPWyXEJs3J0n89VsBoByt/Zp+RDL6qQpzSlmuE3cSybTd2QMxqcQ5BYxh3WVemTqHw8D
FdS4mipfeIeTOjz2IZDFaULixOLfWrxPmsJIRNZgMKsfD+TtFQHdCzktVQHJB5WY3wTWRfeK4xiV
KfzaT2VvBBxQcHm2BYvcMzuYt5+Vv4BwjsbjmHeOiauQ1H7ZcJEvyRVCBnqX7lrgjZjhSRhPHR4q
2We/yBecJyN1LM0QWRSaNJRaRbrWFWKDRMbJb0/tT9OAHC8T7Sn1nsZjP1QE91QnlBYIaXfWINQT
oEkIOslMw6TeA4MAlGom9cMJ2ZzJSIsefBGfj/WaVYKFUPMtg2rcvLsjhw7qMVgG1P2bzbUq4MZp
OAFzZRQ8/JJmaT3oEPsfj0ftbpsuAs3/fjFRuI73q6Jhh1PX2EpSQOF/3Y5Lqkc3d3xcIC5bQ92p
1LrGGVujNX386kdfhffyuBG3eTQqADX3Ro+Tw8hHAIkjnOJAqTQYLdAiUPaUjXLady/dwn3/doCg
YzDvYCyPyjgad91vIt8mseIFwynPw9wOpCLeND07Guo0Qu225Zcs4W7PfJQ3QKBBwg7cX1gIXMeb
PCkCJKMaTn6oOM0hEX3iebUJV3djijHh/WiJBX47aAAwAJvBIyzSdzQHuxMhU4Vi3HBKVA1p0xCU
7zhTlqLcviz+i7QvW45TWaL9IiIoZl4ZulsSGlq2JFsvhLdtMRUFFEMBX38X8rnndFdzm/C+doRf
5FBSU1Zl5sq1wITwGVjYCDCw4aWJnKjZp05mYiKHxr7htHR2wDGAWlqti6DnZX2AclFxoByxRTux
j8HppzCD8K2XlGMSgsUp8dBiMuwA0UtCpxjpXk/4VpJ5md7z87iIVSIgWDJ5YGKVdnA2mJnb6Ol0
hOCw57qZrwJ1SIQTOGKXg9D9+n5em/pTa9Jit67bmtqEd+/QVEHSmgejZRvA0bUBgWXRwcMeQrO2
zLI2IS3ZC6OYjjrAXvFLZmIb3Vv6q0qer49FuwhbsMCgTgaFBKhW0dQvec2CxplplP10TOtql9J3
le8cAOvzzh8f+ZOdoL3BeUsdETSAbqfTe5Y/l8k+d+/AdFCj93j4aX5nme05CyfH+M/1r7t0f+Dh
+Kymg2VWQxnh/FgJ2y7dqRHTsSmSKDMBBXGbyWtSRjdu5LUlXYSaEVgiJYsjfG7IqnpbE0o3HWen
e0gMftDK9OX6WFZNoH8S04x6Agydm7AVo28NgbGkJEXIwoiJwajzxkBWnhaYMmBhcSktjbAyNGyq
LNJwy5zAJcvAbQi/sE9s0gXcrDo/7Z3pzcza4cCUlPvlNLWhBRj0bcd564NEWwuuD3ptARGf2VCs
x/Si8nw+aEpFVfOcTEeztR9NbBzal4+gN9pfN7Pi7hH5OsQCGxcq2zKki1Ibe8NSp2Mm0mcGVoxi
ZiHnP6YttrG1c2npgG6AShdFdPmdP5utpTV6MR/bIf/NCzdg+MdDnSgAZfDXpmu3yjOXzzbE9CcG
pRPQdVqiOyKBwb7bC2jDkPqnwb5SFcBtT3N+6kN4fSpXN5CF6hM4VYC6h9M/X7IZBI9lCaDSscxv
Sa8HGlQvLApGs85LEFYnxq+pN3bTnDza4H5t2Ran6to5QTMiKBWXzBHeyef2RU4aHVyW8xEYytnn
elLvFU3fksG46PB34PfA0ovaHh5wiKik4zjxVCmbzEbywi4OpA6GCWyyntYFcWl5+Rfd3qNpGSxc
+1px93XfBPqs3YHZp0VpNiveIfOZl80t7/QvG/N/+XDGh6EvB1SeBFwbF4SeWttxZuLDRuXRAoxF
0/1UCbXmkbzo9S4z38VWjnftkGIiACgCNBudT1JcqRkolReGPuP0JOC61nfAVNwwuhWBrB3SpSMX
JJo61MPkopemMXeEVvt8HMeBork8B3uF03DPSkGgJNJf1+dx5UWGxze4nNDjhI0sy9B3aV24Y5eo
R1J16r7KiheHKqavJnoXQRSh3Jec2OFgjFuNKysnFobBIGqAFoCA1up8/wId7BhTm8LwF+2WfxV7
Tfgzu+0+SP/9+hBX1u3MkvQOKdVSJ3WOIbolu2lMUH6AWjKd7KfrZtYGhGLHQoS29FPKDsEo6ex2
rJqOzj31cUaa1+fK9PXUr7ZEMdbW7NSSdFtMDMQ3cQVLvNi51m/ACH2uHgv0b6vO13bY/f24gBrC
pgfw/JJZLUlrVeQun462SkM7TQDEIoHuBJNTeqr6zGoUSOOv122ujRBByQLFBCXORdeUxmdQ8pYa
RoiOBOM4oaUbzHEMBJW7Id8A623ZWl5+J7EjTRwnpi7uXtVXHyrg+EFTod1VG1bWHClaBYClXqje
F46gczNGV9ml0xjTcXIBQOyrx0qwwBzzXZxbNwWNciXkQKCIJzMTezZ3rwoyDvEv13pQTT9Dev44
Ob/6+ef1iV5xNmdfJZ3CUSFCUTI8g8YEHc/OcKPlIMYBP1gB4uDrplbn+WQCpGMYOziEao9USqIZ
1GsZqj5a8gs1Oc/Fzs0FlniLEXzlGYKSK7RO0B4PJyO/dyaWFDmdM3jsTj3Gyb6O1dBNbwb6j2mF
10e35mQWokUNThu+W0a8xWQuBq5X8xHguv4gYmfaKQZCwVyfm5vrplbKCoDPYkwE2NnFfUo7tpos
+M25no8F/cK117L4Te2f3aOTB9n80PFXqryx+q4rA2AqwWS3pQG4NlQ8PIBURH8scBnSPag6Siug
bYZZNcZiX7L2p5PN0JFqiy257TWXiuQqboclXEXh5vzMaKDucyeCG1dAF/dZ/1JNj/rdrGUgONgl
6dYGXR3XiTVpg/JxrhOlsuaj2aD2OAAk7GRh0ycbMesl7G7JRuBiR0sFIkp0cJyPqpvwQE8MZT4a
Q1BCah3p9vrout8Z5DfLFkCvOszNw6BwX+S/eBvEyI4UT5DGzovbBmrOWu5BZZLWvjY/mOPXrHa8
Qtj3FtsIStYOLLKvQKSBFxcdINI6x2NjjI4Zz0cgtqFNxvWnHtTz/lBw4rtpNgQtyLD9yun+RZYI
PQbI2CAvaqI5Ulr2Zmrr1gZ33tH+VoDgXmsDJwFE/KZsxqB8u36YVhYdryyUvPGWBBZd7h0s0Ok0
IfhTjymIBEOSlsSruyoLeU/rw3VTn9kIKf2CMhfkJxAUIekmq5jkuSuEZQtydOzkq0XVMqhivJzp
SDR/nrgKWQa0IY9cQSP/bIGh0pzJrudqeUjgyJ6hK8uiwsq4N/dWAXUJ097ZwyB2epYlHqduf59r
EFF3KOFRXVROyHhfUyQPY/JNH8Y+RLZZD4GFKJ/opKbPY5o4nkqHKqDo99rwUis3y2e93UFohO5k
Q9rldd81edoz/Vj1Udnx+3J6clqUDBxnY5uuucNTS7I/KtOsauaB6sfS3gG/AADpjJcQD1NWHUj2
YFMwgw2ZX6ReZSS7/H2K73oGOdhR+X59gQ0cXGl98SEWYkLVRbfthYQKan/cdfEhKmFBayDBvgWI
u8Rt4Vicmli288ljpVPKeXRZoR8L886qHmyOBgO8JUSv7e0xGtsHG0hAJFXpFHXW5GtgJ8pDHaif
/PnfjBXhEG50XHpyTxUp2qLtrEY/mqoS6crg20W2FeItIfTlfP7PhrSFct6rpOtq/Tj5TA+otS/9
ivr2nt8WPGzigH77/xqTvJG0Ae1VtMSYMqTeTSCzAMG+buESXwNsEFpScCRA14NWNGlI+sjr2WGK
cWzHm9H6aI23DpJgv/t4V/5stFDZXbd36d1gDi1jKL8sXkeVPGnbaTNPQdB3xM7cZexxLA8qbTeM
XG57HWUkWzcsuEgUXqVwBJIsrVWAxfMoUrSuT6wDKzeqShvHfJmZ880A6gE4z6WWhH8sKd+itCXU
tBTLPHY7qwGN/BwpvpIdufntheRb+MiVeUNbJXpA0IGNbKctPQVoMSRtkSXm0WrKqAF0TAmYPmy0
Ka+ABdCSiuQRyhKATV9kyfhoq0K3WwwprvmuJR2HbgbEd7g6FREb0yy0jNnZNYUgB1HboHrr7fTB
1rtq32hJdRBmkW+s5eWLGZ/0mVDCpY8rcXkTnPgXPudgJhpq89iGjv1NUb3G+CkAN1P21zfmsvHO
VxP9ddgZFviIQaV3wSIFMS9QkrfkOKeBqepe9dMad+a01eJwuY6GZiBUxqscDYvIJp8PJ13oj6bS
IoggG7oHnVrlaVx3Q+TT+MbtvhLgLbaWcw39J5xv6bnk4gpVzdYkRzK/Za37BgHEUENpvVAD0YaD
nfm93XpoWeycGbCrfWZphwICzNVNpgCg9ZVDSBf4m+HX9Zm+YLdA4QttvNjIy0zjGS35gMYC7XuG
2tVRgESrAxNoL57q5lvbzP8MHfEb5CzpALLaRPX1/DGvMhT+HnnzVqniawOkiMW0X/rsbASel8cZ
eCgDEwVviEy/7DTIIAQH0aF2JMqtXVaemCoPbYkOT3fV/DoqXj1tePeVd8JiEtaWTbdco+ebYRQJ
Izl+ciyfp6EEWD8O8ormXqIWvtLh3aDmjjc8NK5nFfpjKkLVzP14sG8S3m8cs89k0Pn+B60R+IGX
pi9wE8v732mqYhBTahwFj91Qs4ty18RkPEC7vT1WRq16daXEQIsZgxc7lXVQgNhGH6oYPja2x+Kd
L77ERVHARO0BwFUpmCx4W1qJkhlHm4yemYa28r1DB3br5B4BgzB96Hz1rsl3tR1et3y5AzAFJ4aX
a+XE1ahdYeutgSko3BqcklOFjpcSkaxfurdK8dSmG3HXSsYevMyoemgmqLhxIBZncWIwdhQCEBS3
jmlUpV/7SYAAfK8cc6QgITfHOuaZwmtdfafWGziIFd8A03B3EHxYOpplNHShl7GSDL111CF7l5W6
5xrvIgaIBc5BTTM/o6CZ3PE61Fsv+Qk3UfGwpgc3rg+TcZ/lN0lCQ9cZN77r0tsvn4XqAZhTHHTk
SkugOZDgzA1hHRVTO+jtTZ2AEnsmAavMXfz3IFhi6pBIM9CKD7FKQI7O539IiSF0c7KPPVpgm4iD
J3XJJubTLs+/TMD/PnJxXxk3aT7d2WTrMXl545g6YDYqMidY/4v0bC8YSiTuYB87PRSgubTiL0Me
5f0XOvyizbP9OoIum435fl76wN6A3JrGjfb55baRjtrZJ0gPJRV92HzMhH20ap8oO614BfYUydN7
p7vLwRF+/Xxd3n3nA5YOtu6QmSnKbB8R/lrQv4Vkk11PwJI41VbAvvKSgS3wEeDPwpcmd4AJ1s1p
Vxr2cUzRVFm/pii9WXdkBpbbqLobZCdyAC/sgMb3Rf90fZyrC3tiW5pVaPvkYKfV7aNr77P6qYqf
ExqJDefxeUKltQOyQ8cxAYcxOrsl5wEIg8laqufPhqJihzQ0NrIgseMBPAiszZvAzQkKyV2jA9OR
deDrvW9aMr5ldVI3Xo5O6Pgwqm32o4FgzZviulCVQZGFPeTlCDaHoZqgVeTiPycBUyn6MoYsZfGh
K3LV8euZzg7EMoDlDYZE2L/RmpzVPth6q9LPRsJfHFOU34x0Un5U85INwCmY7X2ul7jdTTHb1i0I
Q5R+Zxg10oQkAybQV5ix/NJOob4oOvqjm1toE4HxA2SlegyZJMoBRLLSYnwTah+LgGXWgDZNnZQ+
y3V061RdYzO/gJD6t9wee0RkZqU8laDzAkcYCqSmP0FH0HkaOd7uv0FRrmMTiBEZDCDAp394KVrm
jWVssocZvu6tb3sKEnm0bUQFobTxax6XAZjHBOgFe4eOoMjqlGhW9QTiUciwtYGFuSkCYc7iH8tK
29JvywHFl17TKnevzKaR/CjdGh5H7c2q2WWVAX7NqawG/WWC5Gs0xUCobeT6pXMO9A82yYkQpbQj
KbXoBERlHtX2R6kNvkMHf361R7CxIt+HCrj/VyfgP/YWkYvFucK9nTvWqR2Rg9NsCIgXL2DugDu9
dQAY7Z3jdTuSR/ljBx4MyUugCECNd24nydo4cSZIxCrGR6o4ATpSvE5Twn9hBY2G4LtGHQuK6JIV
oxDd0DFoqLYgAOx/J7m9S+bf141IN9+foZwYkY7z1JRN0891EWEP+VPzoVZQx3qawScpeHDd1PK9
J57jwtTiv06eHQrq52M7YjyoDAVO1EN24roB6SF1YUBaFoZItVfzqogsob+RVPVKqw9HbtwACemn
qnHjxGOY5ZtavpLjvbC7HIOTgcVj5Y4Jw8CSNv7V2YVnZuOvGUQJOJ9bBOhy4uuPsUVUA5ASkBzL
e5yrYOpMHBgbutBIj+roq9YTK3fO8MiSHw44cp353rZTr7buE/Vbgm7cCtryI/3L6sfFh0h5CLN2
NWEIfEidAWWivWhW4dXz/vqSru6ZhVnVsk1glD7hhidT6xZ1JZIB25MkSWCXqZdSa2PXrK7eiQlp
9SYokFjKgF2TtOkDkFCBzdtdahu/SgjVXR/Nqt84MbVs4JPRxE1liGEZTdZ+qDV409Pfm9HEug2k
hwB/QxFexlGbtUGEKroi4irzHeU3d0DFv8XJvmVEWnvqdmXd47xFznxUoEGuDvfDZG/M1qprAt7m
/45Euj0E0GYGGr6LSCvRJgpCf+UrqcA+D2anKvn+b1bmk9kTxXZoY52vjKYOUwIBOswaQTDCX2rb
8PhWM9rqrCG8gBIhsKfIK50bQfepGNJFFNtuY8RZphgOzljFuw7Qk41NvWVq+fnJThMVJSSuMHcx
e2V9GYjmOBVbdcLVwwn2bmAToXkHGb9zI9NCBBDroohabr+I2fmttPHGHpBzFX+8jPtJC0rQL/PZ
eHIykNJOLaMEjUqErGcPVrThgRjlHStpkHT9Liu7pw7HVBvye6Uu/GYILZZkYZulQaEnkbDijVzl
6sSefI+0hhophji1xmXM0EARYOX4XRev1zfjikdapLKQFwFSG4kh6R7jbMA4e+wT1vd4Kzv53tLq
KkipPXlC3erMlmOWZYrPzEkOsNbAnJuMWEa0QICkAu5C/ENm9cVRxRvjEFugN4V9o7Q6+tLLkNUs
yLbYHVYeioiVgHRCjwuUjGUmLGWMDYtNA546OffUFnIySg8ozxymWvGUj8d0/Pt75cygtIyFlaqT
y+ci6oAK8cYGYqDQD3c2rKx4sDMr0gFpEXUYzMCwpuoD0UaNPsO9sBKvLsLrO0ZO6fxZw5MJlPwX
3hl93lVYw6l/Tq1jnYmg1+/BJ2A+FTgrRuXF/L6DQFW/FV3/P0yjsoJC7oJj08+9gKFSRy2Acowy
60uB2zmpd8jtqFBjJlnomJNvVgjsp+fR0h7wAvy74P4/A0fHhoaQ29XlXCbyFOrEQG4ZzUMZFB2i
O7DA0Ofr07vysETu3TZR17HBMy+TvDs1BR+K0+dR9gGwJz/Gxh2FZh+dIyQs8cr8fd2czHXyZ1D/
s2dIcUzTVglXIZccpeVOsJs0Kg4pkkVBLx5VXng0Rc32vdW+ToxCuDBMjN+8/UXMx5j6zISIu1eP
IXlU9oRsBHSbXyZd/JB7I11hYiYslNM1T/8e73GVZYc0cr/UXxPEm3vnSNJQAU1m46MBCYlUVX1a
Gj0PoNb47t5cn6qVKwjUs9j4EANSwUUjfc9o5x1SWRMiTONjtN4rZ2MpVk+wgT+Q+gEIX8agKnmv
EviKPDJGcpeK12zwtDRIzA/H1TYyK3J94s+qo9ZkQ9IAmSiZ1LLWEtJpGaJlQrxCeRNlQIxXrQN5
E/BwevlV0wn6C+0IaSsQN+zY+Jiau4b3gYLnv2W9jxv5pPUPQnQL2hmUCsD3c36yM3xoOrr4oF69
dQcwdQXFA+D5u0R779kzpXeN7XqDE7B6nxkvWlD377NxSFFJcNEW+S8WelGtw0pAO0uWE7TRGDRP
2ZxHi2anaX53s41Ld/WMnxiQbsEZ3fjAG2Mnxe0ruh72ohlvdOfWbH5yw/k+6q8gT90Y0+L+pYAY
VeL/jWn5pJO3DcmxD+oBJhl9MbLbJEfCjOrB9YmTK+1/ttWiQg1RKTAgyAk7+MyK5KUDK3VehRQF
x7CAHMpOU1PctW7X7aDPCeJUdSyCzFDi/UCyYeMiXJ1clFPRb4Ek+0XNurREI9JUgQOtf+hv2EUh
4lamFkDHz75jH68PefU1gXOE/KQF9VUZgjioepyUENaMJsN8hLcKRqQUW3EwB3ZbPI0q5ImvG1z1
QicGpYMSq1XK9RH5oKG7T2YEEJDwvW5hdQLBw7jUyC0HTNvnW6XIamIWTlYAYVKAuPdH2fuk9dk/
VhHGrPYVc+ttv27QRHMMkmkWTvq5wbwGxwrgFHlkmyn8uBHl4xwaOQ2TEhq9ZmCoYWpskSDL1cA/
exXhETAaGKghww2aDkipPEmLKO0EBQUDevQhaG0FvUbjfdmPrgeRpzlQKLAvpgveDHviz5ObZBv7
de1kEgBYAe5EQ/uFnKPO3C4renxH6S2MUL72dn05Zejj50BPDSwfcHL0E10RZESTARhQ9KD8kYRi
T76VB3uX/uxUb/+18vM5nCJznz4DOg8S47B4yG9QhG4ftxhKVx3E6bdIb0eg2Vuap/iWRYZ4Tyo1
JPrHYIpdyY+8fydxlNINZ7v6aDy1udy7J+Mf50FhMcEE30/Uq7/dzzyY5pBlgUA8B7cA9bW/7ML8
z5RbS+iNXBLwCecmRex2xqhS5CwK20ubD836fn1RZVKtCwvSIa24olvFMpHoV96NN33QFT6J9GyX
3WYHsLoe2tjLtslV1rwPQA3/GRhwTucD6ya1505bIBE3eLnBfmgiHO/UfvjOquFm7BaW/GR8TdhL
Ai7HWQW/mrXhcNeXc+n30BcAKQL1808wUOHJS6QxIqurfxcDqz17IjuaV8ATjI/UpvsEBKio7yrJ
oU20W41ph43JX1568mW60FygOQNTga6+80+YcjrWSYvcv0LSV/TrQKEEvnFW/BLwEo2jp0FDWZ9x
v8+V3Wj8G395al7aXXRQMQEOrgAT+qFGXPuNCT76XyQ1fFX3VR7o9l9iev5st5MRS9uN5LnZjPVy
qfY/0FELDG2BW3yLa33tIlhAc5+1cRB7SJ4qY12lTiQG0HqmXqcOgAaHXHzTk3e1ikqz2ekG38ix
rHokwAOgIAZCDjxrlx1/4h2Kwi3MtFXhkYAAaPVv3Qjmv/xbVsbBzCAOz+9jAfbYQWxkm9ZOEpoJ
DBA+OGgNl+3a6aA1k20jFVxYnjPiVbsVri6+VN6lxsL3AhWhpUYlHZRBkKktFDih2r3XFVDPZK/9
2Hhj8nH9OCy7/ZodKS4qU61LlQTJeWaMAe3izNcp+N5Mrce1ghsW8UQhNt4oa8+u07Fp56vWzTVX
nRo51LnYOc3r+Mup3vtAWzhkhy32rLWVwvMARXa0YCNtJM1jwksdzVgcrrb6UOLGs8y/I9L4PFyI
e/B3YS9XZTVJdwT63J6RRp+/5O29MoICvtsCgshomD9GXLSOOHCa6JWTnEausiRxKZIXXdZphwy9
MsGUVV2AjmTFbxWdHCaRgOeWZa6vD7QPbAGgGjcbE628vH6nQwHQkBNUSRz7qS2W19LEw7Hijh+3
Sum7NNE3zsja0wiPIrwJ8dULV8v5Khe9nuaZquBp1I1+0d44jmcN1sZWWjWCflYUfnBG0Gl6bkRx
TVSni4ZGYEGuS4S670b3dP2ErO2ghch1ybMurcPSCcn62HDQvEEjNAl4ZPhg1RZ2du08IIqHJ0FT
MraodCONbVsbqYpBIFfkK4g9SrA5t9Y93HWvoVYmNtzm6qSd2JN2ExS03NFBSihKtCMvjd1QCX8z
N702KLz8sXVRlgGIUjp4qTmYTLNbtOlpljcVcClkDk11DF0QQfRVDm6LLX2ctZU6NSmtlDkobQXZ
WRrVyQ/kqQPV+VsKxs+DeGpC2tSuSs2Ox4JGfYN2J9AeaX6mpuLObZpkzxDZgXe/m/e1ale3SlYj
+aJju5QpJcemc9Ut2aGtEUvxJJ2p0tsmRpwi2iscQDy2EAxrtzpoqsC0ANwpQG/SrW46Aj15VUej
rjri+okDkt+DgS9Cx3O8Qa2zti3xJASvP3rUQbQlhRedha7ScqhpZA53GmCuPbpKlZfrh3ntWgWB
hY3aATj+LrSbi9TkPCbL+lWuPzABnNFNT9xg84ytzhsunUURE8UK2fv1XK+ngQEugyPiz+O8N9T3
3HxPmXkbp2AKmuww3ez+W31e45oAZA/vBqj3LPvl5D0E+iBFqYlNI60FfkeYx4oJQCWN20r/KoY5
1Ke30i58O0edNBVB7IKN+voEr70ngOgG3gXhE7CqkkPGNTSgszNexp0CzIZjCP0Jlvvd6NxONguV
9i+b7pYjudAxgUwIXPAArEvebDZEVWljiYqsMgObfWeDcsF4nObCt+g7WA3+enwLh8TCoI61Rf/b
+QzHrG9SQbGuqRZpxRsbf/IfdfUwb5X2VuYR8k6ge0TH44JDl0ZVsMJGGdgCLo/dGTGa2MzHqW1f
zH72QNb54/qg1tIpC7sJ6Bw/8baytHHhZo49LNZau9S8eQBtRd2C46TgOUhICvcrdcvhVlC78yu0
rvlqakBnmfK/bHL4XEscT/CSLDRrF2vZ1ISrpC/LSOGNP9Q/5z5w8Brtt0jMV06nBe4j1GoW/hhi
Sbu0g5Y0G8e6jLiBJKeARLpz09zorg8ApmH8ZsXWc351Of9nUI57RdWyJiWLwSbIqhAV9vlN7W7J
lqTWWirewq6BiyP2UiKV7kCcdSgAx5jBNj8AoK9BOzo2gi71Hc2jzwlSDW/zfvywMs/0DxCI3aoF
rDjYM/vSBVnnWTlmUCuKoAfj6eoXpc4C4oLWM583PM3KAwMJTjy6UQJBT9DnTJz4Oj0hwmYDgI9V
HCpqvityDXh0K92Jyj0w0CAiZ61tHZTlQpXCJQuXIDpE8FRDH4LkYCG6ig7QuCsjm4j8YWzV7yS2
AJ5w49T1BK1q36nRmRBTx3zok7nea87IXsaCpYC7ijmEzBCC7+und+XehBgOYOlLswrqi9KSGyJm
mhMXZcSSoQSxDO39LIVDsgdtC86zto3xSP10foByyCgrXoBzKc1dGtnzb4tPt4MKKmgEc/tB2QKm
rOHXcIegWR99FngUyFQENdEzMmSsjAjn4mFI7TiM0SkI7GGahKZGMnBbomM3AyLAn4gA5gO3RDiK
vg6p4G1IBBsAhVDF3Tizcae2TbUx8auzsTTXuUA4Lzqq53dBp7NSnSZeovpaVfuiqvW9yVJ3V1QW
RSuykT0Zccxurq/22gED0HMB9qHR+yLl0XaZPndAY0az3T8ktv40Td84pDs9FTyo102tvC4XFQlI
4OqfjVrS249Q4KIBVC+jmt+a1pFWW0d4ZSw2eBSXnqZP5rLl5ydHGP0FTjcnWOLafB6yZyX2BEF/
lXG4Po6VdfpsTQRv2VKUl5GQXZYgkUImrFOK+9R5oGgnM9EwNWkQjBl/Xje2Mmlgh8WrblFPRK+v
dBoJK93ESglOI3vMu/uSbXHZrBnQ4e8WygzUWmUE2tgyiGfmGE0Lquqw0Am6gNrO3l8fxtrSoD91
oYlCzIsqy/nSFBYI0YcYVt6BpHNL8Ex61Aiu21hbl1Mb0vJbrM6SZlxGArTQwq4clsxvgQP4S3nb
5VmxNNv+dzDSQZ2wjcGfDkM9Sgb6OPtkfEECc+O4bA1HerKp7TCVcQUrSr8f61sO/QbnZq78rPq7
JqSL4Uivl1izGkUYMCSm/YwexI/6XUyBtXU6VzcaoCwoPRMLaYnl5yenE4114CBnThm5Bir1HEFi
iCraFkfs2kZbqNZ1UPwAtSf3d7do5qhQrq8itY1/uPFTnNqQonIOoOvY2NIr9yRgOcimIkxAW4os
/N7pPNOb2cD61I19x4229ezUKA+Zkejh9Z29MihU62FiQf0jLyXF5Q13xpQpbhk5Cg2m5qUuP/Q2
B1/pRjSyFvCh2KtB0BZ6TosY3vkamSWr7aLWymjJOz4rxmtv/cPniJmqJ5Q7x591X0Djvts4uWuJ
d7QH63DeaEnFGCUvl47x8rrQy0itOoiwQTpseHaZuBOgUrDG5L4yOTJYdzYkCP9+ZoHvBngd7g9d
0Nr5gJPejVHCwqZcItzO0L2k+j6Onqq9/As70C01wf0K9hk5/qoVbo0NwQomDaTmRq9qb3t+z7bw
eGt78rOrF00o8FHy1ZS0gGbXfcYiqn004t4d38kWpfS6CWAcoKeAZIRM+9fPeK+qdsmiUXln9nsK
XJigx+uzteIqHMhE4MJbWtNxNZ2vSlqOTppb4BrHMEyUEdvy3yzHiQHJg1e1OnILpPwRd++B8J7n
wmv4/WY1ZO3cLhUsnCmAUEA6cT6OOiE1+rRqFjXkHphd3Q4QocVbjmjNCnII4NfSgRu4EEZj6jRw
i+QsIsNd7UBwvfhnSL5l1bfri7JqBmle5OCRVQZW7HwwyqRBJbPvWQT08L4MW3SANVrnb3L6y1TO
y30EZvT/Gvp0FicXxWQXBVeqATusd8G82IUwuKNFdsSjsR3ulrgnE1BhM7/mNMh2c2JFTuveziNI
KX6r7te/HjbgPJ/PY+CY8BA7HzYYgOqpS1E5Y+zdGL7H1rNiPWXm318mZ1akyz6pe1ERhkI2dcWt
G5rFBBaqLY7WNTe7aDobkGJfdqXMNYnOMi2zDVSvgLiooC0m9pjLRlX9mEKGB9KPlqfpW5rVKw5j
YYd2Fs8HVJQm7Zu8rEmTawAjZ+o+XVoxlSfSbVxcK3sTXdToN8Qzy0LRbHEoJ1sG5VrbZv2EFi9j
CgaR+FNV7Qo0XMVgdLi+H5bPlUL2M1PLcE9MuRzw9MaBqUm9t/LhLqMdHjM3yHmhn/N32rJDQsLr
Jpctds3kMvoTk7HO1HbsgP13xpcGveF3YJT3WnMOyFRvPDq3Rift9pTPqqbYMFWbYfw6NdVTbt2x
/p1bT03xPXbrjdlcSxWCixF9FoswEDQYpAsYhyLmE7j7orkFEYDmcSX1proJZ0MPpjT1jAxixL5m
I2AoG+fvSwRnxqV3FchESqLVWEuNfQgNnP/60doUmFhGIK/e6QilvWl3qZk6zjJC5M/ywPqhEN+G
1p7qgefSVb1J8RjdN+aW1N/ye6/ZlTYqguRkEgyDI+AXG+o+SKxmY/4Wr3TNhLQxp26OEzUGXqJN
fbEHANHy26C92Srwb41E2pRQtwBOLCFFJG53WwwM67/b+oyAwV8vFxjQQdlWsYtZQo5Wi7Yuj7W7
DDvsv79elsKpWmsg8VJppzfTi7Evf5e3rk+/AMHyyMPbSvGn0L3pIA573WNsjMqVHh5QZG5rYSCT
qHS8fWgTSDzERLFvrltZvU9ORycd3tJtKZQWMDrgxL0uGD3qVb7h0XCL9n7NLS343UXCDbk4ufFZ
YWpHksJEZvQeBR/lLlUAAQhQ/kf2ZWPqtkxJNzHKNDpY+2BKaJWnu8JPUicgHGln7Vvb3RT9MwNT
zvWJ3LK5/PzEwSvqBFr7BjYr1LK52AHU5vF8107QqHLvevW3q9xct7i6Qf43oReBgpYqcMoGRkn2
RbdHo+7137+WbgUMGg8NBCJQYZMDHog0tDGL0Z1j674bPdd3xa0S2v9U+9b7qTde9wzJu10WXLe6
9tQ4NSrNo8OE0g82jPIgCZ+3FCDXrmFwyIBjCjQmi8DX+SppGSJnxXABNtS+E0hMqurBKl8Q/NB8
AyOy9pw5tSTtwdhOCUlzYF3sJqiy0fungW81yt312VrddSfjkWYLAdaAqyFeLqbRF6L2R/Nubu+S
4kVjBH1bC85iK6l1ue8W+j287xHfIRY1pZExLckcxQT6pQXgYUeIAP+SurUNVh4VixXkZlWIS1zq
YVsTbUadUoryGPScqLLLB7/Rzb02EK9Nfk49umDH7G54jc2Nc3W5crCMNPpnMhUQdmlO8b62eocB
ezMQ19uBSh6UXsH/Ie3KehvXke4vEqCF2l61eU9iO+l08iKkl2jfd/367zDzzbRNCyZuX8wA96GB
lEkVi8WqU+fw1KA5Rr7gXRfhQmvKCPk0kA1EPgwg18TTtVFefMLB9SzMwF4thm3+pWMkprMMYE9a
iesi+B53JR6XiZsAVlq3r3L1IqFqYo57aBVmqz7XgX+QQJgklJzxr0WvQUUPPXkRs1Y3c3BCrWiQ
8En3WvagoPmozi/3jwLHADv4pmRmXVZpARyHXll+/h7z5j4XrkrsJSUHoRBP2ha/Dh6JoXRZrWMv
5ZCsk0b1yuYpFw99/hRPnQXGl3QUrWCKOTfLbYYGsxR3jrI75ZdiztukmjQDGWE2dfEEq3/JoIeJ
MrcVDYeLXVzcRWgYUMgIPX5M1jGCgCfpR2os1C1deMJjmrOc2wCP5dDmCwbV8KT8Egm68PzYV+Vw
DmEhCTVk0JPVYQ6yKHiygjwzdKEXZlBAA8yTmskAsaKECU1+mNTurxZDkasGlDRQgry2EteYj+78
GT2kDHxjwxHjlELAqe0vDFlDhhEuB6o31OswK8sYSdH2JCLo7bMHklkYejAbPBsf4m5F5He1UezA
h9zOlICfJABUnXOuFkPIpXlmJ8GxJ0V+hoNlTDbe6A+ZdpYhuWmIByGVrKx3BDDtZd27EatuK1dr
vQANmUBJD7mUHrfXNxWkRMUeFSzwn7HSZ0ZTGH5GcALJqqp/BlGNcfLfMSbL+ZtOwYjX76JrU8yp
G4NUFeIKq47rfOVXXhg8TFHiFcNkZ5FTQLdBGuz85z+PYZfrYyJM6WttP01ZSguzOnkpet7dTf/A
7aoMTDkg+8EdzqyqqsVCFGegA0URX1B3q+gUBC8BWWur8UUQOKdjKXIp0C6Cvg7GzjD+fO246SyW
OZlgLQr60JNKsG/4kzDBcJNstE5Prb7DgD7Ed5z7+8gxzGJr9FrJVSOA4Yz2O9bB4KSQUFdXanIO
gQK9b4z6/82e/lklGzKNWi5jLYGxIfplZAd/4vz9pVThYhdZOHmcAkjaZDQfKQxLJS+BGoAgOLek
nJNMLgcaqmFDS32UVf/6e+lgr9FFCObsJ1QRh/YzC9qHMjw0PwthK0PKXFnJiu+KYE3rla3Gw+ou
fjSoo4DHAZVwVI2urVPUXtZ1iNgKZlmDDYop0gkqsHY1/L7/wRajyIUhZpl9LJAyUYH4rMffPbG1
fZy7TWelGEH/d4aY0xZn09jNLVYUv4UQy7EmJ8IQCueZtnTRAYyBsikameDipe55cdHJlR6XSonV
jNk7xtij5pCHn/fXseiBaFpSSD0uIJamwSjCsYSSDDJ+V7AyW7J5Kc7iF7kwwKyhB1gmGWUYKDeS
AzlHG6qKnPzzazzm5phe2GCuakHU07FQYKPYatYLsZItgNrbJ9Mt17/B8G77Fghb3dr+leN1a9uG
/V3xKveTrAXOL1n8YBc/hPFzcY7TWJnwQxR1E7cP4uCJ1fn+B/t6o9xbLOPioL6q46aAjXoPxdhm
V+2Sj/Cn8tmM1uiCFtXrbbW2ypNwNtaV03HoCFhJZ/giLs+LJTKOT0kWM2mG+c7VPfi9PVvZFqQE
GUhqd8QSLN0uPCDmAiv+Vrq1FeFg1I70GHnSKv+Yv8k/sh+SK21k/Mv9nVkMMoDgUBoAQBhYLoAu
S5S4ExQE6w/FUQF53EtrbaNH639nhtkALRYDOahgJkm3WXhQhs8aVDH5Wql+AVX7NxHgYk3MNTuP
tTH7FFiujoEFcmqwXtqDwmnPLHotpHIg0wemaXCZXIcZ4pupYHQwoocvGNuzNOFbU/NkshbAC3Cc
CyuM30oZxrZjGWh1Hd8m6pzOXytkP6hvvf6O1mvVGjZo8RLAVsHief+TLQY5qI5hYBEAa1ANXC9Q
gYZlBEE6JCtSN66CWSHWZNSSI2V1lVuVofAAwAszv1gsWvB4DX/dt0zUI0bQQgfcwNuczE5XYZLI
Sp2kc1TlMJSdhezTrpHsq8ckQPMmAYqCcDxn8TRc/AImJkogSQOhKX6BaA/qaw393DhfpVuAN/SY
lwwu7++f1TIOZGrhgJeEj5A0g6Mk/D0mZ8EHB0j87f53XEpxQfQhUVIfigdhT4OuAtvXxtle/R5C
AF53Gv01j6YnNXiUoQ4uVzx9iIWBfFB+41akZSrQ/rOqCqOsgicpDQFAMWuybQaQurZKG7sRdGVA
J5Zk4IfSZg9P/GjTTUXoYnhPWJtt0z0OSanYVCxgO7S+8FyY/keuZx3a5ahYqxDxsXPMlVo5iB3c
PuswX5R3xjYJawKM0mgeDCkyd4CxBpv7m7j0sUD4D7oigJohlMWMaqVQiWgAIU33gtF4qMZCzyey
WzFxa+OfM5lg9yBR9DXjg1eufH3uIKc8JBrYXvcqLie5doO8sgTRu7+exdoNRUbSKR9wxbMkGHQo
0G9CBJbxZ/eO2fpihQbliAwTnLINJ1Qubt4fWyyvVNHGJEpknCoU5vNqqxZbVdqIKq+0t/RCBa8Q
cjK85zC0zji6SGZNDyiufg5k356HKXBKo38j+RzZZjF8xEmXelKd2oRkIKTsJ5ezpzQisknGxQ+4
WWfZt5gLAcq8dFDGwfzLs2ybr/2PoLeEwen/pqIDaiPIhkLUCjgBJljJEP4rAoht77N0DQTq5Kkm
b0WLWwoMNfhYMFaLtti1L0ZEK5tqEBCjageMbjP037yUHELlaLwmudW/3d/BpbSXQrb/a4657eIx
jYDnRkhEk/5Xnb5Ifr8K5NLVsthpW05SRt3h5mvB89F506CvxJIcjBABqk1oJIAGBhqhnvAzbcaH
2NioRvwIlOrrCL76v1geFaaAf1LIMBNEJl+v+ibss32StU5Q7bQO42UYAUH3L0w4Nxn9+DerA+AI
o0ag57ihFq+7RJ6kBBj4oqq9SihdsTC3Rcm7sxe/2IUZxkH0GVWpLO6oGUwIFeGqB88JkEWO7M/b
CILenBfkYhuEIpbo0KBOW1bXHimGPrg+dUwJycW3sV3HILCs83pNoDSpinadFys0r8Lqe9sQjuml
3ODSMnvc0hAtVK3I9n3ggEzcgdKaGoyrthG2+DC2ORzve8vSFwQfm4zuMBIiiM1cr1RKhViuCEYn
pOaYa5GdRwdoknHcZOn7XRphtlMboaug+3CTVF+HhWTFceEMnW0mqy7jYfoWF4TrE7ptmFwFtI9Z
kFYXpAtVIH61jNi9NOX2LID+ErIavGUtmoLQEp3xxApY+jd9biS96we4pdJru1iaJ6cQjY0MwD7n
TFMHZ88ZxhjoBCJeAmjUXi+qUCZtnkofKF+jhGra6HThNxEUZAlP/XxpSXB6rAW+gKjFuEOZpxCQ
B0v+fkq2BQh1IUL+N0u5sMD4QtvlrTEpAEqHzaFI3B4a9f4m51Xvl47R5TroOi/KM3Ei9qCGxDoi
1RNmsOz3J5FY1Yvh567R9c/3D9Hi57lYE/33C2shGOE7nQLa8RQc3TlSMCjZ6fZY6qFHdDyo7ptb
WBz8AFqtEoZ7IevAmNPiQYX2Ce6UJhytad4O2g+QXMrtNq8esoQTIBbWhqI/8Jv/EVthSZjMoivK
oaMBqVpPzR7z4KHm273h3l/TguOhk4PbH/jKr2h0vYUJxh+CHKiyvYhpaNWwq26rCrwDuxCHroww
G4fmwqgqdBogyd2utqf+AKrtvALlCieKLxlCnw36vZS+D9HhejXKpM6TmeC8onMYBsQVxndNSK1O
ewfamOMNSx8IIFsAvtHcA2CacXVZnjIh9gUMoUgrP3HjYguCx5mn+MazwmydXqqJ1MywkklbNQet
kCVXx5iXbC6AXzA/CuZKIP1RJ8ID/XrjOqECV0qd5PtMRlNXeTYMVKw6gltfL/ZmQ/ZK8ykAcCai
lx0Q4zMRySpc+WhphNJOyXlNgKXKCLhkgLcAuRAlXWCeSW0+tTnBACP6UW44hpZhAEYq1AepCKww
eCKprZhO138PzBzKldLv+4fii06GifswD1wucMDQqlSZYEmEdhqDBoDuPIkgAb0dhk0l7OpQQMuv
P+LW8YJmQn2mseuxE201fxnECuoBh1EDqcJOFX77utclq6F7yIHpHaDWovzOUdQQ5F0kr7IWytWc
u36BIgd0DhRsgMlIEZhiZsvqTBS6cG4A3YdoToTeiRasU5PYGPAJbf1XplplMLmCNNu60Fv4Vb1o
FdFDMhykMbYaaL/gufo4NLwXL92rm72UFfTzMZYNqijGtcRR6/HmBUhbkIvAHZEkr0pStZy28cLJ
N0TU6zHKrtBBD/rvF1dBMJI6NMsIgLR0K4LYWPnAe8nUn3gt8IX5cuD8UTij7xjKv80Y6iS/IWoN
tgXzHA7bPvyp5285iHEKJbZT0amHeTc2waP5Ede/IU4G0eNzB01V3H26mKwxms757gsBgjZCMJIM
8BDGupjfM8AVdEDJKR9/Yrdp99nN8mqO9dNQ8sL4kikwPFIVUkyPYROu97j3o9mvqJZBFiWOEW5k
NbaKMbbNnIeaWLaEhw0GdvBJb0iryBwZpATs/3trrobqodS+Tzzg01LXAIydf4wwyR1auEI+dBVg
/rIBmSnTFtIfgpHbaqA+6OOvZhWrqCZMvWco7Tn0GyeEuJLSewHqwficQIIJ+/afA+kgO0mnWtHa
omMrzOeMBUOD3isAgXP9XfK9aNhq5dvIG19bOJNXVpgzmYul2mJGECMBq3LNcUj6C5nzDslEYGkw
jodCEzsir0p9M7c+ILZts8UgaLZVzV1t7D7vh+iFvAVhDtPfeCRiOpetX0+gV0JvHwR06AMac2kB
y2X5p7+wgevQRHPHANKaScq1Gkh/6NWgRi4/q/M+CzAFzBsnWPJ0Ol36XxvMTTOJaeZXNWyguAvA
JLHjxMNZB/ul6dxfzdI3h1shewWiC7gqxrMQKPpSCwEGjYoHEoF/POBR7y7kx8alBcarfBP4/SyD
hWleiyMAVaYHFiiMDWAwQlU5y1ncOIxlQ+kCQ62Yo7kORpBFxsb1gAlFJzVyJ4Ji6jZ072/ZkiuD
ZQB/n1a7QfB7bQOonlqefNiQvuvGDyj+dS9VgIlPTta6uG8XZpjSpp7j6al3FGn3LgDtCZ1BsMGL
z6J+anhZwkJZDDkChI8o7gaYT8bdCjkPjDkHbjtPm0edNGczEB9SDf0XI9aeJUFcYXYfAyzZyDmv
C5/ryjCTLQtgBkmjEhFHDkanITLq+40FqlaLiDUnAC2tEWmsTDUIAOVmK8UBZOwCoQe/6YyccZY2
5vCrfKQSdi+K2NipJnv3vWQpJUDX4H8G2VcHaildkrZICfyikp5UvYVkvJInD8HYZm5Wd7FXp3IL
3TwJ0xM+NKAUoE5sc6wnOwIRmDX0Ue9NKNg/Z0MaaRhQVPPCk0ES6UF0bOQ05JeKbFc/lz05IF9V
jAAErEam7EPzJayipxiSsoq/i0yrQe8mzgKnGyfLUP/5o9akoQcODVDWjTxEgsnERA6xUypegq00
Wb30wxDRXtUETuyWaXBmriGqHoSUyDAQHkzmUPl5XumljGRFaUAxXLlG3FqjajggS4Vu6U7JdgG0
6NATtBsjX8WhJeleXv3Mo3Xrm45YrkzNLkaUj0FSPrVWbJbflY538pfeORe/8oads52aIPWLDvMo
mds3b6iYWdP02CudJ4AkF0Dw13CYv+f1pukflC55uu+5C4EHmPYveUrwD+CJfh3f5LkUqjBBmpVS
5rCj5ue2AJ3RfrICX3EAa/2X9hjPS8shEeYB36SN9pgxspSBbAJzU7aZ1aP5J/yVOaDxwJCOHv7X
o/fiTRAJoTEmOjYXFKWWYLwISmNp+mAJEP0Q5OcuaDh30he+/MbpvohP6Hg+7vXrDS0RzHJ1griM
OqDr2ycYSYwjK1TabS1oTgm6PSVfT/lLHdfrdBC9yNdto5pfssnf+NIpm/elooAUOX5sC68wvUAx
vt3/5EtxWEFZCYkAmhTQ1rr+hYZWBXodYYxG7nvgMwQM9st665Xy5GqzMnHG7ZZCMbaebj9SbWBQ
rq2Fpd7JBeQS9klRuCRVIOWFw46ZMiV4qhrVahr595xr6/trXMgN6TcHQJkSNuI7XFtt2xxsTEAI
gzjpWdBzax7X+vz9vo3FfcTYLp3vAjaeLZgUYoV5/Ar5px5/tK1GJxooVWnEU2hYsoOHACjhKE4E
YMHrtfhZUP+HRFaOt6U5WdAxtfPO0wJeOYv+IdZ1Lw0x8VKQGyUPNCSiTdh5WRU8j8YRCiY9aVdj
7btKE6zu7+BCcgVOK4CnMKtOAfiMbwDcUvTtF/rXfxkDcsjJQezt0tC3mcyju1u0BRZWdMRBtATy
sutdhC59H7QSxjGMiIDjfejcAnSlpfnQJtEayl08vuLFOxZFiP8ZZFyw9tt0yjTgqaPs1yx4aUhe
JPEHFBucorPH4DjHxPFxzMFG/Be7qqEFSekoIGLCvFny1OwbyOpirjx3Uoso9hQ6Ge8psQSdNfH6
QjEHM3fgK2W+HaiY1SYmgHrWuhmse4HC4ptqdvS5I2gvGcIq1/x0lydVsNO0anRjoz+GUmCeo0pW
DxK4ETihd+nMqyLms8C/Aa5rtmDY6H1oVukArHyDGQvz06iPY8DLLBc/K9p1tJiF/2Dg7dqPqlbX
+k6RgCAiw8MAQcJi1B21z7ZSoOG/7UqOTKcRyFbtjkk7e/e/7fK2g02Hzl8gmrJDpfms5Po46Hgo
BCmU33y5d6opSl2xDPF4HKreRuhrbZLkvhN3o4GZpzG3Ww0P174rhb04Q1r4/m9a3Hdg2FBj0lAD
Z1+VYjYWaaRSHBkEk5NYt+bpPel4LNdL5xdf1pBAOEjF/pjza5h50xUDJR1tKmcG+MMV49K0/KiL
V1WXPTTZ8f6ylgyiyAU/ojSuuMmvP7Spgay47zGP18TaIRveJBGjzwcy11stSjb3bdEfz0beS1uM
U82m5o8zHbRqQioMK/uCG0xE51yKi74LXUhgGfH+x6uZ3jQX2VBBjHQITJzZ2KxKD4Q1sRuGhu+B
Ew5KrtMwrlWxm1xllHJXS2dTsvLcr/eTkWmr+wteumroSBT0A9B1wve8/iVKUU9ajznsPZlL8PD2
ABwGIMb2+iAZ7VQJW0gYmM9D1PacILF0mSINBAEWZmF1vEKuDedBFZLYx073ymeNgr1JDk0XO8Zf
YJ5R/zJhBrUJ7UYJopSTZiQ+FgjIEJIcgyRr9Akqp50C3oN+cUmotGmAGopgiWTi/dTjEmhK3Gyq
Anhv3R4SBdK/ySee/5zos3TSUSwFFInKUyHqX28eKYk/NHRgIatPGNK3Iqh8ydn0F/EEwk0KmH/h
Gag1X1vBSDmIYnv0WAtk6Qc8F15aJdTXsxn4nKrL0s4hR0QtW/6C5DFHXC5CM1ANNFhjGs4rSy8e
xvSnGnKe24vbdmGGOd3TnPdRaoDiER1cOfoMBtUyeV33xaXQLgCaPxAaYCePAPRP2i/8olkfQ790
QLunQ1cuzD7uH9zFtfyxw74X0azLayPH9Rc1NRWyDiH+USac6LAUDvFkRxuX0qCrLEsdAlOZ4CJB
OJQUUCVljg9nu7+O5f36Y4L++0UoHCYhF9ocIMzSX+W+4RD5CYOE4l+AyPEw+GOG8WUD+V8t11hJ
CqSF9NKZm9r/fX8lvM1iQulY110RYKJsL4WGJVSVHYg6J2guf/Q/q2DOvQ9kikAqSo0t6eByrEPH
wLAZeOP/JsCYSG5w5WoYeWQ1PoA+NwPdh6GOJJ4ifygJ5mOMz/sbtvTp0R4EvxkYHTF1RTf04tMX
WpgHyQBIFI6jqb83qmBh3McZ45bjxnRb2Fudso7h8WsCKc2Gy0grJ382QRCoITNMj1H/gfn6Akoj
ofBaj4Erjf84ZQEOHIgoAOfw/xs8QpUA5aEPOJzJiBGP6Wk2GksMgOWXk81Qv/3TbcTgGoZevigr
ARxg/C4ZKxCO5MALNDmELj+nYl8O7wG4su6buc0UQOmMUgXlF5bwtZjgKaTyPMs1ClTyKnLh3G7p
SnbKOUO3XwpGkM5jDAIaNoRFf4uFnplmDcTIAH4PTXQMMfPqvsQFN4H2SLNxg0BleVrfX9pCPkbp
qsHkCFpWHdVj5lypyjANWYhSPKhr42ilKp/K4McWwG22AAqchCTWGBV2Mk970f/HZxq2UXjEqcbW
Ymr7+hREqYgqUIpODS7XTamAJnoYMTrKOwO3h+3aDBNnSRG1xCjpY7RqrDjzWtT8NemkGd79vaSB
9PqsXdthAq2mVlI+Ywh7bwyZm1SA3w6HQWntcXoeRJ5M6G08pMao2iEcBrkDk3FJ1RzHwhAi48of
0/RRalqwIOzvL4ixYWAsByOpaF/AL9FKZWfgJSI3oZzF0QnvyqfYiNwg+QDJ2a/7Vmisu9g2agXx
Fn8f/HMaGB6YDChTs8pM0Ag4QRTzVfDbB2PAJOx9G4wL/MeGgQfrF0wPdq49zVekPiCjEJ/qLLb7
cJcNW8McnfofQgH/YwewDJBK0j4TWycTFL8FGWGanFpQLI5B6BkRZCMqzLpx8rnFTbswxBzbcQxy
yS/j5CS2P/z8Za5f7m8Y5++zxB49NHOAOS2SE9DrP0xRsEyt40xssKNY7GaxWN1SnQpME2XJKbGM
Q93bIf4H0WZPG2xxA/4ZlVKQ8yZ32aGUG6tMMPcrNRUUASuDALM3/fafyAaqZHv/deZcTgunBz7w
P18gzAkNNKHXGgJfGDHOA9H12WqjzhtN4ILufyvm5vj/FeERC9Vnyu7BHCAQ1pEWahPJKU5t2TZi
Sx6sOrPIPgcCh2OLJaa4McZsXx8CfDpDyO1UGo/Zx/AgBBaKIanpQPRhi1h3yFeT5XSca2p5L/8s
kd3LiEzyIFTJqSMl+vrVuswwoZV0/ub+VjI3/dfqgN0yZbBG49Ox8xp+BWxC6evGMfXlpxmVdL9U
rU7RtlN7bLO3SOKJRiydMxnpEkF1R0GoZRYWxVHup11gHpXhLEGaB/ys91e0aAALQUDC+C1AY9eR
Txb7RpOD3jw25p4YjzP4IO8bWNoyVHmp4g/KvSo7+tepmLWvdd8/Fq1s+1CxnycrajKvQyVgfCGV
yBvBYq7Zr28E0A3w8BjCoqnD9YpADTwrchUKR5T6ssnSwIffRd/q4RukuTdZZ42Yre7OZuEZ0zcx
sgrQt/imp1alHRecKHnrlvQCBowB3w8zN1+x5jKNL/qkqMpROGIWx1bq0c2gFmvGnPYVW3DFilEs
gq4F1XbWUPSln+DCTCpUeuXncXDa/ZhO8XdV284rdXSLTfST+HZT4sTd/6a3EeVroIcAEQRJT5Gd
A9DJlJNQTaOT1hInQSyp5lX+lH6GkeQFuRfxtBQWgjIKLSiCoKBMhxzYHEAXxHHME2QahaJCeiBb
EfPVRBXEUSW7k9LtrIcHiKxxlrlkFtpgqEKCco9SqTJpQawrRaF1kLxo0BN3NGPOvMzsdddX6uEU
Z1W+0U2QjpvlEG6SqJJezCTnZY23PqTjN2A+EsV8QNXY5qTQZxjLaeboVEYTBq0FHcenLYRNqfqV
c/+z3p4cgF9pmgUuPnS6WDyj3k9DL4lxftLPQWOBEjQ+NZyU8dZzrk0wd5HSqX6a99SEZBnAKXeW
jgZrbhznOd2lwRrTJe79RS1ZROj8YuuCVhX7BuyDKDPAt5afatkxAms2Mbi7D0za4eoJQaed4zQ8
e/TfLw4jpBgkJVFhjxhOJs5WWLqy6s7JFneDkT7Lp/vLW7hwUVD7sz6WtM5PyzlKItgD/a3Rfmi1
pXa7cAZwpVxnhd1jGiPatBhbV2pih0eMDGe8sSAW1I0ARGtgMu4oJOjgqqE+fLHmrEnFPtH9/ISG
BNgb6umhFz784CB1z1mx68qfTfkD4iTG5ygdW4gB5YVkN1EKjY9oh547WF6y7QwcEWdrFvwZPwuf
HvER46ki87O6Gg083A/4WZkjBHvN2Gdv0ocCZVVL/BGcG5CBrtTDsGk8eT/zgseCH1D0ED242B4g
vK73JG5TqdK1uDhJYFtvwSWA4A+9EaQMyb5KDzrnYN2+YPAJvhidUMYBbI45WHnXxVqtCPkpJPlz
cpINpEHZS8Cte7LMu1/fGnM40KnG048qbF2vq2nqdorltDgN7Qchg2X6u8HBucrct8/KNT8j/5Aa
z42616MCcmJgObn/VVn0CtjpEAgB0oB8AcW3s5zkU6eIkdaI5FS55b54SDfkqB3lbbwJttBxOZrv
4Wl4Vle+R5zaNjcaJ56wFZEb+4xXqcY4VhmGVE651lh9g15xZAW9Az1H/OdJj2QolT+aUw4ZXZ9j
++sdevUWZtbOXEh1GeQjIjg5yXa+Kb1km63aXb7GDKo37sZ1tAo2mhevg0d1Ix+VJ1CjeRBLX6Ur
HiD49mqkv4TCFGgPH9ASxt+GSpwhSI1d0KQDKT+IvMWjCdSBG1VYKcWpVb1h5FE3sTi0r60H7TOa
5xiiQEGKSVYrrSzHKqrUE/SSP0sMZznZIdhD/OPJt4rHdHXf026/NBIN5JFIcJDl0DrKtauLk6E1
nSxop+/pY/BOckjNW9pjecBTbY4dkZPG3UQriptBXQ8EGYC5AbhwbS1B+S0J0sQ8yabb9ZtU2FXE
njAjwuObuz3C1BJkGzGJQ9M39gQ1fdWgIJ+ap37d7/rX/Fwd5DffG/bGOnmMV40b7vPfhIc2WVzf
hVXm3CRTipK6D6tT+OkfheETyAerXelhzYv79C9dnRJmfcwpybo6aMYGO1nWjl+8QnFbXVea1Z1q
cQ+6FnP6JofvoUrgrmtoViZg5b3vOTdvHjy1aUcVU/YqtB/YF7dfirE+KaN/6lQrWiu7xA6C1YP2
ct/KwjKvrMjXDiOlfpkN8+CfMst7te//7dvzzSyBeXgaXSGI4oQ/3j1MqqU/Pg9PfmeVloxPxjFF
/xTzuYCwQiiH6g2kmNiRsCqN5VEYFP8kHgGyFX6aXn7238QNHD+ObP/VfJo5kEt2kBCST3hHgJ8F
FJoA/IGU5nrr/EkMSKdKwVlYB7uod8adabrjNvPO3Vr8UR+Mh+JVdXjDAEubiplzVDGBLsarngXm
qEOlziEJwzPUvPFaaewhthQoMClW7VZew7kpF7wQSCN0JRAwMRvylTleZGVQtzKrIY/Cc77vVnpm
DYrVPPrQ2+QU6m5SD3w5pFl08FwHWFplMl4NIq3RLCQJHg1oBvwq+vMktBbEXTin6vadC34RNI6A
rqHXPgLz9VerCx+40CZMz5gJMVba71q0wtfwVcBtsI+88Lf6a+Twc9xsIWOROWKj7AfQTg7Ss/Qz
x/TO6wy2VUxbWj1PiuEmODKGGIckw1gFYoClRYE1WupJb6AYs75/0G7iBWODydwmuddTCVfMuacE
e7xKFffrUPMX7jaiiVLFCv58+Fw8NHbs6A+Jtu6+O+CogPYhUOw84vjbCjGzIibQ977iB80Mk4P7
Y3hJZRtNzKNrtFvf/nX0FU6gusnoGWv0G14s0BT7GSSmsFbB/VLLf4o7D9nefDCfCK/LvGQLDWDk
uWiRoqfIbKYkd2YlNTK+VWFhmFhAiQX06raxFgYLWOH7jnFTA0Q0Qi7whSNDYYdlewpHJZkH9JvP
hhDGj108NA4YLHkqSbcujtCA1goxqS0MTF9vXyi2QjWEOTknmdOrropH4a4tnmZyvL+aWzeHHTz3
cJsgawOxyLUdok5pGgsdOQP2LLWYIBPsyHi7b+M2NSTXRpjvk2UzqaphJOfvyQfcITqFXvqaf9N+
9h/J631btw+eL1tgWaJsAcgNGVu5KEPjWJrJufXG5J28572Fh7Wp/Mz8pyTZqCDUSZPdkNkaat7S
UZYDqwYP4MZULQ30mfuUp169+CUh5/zfH8QcuwHaXfGUSuRcfcsmtyhjKwYfYCp7orLhrJ06xVVu
QNcOiDCdUqAYXhqgL86cUs4dRmFUct4N9nfTCtbvxJ0hhhI6kT3ab83zx8fnZJ07S+GcidvIf22Y
HtALw0Gl5UkbKuRsvAA+ZDjxR7AJOQH59j1ztTqQu18bEUELpuuzDCOH8lxufvibZGVuhY25AlGd
d38rbwtFjDHm9kQHAOVZZL3nvl6LKAw96iclsFZWu432mhU89Q+a7wi8fVw+Kf/7gjfHHmrE5izG
2MjkmwIuMmJHrnTUD8IBBVX3/hJvEhFmhcwlakJqQIoRFc5Oddz03wROieU2a2T+PhNZdGnsktaH
38vHrLJj2QmfpszpZjuwdLfBqcwcUDD/nCcX6lr3l7a0jbgMIHWIIjigEKzOQakIA3q6oXqu92Bq
3fn71vUf4SerZjet/p2trzT2wvdjs8gqTfXJWVyN+9ixfj6pdu0We54IPTuSCBgLSmR/FvW16AtD
TRjNRIh0hOpz/ewprdXuxDfylO8ap3MMS7Hrl9A1wWn0hHlTziJvXh2MbRp5Lmz3UDKZSGaScx26
wc5/erLmlfAOsb5PcPeHdMD1vsGFgHK1VsY5K+A4ob+ITVWt2RPdfm2uaitx7htZyIiud5Rx0ayE
sHE1CuQ82PEmf6oOAXQ3nBobqtj9S7jtXhtOEFu4DK7WxdxOGGyqc7+CYxqrwtqPLudM0x98dQGo
tHqLHEgEShlKnHRbLz4TSdpRGWOinUMoUkjla5DyTjX90DcWAPSmMnmgcWBnMiIzzegLUT+X38VP
3YtjHGahsSYvRSruJk7Iy5RvPEFV0GQBBoRi0wAiZpZUR4WaRYoUPDdg9HquC5QKaxxuOw/12DNq
IB2gIkxOvRnygvFNgKSWketh9g+8EdDavt7MUAHn/5yNwbNebAy8dCukrgNXmI/eWtcbSq2gNAyO
Ujxz2XTS94OwjGOsT61CT4lATxpB+hzAgxVp5o2mJ066klreoNbSrgIuiY4kagkEVLPXa1MArGk1
5D7PAAzZs3ZA18yGSqwFPkAp/qmkM+c83/g9muWo79D6J8IxNJ2v7bWKEtZgDA+fp63oBttgI7kD
5wF/Wy+gNuD9KEBS2Sq295cJY2RGPQmfww3Zjvtxp22aPfFilwvzW/CMK0vM7vlKBXlYoobPtSes
hTWmrrfVoV4ndun6a+kYbaRtvK152IDbBIhZILOJiRhH3TDD7LANn6I1sfMn6fgWP1Qbw+NJs3F3
k/H+POxmQQC09jl5eIbILjnPNvbyUK15ogncZTExsZLFwE98LEtYGyvdC7b+Lzx4tpIrrsMDj+p4
0REvnIR+2osIOWSGEqY5lhU9PEqv+QdGctf3b5Wbx+jXVwJtE04WcHgsVUGuYJAuEZXwGYzUrrYN
1uNaWfmPqIPct3ObD8AQOmWA13xJYLP+jqJ/oSVaHT0X7uzJ9uykjrrrd5qTbGZbgcJBAV3iwerW
3ziGb0MWAUcjGmgaZbJF8Lrew66A/IZfyvGX+wcnFZ2U9FNfkV1s/0tLzNciowQalR6WWqffzJbv
le6r4ja7gnNv3mYCmCC9XBJ1mwu3CIci8me6JAXPpof3/umnB/bqw+SFp+ANjTHeNcrbQuZWK6d4
FsoW9iZEKsHW3c7rHFRUJc6TcOEYY2Eg1QSVFGbEMEF9vbAozcj/kfZdy5HjTLNPxAh6cwuQ7GY7
uZZGMzcMaSTRe8+n/5M6J3ZaELcR387lhmZZjUKhUCiTWWGUPj4jrYnyui2dzBvJCUn1oN5f36zP
BuOvN9lXUcwjsIhmI0XLTXyunPqQuhVN7V+9m5FsGznjdijJdCvfmDeVp1Fxa3jT/fj7DWNivGlZ
3u/QmXdinOG+rVr8jmGXehJORnvA2HNBRNCc5m7gBJvIG9zuOfHSp/hkbRTaUgD0eFyj+n5NfFGI
zrwhQ7MyEWHih5R2azfoAqfCffvj98+Y1Md6E7m+4zvx/9zQBUtWMJu/dAGD711njkySyeBcGmBZ
vYvuBoCBgK9i9qlpizfVoX3Z0fiuPFY/JB5n83fH+lUuc4KyNF+SWZAbvKg7aS9LqCeLHBP77lq/
ymCMeSzDyMRswXJqBDKTV932HzKXd0Us7ou1YxCGgr9HQ1M2otmvR0aQI0B4tCqOjIZR0dtJe/Mn
nvNmoUzAloClXAhhrtfSl8q6myBE3Kg7fyPuhs+afONGaLDoNv6m2dRbaTc7AMx3C7twhy0vXfT9
saBiykNBzg8wc2DlYyxlstpAidImPev5REalJwkP0nrZD1aTlxIYm0i7OAbpep2eezMBn/YpAxIb
QNyFhCj9vdJykVfW5KGvD0g0siGKOlsxAu1G3DWampwb5W7saCug1c4JhntBwei85GhoQfAz0Ss6
eVNrboyp8lzt7AJj5eVBDwtSFu51n7hmSnhBLFgSmLDURcaUajnrcBRlqNgH9TXyq7OdpSm4K/v6
5bqk7ykPGBTK4MvDDICRMK6vVjvMgPfUhzI7dx/NSdpn9BB41W/pMT7yEF9WL0t0vwKEA6VBoE0z
4W+ZxC3IFKrsPKfzJIPlPijf1aGLBNqFQvFutC04K0KjnQ8YMW+eJ3mcdJoG/nDUpbaQ0cpmxXjo
NEL6u9H0rtpwVLEslTW7y9/HqCLS4ykIqjY7J8V+zKeD5WMgbAYsDThe5fStwJ2gAnd1CipbeQxH
NGIMnKz62tGydCBgoEUYEJZsn7AmRsKQzWl2Lk1tZ439g9CovALfigwL0Re6ehQUI74RXJRZ1gXI
A2dnE9yQG3QZBeBM6C2OBa9ttoXJ3aWFCE4Lc/Nf7WoZUFW1OcvPtd3bsy0hnDU93VbRom7tUPDe
6pzOju+lMbhegACqqoKis4yBma8ScylTBVnK83NDKuQ/A8eit85Ludkat7wAc02HwEgCnhgapHBh
Ln+/CPs0o6/K1i/QA0ZvefnVdc1dfJxZh+WPRj7VZX72m264sYRaftamuL4Tyq6j4bKzRFqgtYk8
GiVssmykkMhojFXoqCMnsGnNTEppU6ZLL3hoAfPq+kH5XisBVhCaIpCuQZsYevSZX9j6xhQAnKU/
iyVd5j/DOhpoNd9VwXsbuwPaoaz7ofdiOXoQQotUXWhPzTnoQsA9bwLfVgTHUtDnUIGHjnOIPxt4
vh5i/DZksVAtRy8iJtq+bo04i1WqC/VwFqptFUhu6b92QOkrYxAnDdSfAbnUOIlWkcxwIyHy/B59
W8A3yMC9UtDsebSeW+GAtpUidXXNCbNtGn50gMEzb0AC5eBfd/UxBihjjyZzgE2GI9WBCVaUjoCM
loiiXvksqG6jHauysUX/dy4WTniK3rN+UyevevxsDaRBO/z1Pfl+hQFGTcVuYI4QYwCsb4UTbWPM
/w/nDN0IJNd73RG7VHTVOPpoVKCu9LL51ndC4lyX+3nbM/pGMlTB4AHSQcjrMXc1CFL1CHy8aAYc
f/ja6I2iC06eIr+finsxulUMEvlP1vgUCYiXQ1JaklPeKK+6Jws7II0/xIYdmyaNT+NEy4Bq0k3Y
oJPTU/eq6Wq6LR2nyLAxIWtMmPiMbmUASQK+razJeCz0TR/RSnm03mUers33dtsFaRHLAu4z8P5N
tqU515rB8GthOItJiAZf0ByrN5a6bXRqAO96PnYVeF4j27jTqL7XggfdOFb1SIx4Y56yBXeB1+uq
LC6TVfXlL2JMe6zVMZlCfzj3ETgw3aFyk+o2sWgTtBQshZtJP4AJB1WR4qB7evgChvCQ1MIt6DKy
9lnobcxs++YWxnicQmc2bDkD0hKuVVtC47K/TVLwLel0aveB3Ya31w3le6CB9npJRsoQkMwA3mDr
HQkIn8ZZHpOzRmx/cqYRL1fnYSLabch5yyzu54ueGEnM+ymRjUgFvlpyBiS75o2aJNF6BgLOAJB9
zrH79rJYRKGv6pPFCRcdcxFUvtmn1Twn54QANwXcgmiTqSfCeyN/u28WMSBBRmYZtSmgf311ao3Z
xSk6sCEGXAAUEVJHZbPl3WqfOWNWcXAd2CYDdVmDfcFIllxmhtwU56YehW0eqIVMSzHyk41U6YVG
i8nALE/aqvVmTjug96cq0MXpkEwJIMQrEb1PAtCaS5rLpjbR3J+AJu6HxoDerzJq4k3cdX1wigQh
DMmIkR2JKIovP1SlYsE0NTS400yfQMtedjNIQ8QwGeBla99CQirUh5fUAsy+2815qIDJR+h/RUVc
CVSsJ0PgOLbv1zB0riyc7RhzQm85iz0hqnU+ZJaUnke39aqTYjeb0I1QootPL+o2HUGayTkh3+JP
RiKzy4CT6uc+QNQPDL7DMVJ22UAjDw5udlsq2P49t794RSIWCdYC5PPB/sd2i3RTDRY2NEThnXFq
3aFx0V08IPXnNr3T5k/qvnkLMcqAOJiz1G95LNzRGGXGNAPYYYAjw0QQUmn6kxRl2blxDKLujiHV
vdaZzvZ1Ocvlwxj0FzGMRlMjnLK2Qzzd0ezx58MHr6Hse5qMWQdz+zVWGaZBCQH+xti35HBSnJjQ
/72lkRHDJDBEo5/LslnW4VQkhpsxySlEQwa9rq7vITQjh7lhNIC6N1aGbUETjIsluW5AVM8ELa2x
iwlvwG3tSgA+BcC08RpcOt0Z79nXollHyiLOHpzWk98bm/RPQIX88XZ9Yd+io2VdF4IYcwvHOZ6G
MsrOzxWZ9+B6dDKXY2rfyxGLjIV3AE2gSFmxZXbESCjuTAVkuDdQm3dIDg933Lzs2om9lCJ/vQli
s6owUwYpSDtIxJW2mO9Ea8njY0k/OI/RNaUtmBAYUwM2EmoSX0WNkpmkUhTkZyEkz8VIAU0RkO32
+s6sXKDI7mHERUTBFFjDzHqK2lIqVenwkiL+L+Um93oithvacCghVg/qpZxFrxcvtg6hryDkkPM8
+8Q6kuDcpmT3YPLGwNeUdimHMekiVUbFiiDHv5NpQ/UbFFQcjql9iwNhaZcyGGtWq7DrSr3Nz3tf
I5jrehtzzitq9WReimD8mgCql97qGqgr9eSNSAVH+KXQB17pddEG658vxSzavNgVcW4VLZKwktjT
d259WIYUPaO+V3PyED7ykqdrt8GlNMagJamXrKnBojCN8JJEhH5wNmZR/JXlsKQYKZKFeq3j5d56
qh3vOF9f9c4Xv5+dBipz1URiDZ/XdwsqvKOTU023bxNVSPXj+rHkGQCbEjVqPejrsMrPE0XACQ5r
gVY2GOowK8PNC64FA5frYs6mNYp9X/T1si8IBFw5JokbuYLNsTbO0WSTNvGgj0I9w9hae3zo4c5q
GtkBb5N4NsAcziIdp2FKoLjqI3ZV793aexjK1JzkYdrKexlPq6frW8VbFhPjDLGgBeUEgXZ0/54d
dlvekjjHxmJ8QeGnoq+IEPCsUmmr/gbfknd9CTwJjBsYykroZhEH0zzuZ3ckeGzzzj7nnmEvsxC0
kWmiYfMHoHNUm9rZ4YlOODfmagzwx5IxQffVn01dKsgGuKJgyRPtDxWZ3gZ3tzWp4L1dVxnHGXwD
7KkDcN3VCg6NHdLYujs4j6JIBqL+aEKSU96UC+f+/P5SAOazJAqLa3NtzURvcPmS2emupDwVrgU4
lypknAHI4yU/KD+dgUZ626S1O9vatt6rGPClNKUcPS7JgH/32Zji+bplQWOqRa0sxychv5R9bOv2
4TG54R2i63c2xnq/imn9Kh7aCfpD2lD1Gk8kW85CrntRlWXwFQdxlKMatoeHavtg3oZ76lDT+C8v
t8v9YbxBXjbtIAD+4yx+ENK4M6UhHgY8L3rdIwDC7qu6+lyR8klHGDVQlDlNig7gm5BGVCX9S473
qfHRHQAs7fAedOtyl25IZKowBMA40yQAHB+yE/DeTm0fG5JFhOOu1x3RHwmM/jKQfotikeZn6aG4
F2i7U1CojTfXjYG3DEZ9UqUNtQgMCETVv5CKd7fK7d8JYEIpUR8jZE0gIJtJSnJi/o4fr0v4F4/z
j6LYdgyrw7jMNEHEcTBtnc4nR8mdHZ3+55bhz2j6j5zFQVzEoH7YI64CfCFyBOITAIBvHlOHczY5
e85CF8LWTLVqYVUDtYiACbfR2ZVHjpB/Cdn+LITxnHHZa1NtxHAxrrnJ0P8skGTT2PEp3fKO5/Iq
++40/4hinGY61JmStXgaxod952hgRSM9/Tkfc7rlZcXWHecfUYzjlKq2H2ItQlVv9xwR/YGzlO9d
P8z2Myc+t5pIqjvsjdTsDCLJtqQR6SScULshwH4kDrBz7fv75D2ixkhkRFcch7Bu6KDc/MRUQicv
4xFkrdfKsFuKiUSmoycRY4tmI6CHUd5dt1jAt227kMS4BUx7dmmpoSYrv1cBrZHSCYll78djSbec
YHstfbqUY/9ZFeMhjCxPs6jHqiaMvQR0OLxQJ93uPp4URCkyx/YXI7iyMBayALmxAelgCAu98IFW
7nVXtOpN/yxFZTyEWVmFDweRn59+zSG5z34/XP/+qntAKnSBXFiS78y2VOgKBgIEwl97tO1sOz3G
GUFkdV3I8pFvKroQwuxHWVZ1KY2Ic8wNLtLNI2Y+/k4CS3pfCxhBCgOE2OHzTFSYVrsRt5zwcHWj
/6xCYbZCKbv/H/Xeb+44Fru6yxefZjJR8hShj7OBguSnYaPtZKJuOfvMk6Bgiy5umrItrQTDrXBl
6K1rnQf//i+XwLhlH11u6JGBgPS2p4PtcJ/Q677qQkmMNwZC2jCFBkwVQDv3rwW9HWzxUFPOOji2
ypa7UqsGFJMKKdPd86v1ggjz7a8OA+tyQ0topU6GgPA8b5PNoXDrzXUJq9fWhaKYMz1NbVZoKCGd
Uy94FEnETTcvln7lPCvMeTYL8HWlyztJ3TzVtrI3w8VnRDavKMhZCOtaDXWY46TCsahOAUnOOeW9
zFc2G+1GmqagaQOIM2ydLat8PChapUDYgpd5QSeX5AHPotaCoy9SlmVenj2MlFtlDSmNo7ivEvES
D0w0eLk8Xd/3lTP+Rc7y9ws5UlHlo7isBu9/b1HYxLPdlQ0BgRmaXNAfiCcK20WfqEoeosWuwEvc
lVO0s448bt/vQ6yYubkUwShrnkqgrQgQ4f/qnOHppnSbx9IRbemJJm8h4Zz2levvizRGZVZZSHNb
6sX52T+6YkVVIGj0iH7q9+tbw5PDHMlaNoc2bRY56DEfiXKi/on38OLJYE4l7hBB03tobqL6xr9D
ptFG7zxoA8/X17JyD17qjM00J60xGMkiB+jJpOi5yYQV7wKaNjyA0RiKdjqWlsVqB0kSZugqehqc
hphe5BEF8SL/+K8lsr6IYlTmCwPw22SI0jAFa+DR4oY0o7CA0AHF2Q9ewmd1h/6s7POGuzigTQzq
xHhZGbg3XIH29JS4H5zrZd3bXAhhwhRZDcauGyEkIbG3n5z5hDzJ4911G+BKYSKWSWstIxQhpXLU
zTHZAxT/Ufp4nH5wBPFUxsQtYzknaJP4VFn3Im31Byf/9XF9Ld+7rRaOD/3/UXQC35AtBReDNNSD
oS5PZP+YnEpv2mUnf3P27egYHdEKcfg5Pk2HwkYfhHNd9ue3mav0i2wmqAHziwlmesjOQpq+1XZk
N6XT23W4yZxA3Xb1vqgwyV+D4t1GK3gz2r1CRWeiwAwZfxbZghUS7TGmoX5kO8OpdoqbFsSsSXY0
j/IuUUnwXiWkjkn2WitEnUj8PBzywA78bRdkVDmmmUWkrfjimxsBTG0/zISG4wu6DqP63M6bPnfi
1AOzYM9ji1m5fIFqoWG2EmML6PlhEtZ9ngMAvJbw+pXscg+CosfItq+rlyeCOQu9gaetYg1LTlym
rn54eeANXqxFpV9WwRwERZD1SW7F/FzU5LlyZKoEYJeEHu94s71r3uqLKOYsdK1agJUdq2mc2CtT
+gw0xJpWKV3qLoaXce7GFT//RZz6NZywQhmY+RnE7cV3tEJJP6/vzZoL+fJ9xvTBWpW2MzpGz/MN
qvwGOrpCmpPtU7GV76+LWgmMvkhiYooKnQtKIEHStJHpsdmYv7d/J4AJI9REq2NFn5cikkhf9dua
s4AVL/hlAUz4MEpNkecxjgpSw57q1Cl52X5wtpt3VpbfcHE5VUMkD10CQ44wc+dOnTMpW16+6fpG
oGvwq4w68Wu9MCCj+zgWG9Uun3xOJ/51TQGc+6uERJlb0xexE/5jQfrzYBFa2JRzx/KWwZx5v9J7
yaywjH2PRP3j8L9iki2oGf84xm8TOKnUjEoloppSkGNEYvvechLeJAZvCczhBop+HozNhLyPiKJk
ald2z+mEXXkrfFkFc7x9IdfBArS4j2iHPmFX5rWdcxyIzladxiRqZN+HBGEv7o5L1QRQWqP7GNi8
2dfrZ0MXmfMtIkc/g9oT568iJqEBOhGqLde/r1TRvmiMOeVlARjopMWePONtJeOWN2h1MJ52nJDq
ul/XWaAZjKAVSq5iMWcPfOKb656Qoyk2xIVVq1ac4uNib7szyd6jY1txk8kcTX1axoWvKrJMbYYQ
/nCgivtrmavUCcjjec9djjP5LLlfiPFVI9T8AgamEdcVH+hb4XCc7qoEGeDaIDMARcO3t45uAh+h
V3BIDHRTFTPR7sjwxomC1nqrMZfxRwrj2ptcmaPAknFQtgaxm3RbIfvgtkDXBWB2QXwUt/uNiKbi
AoFFctI32xaj+N2PD+dFvNnx8qirrufPr2FNBLF4pAgi1pyQ4ldl/0R/NUerq0Z4IYG5BAq5KILK
h4S2JRbo3PcDjut1O1/1bhcimCsAw5BlLucQ8YRt0yGl4PFC8hbBRHsxikOC2sLG09p2I2IeQpAc
Uo5pcOzvs5JyYeFpF1byMECIRsKeNHh5WDcuxmKK83V18eQwl4HamU1UtVDXRH/Vs2thKII62uN1
ITyNMWFePZpRo2NXzvv64KI30a6feMzLPNtlLoKoH8akGCDCuHH7fbzleTaeWS1LvNiPRjcKq2qw
Hxg0Hu0W4MIP13XEE8C4AiufUdeG/z/PD8/afedy+6pXXfOfg/H52L5YgRqPYZItEPXA3vcs8pyc
RoKyZroL3Osr4WzF56DghaBuVDDQK0BQ/rsgNzjp0RvnjEscq5WZQ94IXad3Ena7clpbckWqoa6U
UwGF5ggzpX1NjTunJg9vvGZ4jiWz7OmaGnbLDOSiRMluYvJjNxDt7br+eItTv5oaOJTKqawgI/YG
x3z6LW2Mzfz+d/7lswJ+sUmj2VllbkDIQLUCsFu2RH/Wp78Uwpx7xa+mFLArOPfVExzYKfMwdEV5
7TlrVeXLW5SdNsQF2079YnD2aG0wDttTrz1Xz4mrvu7VLU/cd7SF5RVwcZAYVxA3fj/0DYzvuT9I
uhMdjmdMId4mI6aLx53yROk42linlDgfmB79j5mNix/AuIq4C1INQACLER6DbbBTH0zyYNjmf3mx
/RHDlm7VfhzycLmsn8XNfvpsUsEkYfF63drX8zQXYpiYYA6NvKx87N6IqwF9cG8vPs03nDO1Vr24
3LTPSOzC3kU4i8kIoTP0kg4O6IvA6os0IgpLoXyMSQnvwcOO4a6MCRQiPzIwHAcF2m1Oipi8II8W
uVuQn/ylChmPEQ5xNakRVIhXafYYbX685NS45WXUOL6PrcmlouAbmaR9tvyOJPB6R7z/y4UwDsMA
A1+mjRBxzLauG7/ljUvT5+tCVpeBQcals8YEITZzfM3Iqsa6MBEpANT5ZwHwOH0b/RfHdyGDOaFl
EumCBFLvM5iPEqDlSjv1edrzkqirF8UfKd9u9ErTULDWl9gt/qncoQ9/afY1OGtZf81fiGEOqA7O
1NlA/Ha2JxreWkSlLZF27Wl7fV8+O1qYjDuGxv/ZGPZSB3ODGbQF5CTlxnCMXz5ZUMcIdYCh6e1O
zXkfe4Jr7hpi4EVUAqgXE9WcJ/h6KvfiRzBnduF818toWaxc7IM7EAjpD7hDfoRE2GQ27y5ZdxEX
4piTO4OMfRQmGMr+KGNa1pb6pUlG3vCWtRr8XchhwvwoK4asaIzlaYfKBHnu7WA3f3xc30HOyWKp
XOusTyPQi6OBoiDV014eCF5GGEa5LmXxAdfMhI30Ryv0Ad6MlhwADZEBVDT/Kda/UBbjIaY8C6eq
XwxRJ6qN4ea3v1sB4x0iucV404Dvj5gFOeXctoYl+r2iIfbixhD4NCUaNPRZpnVfAyfy6Evs8NAQ
1iYbLk8s23gVDjKyYgIWsvQ1yPRmJuj6Bd0bt/+fY1ns7d2Pul/4AVaUEQA/046Ed08dhoSFm/C2
9Gpx06MqjLEd43x9pzgelp19F8whX8rQyyvcehBu+jPwAlw9tDkmvbo8gHQsvX5oMmf1iPmzGv7V
gtPpntp94j0mNteLr3qACxmL0VwEQNMQJcIwQMZe3+QHcSfZI5kU+vLf3pkm5neBVwnoKBb9ALBZ
SRREUYG9ekrPAFx+CkgEzBRcTdc3Z/WdeSGI8Wl6n3VNJcaLIAN8LpgO5LUZrxv4hQgmHgGT8yyl
c7K0IUmITienoe8jxV1uh4SXZV61tQtZjF8b23ECxxb01if0BFQ/vCAi2+LFDOs3zoUYxrlZszmX
Rgwxz7M9H271m+5wV3DSfOt6A2snpvhhzaAr+GpsTT9PIILIl1aH3i1ehhfEpbSxp4KormxzTW6J
QL45vD/ijMX2L2y7iUEXJohlgcfs7E5PQCkktzP1nyWHc8Ota+9CEhMLVVZu9bEGSSIYsW9CWwUv
U4YF8Yxh1bYv5DCnFZSrnaCAOvJsg3pBwD0n/IfZZ8tAhwYIQZYRdbbI3w1qnwxZDXMDmqROl7hj
STfzO9nX7utLQYzKct8f9cxvl2OanCIwZvW13R5eR1LZ8m9YRHOozi39Lxt1KZVRoCi0vjpPUKBC
5ucM78oWIPM9ckI8QcuHWNu7FMQEjKPUC+OUdcXZQF4w/anShtznZHbqU7njpAhXj9WlLCZaTGMx
yNsKe9a6iOAmR1pOldvYJbwFj7RizR1dymK8qzZ1MEId29YvaLlbTHIUNuD67es+XOJZx/L3i6Nr
NIoFYm+IKVHvXFCHgWt6A6YKmHxPWwcsZAHcIBcWjieWcbbokZWM1moWBzW7tQeQQ1t9UR30LrdO
ehp/SU86n99+7VBfqpRxvUmK9uUEeIY4CXNBuqfJMVzDtZ6Hl5AGKJQZJhU1J7vljhpxDYfxx1Gv
jKZWY7k1tIwBNlruASED7NhywwWjWIzw3w/EN2YVJUt1OVUXw3HlBTn94EoHnWaaQ6YHnvWsBTV/
NAqU7K/Wg2d2LLQYk4GRpm+yE5Dfg915/v6OY6XLd66tifEmw1AOrZ5CDlCIXjMndN9bJz/JIJHg
xtS8JTH+xJqTMhgKiJpdFeV/EAyhsJ2j65Eb3CxfurYoxptogiqLYYWNMsyYaEPvKsr7pN5ZKD7m
ol0jrq5tvd8O7cbqXqqy/59hq5FHBWGq+omjBnBjxihTI4rqsJmWpksDNSEFl6lT4sWf0+u7t37s
/pHzeadfuBhE3JoQdJ9yml+DKzn55j/0jwI2EwhZAFA3MeDELEUwVaFNjXGxQ8w+LnsmHLUXPovh
mh2C89VArV6ULZmtSgeDJTQBsG6BViBSN4d13Gqbx8R9u66xVX9xKYdZjyY1U9gbkAMc/d+g2iWR
N7nWRkLxObB5vf6fG8Aa4oU0doPGSFUzX4Y0kAqT13H/e37a8dCS5DW3dCmEcRWzP9RVuLilARR1
GVF+4zln6xMBlpF9cz/bLl6vt4Gnqs74EW93lsdja1ktU1z+AsaJpJEoZ72IXzD3O63YP+7vglNH
RHIaPIRdJsfq1264S2mMH/HnLjGEGdI0oA4gkdE9ty/XrWTtXF1KYPzHqE4jjBSXSvCC3ro+pIZ3
XcB3zmV4iEsJTAxiyJPYag3WUNvyAmoz2zn6wA2ieRl5PgZ3EU3J4N6qgT0+OvbLLqcfPC+59jS/
/AlMfNIJhjUH2hJyAW8gQSJXJh88bHeeDCYYMaIMXC5LqNU9eaXTOi+BzVvGal7zch1M7FE1eTuZ
2qc5GGA/PaOL2PHtHt0mj+Leur2+cbwFMe4jTEWpyBb3ody4i5iRTih8XJexfOOK02CT321Q+M3U
4p5EIkh+UUkG6jZwK9jXpXBsnK1ly9MsR2MEKQPMDuDOc0hPH9dF8BbCuIVcHRtTEKAsO0KwSxI6
0wQdU7y+wlV/ALxIUwd0oaqxT3IrLqWi6MXi/EtxZy+5VbfXl/Gd2no5rH8EsI/wUgCZc1TNWEce
Oq6+0+kIEIiYyAWpcauf8ppy6dJWnfqFTMapx0oaxEaFexeI8LQgOoa1l+hWt3squrS6+ds1Mnsl
V0VZJxmUiPhdpQJIEeXH1E2ofu7pS+gInrgMuPYbjhWu35AA15dlnGFFYY29H0oFYJsS0g6b3o5/
NjQUSXHexSO3/rEWfgLa9h9JjEYFFc5oUiBJk2HxrauR41jY86aTueNEPFGMMgdDL0YplJcbyo3t
5HjYAUKfX4VdPvPNUVysiLkIAecbmZmCPWuSLdLF4H5Wifpbcugwuzz74MlirkQEtHkZp1jS7PZA
HI9DQMoptLm5izCiwssRrda0L/eKuR6bQcszIGli1AcITIqTHawaiYB2s7xK0DK4L7Yol9Fwc/2g
r/qrC30yNyJQWcdC7CFVMTdN81R2t2a70R7F9FHs3Ewk16WtVh+RrgTfFzCXkRxnVJqUhiiIiYJX
yo3not1uOB5GdI/9l4rtpRhGl6DAKwFtqC5vc4t0KpH25S/9lXeOl9Pz3Rb/LIbRXdICOl4KsBj0
9FUkfF6GQQ8+MZ6Abnhdb+u79EcSE1N0oPydGwuPHtHJnPeUHJYnJC/G5G7OEghcPK1qq+yCatkc
Oz0ccxsI+7jpFYd3rNbvrj+LWRZ7ISb0DVXQQ4jJb213tDuneaw88WF8GUhMa7vjpK+XX31ll9j6
mZCCcqLwcYqf55yUpxLdnTkXY+rTZ3+TooLDHCCkC8304h4vFiUJAB8NK1jcAqUnuc+RTZ+6iCZb
ZRu68hmd+V5/nzo+zwhXLeNCLuPh0f6g6mUKuTUqGr+qx9vq9u667a3q70IC49hLdDHGWgMJe/+I
4UMKv87ZId4aGJ8+gfQe5TJIAOtKtg1Oow94uJuh2QbDf5neRYr8zz4xDkjL62CqRMjCAJ8t3Ysk
39zxpg0X7/LVFgDijfFqAKBroMdgk/GqGrRpYand2fZ41+zy8659+ut2X9/Y79Hw15/JbKw2d1MY
zEoHRJXGzY6DS3kFV54imI0dAAE9BCoU8Xp/y+tL5X2b2Uh9bDO9M/DtjHJ5wlbeV19Vw94fgSV0
ANPuzop939iA63EOAS7fh7eHp+t7sDIz8FUSc4eU8IRCv6goIR5Qiweyh8N40G3i0of7fLP/ZeO8
ObaD0UOH0xH4WYi+ZkzMreJjojKpexjA0f01PEaPppPRd4BPH+3+5j60Qffu0W304NDOftieMtun
gWt5b9c1wNtH5tIBa2ws9jV+hHuP3Cjn3vx+1XzVLnPVdL05iZOJj4/knXfKV9Jqlx//NmVndprW
BIHWnZ8SRzhlm/I1JcBwjx9tgcegdv3Ys+N2f6Nw8F1+valkyZ9rTV4UfsvZSt6vZI57JTS+H1Ww
5b/+8iL54nbt506x/MVVATua19h53QB1FrZxEsQsGib8ao0QwsmKr+Qpv9oIc7zzJGsja7ERoN/f
N5YjF4936X3rIqVsH94OHXBDp/1BeWo1ahzD13Ak8SHmQfF/9tr9+0H/Nlc3SP5kmMsZA5k1VUgC
1kX3sOS1G5JvK/f5cSKbrfPxl+bAnOzJMPJeEKHYkVDOpxWeqTEHeyzR+Jno+DYeZUlFkrtis3Nu
DhO5p/ZdRw7bF/r20O3pxl6w3XZKbFe8OJbzE5g89/Uz+Z1uyfxiJ5+h+YWBR6GEcY4Z69n/6ggq
3LHtHn2vJjJx3sECcF0aePauhhH6p2u7EDfI1mwMKcyyIp5tEW+0hdeEvCUomTZbgXi1i7HCjBQV
UVU7OR3RIKN5guOF7t6bkN6WA6K83min5zannbw/jwD1B1tu5hw1IgakcoLS2c7bbvPcbG5M0VF+
63cS2N02Kih8N9ZBAZ8eCU0SgXxy3FVAtiDmUboHKggJQrSlpl6XkvZW/5DQRekBfgH/YLaj/Qim
TlB/bdLDjw8lRonePNW29NDkdnzb+6DwuM8PZesUT4Zb0BY/V/htvmjxZ0dEnJNho7jgFm1ocfCR
XMo2Evg+jrfFgpf2fhS91t2U7rtFNEy4eqiYUXFXOccBQqNkO9pxh5o2Uhraq+jM+/GmIv3DjemE
FIlsMJHpNLRLNzbJs1cREEzjNivoeIMeXldoiedqG1iqlVE8RylggxXycthsgQVxb2wixzEcZKSP
1l2wL3OUMe7MXeYA2nNwS5TO01cNDHozmexRota7sZc9tSVahorv6Ta0i5F4erT0Tel7JOjuWtBr
Dr79pmE6wyTVQA8v4mu22f2o9qfK1p5u5N7pyQPo03I7A96T4gn2nb8rH42zVhIgrgLSGKRBjoDQ
eAPAYQl1Df3UD/a0FR2v2z0Wr1lDtU1oU7MDbkzkGifcfU5LjRJIXphrQ4sGbARkAsmM7J3vOeX2
YSAKMHHzj7fBlm+2b4/DD00hJNzZ+m7yzHsMXOzQLbsl9bs+kM1Oh/HPAmmPlOSIPKgK1/UbFE1n
QyFuDeqK+N2glhef0OpyQ5yHmqROZSc2kL56cBz/6GkPHqddYn90EmCgtjXxdsqRznenyBWJdF8/
hvCAZwS+2I/+dPLwP7sDKUcoDZmrHr/FDii0v9XfTho6g6iJj0ITAn0O7fx13rhAZ8/xn5Kzz4gL
rqUfAor9b75TvA6AuE7RnKuSwY5Kx0qd0/YHTd/VzU2xP3UUK/0/0r5st3EkyPaHhgDXJPnKTZRE
eZVdtl8Iu2xz33d+/Ry67rSlNK8SXY1Gdz8YUDAiIyNjPQFACRUl4U2E/SjHcqPfCMI+NTorefjA
KzdB8z3fA3hseXjHoKghl8Y774pG486qs9uku8K409+D3Ag/I2t68p0H9QYrq8uHDjXXXYGRYwsX
jTdGG/l615A2uy2XW34ArQztzswPKHhvTOX9NTGBHivdLbA/u85qGtNwUwOi/Y1MKLe9Sltjum72
qV0nhuFu7Qog8bqFmenAFm84+DvJdWm4k+lDNp+wVcAjNdr9w/tTdv2YOeNteIhfrXx0ZpfHZejS
w46A/8sGbe2ZVQBkJKuyJGPIlzafJIxVjov8Hj24koOrPxov0dXSkJFabWZo18RZYOD1LY5qF6Hv
m/EcMelTPpUwN1KdynoP+EghM4V9dDw6EfD0Owe9QzfFtoTnLN3oMKP5gRFBfPFGPe5nvFNeF8nC
mM810K4m4+WoA8UgMn0DWUr3spBXmnswgXAi5OVBPHk0eD5QMQ7O9ccnK7IPQL2RrqonXBYF63xV
do3rZ3btnBwVgwVam86kxpmWpfHrWXiMjb3g4AKw2Frx/8CWhJUqkigRQNSdsyWWfSj2fjAcdQPV
/px3YCExSl/coNc9Bh5WdcNEkFupACy8fdOkRJlUcZcFGmgC2T0P8Qxit0vkfA4M3lguyjlrl4+f
9VvUJ49SIcZ9CQ/FumN85c/0z7nvQx10GDRCjXVuiwOuG4mtXCkA7h+MgkFGZNGhfHFAkBVck4LO
kwNANcM4XHPmy+EY2HjqDBfLlh73Nm/cP7osfMUVDTvJB5GvWtvJxQmSphKyJXpBMYsVvbA8YXoA
StXGcuCW8OVx3ztOaB1j9JHkxq8jHBDnznDtrbLZPYaGCaj498ncBRarXearB5yyQGf8Uc64L4tp
1Y7g78myDnfv19duZTzDtXT2hZHZaKJ0HOh5Ye77vW9h1RTw3wLDmlEcNT83t6Np39s7eX+Pp8G4
iay7TzzW292H+3HF44X6JRmHQwgXzNXsyxr9NUl64bvpOhyn9w0AG+AFC861bx22B2vAp744itsg
bMCwWuZIhocNhsU1q4LPuE1f8cCJSsSzgGXUS9onM22Wusk/S3FnF4oevSJDmI/VEkxYx8A4bBdJ
b0z77YiWmNCAm5ZbnWW9R4gFJ+R0Fm9NsUy4VsRA6MTI7X7B+F8S8rkN+h+pJCmXiPgY7F2wtk93
v4Jbefu0OVjbytRuWsN2N6Zxj/9jcgZtBcS28YHmxr3Hkk3AZLgsbWVcRroCxYWqRvrl0IGoyHqK
F15oXnWk/yUsS8XIxI+nJJyCrM2wNBcBSy3ADRqeNBdjopzV7FmnvGbNTmlR9lgJ0VcGSLseVjOy
e/e3b9wvZ3n5iqw5F1hV/c0RZZsnP8qSkShAeDIPyd1bZqavmGZgIsCvQADgNTyhQ9lmPdWaQldA
R0XAN9gv0luNlSBAu80BXM6hJR9bTg374bN2LjPIkiKVAu2aGBXe9EuKvB28qHh77tXBYDXFscho
5z5GGOvTHJVgz0p9Q8oM/3cGpUhxAy+zs5rpwaAOdoiK+tfyxXNCSqgmhT9q8NEOAoa38B7ULoeI
M0RzUI0oIrMCZ3DVbfqxICxUjMu+VlE4pU7ddaGUyimqFurd3V2zze33y+ytplxPCVBKP6VNLTQS
CAiZk01Wodqibz4HW76x9cfJt3B0rMVF/x+awIdURVXArnPq7PjZT7hJx6U+6IAnIrsYifHWnm0z
f/gr7r4pUe8oh22tnRSDO8t/jGersRC8Jlbn8jgwjpGZXE0BLdO5/48t+vEDhHhe9xHYKi3FGLBz
UjD8LY9JJUD4q0AlMhjMrT1Kp/TOK1f/k8jjHGQCmEufZ1e52pgiCrHhLri/TGctFIMl+eaLDsX8
sPHlCOEQEimFK1tS73B2uUcrhbjPsKArPfjwKxDX72LU0MlVpRoso7Lm3p99A3UPQmx/acLlICck
jBK7dTVPsO+rt/8sVOo++DHHYTodhzhhhw7mR7BKx3nQrv5ikn8xz99CpZ6BWBQrvZ++GFpQ7DIA
LQwOtmttmBwtt+nnE/pNiXoIIqLJUzqCo2VfqA7orB7j6Zieu1qm53z4SjHyFBEGKpmUWQpKPQU5
z9W6Liz33AF05Q2xuE0AisLNZQVdfwq+GaTMSSyHORcGCP0yzIwkmxSYy68Rs5tIXFTskhwpW9JJ
mo6VSzgx+XZARhU7f00ACKPAWMKx1U3fiQA1uulhPXfpgdsG143L6udjHCXdeJFyTSb6Mt7WyWwe
ug6YMSQoLRLavf/5r2UKfFsiiyIcL4DcUkeXDVNZFxyY7Z2nBiBhNSYP7llv63r+44QKdXKk0+c5
wDbw46NuhGYyGiMQWwOjsUQ0yaR25AT30xuT6spBnvFGHaScpZKcyVDL3vnyKRGrCjZykc6OuXlj
5cBOSP2Y9Wl8MQqq5e5lBo/ZWMUWrXtWC67EIkK9AwIhVRAA5BHDFfo+f86RJ2td2a5u9bv5NtWW
EWb0u5klHJXC/axvRdeD9c6N3QNypJaFEVQL6DUW7+rMJvs1L/RMAPTbUWRTni8nDFnzmlmZOnp5
3nzv5qPc/yrRAWgQdzK47eSjinZZhdfeDEVAM6guY3gG698p2rnCB0kcwy5MJmYBfc97LZnu4deE
O2UVzohQD1M2xAP6QUGksrMr/Uq+7h6CHdlWG8WObhPM9C5v4lVuu/sRqfDPDg1Zn/kthxS6MWHQ
gpW8WAsvzr6Her/0RBmrRsX31M5BtHnZ2Ix2f9WiQYs1Xs6UL/WEZZxadqQBKctf6jAJMJAf7vVn
VsS0Yt7POKLeLx79tqkSgszhLdjdaFCZwSD2ZV1ZvUInqkKZO7Gr+EqeQKO88b3alp1bxPAMV57F
B2XsEiLEAd8i+3qIbyL7N7epEYL9zZt7Ji3KuGGMR4xrHpxUdmMXdmejCRvPe8ZeqLzmxp+Sohva
00AYFTy8wxEzyoa6l/YBSm5XhdM+lAcWX2tJjzNilJHTZ/RCyxykJ1wLTzwMyWGrovopWA6GDV/k
3XQIdqlFYE+s525r5q+KW5ic6dmSbMC0+YZZbXfhQUIdCkUw23eudm7/fFmL1tJfZx9JW5ywF8t0
kYg2YljhVySh+IVZZ3Vwit4NyaaTjEKyonoDzPhYuI4mY1bMcDZr3kwz249RPELj/FTacWjF864u
b5tqw5f3jM9cPuOCzVIpmxVDkqRtUXbgTX+n/Ar241flc2PzewAEu7FhQkBv7xUAUSLnkUF8/aoR
VcKQhYztNdRBjoRMShHiICdzeH1CrXIwWhTMcyvaDYdUQ31vNsvZsKOjfI2Xq8NfE2PY61ZpMb5k
ofRDDNgBS+DmaOKPdZm8yEkBh82ScIzjHolyAWVwVG8/qu3N6EYYZXpG7e0+NuQ9puAs1lDTuqX+
Lv7wlKXOpdrXwx5hldSZyQcWj2ZbXNJ7BperVueECmWkg6QkQh5A3LxZv3Nm8oysPAsXd/0lOCFC
megUkFCiFoMIPIlHgiGdCNHgcOSN28tHtpINOa2X0WjWHV/xtVyCDjCH78R7CRGge5nCulE7YYWy
0nOdaVm7qCcetf764zl1C4vhWzPFRdloScFob52DxoTNGYJb7vtd827GG9YehNWr9s3L13ecpMSD
sEfN7EvDoN3jlrsjTo8c1WWJrRs9RZVkggSZjBwtrtkJlUjmo7wrkwFpU2CL+I96Ykp79IrArdac
1DWfl3hMRHeWjCyB8lhv3hkqvu5knnwBpeNymAbtLIXD8WnMDUAJBrt+r6NzYRmriw1+nx+0K+BQ
YvNyvmFGE6vG9IQ4pfuTLsncmID42GFIe5sbvmcbvW0zjPZaWyv6n1WiyFh8qusyxWQUh50UKvWA
OyajU6GPcKYA0zDHHLvYDpEr7ypDma32VxcbzRFbBPdlBbPFxwCLJL+Se/zXLVldY6vW5eSjKOZR
6lFnkvbwm7CzKU1M+fgAwP/m12UVW78wmiBhwEWQJeFrF82JimHXTB6lWCBynHYzKknP5gOz0LCI
78djoOEZ4HmCaQN61bmPpQhj6I8LJ/kTednLt+k12Y53Y2bk2NX7cstqpF3LJygYiZdwnMgDySp1
oAXm1xXOT4dj9Jk8Lntnl8xyZHrOr99XqOIEhnoQbmf03dyHmzI2GCJd3niaX4CKog6hiUSRJMrj
nQq+GGM+G2BKJ8xX1MfEBmalx2N567i5Z00qC4sRuESOMqtRIZSRllQD4GawG6K6ckZA+PvovjK5
jcKCQ/uq9f2gJmKvgqKquC70uECQ10OVa9CX2hqd+NhmZqCaBNRS1za95+cZzmDxzGMi+p0h1jU1
Ek8oU95N689+EfXN8AcWHx1V3pLZwArcd9ERjQoZPsaTuHYDTwlSLmcwSX7BdWA19I2D5KWGkhq8
07KM/JqVg6rqkqouWkModemTeU5rAIijm00zJKwDrHKzkW+zEjuM+ddRcwinmxi1M3VgPRVXfvqc
ce6kvsahaPTlrhDQ3pj3vUEKVwgxzM8zPnBl1k9Bi/X3B1IK1ohFJJXLbcJVUp1kFxjB4cMHZMZz
YPJuWrFhP9eckVOK1CtO4ryXtACSl4B8V+3SBla5kZYuRM5/ImR7NR90FIRCs4ePDzwKJqrtmv8q
wibyOiG6QlTqA8KIk9QpxgcowKv07nQMFYzmFcfM465bqm9C2pLnPTG/2lBPc7vo2COQ3TEU9ZQY
sq07+b0A7PKdDE2wrl7FfWl2uRHv9Jv2wMpxrVXhcLz/8EpHDVIv9glf4RP2C555vx0+qkP5K9/P
m2z7iilSrLd37dh2441/xUokrblRokwIpisFVfwBiDunvpim5YSQulqyZuj1Y/azrAyHQ31PaFBn
KWspevAK0Di0N3liLrmUHRyXzQPykgZaaDiLlfJYvzHfJOlylS9U5TAN84BCtLLPEIUtzbL2DQDb
wwNnCdvqjVn4W310TkhS1tH3k3LyYzyy1rLWrLnFxm5gjmHUGFrDBoNZpaZIWJKqEFmXNUqm/Jz2
2FIi40nfOhFv5hbgj8j14LUv8W5iJHdWoznkyv+PGP3k+F0G/JQGxB5V5FpQGxawvkkEMFHK8gRX
s+anpCgpkihNgFUrDkd/074DQCq8EtVtUzj4p7JDlOPGB2UzI+04dIxKy1qJE+t5v7mkXhu9Sycy
ZCDdOqpxHYt22xrok0hvW/RkoCuc5SSten6nBJczPjE9WV5lCfaVLDmmWECKEQYOMGsGh9bFv3m5
FbIs9JM0VSSUK5sgJpsyXVkcQECZoJ1qiSFG87douaHN7itYDTThKMgiYjD8q1DaKSWE44BAA6sy
SmgE1jqunw2+TuZrkmEHstF3hd5aZaYChLT3q6gy2rQWaixC1Dpi+53YfkqcKvy+LIavDcg/XCeM
3GrLGmZd/Gr5OxE4PydcIQzJeEwRssmm0D1N4i6VjLEbDD0sHA2YMukLDwBWAZM12l08/+4So5Ju
U5SI0iflVU/R065Ub6lwK+aGOP1C6s5u6kMhfWZiZaZoyxTfktJIeDSGG0luknozNVtANaiEUZFf
NdwAyIGXDUwonealUGJeHaR4PGLlYEw++vu8ACzpa3IvPVyW2vphflOiC3OVKgS1KIJSvNUB/41J
jOBtGncJdmHh9F6icBMjqzVsGWRXCqwKqnP/x+DXOOLJYS3eWgBwshGjjgJ67FCnk8xdy8z0r3k6
y9pktGro2M+qUr5VPEozz6GGfIywyHS+am5YubCvaIPWulMK1GXQJK5IMD4zHtUC/aqcb5DJnuw6
xzhItJu9UTf6bX5dyqbyJIbbNNz4JeZasJwlMrrRBTxbY4qSxUtYLToceOTTYmjrbE7lVgs23A5L
IHtylWpWV7o6M5Ra841hEyVekgV0VCm0UZQGPslKPKS1lX0ees4k2xL7Vmyz/OgPbLdvTatPyVEm
cc7loebkYbHBS+R2OOaABFPtX0tdRLM/75E0ZSY51jTglCaV45l8ZWzQqT5gbzryiNdAAyuw34Vs
M4B3eIlVWPD9XIUFybPqeJ6SpULkvOyyaJ5BtgCWNfAgrgGhAFNkyAO8e9laPCPeHdDQWO2LfW3F
h8JGlZORXlp0j9bNJemCHjCiYn04pZuF0vmZ1vBLe8Fbaqn2bL6mG9a8xWoO64QKnavLYwRxQSUN
uMqV8XbNGSihmFjV1xrtfeLFe7VijVisOoCnJCk/omjFFBBRYGyy5Y/5aDkvVu/JVnDTb2Q3+R3a
DGu15o+d0qPuycjlPDo5Qe9QYr9SVJof81WCRd8oyCzx2Tsr/bkWiytAchIEXEwei7nPfYeWS8ps
6uGSyb2fWqGKCHWM2tTkZsA3XuZtXUe+SVHh8TD5vCh0GlLeG+mpUYxKtVQMaXEA8xWdWWZQW31u
FEAcyirAozW00JxzFrQk8kMZnFlwbZu7YudbeF7uyD5m9geuC/GbFGX7u37ihCGGWzRh2+a4nSrD
t9BdgBJablvNPbdF0wBLUdYC21P2qBvHV/MYocF5CWx5s7sK7N+dNaN1ImeW7+VFB35e7n/Yo4Og
uhoaiZNAKs2gF60pyKGVElNAH9a8SzqrzFM7fR+zQ1FEZtdZrT3MT7E2GwMwyPKdJB/0wRp8ZAh3
UbNVggCqbNad43em/tLpx7TY+8Tu099t+NSUBz18nwFgkrtT4oTAGAvsApFX7SveIF/zzVU8un7K
WGe6Glui01IVVF2RJaAEnWsLEsealgKF+fi0f+GJWaCj0zZvdeuzxPicxWxS+vI6aJme0qOOz+el
ouklfwQ294QuSB3YI48o7Vnbu+2dat7Yv57VyTAVM3V37Qb4JFidHFxjFuH98p38crp+fAd6P9Bm
J0qKKlPfUSRYd5trw3R8ekLOYgaAKnD9ZhetCiPGRgzPsF9jdBP0m/vSLDef2CyOWuT+9vJXUJYB
CO/YWrCk63kZrr6uUMLP/HTk4yBMPbm4EmdTzwzuNeZw7OZ0lFXjMjHqsv4gRnE88fVcakKQemXM
30mVbmhtdRCHhmF/GDwRKh+U1VqhyQV48gE6ORszb0yD4admgF7XwhyC/8YVod6pquf8DKNyqUcw
wpw2h1K4JSpDWSg78CU5gLppGsF6OpmnXdyOqPwQzlnq8TE2yjcvehcYxfRx+XhYRKjjaRtgyqfA
f/YyCZnQ4U7IgIwnJ+bESpetHRDBtIKO90FVcOnPb3wFdso+LVJvyIBdn2xHzVD6j0FQdiqnOGWG
jtMsYyjFGnOIEBR+ydPhP8vfT2IRoSbqOPdl6qkxb6T+ttQCJ+pjqyEMe7am5KeEqMdPIoM4iFmT
elqTmgm/K6J3nkgMblaJEFhLdKfD69MoX0VXZsAQLUTEMISwPlpxoweMFQMrNAT0pYnK0p0m8Qql
1+i672K+4TNPlWMnr3aTjuVD6Az510oniIKMRjh+KW3R5dl6iNJJ0eXMywfulgCrUGs0U1We43Fz
mZB8/pQuVwiEVIUsfbCyrFNK5/dalwMNNvPablzYqdSSQWE52ROD/oeCKPAwqLIm6nSNTvPbOh5K
IfOE5jYZShPZdzONDpUeOI3ycpmbtcNBXP2H1iK6c3UeJ5L0MY/DyVPdHmK7lbH0ffj3qrykJmR5
ybTATV0+4uTOBGko9H4pZV5D1NbLpSJ1uLrnPbnp/yW40x/Z4RVCnYBglTVdPo5zPufEPs29iN+0
bWZ1+jaqa4aurQkNcbC4vHQSULoooUWaokltHudeEN1iD4MhID2oCpL5749GwWA6JEeAKE4vHZKD
jIR42HLP4hr3TUi2f/HziFPQNirwMqEzub0+1F1ZFLlXh7agHNR8Ixd/cfNhlv8hQd38Vo3lKYnB
wTDb8vyUpzut+/wLLhD6ECIpqJzTrTJJzPF8iSqdF5WzCYBII5MJticwFHjF6AtIrgPySAKoO9Eo
7ybOBTg4Pag0ArGGCKUv8VZRnrE/52/OHIDuWGGAaicq9Oc3haR1qTaBkHtTYevycih9/npZYmvW
RfkmQYcCat9UcpqIuacHd4r80EhIokfE4Hn0J3OlfZnYmuAWqaGiBTVDj8g5PynAgwS11nNvjPJt
DCAO3EehyK1w7p3LlNbM8iklysZ0AlfOQUdyTzCeWS3ALC6Wv5/Yr4gAYCcs1dxTIpuTD01oN9lh
rBmyWjkY9EhAhVWyVLolikosAIshLLnUm9OXaey2Qu7OfORm6dJEySgDrHB0Rmv5lhOO+IloXMiB
1rCTp8hqAY7jpQJLm9eo4G1R0MwjoGatUBzVYsMVXJ9nHt/mwPbhAqzfqX7PyGNbKp+xYNW+NJd6
N5en7B9yFFPzFIcJwIRB7qUJG6Np7pqsduQA+4zqjVwdlfFdqQ0JoVjsaIEnbwjGawdPlwITZsTi
J5djSWDlpTj7JMpwZEERZ7EOCYT9vsu9ebgOifuvFR8kgF+C1n+84zrlwqFfQcIyrzLzxAmblYI7
oX64TGCdh28ClMNTpL0yhAsBVcUgg7TN65tBd/4bDcpOVGotTQ1XZ16n3ffBw6ABhyRjGHG6OWfx
Dc4ktTB6ovRCJ/cxYCshKYV0pihE7b3W6JpFlDEwx6Jqr6UyKBx0sIf2nCaFIXK84ERym2zbUU8B
4ywqqP33yd1l5ldM19l3UdckAKCHmiwC1rT7fHrn+rf/9vvUvYj4dpL9AMIl6WzrSrPvwoRRglrV
EXSVYRUJkeD+UOc3c01COh4e0QjY83tO2N3+BQuoycDrRqzCK9TR9WOiBlyC3xeAeC6Gu7Fh3dTV
QzihQB1CL0W56k9R7hVdbWaoo6uswGFVRvDm+T9hEO0FS3ieAsLNmcfFr9G44/OXJmfYguUjf1jA
ExIUE5M0knyqQaJDJ12GYoXo8PeT1jD83zVZoQwkoVDAEx39iucXSeabPq46BChR98q3L400Mgis
ieqEwBdOxclNnfxuEPgIwZwulxtu6A4Z4Q9xkHxe1ioWGco/bUgSxAMBGbkHxj36EEOOCYTAkJUs
nstqGmSJG2cRrASdIWhHUXu/zMTamUuCRGRECVi2SXvAed8pfL/IKh9EF3sYPwh3VarBbLQza5Rg
lRcRETzyEgQ3nYp7hFxWwxDba7ymfBx7YhQKC+5geQ9pBcZag38oUCfClYo+qiGY8efqM1cTjEQM
26Jqjqr8NCaHWQ1ZFFk8UeeDZcVzp4oLT2liALw+7VjPzvLNP3mSdHQaYDOGplOXsstiAQUvNfP6
IO2tWgg/dLG25gRNdBIxE6SpeQ1jMMpTwU9b3tecy/qx5lZKoippaHWQsOd8EcDJXcqncp5GWcvg
VpZIX4bhrurlnZo/zoO8qfmR1Si/LtBvepSpDuYS8RPBK9srDzFKwz3jKVjV9xN+KHE2YjcXhMPv
O+Kn/PTM+PVVkwCBI1sBuAi0K59LS+laWULGKvNGzlG0yJj4fVqwdG71SJbsBErpPJLllM5JAQKu
Qg1yL5vitypFajkYbdK4qShbrIzvF8rED/XDAl6AeoDij04XIemCoY2QERnSHg0FGP8z+imY3Vmb
elNAa7bJJwq511r0NQFbP3biprot4/i517jWrMtZNvsgCCxBj3U38VtM2lYlVtTo3ciK4VaFj8YL
ZL3I4shTws9IWXdVmyDO6hWj+Yj5DpL592kPgLWhu1FGsQRPJeWRj2khq3WWw5MIfFOYdbMArTF+
vHzpVpX0hAr1QuptJ2WiDCplYLXDJpKv5vpB+32ZyLq4/rACEGk6DRWjgXlKEU17artrdSca7tuY
QeISHwsJyh7zJB6SYJFWkttjucvlQ1mazJQEixH6PiAPygUhqFTd21Q+9PVVV2/+m6yoIEaJ0UQ8
DAsj4i1qObqwm2f7L0hg8Z8EJGhRBeLDuemQ86KItbDOPV9Dc+6kAFaVwx4g5L+sy4RWD0VHsKfh
RGT43OeEAl+qsPcA4eQg144wRkYeCgYhQA8dGW79oqa07VhCd0xuEKS9aN+Cj1uRF1rYDhVwvRyA
7AdL89+56fegxW6YvU6qz+Bt7fU4pUhdz1RDq27ZZLmn8ZyR6I9+VRiXpcfiibqaWl8OdcaBAjeM
bt3fVCVvtGRXaUBIrT25tZP4+TLFNXP/ZW0UFXtdkJk+Py/spuLzRMc9HXnEL8ZUmGjRyl9k/3iZ
zppeIMmODDvAKIUfCigNxayWFRRw1twyvk733ewkCYPI2gEhKy3qPPZ8YXaHEt+UZXHWzTIsm/oh
xejfjP/iGiEBhhklPPIEezTPpdV0AonVEo/jGObZs5pWtUnULPTiHjDGlwVGt91+ZQSIwkvLNJQM
nBqKGVVqfezHgVVQZj00itsGIJ5BHNm86JU8ppIAYVsrHxmaQS8TXjN4C1ID0ZF7x6DX8vcTn6yK
C7VswgH3qprsMg5NPfrAIPS/JiKhII/Km8jDWae9dTWMh1EMx8RTlZTc12UAiNtRGndl2/ssH3fF
b4eDizbfJW8to8RzzlAZ1d0QaFPiFZHvVGF0LYWj04utNVebUd35xQhXg0fzvfQgjgBX1vtb0nfA
tNV0NPwmAvrk9QilaGxvuSyElTtx9mGLOp9Imgx9yyd6n3hYUf8c6thginFBEsVurDJsJd00vijT
GSnqUNspV0Ol6xIv6SYn540q3EXzQ6fphiRdC5Lrlx4ZMbsf2WMS4/mJrL9hFT3NBJMyIm7POauF
0vOpj0wJ3urGmIJPEa3HhbIV06fLdFaUF3x+06EuKOqFk94QJfGAnuNft0OWbZVoOjZ93jLu5yol
jNsKIo8bqtJrbjVl5pShnBNPCnJLUV7CEBsER+Jc5oceNPhzcCdkKCvQV8RPS1FMPIIxRFWPTGQb
jDn3nVno35Jehg2o7KStD32A2d5icFS93cjiWBoZP9ta0Jn8wJokXGUdVxdmXF9KT9Q31YTMlTrg
QkWAsRK3GCkxYkbpd+VZgskjBD35mIyE33KuL3PKFRMq3bizvBa5dV5bqTI+kLq6zfjucdRGVvfg
KkEsqoNztFTqdOoujv5QhYjcEi/gfoWFYvGzUTx3yWAl4+flI101RyeUqKsoKfCNSQVK03QUhSMX
o3EcsxREQ7J/cjCMcJncWmZZQmIP/yIposLqnosyTvQ4rGIu8YaYn02+ymJbKQe02El8YLYjoBvH
KsFEFyZvjaRL0eTdB5Url7mATaLJm1+2oxXWGDm8/F2rSoTJV5RGJVnB9qrzz9IGcewVHp/V5DvU
mY1qrg2xu/9vRGhZT10XCoA69ACOgkFEbxAYj+WKCZfh6KoojMEnUBTK3c3R1FfGgoru4KnWLXm6
7ZZMWlDeAi1vsi8zs0iEcnhBS4YlR4MHHGzKhuY+yI8lbJuSSy913bph19xcJkH3KS7mBjRUOIPw
ovBoUnFCXPQ9r+YQWDtX21wDpmePoJsYeoNxOBG9PtVjgUnprDAqkj6LQ2wG42ipKEAMGDzNJ5St
WtY3rWjK2TeJ55pSiQoKdZqWeHoiPc3R7KZompCzyEQf+jDeZ1i7nAu91bdXdd1AmfnXWCxeZNjK
RI4YzsSKmTj7FsoutX6Mfc8B+uDQTihvSZ+qBp9M5U7tSoxgzRx2A2TzsLl8KqsHj+kZZGNgcH/A
teRRWA7tgEOplLgxy7BB9CHw8/YylVUxn1ChxMwHWD/TBTpcsnCjx9cESKf+42USaz6tjNaUfzih
xDdEDTBxS4gvw2Yu+FQifC++/tSCTx/IZPWEpbGq5HIVC5Jr9ZqK2jIaAtAbAAycq1DSiXXeoQvL
k/kNyXZh/9o+8A3DFqxZWnD3TYW6PGURVvMsz6nHRQomt8SxtdMUO1bqshVSK+qFea8Svf4VD3G9
LbuRu0J2C6M2XBWYAgfoIS1usBM19n2G+7euQN8fRh1t2hRhPhRx6jV2f8Mx3rN1vfn+cepMSddM
Powg2jb53GiUyprGj0i9vaw5rAOkXotBTqSm1qA4XYCB1UA1uumzCQGtr7EGXliUFnZPnHI+b/UF
yxKdDqMTiIfZ7We3lv59+HOmKctHnBBpm2To4gD6OHa7aoGP9LcaoDsuy2zVViGAk7DTD6VJevY2
6Srkupee3TbGdp/OgbmMmzcdCCzF62VKq/r1TYlu1xKzdsbh4y0X1GE3d3dxRP7GOJ1QoK4WCZC3
n0QYJyvnr4T+piAPl1lYfNYfj+sJAeqKBFkfx20MYQmDAuu6y6rQyNSbmD8ujkmAYdCJFUGsn4/C
E1UR0RVKZ9pJIfhxOKG/de6zZjM3fnDbZP4mQLN+BmMFL76LGVyu3lUFUTBKIF8zi+d6V8AMQiEQ
TVTyc6LvGxIbCsfqQKRHxv44ESdUKFnORJvGbCR4SYbQk0eziK0BAC6jjHFTEfBAs9wY2Px738EB
HbQaazGSBlOoiFl65HH1DNAWCtCbFWxHqkdLQktWq1h55yPX0t2rQs7Kuq145Ch1LOV7bEohCp0c
7cd+6QbC90ZlaJBmsobwtyTtUv6pPRCVFQqvngFZxo0l5CIAwXZ+BlEbg5Vu8ce1+sDjWdq0nWhW
8qAz+qhYhJa/nxiZXh35NivgN6F1wFTUW7VFpBFMxuWLs3r3T9ihTBl2o3N9SsBOwrtope8Yvg89
1P9HmXAoCLQ1lF5FiguuQedZXIOLKt8JQDwR8m2Sd2aboQRzzCNiBa19rzKnydbZ0mW0jaCJFvW2
c+EVaVY28DsTTxRvZTU4qL3OeJRXtQ5Jtv+jQKUqUlUdMYuAN6DTC2OUVEOM+Jco2HNlhZWhoTfK
LEd6MZI/bNwJRSpun3I/KqdlNCUNObckISbjelvtcnj2APwNdZcM21jgrTlMfzUVKwN8WaLKj4oQ
9qnwiQp+a5JvxTZzi4rxqq4+3f/wp9AFoTpu4PqN4K8aJKObgxstkq9bmRhyzJpNYDFDmbgu7EY9
WUQZoV5zYIWtrF+nXKqOawGcMUJU1W7cuJfv6/qFwjjF/5L2ZUty47q2X6QIzaJeKSlHZc1VtutF
UW67NE/UrK+/S7X36c5k6iajvcN+c3dCJEEABLAWTEzzAKiC36U+lsphTvHpZd05LOm3fWm60TTv
i1n5Hpfa4KCQ+szs7jlikR91oq7+1cXZaM0BHMs2LT6vTQbJkpQFGNNg8AFVAVd5Kmo2/ry9zLWG
S+Sv0R0BRjzk6L6Qt2fWz1ajXMuSIvOR+XRmVMvHXHFnA6/GUHXK6ogWunYCseQBwMO4nb20lzdB
Fu3aFKNErXAzKfWeJcpmrGN/iMw/iJjOv46zmlVb5Ek84uvkJqNhQ2iVvt3egLWABq952dZthSDQ
4wyY1llaWtXAAuXZPmSNl8T1ph8mgLURHeA93+8KPXFvy1yLaM5lciYtNUlRStay5+FH0utOmHZO
Xr0E2M60+bwta1WPlQURLqOuCTfBXZJez1hiKQifLO0tRwNhXtv7Mhx/pOB6mgvzpIPVhoXeGBnv
cYrJgQLx6/v7j/hFzc/0i5RJlJNwynzgyEDlkW5Rugdcrd72tXxq26dQitzRROMuO9aoEBVDhFkl
SB64XeRGHdugiXNjI/aag9nRC9EgjDXfryzADEKWxlK+iKNE7RDlBjZHmTZlfJe/pI0gulh9yysa
hGB1BJ0i/Js6NTVW2njtlpj5mAXg2GqeFKN08lB+aojisCDwSAMAdi/a+uVkeT92Lpl7DCgZON17
VYbxHWYaNxijM9wV7e+x+l2PvzUNFC4FOszqo4SwUgl0rxEZl//P2pdZRBZwEKh1Xx6+rIak7C0G
3y1XjlU/lgQ0K5Ls9NPszCp61u38ELZHFvcC6716w5AB0kHeiz43Pi/e5sbQ9+GATQ9UPzeAi2k0
pysZtUizrWMRiHFVjc7EcUqOBo6MxdGIiCF8Sod6K0WPthBXIloTF+HNMTOVUu+QNtEYrWsbAwE+
lPyQ29VeSXPv9r1dFQYMFiCFyDvrJmc1SDnUQMlBd1RmO/HgMQPDN+T3Com8ORb4IJEsbvfKviYF
W/JBceElDd5zzc9Joh1eP6Zei4aprwU/ytnCuF2s0hE+ZREW5ZgNYx2Iom7Q7utkuAu3t3Dd8p6J
4pyXFvdyKEsqEgvmz5yVx1Q9BobkhUnpTNZPhK59gl752q+qXhDhreqjTsBajS5P9QrgOksmM+0C
RlchkdMOnyyunaESCFm17HidqShLg+CB74kEDVyptB12UonIloSHJsndtIcxDzZt/4JUIm0VEXfi
6umdyVxU6cybWOguM9MBMm22z9X3QgfKWsu3xLCebh/eqiBsHXoKLNTCvyzbmSCA3kjRtzVcdDZO
23ICH2SLLky3kUObtl0peHOsHhhBTvQ/5WfCXbeoDVndDvBDWZhTRX3tY0ZNUXLwK5a7cghoXkVM
qyOmvUKmyUlfthWs4gDmq5Y03T6wUI41KsXJO0IbM3tliVzS+a+kybYV2il6ZRPl6W4Gp/hERKWt
1T224RpVQL+xx9xhslbOus6GlrLurm4wfpWUHdX12dMSBAG3z3Ntg1UF+BowI4Ieiod8h0ZQdoGq
IwpCxylE9f1rL7zxi6Hi9/dcCLcgXZXbJh4NoP+jymXFIUdP1+1lrJnKcwlc5Ah6k0FtIxMnWGaO
2v1S+q0ZabRFnVcF+O+2sLXzUTGPBKQUqDuilfbysk02Xtohwjc0n5ROXSSHapz2TXSndbgNt0Wt
Hs8yFHfhs9PwGrkUVaGFBEEAyfzUTBwG+pQG3VUiCKBICHfJcqud8sjE5hn2a9E3NI69LM/+x5Vw
zkwPlMGKNQu8Fv2BSIpjFieJiW7OqqKdbRd3MkUKMFDFsF3y4JBdLaJrXbToSo/R6A6GQR1xm8Gt
Ye6SxLBnIAt7s35BetVhc4oZTvphVOVtU1Z/hZEt2LZVxUavtmzgqS2jw+5SAcCZKqUa3qJ+HNe+
YaK1RtvHFSqH6HRGkvO2tq1un4n2YdDMAOlkcIpQaXpQN20KcL7cwheDeW9LEq1ybktZVTcTnRIA
gwLvxOt0n2tFJI05cIMpyHUTtdYd3ewU+OOh2N4WtXpTTQJ8OpwV0NpcxmqUEttgMiCK9qBvKv2N
ReFmBNehldzdFrS+pr8F8XX8Fh2rVlAC5lZ1NmX96NnDa9qZgvMRLIdnm6jbBm+muc59wwrokJOf
jDxEGaYWmaF3ez1rmgCaNLTYIb8IRk3ugZJOZdboZpj7YOVHx5Wpd+lfQCaIFG5NuzFABFQQ4GsB
NIYTk/Wa3nUmvM8w9cdJgoutwup31ClPOkNlPA+eby9rbQNhsTV7gbqjy5hTcDLkYVjLQNHWjDkF
+Z2oyJ5IzaYYHm8LWq3lnkviTAUoP8N5kJvcT0C046hThI5puzEeG52Ym1AmqVNNrN3rYdoDh2H/
7swgdDpNlsC9Y/uJVJtOk2vhH9yH86/irIkUJ3E/jrgPlfZmkV+KDKrPQ5SLmPDWbgMxEEwgwgY0
Q+cWrw5FHqE5EXYkrTyzPSzeZGhFnEJr1hgUFejTRZ/X0sN9aRrNjBBtVAEIVMsmBPmqG3blu9XW
h0aVvKRDTjpWBNdiTX9wJ4AWMAhaoXiyTmaEbYE6Yg4g5azRqH/AwGPwq2YyuFVFZlIkS71cHhrK
WoJ5xkuUYX0vYq/LEjdEQiAIZve2sq7dQqT5gMpHw44KhuxLSYicSnCDGrmvqaOfGIqPCZqe0rRb
zADeVFkq6IFZex+hl4ygdxcTR9AFeClOV5he5S2aoMHVm1OzM++a8bvW2cfIOGpoAcL/dbBHU2Ch
ecK9r0IQ+thUE/gnC7Qj3N3HhBFzlCLAbI0IWaWofQzi5r5AkiAn2lYzkLGdCycvk5NcD0dzDmg8
NH9gfmwwuoIxGBAgmzd36pTEk2oBh2tP9WGorW95ojlV2u+sWlQdWtUeZK7RtIyjRcvX5SZDJ9NS
MYBuKOYJ3KvDnYXmwH4yTkQYe6+IQjUGfEGY7GHiWc+dZ9EWpm1jRKBPijfCMAmrG926sNAv8Hpb
T1cF4SWIQAgUX0CxXa5JVSqjqC2cYK2cDGI8FPlnMR0k0/r3j05DBtIARCKKgjwH55WMhqRIiwFF
oUvyPkRbYy432z+BTF9I4W5drY9RQ3ogJyqkrRLrMTZCmpR/ELJeSOGsiDa3URUtKIC+l+579GSa
0rMqYbAPUspt7AaWaMzE2j2DxIXWx/7yAdwpgWR/MOJqQfBYJsbpmJljp4+m8TaZ8OiVV7KSlmFP
a/lbCJo5AHT2t7VkxfmAjRthy8Iyg/vOaX5pF1I/lDLuuT7SKv/EQ+NPyH8uZHDPzcZEZUTtICPX
K4rSuEZ0auQff7AQ1PgxLceCz+H7O+IsQy2yAplNon5aBVIR7DGxRc0Wa3dKlUFgQlAaR4mc261u
ruW+LrPSn2O93HaTWdEg135Xcn0PRi0m8DSr0sDjCpYDVBAh7vIGd4k+GnZKgA0J5z1TMSGnrp8x
E8ktCtG0wRWnhtE8i6lFdwwQopziywZIG2M9LP3IfmUBnfN9Yh6tYaeJuKPX9E2FH0O2Bikkm4ei
1LJaVWYgFb5Zl14RtAfkh09prz39e204F8OZizExbRRk09JvZryUtlZO7UGAJ1luJve8BYz6n5Vw
W6aSZiwMLSn9oc+o0n92GJbxJ4sAexlBpwxegIt+nGUPuyaSS6vDIsz6DQJM+1XuP2+LWIkuFiz4
3yI4hbbGlswxkLC+AgAyjaeeUbud0Z7gpTE4tkfdlerqKOXm2225axE/cr7ACCkorRhIDV2urSoQ
HLaWAZKNkmlbu8qrbRVrHY0DjDPLZQLTi0BrO46q8TZoFiDIleWkRaJ5JLH0PUqfiSNXE0grb3/Y
2p0DFNtC1zeQjmg2576LDdFgI2vrq/W0NWwLj5F5M2mnchblxda6v0GwDQ68JayDi16uytnxjkrf
4EGAq6Akxn4i9WZO91pNPGuwHdI6MkqpQ2zvwPTjhA92a2wCa3CnMn4YyOio7NnURc1SayoNYgIM
DsDykUnlbg2bwB4RxmXpF7VRU8L00In0oHdub/GaCTiXwl0cNgxq2WvQuXFsGOwnMxw1AhMkCaZq
c1vUqnuFfwWIUAMtLjI1l3uslaUaK3NRIhn0adWKM6DNrIqXIuUgg8HoWCm7UT1OBRq9bWtv1uMf
mHD05pGF8gxAky9I/tkZV2GemHnBSpQuDxgrkb83VUUFd3htP/Gus/AU0WyElNypTQNGhrRdjVNr
JDfOtjML3GgUPENEQrhDM8Yc1BEWFlKivQ3xFwEvtioi11sVgmQDXBFoO/EGuTwtWw4aLbNGCIke
kRNwanYq+uEPjgT9MGgCRbUJ+8VZHnvI5xIhTwVAflNSKztVffJbNYBIzP4kXECH1DJtFb0BKBhc
rqdJQEPXtnXlJ6zZJoX0c1L/UvL4iMt7W89X3Dc8hK7hWqGKZvHzbadEjsG71JZgyWkDalfSRmrD
A7HwtEgG18i/3Ra3ck4X4hY7cqbVVhvkyIM1pU+6iQblh5KizlTW/95OAJH7VWgiCOy+Zt6dSQnG
vJajQIZeoye4aJttuIuNVODF17CaJgGGcTkfHYjJZa3nUuQIGj1Wld9IZDvY+kMUvlZdfALh/GZu
KrcsP9BK6xQJo02Qb9E84qRZK7hdK4YX5TSwyH6xiKLB4/IjAKQosrhrKp+U1b5k7FCIqHdXNAQA
P+TE0dq5WCPuaqFq0WVdklU+W8j6g7tI34aYIablEQ1GkWtbWQ6S1QgrUCfTLMIDQCwzLIiVTRVS
I4o2u9D++t2IIjzZbuvh2qJQVcf4IuCz0HTGGaVB74J5nlTYC7vNNnmtFntzKJJNX+gKDSrg/Mgc
6QK1XFkcYnFUmLA6EGfzQxZy1P2GHiRtvpFVXjp3GEmaqH8AfcfW6TiqBR4J0p5LhWgVYkj2aFdA
YNhk21ZSeogjWzro5dgIbsDKJi6nZKoLmMbC+IhLUQWTOyR1US+J8R9sRqPXDnrdxdScTW1TFLFN
rbLVBEmDtU2EQGTRLBSHwKd6KXRs7U7Kg6L2s4B9SNHSom4H29vasWKlgBIE4B2ZOiAfeTrEODBk
NkZ67UfNiYB6g9kVmCtETFhrUpAjI18NlujP4q5uagRJUVoJ8zWw51rzK0rCTPL+/UrOZXCXNwlH
tdGSlPlZqTnbGvg/JRW0YawdCDoH8KpFtGSbfAas7Se1IUPM4BWTHZnZ7zz5ExA3qKeACUObHM6E
f2RqrWKwTqsYkMzmNrQwcq8Ova4Ldrd3a9Gdy4cZFiEvWW4dTwsQGl/qVlGyZgaTJx7pZugz/d1U
GGV5iwHCIsJNkST+liZVBu8elYBePFvJjzwAxs68T6Uftxd0fTZYEOwAjgaPtauzaRLLbCeth3f/
qUy0FT3JRT/PpRkq8DqFHSIiH9PZXMNyi9R0/7cFcCGXXptxGHVYwOA1Tre//ePXFxBPFfDdI7yC
0wFb7uVxo2FhaisTn8+CrWVjHHb7RiKBjVyVgVwtsgYaFIvv4pbrAonh0MIJsEcSv4G6WFZfby9j
7RRgQ/4WwfkyQ2VNWI8mtJZMtOjfQEB3W8C1soKFCgZ3uRZwmPy10As5mjIMrPXTZmQ0MuXOZ0qF
qnxVJc4oDbPAT36FFJf38FIgdzuqcQAsCVQ0PusdMm2rym1e+9pj4UY6xMVJ6QWKIFogp8dhUeij
jHqlb5aB5hC9DvZjLv0oZDSmaixnAou5KO318sACAQy3hRB/OdCzwDEPpKjotBnLk7TBLVpArXTE
AcrAPLX/VWutOyqlRINpENi3a4e97OsymAvhlQH4+KXgPphjC8NmkLPpt3m1yYvQxUyAoImcOH28
rTNra1zqBwunOgBUPNs5oGNJV6gIsGyL+TnY7yxMXsLsBpJv1CChJbGoKQrqri8C0IWgFIKXgNM2
LW5fy7TUEOTIja9pv9uFYlvQSr2yfRe/z21foSbWkGr4/WGMkXi4C2gS3pcxTYlg81b0EY4O24YI
BL1iPBXEQtFpa7PaIKj/NWR30AUDmLxcmEhaXdAiBuTaiHP42Sd53mAm/Rg0fmQau8oCL8pLJ5XO
XPeHzBDUBZfN4ZQeLhyCECjgrcR3OmBebz6rctzCt8a0BK2NHuE18eO21q0KwRySJe+5cL1wIRUr
pTkkOoSE2K8yeeu7Tda83ZaxotmEnMngQipJAadUF2YtCGVkh2TJAfNGnRFjIqZY9qLqtzakdGzV
WPBiWVVuYiHkRayFm8UpH+v1wJymvAX7yFNRPA6DKGe8qnR4zWLIPaoU4K28NA4ZKQGmK5vWl+uH
bAyQoxldWKRRVb3bG7iyEtSHMWALFK3I4V6tpKhlbRrGzo9B4eBpQ93vmza2RU5k8d6cwqGvBm9W
VL7RAcV7rVZqo8Du9M6fitnJ7OytjMipV5TNkLbUzIenqcuf9Lk4GPHWTA8KeTP799srvVYVtF2h
vWdho8W7jzf08I+obJpaD+6UoPAidBZsEklFVlgdAsrUNPOiEKV5jDbZG+OU729Lvz5QSEfi0MBQ
C+SS+NvdVggL25r0PgB3Tm/PNMPEPQJsryl4kl2bkUtBnN1VelIEYWD1fprsimwzVJsB0J7wJJmi
M13u7+WZotIOx4VqI7iKEaRf6mgTB4w0Zo+51ENSpyDxzuqDrBXEK0Cc68QzGCxtOw8cdJ8zWo2h
spHkptze3tdrI4OPAJoGD168RlA3vPyIWMnNpIUG+/kcuGMIBgkM5JWYLrjwK8eHvCy6e3BRUDTk
E9BjEBSTMYCOkQxe8tCEC1TSj6pCIOZaR5e3OwhAMTUCjx9j+YyzYKRB7SSzUgZWQaOWj5XWzadI
AtZJ67OP1gIrtznJzU7Ppmc0omuCgOQrE3d5oKBpBToHFHNoCsfYvUvp1dzPZCwtxTdAXDTpGIY1
YwLxKfs1JG56tOenSU2ojPGQ3cZID+0Tfmg7BS/9Z6E/p8FeNmNHxMF2ve9kgTGDZRG4RGT+lw07
25BcLQwgiiPVj8em8iYmM+vRLpK+dozIKAHMq1DREZjEFaASyPVA5LMAJnDUfHm479Ssb7MZ44ys
nmqAnuV2B3gjoSA1pXptu2VmedOceMz89+YYRVvMDAH0EIkwoPQu1xsqSVY2maL4Wi5hCl5qGn4T
t/XL7UuzsqtoBkInF54P4Dblc0V1xnr0v4fY1SJW9nJvMomWgOPRTsNDewAVgcAoXd9S+DDEg2gi
W7hH+TxYncwjsapJ9YGuVEHZZ4JL62fGDJafkrGMiUCTV94sqH7ZX3xhqPBflf9KhrpGUjaKL5tu
Xju6hWlutNJc0OdjwJt9lwOGM/5rC38pkwtF5CQw2EBK5YsMoxoeOrc0MDZcRDW9YiLAEgutRC8e
WEoI98BMazwqkOlTfCvXe+bMRqvkTlayAu+WLK1LB/26mBtCqnZ2w2gGBC2XQN14W4GunQxib+Ur
pw8OiCteZwwuI9Io9fgISVG3yDERdwTn2UZJmLU35ngzdHosuJZrMpcYHKRsyJ+gGnd5NUCUP4+g
11P8cSL+ZEanCRVAWmo2w6gP2Q/tRLDItZ1GtwYKfhba50Bxdykwk7RGb8Fl6BfF8FcUAawItkk1
R4slaCd3RZI6UtnQOmUC7V25LPACuP7wrmiD4ft1FRapLB5h89AlKHlkHNqPUs1tp02afhI48RVL
AAIPOHHgf9Ajy7Oj23mOQBPTDMDxFD61PWDsae11JriIEJvc1pnrSBNeDfVTpF2AI7gizU0HqWI9
COEwCUCPPmqT9RtVYrJg89alIFGMpk7ce74vLzTiclZggXz0Vcc0n6pul1aDqFN87YjwescPQS1Q
GFy29cwtDUNbDpmVaD7J8tmXte5Tj8LWqdFJKbAq65IWqDBab1Ea4X0yblqapJnmB5nxcxyM58lo
76Q++H37cFbFwOsj+ECIDs60ywWhHI3yaZZraLRRQeAzhvZ2yZbsqlqeBUm4xYVxUQbWYsK9IgyH
Y1+eCmd7N0eyITWhqYITPjugMcrR6m81k528f9AkaYu//3ppqMjBaihALWGYLre02rLUqEMjvt+N
P4o5ozbAbaqINuZa7VCFhsahAxO5S4twQmQ9iw0QhJsgUdYBUa+mH4k5pgKDtCoEHVcotCyjDAhn
kMqYQZ/HEEL0ppPdui5R9htIReI/EQRycFxyA9UkHhJjd2lVFkZtLuSataMWOeKecC7aX//2ZHD8
qJdi1AnMOnB/l5ogz0xPMOTTxEDUJpe9xrb6etdPCIFoV9RK8vTvxUHvZNTiUBnBw/pSXNcGDJxu
keVnFutob/XPekR25r+n6kDfzX+CjwUtqnFi5q4eQEIdW34k1f4iBSRs/zp9Y6PXE5k1TOtBUwJP
72NnuVlmUmj5fRu/4tESoMpn/aozIkLiXbuHRRBYa7+SlDDal1umJyj/BiS1UFR8b1LppcSIo1zf
xIooQbAmyEA9G55Bx7QpfkIqGzo5qCJQOJul7YQDGHpDwNplMDuLjue2pKtRnwNaNOVOxvGANstT
23eNVO7QgQ2TiHzrdcCCQOXvNWEA5OXmRW1t40EKSVpwUkp2By6mSmrulLDGI1WQDV1fFYwCRu2B
rpt/iw81rvFcY//UJI6cIlSjDavihzIvi2NBGsHFXTFEaC5DnwW6TNHmw6+sA3F7l8sDooYIlXkq
KeGbhU7nv27f11UpS6UMcSYiMB51HaeqERRqrYKZKKlqWmgq2yoI/n7fFrOY5kt/BJr4r7ZtbB9i
S07H60ppwyoHQXxrZZmb2IDtZJKsObWpjN5tUasrAgQE1CvAgaDX/lIjylhViqFpEdnpce+AI7gH
/4dFBBWNdSnL8GeYBxjw5d/PHCxod2dCoh5UF0luPwFhmWzMIiLu7bVcaTeYe2G0AWCzZCQQ+Q5L
aQARXwjSI7/LQ8oC/QkD49xGgzu39GetbARbxzf4oIqAgAGLwfYtGV/eWRhNR0o7CYaXoww2Itrd
RRtE4xu0Nnrscdx+3l7d1xzTM624EsdZcXBJyYVZQ9zglNQc6cnMaM4c5mmO8ib7nvrjjjnSA6OO
bznea7z5HGi+Sd2DiIWVH/dz9SVcvFRioq8xTKC4PhHLfSe/00d7g4zwk1UdndfP9mPynYiKGsmF
UjklsrOu7fMKUt3waZPTZmfQyVE9vIL6T6olDl7xxTY6ifI9PA3i1WqX23qmvH1msFom2PfpVYto
K+3Ng7QUdZwRk+fl7+XDWDvxj/at/ayn0EH1It7YL7P+LbkD5qIANdfP24rAPQKvvoezDnBJUdo0
2IecagXdyhtM4nAqR2C+v1A8t9SNC/MbWzabnkFM76azU+xlkCPT8O4toR+9R587atyDhip8Up1x
P1PLsd7jbX5Sv9/Jm+0P+wOdEduAOk7/KW8G9+6HvNGcR0Nw4/m82H/3AlSPMJKYqMmDyYIsT1NQ
YY4vKe3dyImc0Oudeh86Iq58oSRO++JgyMtqgqR5444viZvR9KF10o1g2/k80dWKOG2z9JHEATjF
XjpG3/t9ddRpE9ND6u5EaRvhkjhFwjTUrjIyLMk8pXfdXXea7+xt1dBsK7q7PIvb1ao4ZWKmmYP9
EauqXMnwAkumPbBHo7pXLFp8Po/RrqhpdchzBx0ENQEr+R78ROwQJhur3Ny+P3xS+b8fA8jq4slR
6eY+xi4w61u1oNmVfyKY6E1BeBXR9PRgTbTcfJKdM3vNPjmy07ATKexiGq9v1T+yl6fomTExZ7z7
9BobMTKXfIzdkT0wHe3ITuuZL+WjsWmjja72fyR2gYKh2VVGhMQteQTJV9+kZHhJ010TgkL0OfmV
h8Bb5l7R51QGGPMvLXPw5t6LINjc4/o/u30mmlsxqYqY6dPituw7qQM3Nh0n1zaOU+UqIuK6dVkY
TGKhv1HGQPDL3TVCRKJjj5NtN91hdjFap97n7q/b+iMSwgXRuh2048SwIPUQbO1jRn8ob7nowLhK
1n937Z+VcM4+7crSnBfrqw4v8G1j6rT3+rRt88M0+Vb5SkTNEctlv1JMFI//b+s4nz7bDIP5Oqyq
9qpf2kFxNFG4JFqSfnk47WyrLGshwaBu/YQxz7ChozduRTkJnkboau84ExpUyJJmGgSRraHS2JsK
TFR2fqj0kHRu922gxCPObZ3gUUf/lWnDAykYuoDhgpeLy/HoSosAMgfH6pzgE5PZoh+p95B9FNUx
dzPv+bbA5cJeH9c/8rjjmiI5DfoI8lrjl2kNr9U7qtj9q93WAkHrUS7wdP+3Mu7YIrQEpEUfjS/f
f4YjLZ0H3f2R7YZdsxsFJRnRmrhzs4s4iUhiI8AzvsUlDZ4CpxE8RNZ93tlqeJ8n66XeLgGD/Jm+
Ri0tKJgcj6ErCYzEuh8/E8RZ3DwBrHKesG3x53cY2c0eQ+YmV6XHP7IUKC2hWr8oHo/lm2S5DAoM
v4JrTe/C3b3lfMtfErq7rW/rTvNMDLeeXgv1FhwaiEsMgJYdI9ugQLc1X76lv1ov/45ZFqbvDzHt
t9LhE8xc9TEQpJhW496zL+AcST8zNWQGviDB88cZabNRtoR+hKINXez31dU6k8M9iZMkrFpSV8uG
Rk6yCR6Iq+9/ZI/DThEovGBFvLtSkEfXggaSSi+8i5ynYJfugVsT2CaRFM5fzWWWJB2DFO05ejGd
xK1deTN/ft5WkHUL+M+28RYQgJoEY7QgJvit3SNdus1/2x5xg430mHnV6TBQgcDFxN04J56TrgSz
d2jmENhvLHpfntpduNUOdxO190dlf1uYaA85Iyin8qB0IWRhPO1HBOUzPF//LqpHiaRwBtCIUa0G
fdH4op6kjto0pPKzdSK0FKj48jv8zgEWSpDpRjskhkrg38+C0EFpG02f0umllXvNS+WAuX0cl9u+
GkS8WauvdtRqkHZEJhAppmXNZ7IKY+4zOcrHF4uGx/6hurcrN3F1am0Vrwwo8sSbiB5J4ETvf/TA
OZOtLRHJmWzURNAklEH2JruP7oPoofe6b7LtEi8ovdsKsqr+57K4W2aYE4biVJDVlUd9fsc4rix2
p26feSRwU/nBbFB43zeuitunb/9H4Vz00QZWkdlNBkPyGZyOrukM2xBP8iW+arcgwXoUyFsLFs8X
y0cfcpL1eg55DA1O3vfYkxx5bzwWxwy9Vd6P0PksA6cUuKDVuG5pfwGfETgP8Ia6PM6aBDGAZosL
ejptQNiuO08mRdZSdZ+fPyXBHVmNFM6lcZFCrOUpuHcgLXOnuyp1gBJEQuMwT6KQZM2OnQviPCsr
wyQ1zWJ8cYFoQ4s3Velu9xl45p3oGc6Dlr+i1HNR3MWv5IQpcYM1fQf1A03v9A8tdwntPZGCiNbE
3frUjCNYGQg6bkAo/c06xvv2fecGTkdFofea0Txbk85d8iIMlamaICp8Qxmj8SXXFe6bSAZ3uacm
yuIMvXYvb4Pz/ZjevWvuJnJR6PLyijrPSIa93b5hX7njKxP9j67r3I1Gm7KZdT3MyfG+cVLv58+a
7k+bdy3yXnQ3mbzOd+Tjc+junPHk7Aqk1va/Euf2R4guHN8hGoBaVQuU5RRP1SYNnXAPQKez24Wb
X7u+EElbNvHWkjkfy2qmsW7Gkifnu0Wze9M1qeIk1HJFdNii4+QMiRFkrVzXkJRSN77T3XBP6C9N
EJ98kahcrQe84mBvh4vVZc6AkKHKMFhYwb3WP9r7TPW6H/1Pk6o+HqBPGjW9nfvc3D87wxHJp81E
B4p9FaUTV1392UdwxqUdmVJaET7izT0xP3pQNpvuo6b9/ukbkm2hiOdh9bWI0tjfi+YsTFr2rLES
yKvct++9Wzv1X3eO8yha1/IzV3uLCj0YGMADBxbkS1eQT1OjVbmBvUVg4Q37iDqWyAGsbt2ZDG7r
qhQsYSXGlb64+Uduef3O9kzXV14PHT2eQBIiev6uZtxBx/b3ori9s1ubgSsHAuX3d4yROaThJqRP
T08zrZ3wkG/v9y+RW4dudaifP3eP5c/HXeQ5r443fvZe6LzunOdH2D6RIi/rvLXXnC3PUoIZkaDJ
evlubsfjtBcYmcWS3fj5Lz98FqRlmNJq5RV+HoTc4VZ/Phx2j4+PgsNcvfH/bO3Xa/1MSN5bSs0I
hHz1XrosQ2XCETi9xT7xC0HREY0JmNWGWie3TzJTtA5JO6h+9KSlilulqsBELlp9JQEkVOjDRsnR
5LU+LNNKT8CX8VIMyabqBseoByc0dwUTebyv0PhKFKjkwK2sYkIBT5HXq3XXmCjyvZx+auYWpJkt
zX8/5U60sT39Ybt1vGf52yd7T/9y2DbxPofjQOfe+yU4t69mslvfwXnero36ru7H6eW7e8KwUnoP
uDpFkyU+BXMa6NZh9Bnj7vHnMzsNdOy9o+BYletdNzVQPlvodwPbHWa441TOdGdIzAjgmnZ4kSKK
eQOH3s89PaHVMfZbz0Z43W7V3fQHcc2l2EXdzsQG6EacBwNiDRrgAMjeJzTzRK7wq/R+ucEQg5sB
o40kPVq4LsUoQ8O0oJuGF3NryDQ4hIVn0+J5dlEOsKn9M3moU1d3Kr+wXSDy2o/wrwLV9QZd56f+
LRlF0fC1Obj8Hu4WSe0M2vU5wVMmtY3eLS2Mg1E6Y/is5Aokb40CFhfKlLp+saee3MmDZsVUHjoA
qgK9tAo66HkhMoFfJaHrXQI+FwUj9KfzAPPcStQAHQfIxdMShAI0PTCZanfqfePefRbOa396Tk7l
t9um8drJLVvxj1BO8WRN683AUlAD2NavzSa4f0YotLst49owghcWDVUADOrL84CLnm0Vc5zM2lq0
bPJSL3KNbegghSK4xyvp0Es53D3O8jZu6gpyMPJtE7/NG/ZNucv3FW0dUWLoCyvAH9b5mrjYWUkn
K7FLyBoOhf8CANV9jY4Jy41ST9t/h/k4HENq0MzpjsRpXfOgApznlU/7bRi5ycfs6ZvZ8WLf9pLA
tR4Hf6KGa7kJ7U+uMEdx7TUuN4Y75G5MgZ2BfkOzsn3tnV6Ia3nq3qSHahs4gmNY06jzneFsCpNn
IwNz2HLa33HDTx+FI1zQ2gU+l8EF10HS/T/Srqu5bSbZ/iJUkQgE8DqIjBKDZUovKFsBRAaIjF9/
z3B3P4FjmFO7t1Su8hOaPdPd0/H0oAsyTp/eMx3L963KVQ1hK6xy47/Pbd6fHuMHFmpfXIBz+S+9
fKrWnm35Jm9F0tQDMOaIcQS9YpGhdRNEiu3cQWcBr4thWgfRQATcOnQvsb2TsY+t0H2CWh8k1f+0
fn2V65f/Rcu/KTDHVJed0EeYxEcSrrdCM3c1kpi+yTWTVFj/1LxvOsxJ9fVCvQq0VUaxn86xcc6I
rb02L4nNdc6pvXhEiXm2fO+iXLv4xtFT4IRmYqQEYXDrcoPgaQX95ol5kMrZLJT0ApSwe+1UEDjj
LZGPC4KWm9DxzWLNw32ZyDxRof6HIpu27IskV0Idp/hS7gvjczB2yZNvGo9FYiIXdE+FscjhRY4a
fYFKmEIG+/fFnL16m7mBtjHVjDgPGZcjxiIHaPabefS2ElJbNiqyHzvBrN3/7eQQbeOBpoijLGLH
Yib4pSLe2kze/D3e55xoRED6lfC6wiZyIzi+ESnGlLZppxbR/EYK2Qo7My4/PTO0hZ2/NFInKY2C
81JPP6EjioxhLRe+6OcpKorhsjN/R9tuNaDNzrf3POd/0h6NCDHWQvXKtJQjZHcL69yphERmbEjL
x+JHLcEf+juiwVoKobkGoR51qJefY2hTvOIcF48JxkAo2JGsejmyqut4ieXfJFqiMqRZj7mQ6Fce
scEYB2CQKbVQ46jS89XujbfLcYtZangJqomumtXMmC8TcjWxTwE9cuKH/KoaWGNqa7b1usAuIbs0
++douVKWgGB+/NM4v4wNq+v54pIVBaRlK68GBNa9GeAaH9O4hbQP2GfDar2r6iqRQeSlScn2zTNi
+CyKeTW32rMnm50xIxdrtzoQ3Qqc2clMP7G2iePT3FqUH/0Ixrhc1cCLI/1myHQy225RN4tI7r4m
y90PI1sG9uLA88wnhAtZpznFQaBNzTojXHrcleHMr9vTebCR4K7c0syO/33qDiUWOBa0q3mO2UaG
L7oBN/BoGws2btlIJ9jNGm+BITiABSBfnvHx+DKnzhEogbSFWsaeIyAjQNZHAWcRpbLQY53YCfvE
jQQh59bO0FUJh9QPSG8D+NpMHe0AvKvZ4TFpeeI1vyPNsCqIaaCkMoxp8dWYAtJdmGoPTfoLzpdt
br6hwZYIu4LgPxdTNVpbfJaPnfErOnY7eW0Y2WalL6nk+XbsqM8c72mihombGJ0M46OLSnNVElru
Qp+3MUfoEOHXKFYbkto+ajtr5+2UJa/kPNFxQakq6LyBM4BRf+aFwZj5tUgDWDAJFGuL1mvs2PSx
fcxQDRRQV8eWpCvBVEiOiI0nDfTrjFbdUWdeGyVBoH31kCOfOaKzFa25Cy/e6lY5Ud9SJ/uZ8cSd
3jFLcIFdXgAkQ5feH/jdkZdjAlwGuwq5Ludm7SBuIMpKWNE3jhc33EYo/qAGdAbg42PyCpzeC/s1
rrsmUlHaQMilrm1bssWVSsKn6xogtDvByS3L3aOdnFjGKxaT/uC6yvT8HvwAFq4cTmV2qWhtpULs
OYfnkDhYZrzNWrJboRdWagnqfxx7PeXzycB814HogDEjjPPec90Ni+SSSxrSoOKqtyTbRmJv94yq
pv/+WKMnih9YTDiixGg0gINmYQAsqVPkdugFifEEDnZBEkPCOhjDP6Vonx6M58CyhLfQ8E2MMCck
NFz1NH/m1uZpEoM96/GPYfRX6Wd9KjfX/qR7XbdKcyl6k6NCJnnRXNbYPhwYnpZgeGOWXB0ZoCyu
16LlnXMivB/BqDOGT4PGL3D20jHUl3FqVA3BbuXGrhUzBgT3K2CJNVLHRo5uUgAxRraimTMYNR6a
2aShHx8Ho9o1MLqx2FBF5aQwhY3cGZnkqJkrRwb2HHerbXgx+n6n+sugWmOLnzMz+t+qZD4+j6mU
2p2EMF7mtRKxmGuuw0GBJJoLE0MFG8/EmRiLNTyIPa+8MvVmj7lmPM40wWinloLryszgEf18bZye
8Jia8LrumGIcgxT5WkQFYEoSsfiTiPOctI0VLEvV6DGtk0REHp7n+s9a/wgbexEcguo0w9xstU+U
mjPVPJE7v9dBxsZFdCg4Tqm2DxnZJmSojbdgFy636TJcXj98S7Vy1QyWqlObKXlVHNG0tMQwefmN
ie5//BDsvplLGM+ikDX3ZkfwqpmnBH5/eunOb9r2DbVz/Vfs7EwCb5h6xIHJSwJOi9eIJqPzuReq
zSwEzdlegWGZH7eBK1tSQp4vZuW2uB5MS3kGL10w5RLf8cqoudD2/xZrVUHpunQF3VWPavpW6Y7c
mVgYjs7JBk2SdhIZRbzWUlvSgPX0Q5qvgCosJT8xQHQpbb0ls2Gt5iUpqm0VLfOr4R8fa+BECAaQ
IjofjudWA8z7/a2UswUqK0XQnyRbNgRDX+14WRoeBUYbhrxshK699KfEDU3diHeG/vGYB2ok/rDs
Ix4YEZ/P6l6fXSkPRPptdA5PjCaNxj/fR9fR/Rl52DYrVj04MAccUv5UkVfD+/2Yh5sjxzABuAta
OgR+AdA1GHscF6jNIBDoT+VKdGRLAaVDtNGNzwXa45o91/WYuJY7eozlHeQKKHwC6OlHmo1HdrxE
V+hi6TutrTsqJspmaIc4PeZywjICaxYzuujVQaHhpq+j6CKaS71y7VHIq8V9KmDISN/J1zmpKzf1
kV/P3x6Tm7i4O3KM6BWln+lVCHIS1FDQVCKn+1rTjHCeET35CeQ3Iw94ccKEC3tHlJFGf14sgDgG
PwPg7i+1U28ThIbvwJv8EaDn8DGD1I6wQjM6z5vNHZ1nL1SJHkco0F786ynKLua1v7j/PxKMtyjX
vdiLMUgkdWCk199hvPwfCABugwIiId/J4mjrKhYG1lQmtAiOqJqR8r/vdKWYKN8UmFdAEwI1CLy+
P/loVr+YLUd1J5z4u88zxj6WtFrqJDAQiG+CGJk6HlpAqJLHxzSlr2MmGPtQCnXuq/QeFKwe1Gqg
/ngYB0p1Q4/fFR5o+8SY8f2RMdYhnsdqMCTz/rReb28ld+S8T/H7KTPIkrxvGmsTbcgrRjqN1Fod
sUfDSLcfyBlzmOYdLfM6eYLYZWGAnzEbGlJK722jkKrgxYGTWjSSD8ZMlLGCkep41p/QLY2KoN/a
3ULkCMkNXuMPVR0RYcxCqAd1nyEGQRvd1m4PAUEUT/RdR8Lj4SBhz7OxScmKHAPsJ3o6fmmHr7V+
+lj3zmMxmsrCj6QVkF33j5kqVFHTJZDW2f7y3C2TQ/M0d5MPH0nyjHN7k+eK3a60902B3yfek5KD
pAYaPG7Pu6ZEkz4uNdfRmnxQRiQY1VZCLVgkPUjApUJRfvs0LE+pferWyP05jrVpzRydtBVC+KO+
/Prg2PpJ8RxRZzT/ErWFEqq4U/16VoqfaWolJee+JhnE6SEBiI4fYE7cn2HXh0oXNMFwEsX+HSAa
Zq13ht+VH3Uxq6x5FGJtSMtDCJnkC0tLFlj5gx0UKqN2coFGryGIhtO12HrR7lo9zwXe8hoeDYax
OqvmASAFh1Oo/c7qhujiSvB52PM8IozSyXrsxTM9hOkCSLgkLZt8bhVw/zk6NSno2K8COCe6a4wV
9EHNh3o+ZMOtirbWHIHMiWB4dkoEJzN7wqvNTCWuKEAyAL4oGCe8qXupQGKiV7UuH+DxbhukcXQC
ANeT+PL7KdvbpDA36pW8Xg/J85X0y2NquPvHHE9ldu5+APM+yEpXFUlcDqf1uQuID0/uube2v3Pb
ToxDYBSmVZt5YaS/rJVoXlGhCp5QlOXldG5F8T+M6ugcGEEt5cFfSGUxnF5etvnmrSS/+8zwiSMY
Dob6/OediFG0yAQaFQkRFnDUf1I3R9QZEdYGQejq2XU4Nfle9o9YlLWZ5T88Bfg9DZxaj7fwmHvt
jDh3M93rgdaLU0frRm+9Pen273LbkeVnYDhWiBz01ciOx71g7nkvsTSpSt/MsotIlDqqE1GntNdn
zXkLP97kHwP8qSVxrMZqzdfVr+Oqdb9WM2K8Npb1IyS8YsikmgE8cw5YaAlIi4y5reTWvyQAaj41
4mcmHK7y6bFU877PaJUftLKQN1DjMHmLtB8LgZPdnvo+YGmwwZ3GeQCPvdfaayiW865aDCd1kZ2l
y/WsZ53xmIWpWwKQtE63xKMo9UebYtQMQ3GZDSevCIjeL2vlJevNxzSmsip0ueI/RCifo6hjkPUy
DJUBWqfYC2MWYxDzejz9TETTf66s1kY3Zp0Q9cQhS90FVtkB1Ii3EGh5QKNllH2mhomY1Xjr27AT
QgN7FHv0Ffl6lRG5xToGrBUF9rORSDDG60Wv69sgnKsxAZyR7JE6yGO7iIHCyLH+4sTvwlY0INYD
Cxh7kNnfFSzaa4oWijmsvyAaF7Rw2cU22Z4GVBKEHyi5hmSlrwCFsnLd2n1x//tjQROwBLAKYJ/M
AEp1fxuSFiSJHw7zk3neykawKky45F97jq2bajwYk2Gh+QstumrKAC4LKyHo6Unerpb/yu+0oT+X
ueU7OoySeEp86ZMWdAQX/tz26XcHSCFjcCwYN3Lcu7w3ZCrxglYRtHHQBw0IkIwLKfl+0TdArz2h
bTQjl6elA2O6mdnWiqObfz4XKqQDM5DoC9eBv8GojRYvxCKoMXBp2iXpXzfGwHN3Jpz7exKMBfO0
Pu3aawznfjWsibVZ7Y685WsTgnBPg3n6/SIYhEKlc6OoDBfGkmx60+Ic1USN6p4Io+tiAPfiUoGR
tUDk1x1aCAwTLS68V417YMwTLszQpAgvFEnprYQ5lfTAm8znXTqjnV5fZXl9pZde7vvzcXHgGGPO
928Mjmyx3i1g8TN8v0QomRKjco4c+0Ll/14h766Cbe8IpAYdAQ0oKIROwgfGxXXdD95N8PigRnbE
h58PSdEouIjol/4LqGW82Y+JVq17NiibIwKXUEiqAV3BiL8VN3NwVCtIVU/2PHSfiWb6e0qMnith
hny0DErD0/ZcG+fz28VwnzLj99PWzjHM02Ha8gleGscn5+kMm0Ge5T6WL1Lln5/fnhtCNpYVkh8c
zfzTPFPmMAWhI4ULa8koTBouKuxXyDASgmYMGGYEGGR4fSxyE2Br90QYpRn0QhTKeXqzlD8OTwDa
6tzDwd/WlXnY7KPB1HPio3UVWV0OZQ57MpMduTR0Dl4E5cumPqDnZVMW5GIHTuVqONL5YUN+WtkS
47k/0Geqvn75A2atNEPi6sNEuezuDG7dMiN5zQXgOF1nOOgX7cfLFi+GvSTPqrG5Wj+tncET2r8Y
wn/ulR01LbVS9y8pyBUFqhsoxa335v9kqr5JMBrYyQtMttHEuFmQKDN+AhYv5O3DmChr3x8bo3x6
hVUSbYUL3Jq2bX+Kz87zxqJjXqHxknD8ee4dMc9tp15Utc9xaMjpDfaTPcclOVc3dTeo2eToAOVj
DP3p4N/zx7y+zSy+tjlqKKdhXduGfnos/3+xkt93xLy7SpNKaZ+U4Ogc7baYOj6hNEsubr4zuX0o
9Kf++bB802JMSYTeulDMcHrmtgMaBNZ+oauLWMcAHWa6yXsAJgrh9yfHGJUslEtvJkMy1uuEmFtc
13L53BjOZ+Ue4F2uMGCsY8CD97D9xV/6h012uAaLUTCLJIDNxDeUtxVEUUOjWOlyhHH6Af0mw/jN
GWCzFYxpIxOakdly8WS6La+xQaTfeHBj7ELcPumDq46Fxqe1ebZLA92syLUsTGJZxjF3MLHJCzp4
TDEmQ+kvbdQXRX9a/FAQZdrLxPiUTQdDcK8YeeUdIfeqGOMhLeaVmikQkTQDMJm/Lc8rTNfv95yr
mmglvBNFhbEb84uU+z6lAzGEzUAdAJ2xjmVYrr7U8aBwjpH3niqM0QjVYtBncY63JEGD7u0tOX2S
d+THEVMZrm+aHxw78mef0z2HjB3RL7IcLHxQjMjWbLeljTflyeQQ4TzW7DKy0EMqts4hHWcTPWwn
skTOHyO9mB1eaxZPjyeSb/csMfajjEqxnWtgaQ1yb6B3sQ/k07MdK0V/IPT6a//xMePAXU2ae1HU
lDkyvUDrYSQSQ1Ql/HtIilqT7Awo1cdHOK3Ro+8zkpi3feopDTRaIi+YYHh7e1oioScTNANpOErX
5YjiBDQATnFEkBHFDqgBcyT+oWIofwGljAb2hq1ZzetjzujB/GGqRnQYAYyBEK40NQ5OcWWz/fn4
4xMZsHsumKcrX1wTVYhvxwYAT4xCb+YryVi5+nNLuK7gpBEcscIIXq325aIRMPDtx0gboEjIS0xM
26NvCmwbgY+9PdgxDXZy5JCeYNY/qTlC8gCQIjzbN2kZRrSYd6qRejRBYmvZSbfDp9xFtfNC9h88
54KjN7ec3ch7ruL/XL90DBzFeXz9E9WPu+u/2dvR1/1y1tQxdZZf1v/qaH2LXPtUOEsHifjNYLSm
tdslZmK7iPJ4rE3kG++pMzZB1foK639wgms0LQ/LeI4p9CuG3+3KMMrfgEt0P9zjj9maOxJEdeaB
TrEjikl8reKaBkdhbcTea0Wu/VMj2heJY/Q4An+zxKPj1VMhjXzgLJ/UJ22pIGvKkcFpv30kg4xx
uM4HIaoyeoImahnwcp8QW1UoZLSmsepdXt2CZy5u8jRi6NoAnRoQ1TRlpmKcwf6XkTUtxViZ/1MW
YMQbYy0UPZXVVKPwEJgSUI2582qs9vuKY16n48VvMux44lWR1TyiRxh0ZAZRaIFYiBl4UeVE5LwH
g8XXb/Xi30K3NmeW4nqrp+L8o3nDGBP3hZ90b0c8MTmoLphn86SgYpGQl4JUG1vZwKtQkQ4GwJMV
nVfcsJt+8oFKscnnHlC4gA/FbSErRcySdOvrUd/O0OzCGwWbjoxH3DFmoyzEOlFCaBWiHxr8fALN
DM6LZbhf6z0PUWA6CTaixjgWMy0csCYDjJmoFWztxELr0PJQms7rylr15OgiPFl/cOwyDQf+PE26
u1qR6apE5m0Rm25R5XNErxJwE5/y42mJ+ERcEgvX52Is+OurvWX8OGSnH5tvsozc5BdJyDXxRvZ8
floYGbYQWHDqDWVHnXrjC328OfrMZy7KMryi4kT9gj4H39SZGClAE38sXiuUxYxqE57etkvSGaB/
2u146Fx/cRe/aTEyFEpR5SsDaK1f1pVJO8MCYh+cCqUG2E4Ljvfjo/2L0H4TZMSo8OVidqXBM404
YTYBw7owHeS/9osdh9Z0lDQ6SMY1lRK9XCxU+qrPnDNm+rbUGfbsn461+2XBG7ZMl8Md/eIjeWXe
oUZrwrCj3jdecpJAZNC64fy6OlyU/7/4DN/nyDisRTIr81yAaXup3lUiQTuWTuoO8PR/Yk/IYMg2
YKM47P3lmf0myjxF6qX8dzK1tCpzfUGHirYhDmZda8P4UJZ73/x44XWEcdQBdXac+eitraqL3OjU
l72a5nlmbFX3CX3Updk5NYe/vzzr/+EPmxHvSYkXNUkSGsu86U+euSQycu7GLaLmNZpJ9Kj+LilY
bXxPqgpaQB1caPBp2uYTddEPiWMH6zckOZGBAX+bjeXODePomsBZcwNzH//gpdCms4P/aIjKTtbD
pKvJVaUPJHTfPgUE+RgyrJA/4J7t9Fv8fbaMpWkEVZDUKxVYIBNg0DJ1EWBrO86LseCRYeyLJvlS
e21BRouIfsH02bk3pPeEVGaMLY2oBzcmBtZKskw1/Izlu+NsXlcrxEVHyyLLi+2Z7+8/McByRj+s
vs82xoeHoHm1shA+1xkvXJ9OUI0ugDFRwsIrQ49mt03A6uVLTDkLcBv2HLM0HaJ9nz1jlgJMYXYe
TTpkGLk1hLeZbexdHqgXtTiPJJqxSOo8zTSfhtDDsjA9QrFOH7MxnbAZHRZjfhpfrMSyAxsRQfJw
f0avCsXOO2DKjFRQ1Z1lBM+Aljzu11yU2seeCMZZ7/U1zBVPn9EIcQuqpaFbs3dj5VeEw+K0+/jP
Td3kZWTsIq2Mwo7mpADsSH0seKtOQzZIyF6NI0AheCUcjklXbzXIEcGs7xD5hki5rd8KOooNB+vw
vACCk0i+VtitcAydxyzyRP4WH4wo1nmHdqZbLXCx8loy38MOKC3iDfP/SYixONVllvcVDaszx3vF
c4/tBu6RKxiPfUWVLdKGsy7SpA6C8bLOgYGi72avwTE29jff8DFHt3j8gYrdMO1GR9cIoh8oApWO
l+12jicfi3WIExmpi9rw0XClV5UnIJx36vZkjkhGitbO9RSHuL6gpdcoTf+055mnx14Tlrzc65YP
JPsqSsDW1gxcpD6ekvNX8RPLNRBScOFvb0txHh0iY0UuldSm8xQS39nm2xpzk9un0/IQbD9P8dMB
vUm9RD4/CTFKtJgDSUzfrI/RsXdd3slyXGHst7tnOywRnaZU9a7m+vz2ZJ+esbMHj/5xry5jg+MM
89TuFgmMLrKXgiEuKNuCa+cX4rmSZVBsWs5lcl4BNk+nBKGPNelQB0DhNqa81XIyxOaMp9s8MkyM
FNbevwsutq24KKTrxoEYv1ao4UP3eC4oRwduofHo6Ab/P4ZkvUWl23sGYNxjxeY5nmwirqmQ5SkX
0LLeMZFQelqGdrV+h9Wngw68Xm+OxWKzcV2cK4PWQRKC1SdGxT84vPCuhnE2lDyR/ILW0E20b9Pn
BO3jjkVvBpW3Fw4x+rEHyswm4i5djLXEPXgBEsHbCXlTb7O5lTnWyW9eOukvmat/HmcWCrbP9UDK
qWzXiTnDIteFGypu3G1i/SgVkPVCdtLq0GPgrTQe88k5UzY5lzbRfNbMwea6/RJfr7svjtZOzDeP
cw5/LL2s6yAOU+o2J7+26D6PDGdpb2XHhigefAflZ7KzMMjUki80WHGkn0uciYVyAb3P1xLcZdYZ
5YrTm22u5e28MFtjyC2v3mtPRv/T3Ltfx3gbZjBb6/+ndWTTdlUdLgYNnRIwWyZAmeElo90jxh+H
17+kWf+Roduc3siWXFNp3pUyvcngF9rIVEM8o2uNQ4UnLkwQhKguzDoaxxaZkbsLkp16Xs84xyZK
TODSX1QtmEVoW0FUHqxUx+VZKV7czy63m6d6qPglKJy3yW5mvJEcOSkAgjvC8rFy8aJgtgWuluSq
XlAgkdbA5ouNTyLn4DzvrgdU7jmk5o/t1S0tMLp+P6qjtsVzcjLNdkEG9JCTX8hkXjhONkcAZMa1
iIWiroIBHCGYzABri2BF5tR0ONk1gCjfuy+SMMu1uEeStDUAbGM+YWOrTz4RTxNMke7CWxtCibVs
PJD46ZBFwkY2XcEQnXYTnNEZiv7cU31qhnX3xY6s08L8RKLGQtWeZkv4PcWT7umIHqNNXidcyjDF
nSlk3bn6j+j3Y6GYzuWNCDC6VGE0IsaEOSQdU0D2228Efag6xoS87lAr26//NykcEWSe6FRSI632
6AmS5dLxbHRNEc/qD4/5mvQzRlSokI7uScuTtMsC6tYPJnDieCZ7Mqkx+jzrx/txfNELqkqLfeDE
5FYS4BhSnqyxPjo2Svw7WDivgdJFm+M/EY5vjKvhHpEZ4vE0mWX45ol10ttB0i4tzY5fNr9xNSr2
QK8XwHLRzflryavETZrwETHm2VVmeiqK/yJmbmN79u6aPH4mzd2IBOOmx4tI14NbllM25oefyPIj
QOW557ew9w8ncERFvhe0Om7KJJBwarH5hnU+nx3grwjgedDC4+fWY6HmEmOsQeG3fS9pIGaez9dN
QtatIaMz1JZfZ9pTsXTL2uZQpD//EXuseShSETB6oBgBKT9zCLLDBAUTV1nypJ13XYxdwL4vuNK0
oRdFdAzqoCXKUVBy3qBYgrBUX7YYfH15zB1PCBkjIaB5JM0qqsXylQgRZk+4JSfe+TGGQgr0vNGp
EKbLYNutdaND//AXde5C/OOI/HSO5lsYWVe9HrpFoeug9rJFXh9HCAxZ8wAALPyh8kQRFrBWoCYz
lKQfH+V0iXZEmnmRIzESwl6HoFwBU0qBSlXkSVtDP+ZPPumf31u7WQ0raetHcKFd9zH16WmFEXXW
nERF1iS0X3X9lnyWtgIJ3WvWCw82YzqRMaLD2BR56H0xG3DAEvEAab9LWizfWbnHgJeMnU7QjCgx
diUQK70NZSqbW9oeCCT5CLqwQl3N5eG+THdsjWgxZkVOpESZXeADXM1zbaHMhYe5IlhFgTE5lIA4
d8XRuj+898zHAlhq+k20Pv724bgtDyiEoHUAG+e59pnzUrOevLJQPKHqQa02tgXxrbmDBTccvZt2
4kcHyBgSFQzVBc2c16t4g7UHX9JaSYiPhX077ND54vpQPKYYq9LV3mwWqKB3m56OTf1NeH58Szy/
kPXih0iiTIGE/ZRYSHI15B0tvhrZIdW7d6XTY3IcmWD9eU1bpJrkUYa2sTnfpWRx4GZQOC4hO5RS
B20vVvTQ0GVHDp90FMFCt7K1v3IeTR4hxkhkC71U1RyEtthguww4GHy8rzOGIQ8lUdJownq9AJ5p
uXx8ETxLetuEMXKcY1HP01LE52ujXZkdXXj+PqyKpbHmuehUKf50LRaIpGSdLrhmbHagoEOqCBHD
aZ+1aWQmdjnwNi5OZuikbxLMTXjCQsy0FCTs+Vp8jonINS88JpjbKAfM+yYevBa0PG+39VtoSgBs
+NmT1MEmNnRDIV/EuaFpR+mbKcZaa1rUXqUeJMW3GGuEN8/W68rgPKjTsYeMpVCAswVwLjtnMh+0
y7zJa+r3JaQ3tvDH0C9TEcw/YQ4QzxDHf5g0ACN6jPswb6WkoqOOp+E9xuCOtILd5JwbjwQjb9K1
CYpGb+hVAU8AbWRPmJVYItuIfBse1ohXjZj2xrDfR9IlHWDLLBaZUvZyNlB40NpISFCSwaVwItQr
e7uYWrD23ldHzGgEdrqVwvWe18A2KZoj8ozw9wsvbeoLyD/5e7goXz7nIZ9OwowIMLIvXBZaM/co
Mim5bLYX48kOzfrHkhxmH+gE7Jwjhq/iH7wUzHQWc0SWkX8ctur3w6I7deZAkh+Bgz7bsoJXy+Fv
Ul5GdBb3kV2qd8Is0bA77+VFxa1pZv9U/OTI5ORDPqLBBD20xbBSC/CyNj0gFqH9BWVv5fWDQ4be
xB+mdkSGisrIqGM/6/Ui072DxSHAspbDrYcRJatjz2OIKtEjSvRQR5RQrmpjNQFDYQNMsqo0iB19
+o6vLHmh1a1U9HdSItubJSrapVgMEL81mkIXn5EIvGs5cK4+sufZhWBzC0X5vtiz3Ye5V0PMZq8V
johMO37/HKzINm2lQVWW/RwHa5pxTgga/FKSHo5H7rodjtSLbM9WDiyWSPewbnCdN2tUzhLYDldd
7jmSMuldjBhijEYbxq0QARXsFMa2n/qkbGISAsa3WcozMp+vAlNarL3q/EMYnivJbrUl5wc8FtU/
cS2k6jKkIb3V7czIX8tgFwN/pFeRI/QsNefFrdPVzxHDjDUZUDC8znWcqxwstVlK5pFRO+L79aWW
jJlMgoJ0zkr86NaDpVzOC16cN+mhjMgzRkZvVW/RygBUTr6CiATPK5/3lE9HkiMSjI3xsRJYLUPI
KOaKAfMUrfGUEyyxUVe/JOtocoeyeCwxxiZSUn+mxvQGzfYXdgzT9HhrdtaVuAbHsIk8Woy5aXws
zdEC0Hox6Z6HzMLuFzPbbd/qwdCOJFtuNrlV24sn5QrwgsjkJR449NnOrOC6AMh2CelJzer3zsIz
9FgdeAyyPVl1UuStHtFH6Hz2VsvAgv22xSUKdzTFYWbu2l0tbNcwuakOKnkPzCvbnNUB7DrIqGKY
2/xj2ZFT/ekTO3c92QC0tqucHnM6HXh8iynbmqVFITqMuhu9jLTWBXsxos3CTpEm41B6/LCLbA0n
DxTsbaU2jvplvYEVtJvcfY8J7bjd/cqwANvkeLfTeaMRc4yVybJFlssB1DyzXuSvapXHZMWd5Xrs
8Im37PHo7Y31oKzlAQ4fJuCFd9noVkmDvdCPT4/zQNzs6YhI12hDHlLttg9fj7883eIwOiTGcOR1
Gxc5XWdwNWvV7AMjOqiyc/WspiD5i75FU1TtZjwcPK7gMTZEK4QsbSoc2+UCJ484MFfo/UJijzc0
w9Eotp5TS9eui+j9RL/C4/DLfXx8HFPElm+kdBFIsx4Xs/UcW7UTjqnlCBfbW6WpURHI9JTQ9xeh
sP8KULbHDHAki52DVHph7ucZGPCWmP4oOVtgOdEYAFDvPdN5Uze92lLtOG/bFe3GrjZpYJexAUBJ
tJruj4Zhve4OTq7wDM5kxP4t2GyHFdYQibpSUYOzOmt7REp5a37wZmGnQ/YRFSp+I82U8wbjXwkY
BMry3H6jAAcOQJVRPsG+G4PbQUjP68H7cHu5RuQAHRK0QUTPMzavFTFEgnNEthiFSa6bzTtAxjLM
BR9zWAIsQ30l53OWHHM3fBm844UX8/EMNdtmFQmL6lpT83a1y62HZMfV4QNRPI76sN37/qbEeeb5
Et2W0mPR0s9iWzTE2PPJcFSWHXZMu1LUahGxWLvaLgztOTIa1O8wz9WbOLm19Mztb+XFQyx27SyS
ZnEig6TqImNsEUwzuIZvf/DatnhvBdszpSuzcF5SlWoVM8Ma3d3xQ/lAQY3WCf+fMRHbNqW00mwo
KkhfhIJW8NJgK19jNlgl1gPj7Uq0amXN7Me28OaDPNCuG4DqSLuiIMp8LwZNqQZ4yCEm7xWgmgA9
xHk1OEaXLcZktSTKQoilSnpFAo+UPKP+l/gKXSTY1KLpMjvlUwRNk4o6lqYALcRMbeEQbV8N7H1b
HQPb5OIvTpctAOr5H3KMla/VTKux4Z0WEuhE4T5an7Sl/B5gVaFuuquQuEd3z3ka/3JZ30QZ767O
Z3M9oUtJhqe1vbQFYzhgmf0X18LT4PtPofimw1j4sk8aqRHoWa4Bzvm09Ey0jFNEqiu2tQFHj0tw
OpvzTZD6HCMprABlmV88ELyiHZLOv2FAkwJoUk8Z7wqeFYzTmxzRn3Zkvokyxn6GmaRa0iCSL2uQ
tLdti12bz95RNGeA0zf2xZq3OfQvVv+bJOMCFrOiurQzXCAAZkqiPW8o1B1AvjicTT+Z/5Bho8UL
EPWGKw08XuLNtjcGG/mibNsHdM0wdxyUIyw3nkd3p5eCpIihQJeD2fZbepJ/RRHx7F9ZbXH44ikd
Gyr60axKZbqiCnND/lqxbYyeu0uyQq/B8ceuXkrwDHjtPdPO9PdZUvZH7An53JO1DFKSqKaH9dOX
gMMVz3KxYaLqYfW02lBTgl2rIjnLDiq7L63mLGyk003OK8OTDcaGZHrktyi+wRCvMeoX/Hwsere3
/oHpYGPDxpP8NFJuJso8iyts0caS0d8UcqvDxElgVBgv3yRL9PbEgN8yYwdzn49/Avc8GWOSV3Ie
RB04zDfJ7ndqwoaUm83PDZ4Dl9dWOxniq6qGLZcaFp2yzn6BNatinofoDy2BX4ZNCjYgTZABfszS
pIM1osLcWdy1ctKKwMgUKiNWrCKzFCwBC5dhvk4qjjhONqorC0ml246wZY1F6QcSQXFZ9HRa3oSN
an5nBuDLYP/13efCfEZ7sm/Xa99e7D58AJ5qFuf6pvRtTJ55e1Kl0FDnAnnsUM3QmXX5fHyWk9Wk
MQFGPOZe0ANsHBXA9db+bX8ulpVLG3pR2kwhjB8vgv2Y4GRGfUyQeWfmapIu2gT1QOAUrWUrd4Nn
d/3ymMiUhIxpMA9L11WyPgtA43y2zQ74VGHBiZon0xcjEiyUflRd21CiF7Pe5sfwZ/H+f6xdyXLj
SJL9IphhX66BlaQoioskShdYKpXCSmwEQBBfPy843SVkJJoxlj11qUOayekBj+cevjxHf0Z0tj+5
S5Hn/PJUEH2kTRC376TeTChdA8YUwmXoPKFBKCcPNCYNdJdzcNScWLyaCqORyUSYOXSDkgwQdnYx
ru3yvMfsQ8VQNA3E/xLq22y2RIo6CbTTIm1zMDCRLbXEBPFaA122QkUwesHRZ84QpvIYfXoZbdyX
BPKUhKSvOYm3BXhR7xvb7BWaCmF8YiQ1l6GXIaTxjitEa537Xrwlrvx2tkiyaDUk/S/Q7SsIRTv1
ay4xxM2LsF9t+gOok5t8tUvUJromjACJDPmV9UftEzwDJZ+MbhBInBYl7jdk4Pd8ETQUNqAuhLlr
B9zu+oEm767QkoN+syG+ocqoLUu6ocgm82RXZEkY6wv9flDsKP0LBNNHcn3lYcbt+f/HKU5kMRft
igGDU3iGrJeVQbz36skI0s2AWpzTgK7N2YcumgD3tu6BJxBOjZtHnj/YyQ9gjDXLMEF3kfADnON7
CB5EvDACRMMGL+aZu+TTQ2XsVY9OpXKqIGcF7pfqNdrfvw+zd26iBmONZSYM4dDgz+d4J4mLznGD
hsvxPJfLmerAGGEXlyXINCScFbq93hck8XtbdR5eC0zT2h2RFhdOoDib+phKpKc6uWRjVJZ1WEIi
TUccPU9wzx7Z77kzUDzNGIc8JOpFxoYYSvGEeW8LUuylurv/iWa911QZxgmrxnWQcuStaVSDkU0s
pFeJ/MoBxtnQcyqFccOXShojNBBASoXu5BHmcLKLle8+L4PI40EFvR1/XF/EaGiaMk2MCTHC9LLA
nJWmQFhLl2i4EgqfAQCRc3LUsO6IYZOIVmilqiipEEP7mY6DYzyqBN3lqM391fF9a8QmEs9DroXm
aFCNvHXhoBbe2E82iRFSfw7/h778ebSdCGQAKIrlTNYimY53YYTs+KE4qpOj8/SLp9ps27oxkcRA
0CkXUyvLcIq4Ssg2xE9nsBqMaCFZPYmoXANfk724gtxP3eVdZI6hsHnF0qzOZljroNh3wqfRf9gv
gy9tYdq8z0f9xT1LYSAKDPRWNvaQs7osLQ8jAa/jVrK3GloW79vkfAAyOU0GmpJEzs61hdN8yZCn
R4OdN2Ce0bJ933/EXfvaBqZ9XyTXVBiUqvS2HOoMpuI0jnZr7Bs8xZEXxYvsLHknOQuJE/0YtFJi
OTLjFhfB6SmPgfJYHgUNKM9t8OZdbgZD1FGvi9QExotIOvQL4TFfnX8+fl2Qu6y5W3J4n01lgpte
kKr0NOAM63flFXNfqkJalzy7foUAvwUVRmCq/haJdkBNzc0Qz7rp70Nle7+rIVUTqYH0l7OLleLR
o7fufOVEsHNq3L6Jr9sXXufxvNeZiGTwJQQlaCFifTBtHQNo7t6Aml9YA/HC/ZCcO64y+JKfMCta
nzUcrUvpXauWCK76GnzevwVzT7MJiqnq7yEBWiKFMrzg3tWKn7S+gHnKhfhqtev7YmbjNfRrY+EY
NjlqInO9ERib5iib6Dz2x8eAPxo6f1jff5+5y1krynqv4+/XrgP+aLoso/OuDuZQ7+sxH+BOFGHu
cQISij60IAhN7raT7aJltB5FW+9Is96i8v+oHQZO2/5/AKpv5ZgrbfRNnkoKZGog3yaii0XOKEL/
NMkyrsnnJ5dVYNYmdAVmLEo4N5M5TBWLnPuQWl6DyPSj2JyeNcxVtEjFts+VHYHGmj9ySXX4w9Po
lmmiox+5txtB2iQ0lTGW0Foh9ouCTAH83wLRgliy5cXQYEHOlWResM1tWfwrHzARy1znuBl7K5HT
EZEq7piU2q/PdtCtAoULzBq9r/c0ZO6z0mIXj5xClKO/l0TxCgfLR7wdhiRef6HA+uS+vl09yQ7J
83K5RMfpkT5tEMKg+vX5CS43+/ENb6ktgIbje+fta3IIDAZESPhnZolftlYCDYj2iAWKoMuQFpy7
Q//OvRNgoolOBM2aSL8xVFuXa1kh0cKu7C/lqVzpLkfYrB+cKMUgzkXt9VrOoRQizyO2HiGZ8Cjh
AHObl56eJUXEyrZ/bJe5L+EY96Z+paLAgmP6RwU7KaLMDR8CyuwTBDbIbVuiXzDoj1F/GhdisRTG
O7oV3uPc/NQs1E5+DYtQRhxpuYiluUfnfVwpnWfZN/cfP6sR4U4s3ULNex+VAadWMFpJViCOVmlH
J/YWu0W8MQsbWbEkdQKAYmibclCBlQJmvF/SjVPbF15EPBsKfGvN5jLFixJLWQLbwie4uO9nbAgL
HxQf0/Wob9I9Xp9/94yaiKTB8wSyxnNqXvMrNA8z4tVLMSUCYhDfTbCtI9DeOm43AefLGgxYRWGM
cRsBAleqj+BDOqHmshRXCTZQga/ik5dNmk8XTBRkEEtNsSl07Kk8tMmn++smCEDmyUEfDvAbDPhk
VTKUmgEhKKCeQCGKMi03/8yBXoMBHqTq5bRrI7qmeOVZnibaLhwZeF95nBg8KDUY1OkE+E7hDG1e
EI9ip8pAIvDw06F3zrHd0sx37h27G/t0MXp094a0c+Bipw8G5pKAOsjYSo8iqLvPi68tSjmhrbvc
yJSD4waDMFrYnUWhwXFmWNbhJFtlR+cuMX5iFwL572DcYOAlVfUIF5vKasjquJYLW/ysUGLHClOi
OX/3Jvw2eTZZWxVFaxQZddLvZz97jtYgYNyDvulChAdetmc+zPrHbZgMfiRFfKouJSBrDczyPgq8
eIsVOE6TfbD6ywh5ohkDHpjJvWYC2HVoE2O8GfGkxgnyBsd49m8ykDEMlmyWEYVhJ9sOBuoiaJB0
kC/gbZ/gSmJwo7vIptw1sH+MWN3SjOA/ekCxYMXFeXoyd26ayaCHkUWZkqrxiIISemdATUVJuBG3
8HpmeHhrMuAhF1UupApsfXU8r3tSBBUBH5HMnWee7bqYBCxsgB+qZVGcepzd1Y9LgmAscQXXsOzw
oWhJdXWqhujk/IBo6XMVJ49Wb9+/1bdmvntHyiCIYFhlmF5hJkj2YERUt5UVNinnTuKCRm0R1nYI
smPvgsZQOXEj2wzgUSPEEvS9w2dK4toSAzKdJJ8yvcatvy49r7atK1bFg1tZWKBCgq2K95WfTyl/
30R2g3E2SmOpiLAnJCjXWBi1AMPzevdqEuwusxafHGnUaNijNlWswdAVE3u4bw/aSZRSd7LWj0aO
cFBxyrWCQUE/SDaF/ZmuP/HM4UibuytTaYwJj0jilb0FaZiqIYWT2K9XRCfcF+pcXnIqhom4x7zs
0ZVyugUNAsnABxlcP3g1plmzmEphrLSIi6S4aLf4Bw3+CTjcQE6Paha3QD7bgD2VxBjgtU6lrA+h
T4PyYDti5Rvm2m3a6Ij3wxfeLBbWjfK+1dwLaSL09qMmlpFrRXiNNfqtjk4vQr+HmPIk4oH0yTNC
nijG1WnmWIBiBaJocvfoWEhfXMj5qJ4g7eUzP/53VshOHBgSshcN/XChH++Vkegn1HVptSHl8XfM
dkdND5FxeA1Y0CPzDM2ufo0RspWHyWITmy/Q6xgRzXJqdNHb4oqKNxYGWozDW9KXyy8zGw9Ofwjj
D7NY7uOW3jxn7bQtgXSsKcd/X8gZIAH7+cIJQGebYEzVtPC603R00zG3Iz4JWiJUZwTVmKCGtf6b
aYnzLenv/hO/vsUwVyOy2k4w+wL4hdkuDNyDLu+ZlnN40RhHDnsbVGmUWpNeQbxDom2EdUUJyA4J
Du6+QrPOd3Jutw85uXZGjIaASIFC8LseZVoaggE88MjmUZ+DtMCKl+OdneOciqSoPRFZadhjZeYQ
icZmUNm8rxXvtNTW3UJEJS6BX3Xu6zjbFTsVyNwKpe8F83KhOuabGjTKwfbqc0Twvhf994lOl6s6
5l1XQafj+JDVxNqmiJZo36jzydsiJM070X+MkB3DyVU9E8Uetv5yBGQ5OjoCQG8UgHmBoxW15jvW
fptcn2ilmWKky0lN34+OaG9iu6xJE6gHY/m1N97oXtj/w2ZYnnaMNxU0WQePE4SOmxfsc6Ap5tSp
VtlDdgCvCq/1cZYzamocDHBEbZkUuUSt8ej1+zR0EOZhZRdqwq+fX19c4v75kOT72zEAIp4jVKBV
iKN8JEcHsWZg2JcDF0BmYxJTkcGIbiHeEhmDvJ5Pg96oJlLJYC+7bDVXW9qp7OU+9/09q9FEEvMg
6eRMjUwohQPUXlMMUGF4SliAp4ADVXPFLg0dsJKKRS+SiVWVv98xOT4VbdiquMaqf6g+rN3lranR
NrSKPu7b/Vwd8TdJTIAwNLogFKYGSavjxvs4tK87y/31k+ClDxL73L4QjRsZz9w1zLxJomRaOi2u
MB8sFOOyLiNrPOjI1bwIpLTri22CTNetned9ta78f81yfvLAay7eQw0M5ACyoagiGgl/P9jkej1J
mVqKAGQvXB7oemvydnUef2ALCJfb7zbRxIDKb9IY+I+qosmvQyfeUrQlVpLhhv+wvDP5iEjq7cBj
k992Dr79aB5NDyN/lQ3+lWCFp9b9zzz39NFlKC6DhUIy9JsZTOAt6bWqKy6xiOrZai27tYpCOKJq
ERKDL2tBFzFxJFIwYXT/TSLzkVvxmgwDVncc8icUhg0DfKtIB6Pn6fq6RVz9wk+0zMS6v0lkbue1
F9JoDFORliLXihMeKPMZ0i3c5cZzkcRvkiiuT06zyE8jSH4zWFGP/OxmHB358zWwu8A6fMIPypRg
0Ea3KM9LqTMOQ5cl2UJ1GBRPMOHfBTelrOCZl8OgNDJ4PYx4fACdjotV9waBh0xtWh1FVgaTArVv
vpnoCvjIXy3fTgf7sgqw7AaU2Hb8Uu3s02bv9Ly04VzL+2+/kPkIfXy6NFiJhV/YLVGYwKqKNext
bPzWBVcgjsYmtvlwUolGd22aH2Bk7Hl973Pw+duPYL5PnanZKRZxTKCz1giGd1GT8EyScsMtet5/
GPnkezAOPE0jq2ysAtri1d3v5bfTwX3+qj94z/u5StdvGjGu+zKOCO1iaNQtHSewWhCPo1obbtcr
jSgkxmBj5WVrC1MFiGh9rHBeY08JDEJ4MbLA5laN5x49v/0exrfLGTyx3tPP7Dgf6tv4oTvgYQHb
ZUt6jDzSnNEqtDgJnLk331Qq2/QinEP5nEtU6mp9fUy2cg1awNh5Uhd+9DAgTYDNXLF7JVgcgfa9
8+ozcq6r7oMHbbNA8/3V2e6X1IjiwTLxM64oIiIL4jdB6A3Ysmph9RoHRmnAfsfCWMa9S1Tmlp7X
IvwzrnuYOv0uQGKCO+g2j2kTpZiXg9zFaiN0N0Ee0uK5QqQIafHBFjDOgYEOG8pFBXfX2O2w7inI
QFoGMiax7CsoWJKrmy1Lewwi8rHx4opoaL15zHNSOghSK3+/HHz7EZxNdpeADosiLH3Uo2Rv2tnr
3xSvfrM2BsqqczlasY47Bzw9onqFGS/s1uP7LQ6I3EB/4k2MNIvAMoGTD7dXqSKnMCJm+HVyotSL
yx+XkESjI6QE6zSs5VV95xjYTEz7m5YMhJWVpfZiiPNHMkq0hcRTP9UEXaJj6fHuDcd7qQyIYeAw
LySDfmqHLg51I0zrP9DnXBfEPg8y6e/+w64URRctU5I1g218EjqhO18MnGp+9SySXx718Ie4Mgz3
b85vIoc5P2OQQpwe5Lx4TpgSZElE9A5Tu+QImkWCiSDm9C7KcLHic0NPjzr4bNl5bzG8wX0xc921
CA+/z41BdmQMWy0MIaazW8e7PiqrEOSOD+TnAp6lIEG7vmUu8jU3WTJrid+S2VHbVDWjvu8gecBa
tNdfoRd9pmQc7BwAxF3DNnvpJsKYh0CngwtDsijcye7ZTuC3QsAMliftudX8mffp9ERv0crkfudV
H2O9CvRSyHoloZFdc98an5fA4J0eg9+aEWqaWkGKsEF09YZpaPS7oP3Cvm8fcymt37Rh8dpqwABL
7V03bEf+FTrg01YrTCl3C8EJPmmrS7LZbjlSZ13u5HMxWGzKRZ1fEnqGvZ1vzIfOk4/to1M9fwnO
Z+xz11fPlSB+U5MJIU/mSWoqAwJBSiA553XXkf1X9wGs4q4dl2ZxcaIcAyHncyGaJ43KwlKq95p4
i4jk4Hrbc/ODcwSMv6nFgIg4phhCOEFU5bQe3XKa1DYGiy2i25kr7E7JarSb7df4HOwL/8ugrUMc
L0Al3MHlm31NbgO2DMWWRe2HvkNLW//5wutAm3vkT5W8/ftEhAkWjlPdQkRn3zYA47UtjBht/wrA
n2l/8qhu5kMn5J1MvKxFSTKZK3HKNOF8wazKQV82Fbmsy1/Z+vT8Mw6Wbebsuw3evCta0OSc5FxL
rC5P5DKXYjC6VKpayI0fVsfmgISUskQiw96jiZBzAWdSNr+JYq6DGA1NchYgKiP5QXpEuX//ybni
s4g80Ya5BVkYNZVpQkTlrDf9q+FiVG4f5D4vXzj/RJ0IYu6AWYu51qlXRAZNgMTkiWRfqAphbo/2
EMpuYxJp17idkx1ct8IMuidsL3jmk2deT/PcVVAkXcT6NBSQkJrBVZnYaWLEYqjpI01GVZmt1MTh
BUGzeR9FlvEak/A/laXSP2dZdBZbk942bxf2boim3sa3v7YXNKFgBJjzDeeCrqk45mgVrUyv1xLi
MuK8v49k44N9OiePzwG3Y2j2CTqVxQQqwlWAEz9T1fAGXh83Bw90134YqGA4QfKcG3/Nfq3vo2Qf
nzkSv6aW/+9R6vZwQjCEl/Yh8gcXFKuf25iXS7m97VionGjIvjNzJRzxNjBwvxOifGTjUpDcBLva
l+Zq6foY7/tFHkLyuCSUZUjXl1sHqbxPfQdatB8R2EkcztedA4Hp76EhyMReZbMRaomeuHhym/PK
93cx+Ht/vtlXtEJ+2a3s/dUQrz6VyYQ1wlVJtfyMM1gdjzGSxOT1cSkH4SMnfOKpxkC4qQinps4h
Bre/k7DaKhm2rfwjEmyx8S3j4f5J8myXZew3FD2K0GGHm3+ICF2E5lqpvfB9ghZwPPUKO/0FDK+5
PD1zkYYioyFFkmgyWGdOs0ctEntDQjxWBDArkyNI5zDtWA5kqG2UZngGMxeTTsUxp3rq4Z3OZ4hD
ENU/DKmdBvY2xBjb4v55zl/Nb7UYRxgaZdmfqWEauz0aFDExev/vz3raqSKM+5PDPAHhlgBFnEG2
473k68el+oG990G04Q53zcbYU3GMK4xaWU9NCjVYips7TqUGVy+y3av3Vi+W7XvAHR+fY1rENfs+
QQa4T+nFxIgEFEShunCw/gc7iChlpP9EdwfYtDp+IabbEd3lne3c82gqmsHxq5xFspnH0uHl6sMd
Y3ljdiE6z/Q5JsK2qTeleVbKCkfa7i8OyCnQYMCBkNmX80QRgyo6gcf6fKmuI9a8IIChVJUgOLfp
MOXOfAB5BHbz/dhjVfMn99vN1fyn347tTlf65DqUZoQDdDpXwJdD1s7nhe1zxePfpDDQUYyy1vQF
LOTFec9Tgj3N0ZNInkWC3onIoduxeOEt/Yt/ur9/bJItEw7mUCmNhfPsGiKRcDGeaK8GKgiouX5x
Pt5syUDB3gzUVVR01rBUPenY6PWgnaRDd7Ud8Vmi9arH8sk2PR5931y3qT4VxYBJ37Zyr1u5RF2a
I0aLBEOTbrdZXiWX22o2i8ATtRgkMeW8xf6MArZxdDK3CRTbAW8Z53EwG/VNhDDgoV+Gi3zuIMQx
ayL+1IP96ZUDwNRT/GELExEMSPRqNeZZg89zgS0EkXs4k9o2F8a7ZC9bnUv9Mm/t3/JYuKgrUW4u
Jr4R6mnKSgqqp+pkV3XlCpYTn1bD6PYX0nhW5oBYX64wuamkbtk93Vf7Fp7fUZuFlKLAzgwFSdPD
6uxi1L3qgSp0YrqLyEvoY8aBFB+7HYrJTuppoJfSD8kRM2SLpVsv9JJ0C0T53J6cWcCenA0TBuqn
ouq0ayodKpNkl2AcbaSaruRLP3HcOu+mGAzmWLWGqyLgKxSyE1sYKw3ibbB8XtYV4XLvUQu6d9RM
rKLlnXFKrjhqmhdZrxcpyM564j88vC2XXJbGuR6+KQawgzGJMJ6QyoW09ZAQ7LpMbfUYvvIo5GYz
E4pmKMhNgNtCZ9ed613UKl1a4trY0aPi1H64UHZFMOxUunS3waMW9TLUT5TPjOjP94133h9OhDN3
Nkl7PVSLWkIUA3rj9Ua3N4h2dy1yW4072LQ6Hzjq7q/cxrdYlmSjyqW6xTYs6aBVQRE82kNkqyu0
VdDlIn9VAJ4c8K1iOfH5Qyi1SijhgNHIsu69kmD9ltU7yP+vuORnsxaqq0gygR8PTTvMeWoKyCfC
a0P9hie7uo0H7+4nwTqx5f4LRKn3v968Q/yWxh5jIodVd7qeJSSXaFEuWg4fdEQ1qxz0EXBkzTqQ
iSwmcrJOVjVqCjRbr9PI0S+uKqOJtvae2/d9hrUwPs9jzedFJhIZDEubsNDGBtoppPcK2X5Ygt7W
HVzZQvHG+Rz39zXkfDqFAbK0qcJyVC7Swbv4RaB6e5GzXZv7uRj4Sk7ZKOQXSGgE5/rUgl82wwad
xYo3NTiPyZOTY95aRZyqSlfg5Byk6RIXRWKMQaJbnk+OPhuyTyQxcVJ7BneBdh4kJJOODn2pHiRy
qJ9Le2E++D9sO9sE+9zdI/rk9dnM4+ZENBs2ddolky8tlFy9r9+9w7Um2KRI7DyIiUh79bcBD7Z4
d4AJosbsVIVqC21xrppkizVJnosVnf7fX1uyT5fdR/lx3ypnCw9ghfg3orDb5WPJiJXKgkzRxwsd
7WkXN1lbjS349rla5jY/iTYbj35LZJNonXIpjFiDmb6AvCe20S8/+vXi/GHynpW3K/WHP59IYjAl
bf59nloJVgpUODyKzi/9G7qS1oVn7bTdr90BWyW75yEQYjQIlQv9guoV731LzfTeD2GgRi5btRkk
aktgdWg2uVeA0u94+6iU4hS9HJyvyrk3LH+JETVNmae4oS069733dmGRM9L2qwsiDW+pf6BKx5E4
+1KbnDUDPnnTJZYydPSmShssuL7eWtDUw9hwX9kK7zgZ/JHPsSWaI2TVbuPRpRDH4uFqm+BmLgmG
6CQfJG5vg+u++ioohTBbg4W4KP1YjrPiHTTPmBmA0mRV1+MI16d4oDb2cbb1TYMLy30xUp3umRAD
RxJa4E+hBZ1BZK/6oE0E61r6WsFHFq7939orA0RtKEmFYkBYmtvrlfdRa3ZV+eajg67U1E7+hmFb
n4CQyoQ1JeVu1EWY6wrRId51CbFseMggRLbpvp3ewt0758huyKzOV1UrE+pRXpxyGW/OKaa+FotN
4dS2oJHWtxEkrnI7XoNxM19/crtibxs27v0CBpWiU5jqeneFm/bWK2x9WW/O9kdCsuWCksK7ebCs
iOy9Pe+5U2ecEERjYCg6DWbRR4ChtYN+3PMrz4HN0axMv+Pt3yehcNhLWN0q9fiOvbdGr5riVV75
fLFcy0XnFF5t+8tHYdu9v0QLqP+zt592Tye/Q0fqcwwOHzB0+KMvbh57FxvPczt4GS7+wHlQz2ZW
sYZVp68hNPKzXUHJuTWE+ipSpBICDDDni8E5Z46WeEJOLgvrZdlg3fpqy8svzdakp4KZKzz0sdVK
0U2wuNVIkRAMfBzX4hXkC8vuTazXGK3npSRno8KpVOYu11FuSTXIhg7IDB4369Mui2zphG46lXO1
ZsPCqSTmFp+SVgdTEpVkoc9dtYvW7nGWS8WV1sbb/Xs82wc6EcZ2CoFXu1PLDMJWGEGKai97jzf6
4RQ73cIuDfic2g2wEuzkPLqPir0s3AAXWzcIz+/RAi17m6e/g7nNYoyHd9lQpZvYEXb5ldjVkrIY
3dd39iU9lcPcXSkq6uFkjdAXY2SbTW3vsPXKN2yXLOHb6Hx2avNKx3N4MZXJPFm6tuzjeoRuQ2d/
eCmKAWjYXnI50nkmemvEmcBGrWb/MtFVu1f8N1AObk2b56lpAHLvQzFBwykdIx0fCwdobdbrDLPY
6NiNLdrW+smvWdLPcU8aExekfVnrcQhpYUMwXb9c9v6ParnlWN9cmDf9QAyiWEnfFm0kSQc5Wwg7
1KPH2A4F3sT33ICQPhXDQIjWWXJfmNT2XtCatEFr0mJHnl5dUCuBUWjFJ6TmfSsGScZBSs9pTr/V
qnUcDcQPz+iv3tRerKH/lptVmYtdJ/qxTRjDJc8xAQ5xYFGyvGKFEQnsm0FzxP07PFtC1HVMPema
KksaG3tIoxZLChgMD+UYGDSNm9rjxyV2npco4aeIPbgZnLlIeSqRQadWKoW4lBREjasGTcQCGhbw
mEQmbLsVOAXtWVucKMcCVBWPXXehRoJTVAtbwyG+3D/AWTyaiGDwqNF7AdsGZOkgdKRea69g3Ons
BAtv/8qTTQRR+5wAUjGKeZr00OViO/lTaTcNoXO0Ky4r21xUP/0+DCi1UWz0YYLvs+pDgih7+Yjt
ztlmu6fsQdxK0KydT9RiQElQhDYdBBW+yvhZvUlYCHGSnEx0kDzh8ibyLI+BpjjuW9W4mcPKe9+M
pIY5oIIMegPu64GnFgNPtVhaIDjAIVYOWIpGp/SNZ2EJmOAVCOlt+QPUJ+fHwJIIgujSbDWaMVz3
B2m3lJ1n6nnvW/ls5mliFDrTE1ZWSWMmBcQgoaz6x/X7+2aBMQysOn1wUZF8tlexf18kD5lYBsg+
E4pezGAZYIBcN3jKym7ceOnjqkoJHkP/5UHqDFZczKZTLBHiXo4CURfoLkDHxn2VOHDEtrnERj20
UgoRcUouv0R0Tdi9zLOIec+IirFBZ6oNzWIQKbpikUwGxl+8qEIfvnHhLX49JbYPxwjyJRsLSfn5
s9mIcyKTASdscFTbONJxizH+9d4/XB8FUPzzYr9b0PWnsX+rxkDT0A5yXJ+pGIxugtZvJJWH5drI
VYU2r7mGgsE9WQwwnZpLb57wejiAjF/ahWTJffTNm8O3NgwcJXKjSXFtUOjD2+S4rt31EIPUV1mr
x9Om8r8CfhQzD+7fMhlcwo6jBvz10ArpxmMjkzYmhpv/iCqyR76a4xvn8fZbGINNo9zqcZtDQSps
nSzu36bZNLH+j9HpIoNJQ3dJ00yBLob3gVbq3W5RBDQbjr6/EvvdbI642fB5Io6JWypTvYSjBnEC
oonjxa32+ap5AZeLwxE0B+kGiqOUHFlF8yZjF+IlLvIrujEwxuuEb08nB4l9zC1ypMx5qKkUxhIG
TBFkpw5SUEqwkNRXiau42IfH0Wa2p3AqhzGCNK8vyrWGnNseGZCNHBboh8W8748fWKTOawadbU6d
iGMdVSaPoOE/QRy4dxwvQjxx8DYG6dDDsr5u0axgkA0dZSC789v1qdLIk3t9aLA0FSPBQbHe1q/g
O7p/1LNJlulvYiznhJXQdXymH3Rw1gdM2BOsg0XTEBAZZKSf1gPn3qlz2DUVyPgybTAyBTV2GdGH
7GdXor4jOjh9ocJwcdcbkqx3pZ17h8VuBzr9wU5fkOPTbDC0nyw0srqS6xbk0UbtjMfSN4cI0x/G
+KZKGwS5KfHDXhq0gVh8vsE5fJsKYBzRtejKbqjoUXvrs52LRPH/l9lQeuN5o9n0x1QW4416ayjO
Ir2naFrF4CAyIIWzOIDwVnz7mb7qpFxUGLd/qUNeCxrvFOm/T54CansZtJ7auIKd89Zj7t6319ls
5FQxBoDkUx6fr7evtDq+x1j+vDPcB1hrik3z3LTEnBc0DMuSLWyjA3sAc4pGK4nXASHLoemW4HOS
vZZ+NDN7MA1OEDsbUU5FMefWi117LTASc1iBY/D9vXDAauNa/snB5DIHXnlaMUcI6uF40AqIEv2X
9Yd6yDwOrs626kyVYfB71FqMneeQUO17F5MFlFCCYwfzLuL70zDQbVGCfiOCCIfiBha2LtCgw++B
nX1cTFRhu9qGsVKV1OqpPXvedX2IN7/IT9rhhJnVr2sQpD7v8/wHSP5HNbaDbQQH0CCOHbzSce2B
cxFY6D8hRKaDe7yMx2x9Z6ofA8ehbPb6IEE/EGMcym1EomUeo7meoBboY92iva9q8gXic+GJdjN/
cmxxNpc5lc+gLp3ySUcZ8q8+OhYAimhWxSuA53upObAR81QMg72G1hrh2MJcMPdyJtG6pfUSjk3+
B9D9/nAMXOQm2CbSGrogDYKt2STrQCqZkpPnVH5rL78wRrf9SrAdgHMX5qK/qXIMdlSI1ZuuhFyY
CzDefOsD8eP8wRPDO0MGN67Dv6F35Zjbo0XW3Y82UFt0paX4amAe9mn3DEe3udfbVDcGSk7SEOdy
At2w9GCNZX8liX/wFOOdH4Mluh5mVUWdZUnyJxUVkNvgGs865gOff6yDpWvWmibrTAUmCDvXvMVH
tsTUwPiAcM+ycb3j3ePS7lbqSl5hRoJzihwNWfpmvdAEID4gZeVJq2hp2bWXeCtQLXLkzHv/bx0Z
NEGpWO6kESe5QiVzaMlFoE0UDnJZoND8OLWohvP3Mc5OYkxshCVyHq1BFK0O2lHWNPQe3YgKsfsM
4xg/n/yHNzd2b8MYZ+5DhXMl2DFWsdKuKE3Tcx1Gx1ugtRCsG3vhifb3g7GaW43nfUcGYbLLeDVK
BeeL1gzsj1UC7GE/2+jyf6O7GiIPnV3YQX3/o/L8EUv1nMtGhewGlMRsMGgg4WsPv3xQ5jy4GMnn
HemsNFMSTU1RJbxodZUJIK30JIQZVXE9ekgRoduA1M6r5i+hIdpuCUe7uSOdyvvjSFtTzekDCEx4
SyQPz+SA1nDnqhDNfhS9pY1BRQuNMLwczlwUhulnQ9YUGlxq0u96ynkV91fsdIbRet27gQb1inft
56xzKoK5jVpaJ5JylmCdjrP5uHh7DjjPBkdTAazzHq1I1nIIQM6LPjLQloH3M+afXMycYJ8RR94c
gk7FMaYhlH3dCgmOzGxIH6HX/BdHwGyP61QCYwydFg8Y/4AEVI1RufsgJxoBgUTwvtFx5TAeG3Rk
fdj1kIOX/RHMmbF98I0tQh/wF3BE0Z/MRj5TlRivHSfXHGmum0oOgDH3JB+sebhKvIza7NNsKolx
1V1Tx9grO1JwQregdAZFu9pS5I/JEsy+Dp/tfi44mEpkHLdp9GWDpAo+V03UAwI6vkfjXFM2Z1O2
VZxpF4joaIMeYkdE48hYv6JHYvv1cv9bceybrSoUVa2kRjLgAK9unHimxF8IPY92/6AOW0kohdO5
PIX4Rlrris1LlvrGQGLBbhK7lsAmaeSO7FTD4b5iHCBiiwtlc7WKCz1EsHWkoKVaBjZvm8NsLm9i
C6zfyAtMI+Ne0YzH8ajbKmgqAUUPbnJ4xFZmrrXPljKm8hioULssM3sKRs5ROopfJWkWG3Sqnnz1
Yo8YLwqWpUSe65hs95/cq8b7jAx+aOdRHS9XKty5YHcTZWzk4cZcKDfVj8WNob7msghLwejEeXe2
6Vq109NjgFWy6HLmWD4PEHUGO/preJXzmFrIcT2AmtE7mM7OJ4P//MkJZ2aTE1PFGNA4VwW21iq4
ZWB3V4LzT+3t8761z8ajEwlszmDssTIBu6WhzBp+VwkSguHg/Y5OnqBtAZ17/v6CZasrXmWXA/Vs
4qDQhnGUUhxi4m+5zZA8eGdnZiWlz2qxw19/cbSfq3iBfDWqkf1B1ew8B90d0jzcqtp/iAb/wSt2
nC3OQ1MToptPQV4MK01ABPsRuW/gbPnh2ucFzzNzIJgdoFVAPT4YKY1omqfkac/jk+ahFDvElklG
k6NRh9p5ifgic0/BmaxJEhElImoPvvguQxDAu83cc2QAo8qyQQElBDVJbLkeg9ihi7t/YNlwsEXn
zn95ndmFT2I/nPSxwg1AfLP2JOdQY9+whk3hC0DVJw+qOD6a3fEUahetTuXbfdO89Xv8GW2zp+xQ
LoBV/w8XgQGQSpejUz1QcQ6CxOP6RfSPlpdKdlSScIeCWIKtk/chhXf52OSB0YQjKGJvaIzMi7fZ
+erBd5fL24Ael+mN417YdEFtJsq1MKDh/5D2XUtyG8u2X4SIAsq/Ao3uMRhLK74gOCIJ7z2+/i7M
iXv3NBq3EdyHCulBCnWiqtLnyswBoJrvDw8+ysyFe6Nj92Vv/8WOa6BWMUqVte3M6Pvb+c+Fh/TA
Xl1nszL/QR2v0wO9KgA5WMIgTItHsIyJ6v+gtvUJ5YI927KZTf1IahWhJFlVTiyHmAHThcFkiM2R
vg2wBPVZebbt/YM9KdjWg109y2KgvVFCe8plvfwJaOIwsEwcFAMhjumhvjmdHBcIKUQwC7JiJ4h5
n5x8JbJY5wV6Hvc8mUCuc5CoRmocG6JHGy2Wzyf7m5f/hN/1afr2KX0pl8n8ux1nm0McPl72ykNJ
MylGKUE/sXMgcNjBj+w/CAJ2zrnnMKiVb4KpM5Fh0EV3oraeuSGw9nvp6V0eXemUSRgSW5YWHkWI
Md/Q0xcgRw67RnzPNVnvczKR6ozMCnTq43eARxB3fk5RifYPr7etzQ42iquO69wkhrOXjNhjF71K
ePSYOTonFKS/Lzic49stlqDBKow3y2bZ0/jiH0/CHrEzxXMe0fhgN/eG9ysd7L2Mz0rjgCEsbJiS
mnMqGSXv+74+VijDBiNBi7r10vTIq5sfU4IJWA11BuZGe8CMlRP9TktjjxWh2iKS81WQwIu5HSe/
7byEIBNqakfn2smOLJic6wZiUSwfZHEhBJCJJBppM27ydbesPzaYf2Nandd2/ddATdlRa4PuENEb
VyeIWkbi4+YYRn6c56w6ayqLoGtmr+aF0TuCTmngpHnP3lI/LdsDj42cPo7YgZPex3HcvWoaKn1K
epHKh8IvGLdVTdVsY7Fy2B0aNopftC156fpcRj8Uj4GoA7AYG1JG3c72iKaFRzoMKKRUhlm9ZnWO
7SltWeivxRjSP8VUVP9i4MH8lMYq+ZwnVv2StpPhpoGfYT6ApChAWmOPlX60SItDOXfDazx12dMA
fDuy0VIbndvTofrXyovkLZv86HPsh2lu87wsXvxkZqmDRmvxQDGwFnOy+zqkTlVH4fcwsUhl+/1A
AE0Oh+lozU2vT8C9pfyY9UUSfcbqOqyso6meHmpMimbHMLKMuxEZwTeBofutHRYtJQ9mFaUvfWbM
+WMeGWbmzGQKWjesfAaoUDYYnwMSJd9nZDt+DLKRt5glOn2HQkpSm8RdXjg0r9XPPE7Tym2yojcP
hl+kkZv2XfcpqKyeHEdFY/OQcbOK0UGaF0gEhW2D7fOdJb40MzoR3SaPC982Ta1/hlHBk5tunGLs
2etm46VHXQsZyqhqi4NuQrN1kwpjMe2558M/UR4U822HuxM27wfa3k5jkJk7zLcGjiwsLtGEBDS4
UNjw8V5J/CC32HwdNhbmpngC3XajY0590disEEN4JLMeUowSluS1qwtkGLJUR5/aopURLoTmzO67
Ak9hVrpvHDqZ2U+/TEdtyyS2PAsbzTKHm3kd41Y4EwerFKp3UySp0cMhokzaZiLbB5VIktkR4m6s
vqayrxxGLPKgsJLGrcu5+rfz57o6aFRAfhtlkCeHvFdw7dUgNZp6Eiu8H0rtf5JRlhk3Zpdm3VE2
fT2eWl1304Gm6ZjbWEUhX8dmIORgTDxI3X6cpwILuppgLu2uohKLpepaTTv98Bu6SiphcSxLMKFI
1kmaeOrLMBfT4A2idNrhJGh47KvfRprvReBLWnilrJDYZpj7qRUUiVoZbgXwLDZ8BKOn4sB8nQ0x
2lo34jjFJXFz+FB21I1tbFe5AibKgKbofGkcC4maKuE6cAdWxa391xp0mRGBIRGSY9+kWFngkY6J
aFk2ekCETQ6VBuYzCfHnOpFVeAkepgytDDA+loRV4CsFOnZdU3QRmz0h+VH1hRPK9q5rBNLn02/t
hzsys0WOE6JgHISW1traz7PoWTEHxCuE4k+dz+KjLMG8WT31z0U2S4dGI3Gvn/GSj2CCCLO4Egxz
PtZGIlWNHJrRmL2ojLXLuw4hbl10d7xhxaHg3Nx5uFXW4/1OOcGTMWFKNOYv3PZBL/QNdjITKyRe
GEfSCQJWPuje6A8c203urh9tFWj+DylTEQIVrWDRV+69HCjVtRUTj2CZ8S0X+U+rVWi5jDCKkPnz
/JgLs3VS06iO1wmvewXfKWP7LpCXmmNNxHt8/+GQxMijAJtMZg9T7x1dWS5R/c3Q6ReMqnEmFh+s
8XPfJs5Mb6OiGe0Ic/jt0o93Qu33xzsXXcpNAkeGEcE0pg6fX7YmtNFoojI9xilxsM2CWrYcRG/H
Y165oWlKtytr4UBVjs40R6Wj4745ZlGX4H8ZAzsb+t9VJJnTmW1+n3XEeCBknr+0QzMcscSpPmCe
aHqb16O+yauw/JQDoGlP+eQf8yyuHlVQtJ+uX+6l74Qzwbjg8eDU6HXukZSRVTZWRzw6To+lVX1r
S7rX7LnBpBhexDWuDVON1XqIQzlFdQePZvTmoG0fLGv0D+Dn6E1a3d6wqUtSjIAUM1E/Rcj3nkr4
wCoZhtsVmFFheUVSMVvzdrppsjlzGIq4O/KwRUqAD7hGwzksxioyIrko4hHeg6e5Kwan8U9DtiPd
ly4nrgz2Htt7YFaxxuec4STTIa5VU68mUXVvtc3kkp6L1zyjzT08AmGLTrQOH0Xg6Hnqwx36a4AS
JG/5AM7hvaNhQYmVsap1WnPqU+qZ45FjY7rt6/gwJG8GYwc9uY0qT2xu7JIMxz4onHy6vc6d2x+g
uVKUaRxXrmyGyhTVmVhugGWHbgzcpMOAf1LdSTZ/NcmXyqxuc0m92FBPZGjsPmrc65+w8cxwvRjk
QzKJDZortVd1oD/1JtRekfVfapMVd7FMFXNC3zfrnQvfeHAL3oEJMhAXjHk+f/CByriNWUu8jFAA
cWM5Y0lpz9hRJs3wdTAi322sPjnmMs4cOuti57CX5otZigLhri0LTLcu+KlwNHxwE/H6xtT3fIp6
F1zewKcV6Y88N4od7XNpU0CPSxPjZRksNVmZL980yFxpTrwoj8WNNPP8DgDA9KgCq39OEz97NPyB
PalCVjvKfJ3YWFibLvdsMW1hpvbaG7GQXB8A/yNeaqEPttAvUzx9LQzMOOsG9CPql7AIPzcxd2ZW
7bzyxqlBWimEk4tBW1vSKGDhqAycuiL54hQ4fv9PEXvYXWmXsnSi5nSdhf8/Z/0PwYXHP2hFGvmW
xToQ1NVgG9U/iUqODc2eVImOqri5i8LoLq+q3B6kuUN7Q3yoNAXeF74YAgLrnPScpDQURmV5AisS
DpjdajpJ1mMyJ9JnO6QuTRljkgksCQSgxETW4ZzUFEVhR6vc8o5oP3KuX+G6hrCwy8cfX9uwqOww
WRFFQW8sCgThdj52dyoXD7Of/iJR8wgA88FIqtuyil6HOXStt2Hov8W6cQNiuH6CBa5ktuf4j1VN
bjCI5+vftyG4DK47vLLF6YQJPD+7moQs47G1PE5DpxeFE1U/4hwZbHSjXqe0qPxzJwgX8YHSipe6
GTNJ8gGUZOiWxiGWtvEcpvdfrlPZO89K75MiEqTig+UlSX8g/UMr2qPPb0stD/8FIW1yaHgT7uXa
YRBlpZvRry0vb/TjUP+I2/KoBm5zcyeTunUiGFB0cksK1NN6tCKPx9FU2PzupXF6yMXPohQ3lA6u
kcgdXt2SA4SWiOUwsoTQdTpM+1L2nAXU43Gb3wQy+wI/or+5fm8blplbWCeNkAOiJqx3eNQHnWIm
hjCDNDE92viBM6huuMWutWC2a2F1dhHx2RVibG5qJcvbqew6d4Ib+jAo3X7RTPY713t5aA4vDJqc
cgW7ufZj29BgfVgnxGsaa7axAbg5WVWf7HDLpTbj8AMshuiOWApNeediliQS1hMP6WV9fDsL/6Ft
u9tA7HiWl/YBDixUJcWOWmQl1n1m7ZQZyZIQ9xKrcdusOFYlRxZvvp/I+NOvrBc67qjOS+bk2CeB
eyNKwvVe93pkTA+6ZyYiG4yQfTHLpj8kuS/ulOhmzxjE+NcsiigKrhtXWDOBU65UtYGEjyrmGm5d
a+X3YSEarxdhsaerLplCEMYQi8PBgBO9DtjiWhYsIiPziozxQ8uS5jQUwd/Lm0SWS2FpGJhCgy/O
mSI16qQPG1AJWcYPyYiMTtFlaufKLlkPVLD9FhlujczCeh7TLLPcH1vKPDX6lYfQ0XyD7OuXqmmo
e122L1U82BjUkOITHE4gPT9Qk5lzFKcx94yyjU+8zGCxSE5ustSipynup6+h0e1Z763zUUT5sLPI
sqv3ItEHfTL60s/youVeVLM+O4RdHE82QYaZ2awpAr5jxi5ZQyqkTTR0PpQkgpvzMxb5hJXkQ8W9
OcMoBdXP3bFr2r1pIVuHQnpTIxRFvoCuY0RdJv1cAQXrScydKOYnnQQ3ZmztaKWt90L0rigGrkus
hVkVlzJWttxqM+FFKmqcvmfprUjpcKP8IsTuTxQDKtUHO0yycTSNe4PvjooSt/SK6wsmxl53jHuJ
KPuDCsPxHhFiaU+mbndIbfivErQ01ltbCE8wfeX8sejEk5r5mnuVkumpyCbjPs0TcSPMuvM6WQe3
eRp2N5MhqMMGK77Pxsncw59vWDyJtBdQnAyJTBOcev4V0dgHQK7mwtMkR1Qw3rUscFn+j0g9kZt2
YbZ2IFC5sGn2Se4GDVv3DXuuljQ1Rd5h+e8f5KOsNQn8mXAvTGRkx004Hlg4hTZ873LnvjdJIdZG
rRArtxGjnJMKRkMaXaeEp0SoyD2nzTg8x1OUWrY2+pHuDIO5FEUFh5WYTAtLMPme/vtwsixNw4o1
VHhG4fuf61Q2v8vRJzsm7vJQCxV4Bxy1wmWszvmhmlkY0K5EeFat6p9Wr+kxpSh32VHSdDsCuXki
+HnYo6ShQtfw9kIaPE2NVHq6DQeMg6HNUByHAnj/HaOwSUhIgWKuiShrDf4xK8XzpsdLwVjnX1Nf
ZjfEIOXDdXuwxlYg+FmsG+oCClkJiOBKwTQxCj6FiHyPY3/xd12iG1nFjfFUD3V/1w2c3AfjbN7l
ozG5MeYzHpOYZKcmy7rXykxvWYzRkCTxU1fGlX9SRs9+kDZpv8XlVD7JcBCHvm6TXxKlxR01v/Hq
VDGmGJ6CEFMvqvMDb8mhRugfNb4ns8B3igDpVJHxTzyddp58Q0dBOMFdsF3w7/l6imonR1RgueV7
LcyXaZskDL8L2OrURd4k+rcqRPWZhV3VH6jow/yoMB/ma59g0sTOkdfdtMtrwUGFOwyOQEl8Xcwp
UjRckDhUnq9iNNLGZMSQZ4wTPKggOVax9G8wetE/JBncunowared/Mco0/XTEA7JQ5qor6yO6X0K
xb8Tpm48B9wX+GPLyBq4zyvPgphdr9suUJ7qxPRZBChLFllQvsxItuyIxqVRRDSnYOHBuUjHrxGb
bbdkufIyeRh05ojsX9oGdt0lNhbY2n7518pFo1fThAQiBLfwz3M2m2jQdLyQ2UOhHoXGyonZFnJn
8+7l3S0lB2QHkUWHnlong3EUVNcSK3mYc1Rms9H8xcx+dkSAnNV1eb+IBihSNcigaBwKEdW6iEUT
nQNMVaQPPozpU5pES+o1lE7q8/gOotMfr9NbzPdZSmEBonC1hN+oDkKXnd9eSGRWdKiuP+QZYZ8m
pFkOPeskBtQNv2e/5UCntPPBDKl+tciY71C/iLZAHY47Et3QD6hOrAxDV/ktrdu+eOiTgD3E+Ty7
pTWOpyZsfydGGD0VIamdUCfmp+vHvuDQhTAcXQpvArZiXbujXUaDOdPFw1j1erYpDUoG8IIfmPZk
oV50zOa2/h2X4/S3UgjCUFDINCPWQ91nJYWRETdY8RKWD92cA2cCj9IFO0W2Sod2RzAu1eJCixOT
WwoaGLCj87eNeR5bKc3KB14N/iGvS+21I9w07EAwn+eQhH9UH7M7vx1jrDANIuvZxPiGm+s3vV7P
Ap8CXyFRJ0UREWrnfczuBzMwqCAElKEsH2azFp+YAdgK4eOCXpAUF9DND/Ew5UdCiu5TxjHN3Y7S
ZHrBrIXUnnUi7lqDy2Pr6zcrmPPjrKfjKGrDQa9e+fP6t16I+funouKAwgsSbWvtXUY91xjqVT4k
fszc1FKPObzsU5kr+nad0oXzAErQw6hmEkpQc1+VM1H2SUxh8OJh1mZ0qESf2kgwZDt6+FKZLNKF
Ua5ModMPtblzBohU41eRqCgqoD7Wm1Z9biH7W4vspW1IPDgib/l4e/1kl3eIAdHUgquy1DYBqzun
iVh8SiHVwqvYHMyf8irB/KYc+KLqqRyxctL9W3IMZWECzoI8K01WR+SYUj+3Xaq8ZOgAtJKo2qoH
7Bkn3I5IGDR/jdZY4GeQKPyChhVb57pKVjeVMSnpBVZCI9snKsZSCqHDYMczv7xHhiOBhgn7Cfdv
JbxgmblO8kh5IyB+DlcSiyUBFUs+DX7Iox1GuWTHc2IrK4AMXsgxcRq7moHvsRFRYSHaGKu/1vYI
3ZZVhjA1WG+6ds1VU4Rz1hvSizCr4ETnuoey5WZvR2wZ/jZIOAu8ZehooiLZARldKny4och4oRAD
ZwEu9Yot/XiqBx5qb1bjoez9+2iMgA5oPs+9eaqMz9e5cuM+MU5YCGmZTJGLXGXQTsUQw0P0uiqd
pD1xkhpOq0Sid9yFCy5hbIlxNKgQuaSMzo/FFJZ89qosPCKSm0jCXqMP3nC1tVc32yO0stSiUhRr
WIrCS0V/sPI/xfAiy2jHVlxcG06DCJFwEwsKMDVsFev4/tSEkT8WgA218TEuis856bKdDO8mkXe4
FRLnGhHK+ZXVoZEavpKF1/URgIw86KJHEuR5/rcytRzmfUcd0hVI6K2ehusUKSOtCm8MIv92yHTk
oK7c7FBZ8zWsOngabgxAXQSF3JW6DdsMMxoRGt2LySnNxOkwpN2P3VpOpzH4S9UOWoDpYW+2hUQM
BHN1c4OYJC+5z+9T8qza0akOsm0P1yXnwl14JyKWgp9GAgQwkvPnmdJpyVRocU9iYQDDGsZfZybz
rz1Cortq0sH3FrHq3QyM3imgc+Qo2rBvpBPBixjr9NQZKrdrFjR3eZnW2P3L/i0KTRtbxCwQOw7D
2n9dPpYDBSIUsKEwP8vrfPBtEN/5sZpzcR98laV75CfT7R/6f65fyRo7DwAIalPINDCJ6sCyUWpF
hc5TrbJU3cORzZw+0+iErCrzCEg2JsP6+XjIp7py27FSh1hFyaNomvFktCIPkBLs/LvCUpWLzavh
o8SK1wdpRMXnlhTtq+7H/gaUye08h358qJuAHNrW1FgeOnW8cZkEvtsOTSB6dzTX2jfBofSS6VYS
mE/kTVcKBeDqbB5noe4ZRrEX5cm0mluj+5Egv3H9+vYIrd+ITMB1NFLd9/M9oA0OHaidRU9J//W/
oAMzigwhstooap6/0mzlbRsx0JF8wg574eo8+lGyyh1nebxOakPoER7+h9RKtWD0R0GyUKn7VnfP
fia+yurYTg8txxQja9jRl3vEVg9lyAQTTgqcCzPzjODwYNSvN+1eb8TWI2kYRBMgP3D5Oh6z0i6i
PVDf92k/Y68HzfLbpqjVjZq6RyYnc+etlrf4GPUuzAf4B8YP4KngXa2cK9LTEJvgQG6o9WgnIu8O
tRXtjadez2VCBGHSBThuSmth9DV+KUHOK9YYc+gNVlRWTsQDv3T7sO2/NUEvsTlaDtbPZmgWXTql
4eiMzdR1DhmtdnKSQnefO0Xy8FAHQxDYyKvTANPtioRRdG1O81svsvRFYFA5dfOEWT7cp4Ca/5Ky
pkDoT109qAOKPghnIyuo9qpiF8pPmCiJLbM4kZsEunAlWBll48xjbtwDwl996aUtbojpGPHJb3ZE
+CKSxUXCw7VQKH13HNddiGUj4lypLvAwgKM9Vo+Vnb9N9eEOE2H37M8FawDMi8KlhVQZgu8LOLY5
dZEvzTHwdAxMTq9egOi/YTXHMrHcsFvzR18Fh4LGqIxl32b8qxjizrrenYw97OaF5J1/ilwFiRnS
NWYRDYHXGncZieHaVafUOslB2dLIT3+pU96JSZgzgMQxeHBFbGiLiYftFHhR+i2ihttPf/rwc1qk
9/34/TqptS+J18ROFxSuJF5zaeo515RGi0GcDeDhnhlXB8u/G9HnMIVP14lcaBQB9wHlTMxshG8M
l/KciOaYS0YKGXl1ph46/6tvJqchzPBUO5HFBTwJxwElnEXD/sIPWCnIXmvfD7MRIDLTuOcSi9ko
4oy2osWnoaLTKRmL0U1NHhxFYCbPY6ia4xSqxB5C1Z/Qj2O9kAGw9cKEa13Bc3n24dY/dTl9LXot
XwFQxq6z67eznhO8qCaN6j/K2YujDUf4/HqYj96RaIhiL0TrDbs1A2/kt6j3Zs/6zsSSnZ/NL98/
HP2X/De++Trx5bfPtO87bUTQ0L94nHU2VeR+2JgoTHhdhpyb0xTe/IKZFTo+jYNd7YBTLkqH/3PS
/0sN+7fOTzpFgLBjvknsVfGvMKhuo3I6WDM7Sa6OUqMTabrvE3XIv0GXpnLeOesmeRSH0QmAaiAq
xSvyFdp/6onw2DOz3mZVAVCaj/Il7220KtkVGWEW+DPn/wT1t65hhzAGQu/6fW/oEf3xE1aiUJhJ
whMucN/TzyD+KrGj0DcOfUscuoe02rAJCKkW4DTqfEuYf37Z4ShZiTg79vzpZqj+jP5sB/2PDF2O
VvCFJ3st1pdCbiFfvuhqhiiYvLduffC/h5y2aW11oWdGXq+Eg3n8hxyYcJ69Xb/CDQsEShbCH0C7
ANVfhyXKjwIrhgft9UduW071kGKpdSjs8tDsMOyldkTWDLAF5OIBAkH95PwKB6MkqmAUq1wHa+m4
sDPjS7ZHZN3DDPkHlWWzFh4JSbp1STY2mxkVxCDyBnf0/DvhvArmBgcDiw/jHcuy9UgfSS3s+eGR
4jRvuz4Fqar4bRhO8JLr+7beicQuGlWWAwFQrKDU4HPRdc1JxFMTFXkTedapeqXfiYtuPLuWx5fq
LR2Bk8y/XOeIrWf6SG/1TEk1cSvuQK/AwKm0PKQhSk/TXnrzUlWen2olTwmfmthoQCWa3cg9AuNk
uvWL/s12so3rPvB3fljCTGhkiQTu2gE3ZEClL3iEXpRvkmbPJChOhQxfVZ0cy1k7Ud44Nfuug3K0
VVs/zZPxp0IfqtHdXL/XDYWJCAqBIUJrwBJw/HN2qeBGlzLLYk8+mU/iq/olDv8WB3JTOwH+uk5s
izU/0loe+QNrzuNU6gVu5TX5XWmhoUm+1VVnD+PeSpctboE8w0NAwIFgd9GbHwilURVWqRpiT2DJ
VD5EdsexET7e8Xkuys+LEKBVAgl/iT+IPM7JLHCAIG/m2EPB+SV+FnfAhGav2Wv/2fQqxz8USW5P
WHr297cIsKREOwHS/kh5nlMNGZYXzYzFXkA624CvgnZnGzmanu24Wptaa8H7UbQyYonH2kmViONN
sGnkfedHMdnz/fCMbkms1UYAtKO1NvnwI62V1SzneDRTA7QGZ1mT96Oxv8FLsJelocOOgV4u6Nwh
QpHmw7Gs8wtsamK1yA5HXuNy97/6cQCnUFEGAgfW6/zHidlbYeCjx6GJ2+fCzDBNGY7Z4e9ZAJjc
/0dkdQJEh6aYxxruJA9sUbZPJS3sRL8Etdrhgc27QhZfaoRpl2M6LVaNWidd7MUyi+3aiJ+IMexV
eTbNPcBXcCqWGZlAHZ9f2lgVZV2nkNfJ6sdTHZowk3rmhxoAYZQn1L8TBnOgZspTt81H7fqDjneY
4tJrQxsQIH4YFQFRRgxz/gkI50esJyPQgxHHxkKt7mu0obshoX+mpuSHEdNrdnh+S0thRQ4qxqjJ
w/NYqUN/xvZjP1kEOdYnJGvmGwS/iRNjx9bO4TYUL7wbwByA50Mv9roMLkrSVUMeJJ7J/xS4P7gE
NKmdpZH2OmNuHOmM0Oohg7DrShYbscet1AVG/c4fuIeBGO51Mht2eok10f5iLnmetQoM0KXfZ1GS
eNGgK7f082Cwp1m/iThrHBQjQztWvmm3uRoCdPkPuxCo7XP+5wNWTzcbUY3gpki8xiTfLYOcOsKf
0sm48YkY7FGxx1jQb1VQ3UxdE9gocQI/GVepk8VdeBjTjNgRkMk7amHrq5aRuks4AADCugCdF8Di
YbpD4oU1t+UYu+n8Kku+k6HcYiaU21B1RloPSaJVLFvFNOyAYVvO3jxU1c+QPplWdKORqLn+ylvH
oUiR4KGBzUSvz7lIRshDRUSnOA6tXRMzRuEvNNVfl3QE2uM+UFkr7I7KwW+yxOtcAQxEmH8xm98F
eqy/XD/Nwvorq4MKFV9gtWjeQB/e+WkG2ut4qOfUMyydO3VfFghJB/c6ka0r+0hkdZiJtyULCpJ6
YepQ18KUn7//fYl0HVJh6AGH+3N+iCyoadPwEuag+W6lX2Prpo7/XCexxV6oRCHGxD5IjFFYxS9m
lWHNtq5AInjM/Ncxue38g8hur1PZeg2AYGFsACqw+HpKUdX5vB45NCIt5vI3mtcw+ZKjz3lH8W7F
SQDG/ofOylLXTVkYgxkmXvk9hTdohLZv5hgn49skaJ26Iic/S+/SsrLnyUtl+JibbEdet6zr2Tes
Hq1o0q7E2CmsM8EErV+oWonf6p/yvlaHsHDDl+sXu2FH0byM/DuQG8AerF1vRIVRw4c48QrDm6Ls
aUxbRzQ3QxK6YbnXmrXB7kigIlWAciCM6BqZ39URCzDGMfGycbZb8SdocjuVfEeoNjgSLTxAz6Lm
jwza+1DTD9FEb1Th4NcT3lC9kbRFWeaIOTR4xD086+ZxkAxGdxgQa4KsNGscqK5qRgtmuqttqwic
eb6b8j3M4wbrL0XUpftp6W6kKwEbqjxqYimhVpUANwYOaer/4sbw9KhZA7vDgK4/VxPp0MRB24jE
q+p/o/ml7yOYZyzKqD9dZ7atl0FjHtqmwWpw3FYXJmKfARescRT4wXQIMScocGh6wqiuHUHeehoo
igW7iYAP813OT4RCTz0Czpt6PMPWKPZNY1KPjP8+sltUxYLjXQadrDHuSV/1ftY3ICIwS1a5Ongy
w4cq3UOXLNeyMkUoJS1IrqWYBITt6jDoKhmbDHSaxLejKHHrOrpNRHVo0ZxWBHdhp+7QCLHj7m6F
eKCHzhawBSz6RfdY1tXTPJgwTp71go6Bzian/Elhusqh+9UngOTtPNplenTBT/yH4Io9ShKjwSpZ
CH623PRgfJnd3KW313lwi8iCTgMaDkES2grPLzPhM8myfkq92XxORls6Vgm83/EXK79dJ7Slxzms
IvKHwPkj37uSqjhW2J7d0xTNKnbmqvw1OaaJLb/Ov4PEmfZqFluy9ZHaiuNzUlYG8qZgxj4AqvyN
BZ3dk8bZT44uv7Rmx4+UFoX1Qb/ORWCG3GC4we5+lunN+AOmMR/cVjhF4vTJfRQfm/LQVXfJ8fqV
bhirsxtdpP4D5VJQmo3aQlfTQxl6o9v8ajpbvf3viKykrQ/mOQoknm1sTj/in8k/c+H4r9dpbKkn
NEIjdIbzD8jKmgapw05PaeY1bfyrQPNNM6ObSTSH/x2ZlekwGjKGk5FlXtnwmzwPb+d0+iFZvOc2
bR0HLuA7WB1RxloRAurm03xOMm9AF7Tdob3mmAzBUmjge9m0LWsI+wGQ0zJXEa75OQsANQIAlJln
nqaxcEwfjboCWzqu39uGLAFyj4gMOFIkhtYexBjUWmOnCxRuEzkhxyCBxnJQGgUmbofSVmYZncBQ
eiaK9yjSrMRWqkqlnRpTL+7uuia0eftopd+q4tSVQF78S/q7KXrLgp8oPVcmd6Z2z73YPOsyxAfJ
nGWOzioEif26oOMAdi/IjUTQVkbHwY+WhTXX73SjpoqQEDUVuH8ArqFn8vzlwgazHfF3hrXM9Mic
+fCW3Y32b5sib51jl2SC8soOyQ1mOSO5YpY5CaaEDVGGqkd/JHeDS9zIDlv72byrbscTtrvvUNwQ
BBBE97hGMATMx/JBHxSUaRZc9wSq0U+zU4F5YKhOGeHz9WNtaEHMZ2HL8LjlvdaThzpRou+j9VMv
oQytu6c5xYoI+tL6X41mJ2W+YSzh1mJyB0P/CeY8rRRuWwGfwxNIW47hN3afBTFGAsbZKZvYeFt2
iCcz9GA+ROjA/C9uEr1YmKyGtCwSCiszjWSNZWX440nm9f3vzov7vweQoN0MeHXU+MGXGJx2/li0
94syDMLQ69q3EjB8wtEK2d1laF3VKERff7QNzkBGFsAR4N+W9rKVnGOGWSOMeYq8OSydvLprAmbX
004wtyHL8A7hQgPAi3B8nZfFkM/MSjhDPYy9ZHN3+D+cXddu5Miy/CIC9Oa1aNupWxJb7oWQxtB7
z6+/Qe25s93VPE3MwWJnBhCgZLmsrMzICFb6LWuoafw9emTu8/rXDrUtQiVAYCiiHKZIT7KnGC3z
GeVPAHWv+IyFnQ4fj+T/7BqxB6mAUOWkoQJtbbgH5amp4sFghBKH0jyH4DONP6au4FaWaXEG/1gE
Zvh6T4g1JxToOwj3hZLoIp7/fPSUgWNVZpOVsS1uiAtLtDtMiijjMg8lxdoDlKpnMUD5c2iVlUfK
mh3KB2ptOcyUgeE+LVHBEyJDSvGMXCMGmc8KFRMikEF6RgR0EAk66iyhf82LJTUDiKKSBlvjYqcT
+rVn6rIRIBPRrANUIr04cV9LbB8hm4Uq7CT7v5V4/Hn/lC74OwzjXwvUonS+H7cJBwsxW5uJ+AkG
X71iFYfhDuAtMPC00+8bXBoSXsKoyn8/8WmChFaL0AIswyBKvccMzAjsWL3cN3G7AYT5tgWQaYZo
YPKutzQ4f7yBS+HDmULV8yAmTfM1rNVGbiduNgJquJkNGNh0ykhXK/HUIk++zwvPSjTpIRLOoSzu
gmE4BmkDuhbFuT+s25MKaD8uCNRy4YzgU6+HVXmMqAHDne7RpE06XETDyVfdLvprh3Bthjo+Yqsl
DdPm6R4dBOBXVtqHqXiQ11Bya4Ohboew8Jqgygrcs7KZJFJIwhoZxrRMSKX9uj9vtz4VA5oLS6je
KSgTUwPiNSZRI7ZPgQg6emHx0oDbphhqDAsY2kA27ltb2hegGkACHYE0CqDUvvDYlkFUiEg6iFDZ
D5EcY4aXEuqkZdX8Rr/TelLmZrvPpxclM0Szc5MizZ7H+EoDmd6i3YtJVBk1IJoGmLpyR2iHNa6g
BVOIHcDcANwCAnj6maAAW5WPAdft49ATD+mQvA2Rz1uTIrX2/Wm8cRO40gGLmCk+5lYmOtNYeTLP
lGXX7VFSNRilMIJkJS0yX6VXDvzaAo2NSL1ErqsCY8FpZUjbsq0Ji5U1ZXHjALwX6Qxb8ZYo1Zox
xAN3vj/A22TTbB9XPOqmAL5KNLNHoOZchiC023c/RP5R1DecQkCeAownmDP1CppC9w3ebMxve0hj
4M2F4g7d56SmuRyXKsY71Hr+KwAaCjz0rTExK9f8zXGj7Mx76OJF0JVegJZPHnYGy5dKovCub1TC
A79alF/cjcq/I6KOmtCKEe9pGBF2fPkCYtlN+EszG1KZITSqWSO2VtZsbWjzzy+G5vthUHYAUOwP
049TYHDbv8YfzXMH9m9kPlE1xhV2bQARu1/3JeZu+pGH+qTnvGHe3wU3fpeyQDnDvEDGMZ13QS3v
EtCaerUEalMwJP+4b+f2mU8Zohw8urdbvpQEHK/wKaqNsDqJImmcvdeRIiHQhngdBDuWfq7RPK0a
nj3LxSIVUulPiQ/D0pHXCsLqvRWU+mtvCawjbd+rz4KszOniPrxYtfnnFxanpoy5gMOqNexLLBxE
/yURVmhf1kxQWz33QnYMIxGzKZy64atXD7nwsbJic6R/4xAvhkHtbuAWpzSdN18cpAZov7RAF9+K
msQGGsMy2+NXHMWSiwcjIhrSET/jTUqNCSzpkQDu1W7PhgNhPVzGQrFiYmnaLk1QQ6oDtFNHftjv
+YH0G3kXrlz2a0OYfe7FykOMIYMNDKGJPvjmGHVPK2uyZoB6DwYCx9SlGPR7D9mHYoPGgTJ4ED57
tzuoD+zuHB4jPXm8b3Rl0miK96TxAZ1V/H6fZKWRc6WeA5+YySu4rUUr4NsA0eGcbVHnn19MXRGC
eyDJsDTeoPMEQIBq5aGxdN+BZOqPAWp7gUSnT+om7vfZT2A39Ehy69TuOrMKbXGtFLHodPBEgy6I
imIfyGGuRxNkiceDSajfj9wHO9OQW8hQQWERMlCqLn5gkVZGtxS9/DE490hTBrt4aCplNqgXgs6G
uvLVgKWlh7QMMmQr23x5Kv8zOhi7uZbauFejvEcic/ytETL8/vz73QAiJLxx0Y+B8JiO0dVW6dHM
hj1XVI9Z5CbBYYzc+9t6YRBXJqgLKc+LQolBdrrnufc8+YnjWubHGv3/Jy5fObYLl+yVqflUX+xt
vi3QdQyJl32a1Eh0fArq+wAFEW7tDbpsB8VelGK/NS6u7czOre8EnCFsAa1X9UxFIg/KMKK2tgMW
Ih+M6F9LlKObGTC4UcFhavJIj6HXI2aMGQs64w1EXpm9BZ8H0mgVKRU0UGvA8lyPymdHflSLpAfG
vSWZOJEe2a/7e2Fx4qDd8/2MBp8h5XwkTpiauMCG7tltWvoWKBOJKDvikDr3DS3NGxLWqCijCwZ1
eWonqOUg9WLSDmj6b0k4bJLiVc3e5/wa1/59fI/0OMrzs37EjAO5nrYkj/owFPIBOPnOrRmScWZR
6sCbxH8NTQKR3qUlalB8lPs9K9bDHooHYKISokBvq2ztIX1bTZ7NAGqA/1E5RGB8PSDQPfmKFHbD
vhH0Ys+aXm6zjDPIZErscpOvdecu+YdLc9S269VUyZkBSxUI8U7+yfC+EY6vvG9ynA2U8UqDxcL1
dzU4arVG5CW1IcbgpC4y0pwlqffY/SX3IUBqKOjhVgJeGEAatHNcz2CkMUMW1dPgAtkVuIKUiRvV
l9cKF9TE3Vih7r4sDpJQSLjBld6i3gaVSs+BZvEpFj+Z/u3+caIbGmhbdPecHFVCytSwFTN7Jn1X
U5CSfcgffLYPUVVrOhLETvSQD8/8+ICX7Vq1i0bL/WMfxViQWOHlflO8DEK1FMD5NkCWlweznJF2
JgHHnLSJDuj6Va2X++P9xiFdxOQ39qijlsmZEmKRB1e0k+ZZmozOGUersH9nqOVldu+MX/jfCa0R
fzKbxDbWxDy/ZQjvfQLlK7s551RLkPVR2fdEPTZo8smzzswjp0bLarRT0HjRc+GxjRujyt/l5nME
aG/KNigY6mq+i4NfeWnKEBscdk3RIDp5mjI7rqUHlYHeodrrBXOqm3LTyNy2h2j5uFIPWN40QCyp
yPoDf0B7e6+R5bYNlMGFugSre/b8X7URrPnvQB8qa+DtYGvcXzrK8/+zcoDkfbPUoqRDea9i1NBj
yTODOwDmJhpFXqKg449iSHowORueMk7gfEPT+n2zyzvmwi7lxobSb2Qxlge35vG674ww6y0J8YHo
nVDgicXY6plXrrD97tBqm94HAZhGQp7IvWQE8lsaA/Ur9XroHZhsl698Hd2w88+sKKjkghVTxqOP
ClsTFeJbU4elqMSIyOHPpHhAfi9RUXXagKNI6RlSbb3VogPNmvqPXbAioZUF1V1k0K89YcKIaEL1
sRpS0FmRDPYXMI3I3kgKNTM8bSS+n0D2zmS8XYWcAXcoChdZCw4cEFMbknQSdooPXq/TmG8LMCvf
X7SlacErCKAzpFXBFEKHPJ3cZ7JXqK1bDQ8ppIuK8Al7dRBDPe4y6AS6fkH6cS+thAwLexQtWgL4
ANHWAtogelaUMoNKGtO5E/tSc7k9yXadl9aQpabQ/92DZV4B2AJxGXhKUNqhgQKalqLVQVQh0z4c
CzEgXf8SM5bMIyu/Q6+M+LQypVQ24x97M34UcBbwztH0pp3IZNIErXh3jNv8eRh83ixgFy3eos6i
TcgUEgjZhFjMZ97vlW2SQb/y/jcsXIwg6QUACEyaeNiIlPMuxCThq1Dr3Cc14JFhFgmLJkrmZzJV
erLWVftdcKT8NCDAwCTBx7GgkqSsJZPWMlkq924sj9nDJErMU6I0DNQLY18GhUqTb4cWO14oqtHw
G7AtZ6j7Z6PWmuE48XtmUiGyKAujPnog2UJ4XFitEql625Ttrg3VM3QjBUPhR1mfFDB+d16R6aUG
ZwaR28YUIP1ZcXVhM23AWUwP3U9xbETSgg7LEtkRqeC6FeBvJKGcVlz80kaGzwOHHGogAPRSG3kI
2NIP0xhpkSR7Bf/6o8h8Kf1jVz7Uwvn+otJ5+++NBcAwEAeoL0JqjIrcErXpwc2S967omZq4gVbp
RuOgtxUUpOh/dyAdBBrsdax7PVUYoIrXyug0rOg/H4CwGPK6KAbSKMuia/1JYcreLUXLG1S7LQNr
loAtcgPkh7tq2mThNkUlXxZ/sO1z3oLguISi8fiWRf7p/mwsbXEZfM7QqoSqA56B135VyiapE6Wi
dxnvo2x/jNoxLkglEyV/WA3QqZTHP+NG4Qm1cAC3gai+tgWysbQPsrZ3+Sb6AgyTxIqMGCw8yj86
ptChANzyK2ig5cW+sEndpn418EXOd70reMwPQbUjz84LXKH+Nk9qG/AWY2zBpsMNxMsmg29W0XLU
O+E/g8YUz6VmFizS14OeigZsllzTu6m4E6NN2e6l5BC3R6j1NmY46Dm6dKpix0VwoZORHaY1JqbF
FUYjzf9/AHW0qjYtxXHebULAmFKSkkHKLO8kgjy8BbWYkokrMf7aiOcPukie4AqXo0jGMkcj9zBw
9aZMtb3UruUfF+9cHOA/A6OeLUwPCTUtwsyOTO1wcWmweJUX8iZkBgIZO2RrZr23wIokkkr2/WPz
X/bVH+N0jtUbeKUfRQyySayDLOuFiWy7+mZO5+faWQm6llcQyoi46mfJBmoPM16FJHsNW0r6XrJO
Ez9nwHeOT4L3oq2YWp7UmXhQmK3h3Xm9eGHgD3zIVr3bZ7/68CCDqdrD6z0z0L6GXFjuWb/z5vf/
MpnoxAJf9UyOfxM95U3GNh0OaYu7SwXdjiXhuVRAa1lnNNJJjto2m7Zxgl/3DX9TFd9cuReGqasA
elVqkks9Due04YInUFWeJxZwkwI+EH4wmPWL84iwIcTsfMhkbPr+UDSqoyG465tIhyzpJhLdoDyV
7DPvtaA/tpHrGpBUa/mOxKKjdisvytlf3PtkKkqoy74Z2hxzBW6hZKMiw+b3TsOs9SwuTQ3SamC5
nDk1Ee5RfisY+rydIFbhRtpBsgIza3WhLkj64km27EPe2kjACwDm4eSrPmuVy2RofJg8kmveiWcO
eMHL+QFEZtsK2JPTMNm94Ax4399fwYWjAfwOiyYgcKzjNUJ9JTqRA65g5tmw02k7eI+SsIEIujGK
x1JaYzhcNgZhAtAN47ak+zC8cBpiJpVwDjMQIDu+0EOZgMjxDxY9+FkXrUSfCyuNsf1rjvJvgIxz
oHIXe1cj1d6zLWX8nybvjwEaQBENkgStcbZ3i6TWS1Y2x+zT3/q2NKHHrV8jpp83JrVxL4fz7Xku
roWSKXqxHjGcnUS6lan6xq3c++WUixQLoYmzDr+cj549AOF4pUa+RdxkfmlUYmPUzZFpiNJsVJwU
b2BB1CQCyVMdK6/a8mFziMe1FDWd/pxvfgwYfXZA56EXiW7HBf8y76N/DXuTzU+a4hUPwZjMCvIN
r+hqP8bvHSf9QnCvbKWorjIitdlfAq//+Qb0SeIDgH6FFtS1O+/EotUCAVu2KB8D/gm1dEiDy76v
i/zKU3TpRpzJXf6YouKMqBxyrRJknI5SOZaZ07yVyIeOYb1nmW34o5KM6OCBh8VbU4Ff3Fh4OXxn
B1DcojyiEHteVXEMDLe5Shith1bxEDVrW2whrJmfvX/MzD+/2L/1kBXRqHq9y46OGo5WV+9yfSgq
0r77rV21x3anTgTURMkI8snsk1uZ4O/mtZs9fvEB1Fo2BRdViRQgGbwZrM6F/EZIYrO1a705HSVL
sD4YMhmHiCWj8dAlTqMPdqPjFZE7j/e97vJxE0V0m4MJGbA1KkrwvTFtUU1CQi55GKBTDgwKCzLR
ykiqtyiyEf+RWnwq35q6IcKke9OD1j41euu93/8QmpDzn/198SHUk6KM83xKwxxpoWOXkzfMP/dU
p06jQJzATqEsmmBFnpRI7/Bu5fv9FD9xldVMeh23RlNaYACJjwE6VLO/pJP658uQvccDb04000Te
NUJgTQ3DwRW6/C3Uyp9jswvSz/vjn8/UzZZAP9ZMKQ/GaPpxoQrNKHER1iEbOAZZXZAne2xoyFVm
5l4Dxss1/ODiWZsLicBN48Klz1qGikefttHgguwj2gr1FH+OQZSt9JMvHrULK9RRGzTBSxSuxNzF
rbiHaLG/K4QgsHKp0Z7vz+C3lNDNFKK0gmBHg8Q5TZGitmxWhQ2mEPFUZzXWuOVt3kbT/JmxArt4
w26xhh9GtGG3tTmOx9z296/xZrS0j9byN4XZWpzdW9nv4FNS9Lrd4M/OfA6tRF8LCJaCcw0P9T/f
SnkA8LMCUVDAA0R8QPKRDByyAt4Bmj8xzxO1dDz/qTn8L5m4K7OUZ/fAxxHKDbYyUxxC9iP3njth
o2ZHCTCw9FRw8DL3F2Vx/S/GSb0g81jl4kBNBlfpwnGbD0Nl5m1XbWQ1XOu6XkrGYHBIYc3qjDin
1OAqsDynflgNbm7228bi7ezEGcwP+XleXdDi72Urs2vn/gAXz+2FUWqAHTPMbQkZ/CfTezsogoV6
UeXivqoDiQS54BMAgJWVcG/5hr6wSgWUKdj01CzAUPk+NwdHaiZAm4+VAz21KjuA+Yj3kNU1mXTN
ayyv5585ph+VXItI00Nl22Wl5sjj3YACk8r0K87wvxyPf83Ql0ECpbi2KVDo0pDmP8WaqnfsNvQI
r/z037ssIAr3zKzFnkulCaT9+ZlLEq3TEg0YTz0+5lrQ6Lkh6/ippivImTYhFHNDA854Iw2T3ngW
4Ml2lfkGEEiGyJ3q7F2rP0tlw3z6zG9+2IFzTZfFtSfLUuns6uOo7c1VTJfFAo5S6pl+ZNftYxO5
qmiM/SZFa4AO8fLckOJd1KqkAcWR9veJ3Sv71E5nQg361gyWvsh8PTTTfB8rZlNUulKs1f8X30u4
dwVI1IGBiRaNY4Ss68QKt4YnvvGjI7fvMgO2Hfv+0f0vy/2vGSrc9GQ/m2bwhBsxlgiaBpRCRPW5
SY9o9TFLNCsh5OEBFVGNBHtNwoZQAVfLEX+kisPmx4EpSBLuuLjT+ZBbOeNrc0DdnCEjlirfNYML
jjhdjAM98yyJyR/bVQLEZcd5Md3UZTR4udJxbItbIc6tKNzH2kNZRu+FdtIiJ/OL3cS+C9NTym6j
xvHa1gDv5ZZR96W2BlhfGjToCnBhzFKUN2q+oRo0g5SPcC9KOXyKYTfbEQdjKGRu36WptDbL86al
Y4ZLgwL1FGg0MQpKgAj8h1o+CWxDQITbhlaYb1N+rVywdFegtMiC1HlmSaQZSNSxEfgh93CCP/38
qw42LOjC21Kx+6/7O3vJEGrsSPbwGlqC6a4rj5F6dWYyc4eyNKYCToxpz0XVO1MeHlVxzVsv1PeA
ckJSE/J7s74U5RnGGO9zr0NpdMoVO27P/ZBCpK3T1XYraDut4LZC+FvL/rKr9TsuvzRLXYI+1wix
FCijG4IhpN6G5Vu8xvmwtD0uTNA18kkaxjxjoMnY1W99d6yqAXp7VpiIRI3dKl67XZfWDVlTDigE
IDLAAXC9G5nQKwUmZ0a3CZDGifHsUx751lH71glQKfzbTYLGe1C/wf+h2A2lvWtjvloNURBABVME
YKWyOv5T+Mh5osQr98btmb62Qx8xNY6S0IcdRts2ysekvBXoBX26P5jb18y1EcqVN10CAcYIyBgg
HUqdFz12y+Qja923svBwhxmIp83VH2RT6fQ2xA5HtgNU3pUGTh/UL0Q/Aw9OWnNiDL+GtEi3yd/4
8CczvqTSThl/jsggFAFjSEANlGLkBM2PIPwlAtowbjO1cHhxw+eGj5umb3soTaxMy+3+vf5eau6B
Fg8lpQfqLM1P4/TYOLXRyQStLLK/ghpes0QtQAqgCtplYKlSNoG6iaXSjP1X9OXpbMQCrbGC2VvA
1mBkuCCQDkN/Kbq0r3cvBsUE8aBhZHFyELrAqQuz6p4HYSBl3z5nYAtSrb5mSR9PBKCSSGR1NNiS
0LMbdtN2Opd9Rhn4CHuUlDb8WpP6bZwsw82j/gEOMBXlYerz+g40qUPNj6iDcJ6pVuVI4gL8wl0c
/VrZkwvna75SFCDhwA19w2sl5JxaA+bDu2KFK3rQOfR65aYyPmvSE6RuivLYyQGJmefKl9AFSaT8
sWAeG8CMwt+RtIuC6Eeq/lTQ9wbN7vYNIpRM61t5s7JBVj6T1gnxuQIuzBN5txNj3gIlrdkoZbhF
wjU+BWOz1g7yzWlwfbPj/gPAZaYynYtt1BMCFGxJGgPL6u5ygnRaSY6y/vX1Jepfp/3r6+v7+/vD
w+f2jBQb+d2TRP/518sC+8jjoL9v5tmhW0GLQJZ70LRKbrAHzoLI9mBJFhiRDr4d2s1OsD1LeErt
yZE3nJkfZZO1lYgk2+i8Stt9ez/PKmTKzL8O2Y2b1vVQ81U5geaZKwGYQKwGglM+yK2Y99pZgygu
pMpR1sR9AgaSGSpMK89wQaSEVavILrsN3jVrckDq8pCZMjjC708wN1/v9ALPdDugl0TPyk1abmSF
SBhbTXZzchx1MIPrb0ef/BJJaZz279uA9OTlvslv7MqNSbRJgUNmjt9oUjIFrREFuMhl19gdqpN7
tD6sg5Hoo66F5MvaHNE6TVyLwK081SfHcXRna5o2iTB443G3cq8uPAgx1RdfQ8U/wYSyOZsXsquQ
0Mw7oz4DyBe6kaPr5X7YJsgmbdegTWtGBSpfjB0NIdoBU4AH54v+MX6ViSm8CvvpAYpm3UsDJeln
/3ll3udr6s680wBONozwBA9KzLtxMD4OR+t4zAzrGOgM+SjJ1zzpVgq1OZJvqgcD8/4cEf2TJ/nR
eZROLXFWNgKtK4PQc556EMPglaLN3HjXt0+VJbI/DrXseof26WBV+yS09q+8pZk2+n507tcj8J2/
x62yBk9c3PQXhmcve1G6gAoQ0sM8DE+cwev5QXuuOruM8f63GuHt/rQvZJkwShBEffdFi2gJujY2
gL4jD9kGJywl077Tzv0E8o7T4B+8VyXUo6cAwmMrU3sbAgMaDIknMEKhzQA6RNc2QUTM9OHgq26B
FZXMc2Hnzsqwbu/maxNzKHMxh1kIJeXe8xSXtcUtALdmZIUmo3fk9RXVNEd0VqEYaxapkwogQisk
PqO4g9EZve47zEO1i8/cE2/kFjaokx28Fff4XZWgzgyIXAH01CAxDM4FaovKXDnyflJjlODI73aB
rpml/hUY4CvXE4Lyv5VbGXkq7XJb2vUBaAhrnoPU9glrPSVG6ETGQE6SXZHIjB7Bkk1iMn99i38V
dmgkhNFfAV/U+520SQ7MptF9y9ODTQme/GfGUldGtLgzLgZE7UY5rdKQUSrFNQrLfzznx7U+vu8C
ATVlQKSroGcEQeisSHu9MRSU6Zu0UxS3MURd2Hkn5qmwIgszZk5O/BEYk+Nva5t7ra2KqLvcCnYB
aezGjrGI3hOPeQC5t+M99Ov36oILRK0GrxdgKxfoHiK1CzM1CVUXKnNma35UG8Wa9rxJfDcJde/1
/hlZSI0BG3FhjjojMJcmUxapbmuiPx3QfEsxkQcimvmZG6EV2YGJmJooxn27dPPm7Fiv7FInxffq
QKwEDFO21W2zyR9CMpAONAKv5aazuwfPvG9wwZ9+o601iFaAlYTu3ZwqCHFHyaC6nh0ZgtPssLAW
65QrPmfNDBWMChANQ9YUZhAGOsPGf9TsyCl05f3+aBaqudBmAXj8/4dDPTsSSDwrZd+r7lu2QQOO
FT8CEfvkH+T9ZLdQyFBwRSKp+c6tGZ5/MX10wDwH3XS0UoGvlRqgjFA+T6RRdZt9uZU/5W1iVKZo
KPb4HP+QTveHOW8+2hikF5C9EIH5VWj2HTbySq7vAs0VSjMUCTwUimg+2gPW9DmWollkn/+1RM2n
3wgBxPAizdUCs9elALjWfS0Ycfssmz2n8ysh3ezCbgcmQ90C7EJw2/M2uriZarSuNFOaaW62j57l
Z95Ykzxbnrk/BuhqP4QEudGbDcgHxgEy/Mnfs5a4stmXZw0PDWhlSWAJpNP3AKVoSieXmise2M9y
y/+sfoPIzOSf+JU35aIlRAkzOAdNqkhiXU9Ym3piqzS95oI+o3yKfiiQT7NQzAS78/SprGy7Red0
aY3KcTSx3IWS12pIz81wMTTJ5I/+I3eodsoDG+vVB6Qn+ZSsvfAXLr45FPozSOomj9DA7PEczGpH
8Bo8iz+5X+0a+/GSg7q0QV2uWl4oXBh3GgLaoCP9JzrCjtXv3GpWyDMWag0q7nD0/uA1isYjGnbA
hR5UmNLMc424JsmpP2/402jokl7vOXMbHpPzfV+xkCiCQQC4OORi0GRMs0gmbJcxagOD7FYhpR3g
SSrtWtyfAarC4JknvJUCAyDoECzV213/tcqCsji3F19AzS20h32IWeELKgMNXY9EMQNL+KptefP6
wBsg93hPzpG9Jq5460uAg5iLZ8CUgLlJpB5qo1qlHMigPFdhJ8vjN2XFbaffTNNb9yd4yQ7U0jG3
YEqcJRKuj2All3XdFjXjslqxRRz6o5x8xQHlW2cW/MCuBAjzb7vykCKSCxyyGHghgI2Kbh4bhRgy
H0XMuwkDJxz3VWbkUGcweaEVVuJN8WbdkIYHZR3KUVDPmhG01yPjA8BjxkmQXGZ64MotW+zUaFNo
REEnmse8et7PEEom0YEFzMR/noaTlBOJPyNK0xXBHn6y/mfrKN5zkejTmUMFG3//qj7z3NHU577S
WfQ8+btxgOKYZ3m+0dZGg+YFGdJJ4P9LSfsaJ6TpTLlEYJ6iBnYe4p3gryB0bq4EjBJXKOLKWdjw
5s4RIc+SZvOLMgtUzyzrEUKnCtKIEYgTzCSMSifgC98s29Fb2TlLllVxZv6HBg3IjueddXHbidIA
dkCmkl15YNDXPYBf3hf4YlMPmORQ0lJbqePsUdLGtUL/0tLOHUpIzCJUQrGFujd6pip9KCjIgN8A
J8ERxoPGRryVsrPAkeKQBlabb0GULkeHyd9G6jHTYr3kDmyvs5wTMPoEsuQvbdxNk1VXxJdPXAs0
ZvHB+06smgKommuLyV+S32F5SBsPPZx2m7z7kIiXSBvr6o5/y7aS+MiqkxVGxOutSt0L+Nf9w3kb
x3/vYLCaSUj9obmQGqgsgrO0mZCOg5TtCe+nCthjcEm2ZeE7Rd2MRtUlvBFXQrcppfqxSWRwdY3l
sy+nrcFznqpLmmf0afY7nUcIvZhcb4RUCQkvpAIpwYdHukwZNve/+xYAMmPtNCDTEM9iCHQ8KQR8
L0++mpyFWk02oPhLH3hG3gQJ9A1CANi7AYp5gjdYWoGzhpC4sKQ0+ltxa7grRZIgU4zH4JxJpp1b
lwMoH1WT5xYRpBwaLn+McGTFqiegMCElVjKWm1OgvITcive5Tb7AtIqXO6jGIYrB0rGg6MlCyVas
f05z2+t1wek5q2PtvjHCc99sAceUvF/iapfVvCGuHSzMYsyQzcE7WKIlWeQ4F9i4zvxz1GqqyTIo
F/Ue65lj3gV2HXIQ5e3q2pkCT9zyAdNZ6CshbTQVhgrhdlPry2YtnLx5W4hgVOE1Cdqu0AdB1E/5
ia4B73pU++cqFpFpi2pdZmNJn8WyrUrIR6sFpNCIm1K1NZ+doIlWZ1YTRtFGHfk1hMJtkgBfA7J5
lNUhXAPXQd13fsSGBSg2/DP3rAZ6Gh/G3yyIuSYdDaUR3lmi0fdmFpqCd+REs/YtQHNysSRsekzy
H/yeR/934aTQ20pIhOrYz7GzpWibS6bC7STB0LQX5eyLusKszeMcnlJLOycr0ZuDexrE1vN9d+Fv
UwniDHnaY0e9eDIJfLx3hX362CoPpaiRunnL+1/jLprsVJ5W/NB3hvbGNl6fqFDhTzCJXNsehZ6H
tkHhn3n1Ac7DM/ynkQE0jgTFtlV1vnNi8dRIFusZvFF9Jo/sU/8imuNgSNGO0xVT5IlwktxUNXrP
6BhTA//+mtO5vfCxtBcfSV9IbSkpQZn7Z9AlakemtgfBFJStf5BQN2yOnCnuoCv/JviO8sjA61cG
p7PSyjJ9F4aoqQIzAk7hDGKd8RvXUyWgM7RvJdU/131s5o9j+ZKV5uDbXq7L3q+G2XeFXbbv2RQR
QdwH44+KNWTOVoALGiTCZTZyDJ0JfUQoaxO2MJPOEBl7GtGa8JAkZuSdIJQhViYTO61GuMSUHoWf
qJB6z9pTE20qUEk0SO4yv0T5MQAFQcsd2u3UvCsaGSDzGm7C53iEHEu2baQ1DOc37fm9wVN5BJFJ
OzGFUNNZPtSyhWZHUg9PoX/QOj3ehtFrWZLMSeNXtDTh0kZz/nt2inInlowp2PuNJUuv/GCMP2V/
4zNPIpDh+VYZjRYeW6uPspcQoXqCtyHZcEYb+jh3j+hhf1JkC3z2yocnbpTunMSbMjsCZRjMGuR7
WbHE6ZAVuwS40pB0zMZX9QKF4/wlq4xCMcthV9mh8li8oUnl/k24cIOj0CQDoI8QDbkViUqIj0rd
+Cwj++cmtuRSBza+9Ddgwu8MgLUSwoe22ujjIW/Qrmai/a3WM/RzbWVVl8eDuCbqsXQtXX3OHNRd
OJEkg5hRX3v+eTykItp+rTo2ehTRA5bkwUsz6qJoimxsqPwancbC6byyTLmvNuGHKRUZ/8xkJE0T
8BwVulYrRJItMCtVWUrQcb4y+7dPfsTGiP7h7GcOYdBTXQ8X7d2CWFV+cG7YBwY3TzQNh8BXSV0A
T5HNNIlmXI8EzElbDkFzp+I4BuNGU1dp7W7eWfgS4Z9GpDm/Rrdcp1HBl2IrBOf8/0j7rubGkSbb
X4QIePNaBYAOIClDuReE1FLDe49fvwf69u6QRV4iZjd6JsZ0tBLlsrIyT56jKz1I+kJjr7TisCo7
TaD9WGdOrSX6cy70R7/hm11m+IOZpyNIwQJBfMvV1qAjn8SmWAr5d8F5S1Dv66c9vhDCpFAZEEGC
B/q9y7lCP5IWpnUQnlpPWldhZBpaRQFlr7VVUdtB21k1t8miDkpyjxH3klSOUdmxBrjy1/0zc12k
RLEbzFsIC7FwuqYyjlwtZGlU0zw+qasYkCbhVbNHF84qlqnobURlXRHxPT6AKuh03/I1QGi2DDVf
CTcsIIwKE6t0wGKItREkJ7XcZ4Zd+eDkWefxUfNOkvon0ty0Jh7aLfh9o1q1XpuZx78V4vMAxoAg
m6U0cgBN33oeyOrEo3oRbmEKWoANlZTvQAdXTLDwALxKLzGfPIcNZydakBOZQ9wVn0Q1lU4D3JAd
9XUNFE8CCZEqyqg85MHCXXtjN6MIh0gE+hpI4rLZCS4Dxjfkq+RUARLh1EvkNvNWY66Rix/PXCOh
2FfAqePHC+NeG1/6b03aFvtOp0uJ/d+a0KUlZCHQrwMwEnLfyDFdzp5WpV4uBXFyGpNp60euPG6F
SnO91ilP5SRbff5ejOuOIrYwOdl7vr/frhOgSO8A4QIuF4gOClBmvzSfipzceoEXnCphpsGKehKP
6Pi0u8TNqoik1Ypf6l253i+XJpnDlYzgihI6IzjNYiKx2JJEEtCA9T5Nyg+HJNP9Ec4DYOYXyV0N
NS+QBYFSjzlQQ5oPYKrUwpMU9IkZtFNN+JynXK/F9L6l66I+5hKykED2GRK8BhvZ52XtD4IWRac8
243qg99NoP1Br5n4g4yO8gm+0iSzSluISO+o+sFo7MkFPw9pa5KJu3ipgnsNcMH3gDcSKXSwT8/C
hZdrqzVFFIlcEp0azu1negmRptyj8uDZ3ESKbJMedJQkR1IfpZOhHqth7RdI80FWLluYmuu60vwp
MtIHgIvOBOnMeSr4Ia1ycGWdKvm7KJ676qHmjlIKSajA8kOiemjqj07KYEqoFctbD3J9CC/FVoQy
pXV/mW5tv9lhAH+J2g8um8tZifNy6AUocZxaSUI4ZLTZqpKiBrjcfFpHWpmYCBKW3i+3jIKcCZw+
WAvcLIxRJa4DIQ3C+JQEur6Wu5rf9O270HQ7oJAmPPEiY+HFdCMD8sufgJWHwPjMFXE5zrH0IM4x
YlYn+Y88bkZNgCYD3htyTdKnAcF4HVpCa+lLsOBbB04Bbw9a8Pk5O8aEWWLfFhEe4dFJU7vJFcBw
EqfodWmqacF3zfcKe7I1EFAJSLCAxI9ttpHanh81PYiR4ID8kRTCeS1cMrecs3huYl7Ws6vNg29G
l38Un4JaIIIek3ZC3P4tAbrwwmfvo0SgKVXHTjSQYaE0dWvHnJtmgiHVlwyEQ2V80gtFAzXLwNEo
EQBJKjQ8d7VcB+1Umq7+/dnQ8MJH75IKxCMbgU1BIEy8UcenZozQMPvsSaUZSD6NhgLnMV3aote3
7CyOJCPgUYATwk3OTG/excGUY4xoVxXsvNdFqKgP5XYSpkeIns9KDlps+ohV10JbABkWoVVXDtrQ
bLgKVAj6lFkxMPZ2W6vfWjRKoLbiwl06iYst7bODutpsKDch0Y32LhDoXH5qA2KMIp0ELEe6axWk
XdGqR3RpX0MPbtqiNZWvV/ESX8/N/YcpAq86FMyQ+WA8OJ8roySPSnwy0toElTd0z5+4iabZM3Ld
UmW3eKEP+q7mTfT88v5SFDQfVXbQ6KGba6MGSDVYtpmG98RiEovkxOdd6HK5jhZqPUmOkRycYtDY
H7IJCm6K7qV0LPr3f70Xkb9A3Q0ITajL/8boZ2dPkfy4GIomOYGaCN22O0kx+9KSM1CyfNy3dN06
ji14bopxlWBWhQCUVCcn0UXP5eZNS+zGs17bt5CCQMBKbDRhbouYapD6Sw8R9LvW/kFdrEZfx7RA
/OpwZpCinAWtmSMPOV5pisMkPSE9XZu5KIBxLIbE9L+/AC/MMA661PMkjfo4PaVThC7lLbimAnEH
9phhKdd54x11MSI2uBVLP+BbHaakJ3E15UR71d8hnqxDBYY2FlJgoT30BLWvp4UVFa93LrDKAAEi
EpuVlJl4Azz+UVeFRXoC3MxCwv1zPNVuZP9Eh5rYkakDXNKb9VHdQfx13OH+WAq+blxOFx8wf+D5
7h3VEDDFLD1VfGaQUTUSy4/HzL4/zhvZFEzw2TiZuMKXcyD3izw9FabqHdveBHWcCLVecGHanLiu
n8Vqq2brBas37qYLq4wzVPW6guIJBqcdvqs/KUFtKjblt4EiE7ypqLSl1vj1cN/ojbsCNkGFDWo6
PPh+Ey1nE8r7og8OgyY9cTFelKBG/cKlASWLtotp2IXcqu3FgcpZvgQovW4EgHfAgQEWkgcOEo/z
y6VEBcdHoahNTgnY+Q5RMxQCrmJfbqlfcALAWEo56U9z7u3F5+OxIUOSV4pT5HmT03CM05fAj7rv
mDPq7nvALmgPYVhwXziCir+WupYDOYehVwEaSUpwylaCXFQmH6na5PrKBEaRsKoLFWWJ3vjDQURY
sYc4l3MkFw3FEpIh+JKG0A/Ndoiq2IWk95DRPFNxN8hKk/Xm/YW4eahnOjDc17gKUV66nA8x7xSl
LMrkhJxCw3WmXhPBB1GC96AZtHcUlK51GofgheopOn3R43r/A8Qb1xL02v75AOZwyzKfRZDHwpM5
WrcKDzBpG0KkOt7W0GWXaAzu2T/gqRxsHUBTFEnsoCbKjmvBtdz8rbi34AWznDSPjY8ZD4mRPpWq
i7rL/+IzAXoGUSo46JHLYfZNjxbYsYimBDxiP+Env44cLpBBz1vZYWt2va1WpNMJnku09FtaKW+c
t0+Bye6oUSV0QJgebzzPQsEyFmkVb7phU4W4+0mpEX5JUeGa5Au7XEYhHWhf4DbxRrtc1Rapcm4a
hOSUj+tS3bVlTOLARqZQQldzJP20fWg1yPJ3kUC6+G0EF723DaHFEqMRCKXMcqNLL8ZI1R59ba9j
9DgC6JCaVcmRfqn8fssX4DWFJz1e9vMj7vJbuaAK+zEykhPq+53pt2phlunoEQNTbqGwqpIkSfN1
VXFLPFk3HjczZhAMSnNrDrRuLi1DZckrY1XGLKm8v64HqQbkYJz2SloWC9f0rWgAJUiIkCAOB3sZ
ExwXWukr1RTCtUuCDGbrdrQiI39BwWfLx+VS4eTmTYLwFnreQOvjF3OoOESaYQtGlxOfouFJMOyo
JQ0IsppndbRRGQhf48kcg6ULbHYWTIgpnZtl7klPD0IvKtv0VKpELY+a4rb8TrdxQLl4VwyrsVp4
4lzjubDRQeOLHDPKr4CSMUs4KGUtBBDvO40dshHAGEE360sEbL0mrfiKsoh+DBAXRRY3ml1NNZvH
nQp4vwFW6+mvMG49eeGTbvkzIGdAeKsBRINa9eWm4kuBC1uOQ5QUGN0WjLQAkTTKk8jVigs56mAn
5KVPeS4NaQvs7sJD81aiQIKLMvAEQ5EcrFmX5mPNC8BuHmcnyBMRNXrTRtT55DWnbSVplQ3NKvEf
Kr22wiXRt5txN4yK8qwIgSwk4yFlIQWeqIPlXiFD+VDzmWlAIsSLrLhLacXntFZfu8ZBVz/xU1tR
a7hGvAoLCw33k4CSXgC5TjCM7YfwRU9M3qPg47vvxm8cQyi2IhhHkhDZK/YYcmOjREIqZCdoVlNO
2vh1B3YM11hC2tyoFAHLhLe3MScqVcBFLpehLFtVL2IpOyVO9cRtUlJTyGiRx0fh8U9FxCVWx1vZ
wQt7zK7rp6xrqgD2cuIGtvx3bt94/Jn2x9hRyWsBZfNTDd3Exdv7xom/sMtcNFkm1PoUidmp+4MX
QSzvsuAz01ZKXoA8A3pOlU48xQVbFz881dzOw+cUZhJbA5qI2l1eWHmygCm9cf4uvmjeAmehJTfJ
qocHaHZCuXzuFyjMjk+x6wciBD/1sEgbctMeQGs8mCrR3snyDI1jEmp1AXvjgEbKNdKuZJOvgqcB
aw6MPeUJLdy5X8bqSkrXPTG/051Xk5f7O/sXM8H43jk2+Z/vYI5f2qH5ODCwA3YgJCEGkVAaJiB2
xb77ad9XtelkALcWZHt66r8eHpYSsbeSwhf2mWu8zjqpFMp53gmArWAjrBy8X/JoNWxzD8MP8DwM
zQf/6/64b9U8zu2yHETh2IJvIsS4WzoqBO32eG7TxIPQxcqUNveN3XgqXdhir1W5DxM9wBh1bdeB
DzZqjt74Mvg/ixCZW8miC1PMVZrqsZyPEoYlHVI02iAngx7hblf3eOSSSt5HHz3Aiq63lNu+7bn+
2UdsiUXxfQQVAU70KKzzkrQ55V3+hZ+28Q8wOlNsciBgya3ySVQXMjc3nfOZZcaHYfv0fTJhdnnp
QRUAqovsARJ0i8HxTZ81J7VB9woIBcurUfUqJ6s+0J0Kt5vRj4qdCmh7ABf+hoMCsTZXeWK7+hRf
eaWlvG4b0R6ZyhTlQqNa4jGft8z1sf3nYxh3lbVCEgwC1jkq3C6wBrxrOAr9BTTEJ0Dw7FKTW8qQ
3d7F/5icf//MQ87PX9DMYJ4lxREiuwFDqvwGhLGwSCrCHk7UhsD7f6YUxSxpNQy9MUrN4IjVHuAa
leJR2e351MUjjussbqFjhnVCV/aY66j3BLXvFUhF5VaH9vrokJ+QxTA90hABfYgB+U7NwDXW990C
cwX8t1WgQ8Hkg7QCe2QqAVC6uqkGZyx3oVeBMhhZsfK9KonkfeuJLbfBQhzDLOFsUUMfEnjnZywo
Qu7LJZzKKk7arIcCl1m6BfncLnU/zgtzti2vDDC3SS2pHceFw+D0kpsrAam8fz9nFyNgrgsJ6Wde
bjECNR6sPo5oWxDwEMSKRBJRw31R+IV5f5mY5x47pt/NerbvBxCSxC0Hk0IJVT7FxcMAshwLK8M6
7isrzB0x+olnFDL0w4AHtKU3yW6+HGU7vjWWh7xk/np/TOy1/9/m8OCAXCdS+6y+ZQMS5FTuseN7
Ghwh8rWBwCWRibKqbWUlmyHypfUKNIvOfhog1sahKzVFm/H3/c+4ddCxnP/vMwz22RGh/UsvIGvu
xNGmG30ySSot0bjQtSqJI5P3W6JNVOLVhbBn3ofX+/Qfu+xsJ3wV+x2Gn2yK597y3luneOQX9ip7
JzKTbPDMZQyqlWhKDejq6TXI8k2hJWIfzlruH2X7JoW5xQNrmRtfcqyQEWkglL76eCmFcHv7/jNU
5knhgbMX1OcY6vORLtEJLmwjpI0uHYqXZxX4rvHDfVEmHFSMQctiqoHbYKgRR2vE8ZNmeuljGVgg
PJoyu4aqSkkSYJah8d2uutLOO28jxwWdphX6GBpjX0N94/4+u+33kEVDKWmWqWJuSyDVu7ExcIRb
flUD0IYGbANVRssTrP+bIcbBVmqkV6BMwym2oXy12bbrJYmn/8+m+mcsjIvlBqiXxAGOTAPuhgin
VrA1IpjBZwdywwcT6t/0/phuH1LkSlCGg0oekCSXi6wLfit7ET84oQCwInQYqqYiSffTArqhobHa
20eN3YZL4AUmrvvP6Tkzy7j6CeQYShpgLgf+yfBzkrz6skc4f+mU3jwg/2PnKvURGKrOVzLsSMan
nqySI9etxhMaC+cdHLx3/kdtFp1EpkbEP0O61B98IwxADpNHAIBkFCBgTOpFLBQ/QscMvETIo3uH
s/riL9Q47AnU9GLY2dxw4rzNwprOp/7KAZ4ZZRxg0vYNoFAwCtXmB50DXjBAt1a+BapBUXY+aPfE
F1lLNjzOa5DhVZQvxFwsUOo/ywv3juSVhk4ItpguQJ2qFycBrl9Js5XUPLdSbDVe/SGUtsx3VquN
m7IvkVo1A5DYZRDFiYWnDm1TYpBvYh+6SB+a4baJt039heuBTYddfdy8Z87u/L6CthwY7+DXVMVW
vNRsjKPXrqTB9Cq3x5Q8CuOm8P6lfMV/zM6scHDKiNTYR2mW5qk39bNZz6eTv2okmqS+W3HG5zQo
lq5z/zLvd2WR2QfSGIjV1MKi8sStn72jsB224rE0jU24EHLcdlxng2NvwzRMgnKAqTq1BPvZM1VT
We0tyL+ukr2zxMlw22udmWPuvawMswgA6MHhBHOcKLQ9VYf7y6Vm8ZDRpXQOC1u+mkfmIgx0Iw7R
eD84RaZspqld+yWwtiJRHBU0F4FbywJ+60VCOjNDBsCHLCKKOROuo0r638Srcyck6LMMaHAzS6pC
SywvfBGf0q7EzlXE50Ja2Dazx7/0Hip66iDPo+M1jJY2xjXndTFIfi6MzhtAEhY84lJgce0TYQA1
e+RA8S+ovF6ev2mspXAsYEDzs2euojXo6JDPCGWrLHNoSL+LRbcQi94c06x6Bh+MNjG2Y8YDJ2Mz
oY7jSG89kFwRhYDBsZ2BHvdd72+n2dXknRli1kfkG4jnjTCE0y3S5gspRmk9vkimQMKtZg1WuKnt
n8qCGFqJlgTTOPZfT0tqWbdHix49FPpwmfxWgs4cHFoD1EGpMMGiSn1aUXnHmUvwh+sLHGsHjci5
Kxg/j2VwMLyyztREHZ1Upx60P/TSEiKzXqQevjmWMzvM2YshkjdVsjI60TOvkqxacSmpXiv+oRXz
hViIbUHDOb8cE3MxcEISFg2vjc5gx0S3GhssPyvI5m51Ou7JBLIpY/5FKws8KTReFfBv24xsKzrz
3HiLEfh18HL5PUxkW8ZGHgupju/BUymJbE+todW3MOrbRkA2iYABdAssirQcukTyexhRZbtBmXec
sIrNgtu64bDnofxjhYmdDYAAC5WDFTl6zbTHfpVBYhgxUCJ99L5laCmVBmVhZNcPA/QRQvYZ5H84
CjgHl35GDvQRqjywqcV2ZPzpo5XW7AuDGmhLvn/sb2xSlNdmOuV5GlHhubQ0CqksFXU5OF5MqmcP
JI0771BtjeN9MzeWCmRr6kwQjXc9VOMvzTSCPhpxHU9OEfGYs/ZQGM4UltZ9KzfiIyStgP2Y7xgY
YS+AtmiaoZ+iydHyQ/5YOQVGlRZrqSUABA6gjgfVeYL/WjB7vVwzxwCoKLAJBfWqHK4hYNTiDKPT
XY4csk1j81ZuTXgEcdZPa0sBHUEAspTUul66S6vz75/5SvQATX2hwGotK1TMdxkwNQNVpGc/imgT
rhcGOQcml/fDpTlmp8hzg4jSwNwU217gyhWYaKrnrt96j3GyajXOkiWLm/mWAwgbdl//N/PsDvJj
FUqKTTo5zR/91ANxlKMKbEM9qFr5NqglQgTgS9WDhXVlaVabEl0geZZNThYWVObfSvV1fOORC+r7
v/eHd9sShF7Rew3siM74S7luE9wWHLZJ+xRxJ977CKq/kveTL3Hh3EjoYRlndXLgC7BZf+V9z3aN
bnRtWIzB5EStZpZRaMVlSHDhckgk1p1d5rTwEjQhO6PAPRQfXVMvsBsL1/fv/AUQqBKVGa3MYuOn
BLDdsUkmJ9jkVhOYebAGaq2yvKfg0dh69AkMxw/BT/x6f4qvY7fZ7Nz9AvA/mBeYKRZTvuENH/t3
BJpDBZ5iJUxQRiBNk9BS24qP983duDcu7c1LfjbRYto2aaXDF428y01P9WdOkT9FO3Ook2LaIF+y
cGncnlhMKHjqgQO6YnAFWUSaa0UONksb1AWWWx0AP5x/bWTike8IxVt/4Xa86YPOTDJOQW+lofb7
YnJ4KuxAibZVNhpZykSwsBjsFUzlP1ZYXtZK8+MumGCltbKDSJ8nEtBpfXj86si7jz51vNNpsgJ3
nynRhfD75mY9M83cxBq6SpuYhwtoppKGMmrQUwV6kAP6YBf2y/UVeTlIkdkvhtoISg5LMqg7Rd9U
08lUJjvmn/PkDQRLRaCABHwl8j4tCmGDlwId603TLjjaOSq9cvNnA56vgbNtW9WZXg8GNpHhvYfG
VzwsnIubnu7s58/2z36+PqGfKQjKeS3T4lH3XhLpIJZmLC+9fW9kctCjArA6/gafMd6dl5aySvHq
pMKuGWyQu7xM64EU62admJp9yIi0FSgcgQ2mGrTJvC5av3Vdnltn5rH327rjIlhXt4qN6gFNKcQV
3GqtWSEdKD6AerQyZTcCu6i8Q4qdLKSyWBTN77EBlGyOI/FoVQ3GA4GITMj9GlPd2LXFHYA5tXxb
MWur2IgjcrOAQzYaQcpZTGwog+Z0Mdlxyz2AuQ4NdpC7QWmamQSUv8a6C7rJyV+alsaP1XN2FD+1
zsz2/au4Q98vRMigUrrrD0sd2+rNBTizzWw0TUn0TObbySmtkozAAFeb6jhsvL/g/HxA2kU2gSNa
+fTzvaAvCl5BLf0G7ad1Wu1PJ52E1KCPCfn06fvquSYbkB4RDrgn69Px6WA5+2ov2gptVk+nfqc+
LsWUt/zO+czN3uLsmLRTool5ipkDv7rT7FIHshwLDmfe/+xJB1wUyHUwW+IBycSPRZ0lY1JP8N1+
4ip5kIL8qNbXHM8nQB5OnJv26P6UsrqjuQqqDS0vN2nVRigP+ZJ9/2NueR10yeEFAnQZ+kyYy7nh
O2EsQ3FywvKPFhyyZMG7XnsdDBL8qwBJALXKszFHAoCfJweK7jQyBYisdTJQiN8fwo1qPVoARFA1
Yrsj+8QGGKFYy4nWR56jn8oXHjx4gAjSxB4ob4ub0VQJ+PgSq3+9b/aGm4NZsAAC7y4IM3v75U5R
ApAA1mLlOXYRWNNrWpJN9yU/I6SCXO6qIONGfgXwH+QzIFXhjsPCy+7G5Qz7KiIrHHC4GZZIm0t9
qW9BA+bsjISqW/GF28cf2fdAxI3xYbi9mT+XxwaUsPVaodKR3y818F47GXASgJRf1nmgriUWsgYE
k+cVouo5fgpqDqghjEeFOyJBhoRmLy48MX/TlJen5tIac2qEphCMXNE8VKhzwh3CT47MhDriqrcU
O3wE76Mdr1RzIEgLkudH1fTJcf8K1OJeoOmx3wwWb4p2t+IBCpgsSNKY9/fD9UmC6jNSZ+j2BmIX
gM3L7WAEU6zlse85QVYSGa3LS7IrbI8FrpVLC8yGA0Vh4jUDZzjyirOVt3qVnwqrPnWvxqna50/Z
SjgGS9nJG9H0pVHmMvdStLuCOt1z6sdmN4GhebIyGpOMLsEqbngKpENAzgYqLAiHspem3hdBOuh4
/0BgHvpV+9SS4gdZiOHp7y/UrYNr8FDyhDGsk/gbzp+5eC9v+ga64JyTgp/IDY7dRtolT7lb8ETe
8BtvHexHRznJO//g7TlniUOTHSgqinOLOZppDRDwoJX4cqMIqdoNZSFxDocUnR9+Z0VHEqh1VlJN
83JhsLeMIQhAlg5jRSqbMebxo6jmU+S7Tb3Jjrhd1qk/ET1DC++0QKrAuoN5XOemmJ3SjFWFttDY
dyXP20DfDt36JWeXNRJ1PtTtImQJeH/picI+LlmjTKAzjH4Bkh6Mr3o+6JEZuuomhrfFFv26v2uu
grr/WJJnd48aJRC6l8uGVKSUQXQJ+wGypo5ICzsxI7PaIaWbIGiB0qpVkdxOD8ZxSQ706hCytudV
Ptuxat3KUYtuAMeAElHrP6vTqu/XvhtuhuKvP4FdMvy+P9yb84rwHahz1HPQhn1pccxFT6s5zKvQ
rETFLAee8G9R7hPNexw3WvhvQ+bfEcJpouINH4pr5dJeHvdiMsXYPFOYPCVDbpZdRoTaR1ptI52C
9EkMT7439zWX+SFKHhKtoDW422c6LfQfFT/iFJL7U3AVVzDfxNLJJMJQQagDc2AEBAnGg7dt3fg0
9vASsZM7aIjYt5tZ8pYsAhBvnSWwUKBchwBpzqleTkfQ9FkbxAVI4gCndKM/xav3XhzalUZ9iLBM
kl0HhHOk02hzmyU1FpYcDLcXLJ8ZZ9Ze6Mt21AsYL6EJkFrDrjmknyrNaeyGjhJQBOfjrrP4pz13
7NDJtUQBwIbgsC+LQALMhAMG4mMmBM9luMcWos6un63S9lAHD4N3FIWltq0lM8yBlrJ+FMoWZuq/
3XaiC96QDQd+BwESXDTqz23bv6+ksyPLK0KYIUCC49W7dy+sNn4bLyT0ftMv5yHRbENSwGmKEgJ4
vNj2rACKJ3hnd4ELUspVYevbyUy3tausXc5Sv2s3R0fj1jAnt3gAG+zBQ5ZmvUa5AUWqxDVQ0//3
B+bie5gbIMl09KuA0dWtq5dO/0AdkOQgywN72btensbaxOapICBcfddO3JIOrKvpSUFu5/533Dg8
F5/B3Am6EWpcKGJaEhDwGoC2G9KDzIFffyvFq0hZsHZVv8UqKCiwQLcHLD8Knv2XZ7VKA3Tl5UPo
BjnkomIqvDYZGUcCNl/oCEwpQMOFJR8GCwmHv+OON4OS5GjdoOv7w74qwvznQ5DeBRkn0i+/cc/Z
luu1ZJQCtQ9dY3gSFZJJ+96HkG44kGAdH5D8dJWlJ8BvNxazBRWEUOAEn3HwyPlcDl4Y0EE2GGMI
CjJHs8sB7fx2pW0j2Q4fhmwtGbZcogsdciLfvp2SQHfwHsr1hTW4Sq7PQz//jPk0ng2dgypb76tT
6Er+Zy/UtABe1KsP6dED7dmwa4tnsTALKIahQZtTXu9P/I27Ep2fM4Ya/OGosTH+cqgCsFL4WuTG
6qsO4loPNLKCR+KPHNprIZT6smKRT+cqrgMuAa4FLbkiMrRX7ULQOCqLOCkHNyU5EiRgr6U1Ualo
dUeVTm/43x9fx/fRBJcwnchrRWITqjLInxTAMUyIVn5+tYkmOlEAitctMcweDyNq8gjud75ZIFEG
Siqo89yfKzbZiqeyjqc66p5ITKmgy75cqKkw4rYFBNbtiueQ8wmUnpVg4SBcud7ZBiL8uTcffE5s
B2ESBJ3v5d3gtlpBetA4xmhbvT8MgW1T1OaBILfHG2gZlTAOZtHbhusTIwhGd6Qf7q4z1/StMqc/
IJZYI+sp0q+BvIbkI8UMvskWOdiZCW5+4Hrp4fkAhlRCNh/Pmz/QUzFfZymap4cHiZhbp6Pvf1Oy
7W2ZqOSI1BAesAldz6CavbDCv1bm345+/m2tGAKACe3pX/UgoyVLwn9+d7aCP0sr+0knA9VJvEnI
Hkk25YAU/cqRVq+9+Z6Rk5MQq6X35+TqGDAzwoRwesUDiTr6mJHVVD8rnMn/GTJsTR5sJRsjW8gH
SPMEX3ieS3NsXZLr8r6VNZjbuR8uT82YvORk435/bFaPrukeNpWFvxxru/1cOT/V6m1t3h/vrwLx
vS9g3lZpOERpL+AL1I/GrByVbj4O9o9tHy3Tgs8nT1ZHVipZEWtt7R36snYsQo5kS1afpk6XtuQt
j3C2IVntUnWUZV+b8DUxKa03jS6StC6sL8v63gVqGBk9DDSQuQBeAZfc3/aH+6O2FrowM2z6zWTV
O/mQhA/oEOXN7A3C5vfn/DomZ1adcfS1roMtvMRH5MWRBzgXWGdxbqAjiNGhqBx8c94uB38DmkR9
YH9QOo4z9AYvBXdLk82EqFnneX4m4zPslwyH2n075ISnu5i44HWhzwSHj2IPvNn2Y4P731lZx+3K
eXqVKN2dHnACv5eW//omBrk6SN1RbkBiGX3j4qVn9brOGIsQFI2pCHzMpq5PdZ6Z5UeYvYJfPa8j
M+UdEIJko9t7lK+Btq/RzE/QiGBES6LkLD/K7B4hZzkzqwN5CJpb5mxonBb1Cjcl7hsHfTez2fi7
zOT2yWEwM50okIGD9IEprKq1vsEENStw23pwliYYsM3S/hu5zSlbgv3fmCMRrwrEaWDfBcj4N6V6
HiaUXFYLWVC7YZYDxIwOeheXUWx6hcevDNFrLFHxy5UwDo0Fbrrmj5yJxgbsxOk+1pLETMYssDNd
DK3MGNNVX+ecy2uqb00hv9Qtcn1T4ltlcOXP6VVkq5idPojypOViVLtF/t5KkFhOn6JhqeH72onO
RrBSM6WtiqfK5aYpNSMoOwNG1Dlr+4xG+wn0NDpRl1jDQB4w/6xLd4n6AvaEKgH4Ou+PS1tDLual
VHHDM6IacJ4kgOhNECmBzrrc+sKnL3fRnykYEp5C4ActqRzX/IwjRGZXaE3yoLw6pplT9WBONUPI
0HxUWSnsx5EL/+ZJrM4qtL2Bp7GE3sekQDjeG7l3mJDqe6myvgBbV6+AlqSrOqAou4rrQLODosqq
50R/WAntlD0HoE5TaKQGA0QovARAGwUii6txwl4i3pBzwiZRuuS17HodfNhSNaAhu5eb73KI9Jcq
LwNpU4CEtqUgcQRVsagl0wtf1nUNmrAyzcfCUYoaNEUE1HZ89DeQNM9Hj5/uQdoKENO6n+xcVrJ8
E7ZGOtphrPciWp7bNvoaW05BMCdJVWNGSjchkghHkO2ofjONFRljKQR1TBHLIN5RA7U0kzqMlL2c
63m6qY0MDXFCEYIvz5NaUEKpSjJ5dJwioC/jrpZ4q5vVw6hUxnq6Eie1Ddf4FMBvOD9vvhsfuwco
ZTlPKKq7IG9PeEDidA0/GOwvavOa696AQ600obqTew7M5ikoNTboch4eyySu0KefK4UTJGrTmV0h
1A9DyvuvU5Q2X5WcijzNQa/rilFsNEAxgTyp1ESjXEU8n3MkGeWmN4WxU0wlj8Hu5Bd1BCr9Qo9B
RNj21c8A2i/BVLS8SkwoRZW4oKQxiuwxlGIPbz9e2RRNKv6UkB7hVpmccag/Zxw4THJ9mOxMm5d7
kFpNIXqSNgFI0LjGX0EOIn32NB79SG2joJdWjXl1pWWVYJgNOvYnpG3jXqaNkfGpNfd1uEk9E3X3
VVwcsixInvCn8oT4aC4P7bQqvIZMY1I95F4oRLsJyoQYWBE0q7AvPIHmHC+O6/+i6EqW68aB2Bex
StRKXqW32Y7j2E6c5aJKnImohaRIUVz09QNfZg6u2O9paXYDaKAx3D2EmKWPQHg6/DfXeiR3hYb5
5N1oXb5dNNZPpjbprPo7adsgRyTohZ9zUixFayN2n20B04xO+KqPtx3pyXtrzZbREy9n8a4l2995
4bGVNJHNYUG7itip0Yq5N7JRDwvB+sBNGwa3I+O8zi08ENjh5XlZ4Zd7qkvPAVeXs/02z3mTIbSF
wxKfyG0sTpbXA/K+PGBCWGjR1KXkYRQyiUz8q7ArCd8Sm6rrOglKu4I0Gn8ygxqKjbglF02x9nDa
Rwa5fHHQPd0HhD+TxwYLsuxxI1heO1M1asAY1VHmHegY/zsGy7/GPqufAy7j8545fl1wl1IHb/D4
18MnETFqI3DyjmYHCLlRu+LtKMfpmyRwFx+qWvRtHjkArd0P+P66x3PWNnGvv2cyNLijSEH8DwsS
CoOShb/jMI14/x2OwLktHBaKIOF3G+KYeph8wbpk5UvbbIvG4lAM8xvdZzd3AKztn6hivKNEphEO
JpV4UI3g5rwyP/DuY2HtFibkNbQBOzkDUqD7rLOTQO3a2dr8IKZQ9kanffEAY6f+OB29FOfM2I9j
XlfkMU0UCAQcVs23da3k/smzfMHVmkfyEa6Ty7+LCwa+MfuODzoe9cI6V0k6wthjzJFWqzN4OjkE
xH2FvMOAFemxQQDfzQoDG9baq7+V7QNcKYLg+NJ1LaFI7C391mCHMZ2AQ9R/bOPQ/B2bRoaJyMb5
qxpl/L0GMwus6E4NwkrEx01d+AhisplWOFsFOI98PGSoCjx39p70WEVpZ1Wjarl8qdT5aI6suE1Y
1vyzI8+pwfZXn1Xngpph/AQV7AYXpNSDwMFQGNqQFTNFdEDCjfCBh/pM6ZQqJBDxgGG5PNzaZfBX
/FFTp0u4pO/at9ymjJ9VHHIYEY4be94nhUZzmof9TtViehPSNOTa7Ep+56og9o7xTV+PLO7rFV5t
mra4J2S+LFpy9igEH6dnBL4M+YlsEsbWYGPCQ9yH6QMkwj5Xa5d6edwOo+vrEYl75etMPgMXnpfX
ALsfOIRlu6aQC5YfmUTFgF07lP4fYKVDagt6uD/b3nB3Bk4w/o7Qpr4mPW1Fm3tWPcMs1ZmOqcZ+
PdwCaqRYY1V1WC0usMTUyMxfGTrH47zwHbDyOMRd3pVlv8F8hw2rupJxqX07DUZ/tTPY9xutd1Jf
tyr1T5HiuOnq2eNLk1I2f+KmzPx0VMa7Ti5YNHjNKgvKoix6sz7GbWWPa43UI1SiRotToZd87gIz
bj/loRrSA5LkBNKEM4qEoC0VSp3V4DgY9R6fvqN4PteuhowJl3GaFpgbRiQuo91A2hZibKvjQQqD
cILSlgyO5bkb1o7mgJI7UdjtJ9TQzYseg/iJwS1MOKUpHIIrPkb7aQu92W+zJPF5hlJzupgxQyO0
VFyD2jkSOWfZjrQMGG8FuKILluMdn1l1lw9uRZJSPmX8DfsiB2nZgFiaU6Xs7ltG3PFrqDJchB4X
GiZtJJS/C7+SolOwAEAw4irzi1AAc9ueZn28q4xFMAk4wnFEm76n4RVYPJ9Pct9gnucFDIlQlnS9
3A9pHppnP3I8RavMGtf5NfNwH/uQaJ9QzysonbJGKKzs4eHuer6tb2yoM1isb5FAJ70MbrqWbi3V
ORvs8C9Wc1zPcqqaJ6iKPuCTognzaQlkce1WB4MXdIRk7NQDEbUnEnS+I/e5IRlymgv8les+GIge
coK+Jlor3D3uRfZE6in1DxvdpbghYIIM19hzX1891e5rMzI1db5ft+xiajmbh2EcyQPph/Wvmqrl
JVUemT1OLNAW1MO6j2c+uABDMKPL7Y4fZSk/aZI+LBIGBWsIeAEA/9RF7ukF7uv+eSmdH151MRv7
xNZNDF8r5/Jv0mkGy2sQaNtD7fLkcZonOD5h1c5k45tyMQOkW/bgmtB+oNy4aFJA8A1a1S65w0Hd
4db9u4Z3+L/DL6uCd0yZhxuksOPQonvn9NI7s6DhQyMKOY8svMCorGt/2Wc6IuwGTqBn3Ri2Yv/Y
heo25DBIfTkUz8WJrUZhYJth7vHax54Opyz1cG7PGh1OQ9Yv5afGN8d0OrZ9Ha6HsBoyUDgh8jtM
NZiEaZy9+k0G3gyvPd4h2RICbdgp7CxkaLNmNFHoFlgT0quetc8/K3wqffJNLL47PB2/8r6m66U/
8J8g3CCf9Yg5s+XQ9P4oKImiK7BV87KR4XivXMbEGfFu8lmCPrzXnmFg8eMyvw59NcEFdJfZSxEZ
mOCPQxe95ZKzv0AVxC+wXSm9yH5mw0XJwaB92G0lLplQx9qJnQq45a96mLpReSNajY7hEcFc8b1c
PGNtGDfDEdc19lDc1Rb30OIQK1qE8pX4aT7IvwIBA+Yi9W7/yUX330zj6XY2KI1LV4wVQ4Qxw9Ie
KCc7jOdeNoVo/SHB9SblYTRmi2zrxqkZPk+QHKFxyUz+BWdIvbQzS+qnTmhz2o17TBZpDHiP4nzA
SV8OuMotC6PgGEIWn/6jrpme6dwf2Phz8p2jqn2EJHoURkQjwtMErQb/nquqRhNAarVjv6BIj3zc
BAaYrDjkOZ9wGqxO8Oc9NvJtjbS/zioHrUN4dZ2PjH0fYM79yRPln5H41vfdUvbIDiu8pb+4yADf
iN1MuB2OlTAWrcr5hrC1BjdU77W4NkNm3FmYPar7fM9Wfx4rZLa1MTtgQwKyvyxPW+ls+IxLhCZ8
ZBbY+gIrNlBOZiX3Q4Xp+FzF2bz1+Q4kXDD0+u2xIJOgJSJiqW5zOYtnF2fenGerBWY8AwMqNCN9
OZ6qXWf6hInmUOjfD7BFQNWxyrU0YhUdmRpu/kuhwTUvtkHALHMa5XT1E98cyhaOn0fMYNpe7VTJ
u2qw43wriC/zU57ZdXtuINCUeDFxZi3XciB+OmHpG3YvzVIsncp2uL74EnhKNnx0GnmxoEfLIgIg
O+TFN6zVlCFlE2dn/WNXqvpeuAlTx1oGRPgSNhmIZJwPn8luuWxDPc8ViADo7SD699F2SSOJsNXD
epwrVGrkPluw7sjVqRQw+IDciLbOi/1hqLB2LSuJb8XLoD/l+yg5OivK7s24R8gla6ht24OR9Wjn
jEcwjmPzY8hHWHdtKu1Q38YEk/+qVPwpFrpc28UMNdipvZrrttzkjOzI5cO2E/RIeu+HZsnawvNl
OglXe42Vj1U963kmfzO2NwDauJfwQXR2UR0M6uBl7PE8abSqIwzLKls+b0tw7FxuttlaQ4Y4tFbm
zSMRvBq7VIItabG5DZLEuBGdaICW/Z8FfwMziNKXDwY/Q/adr5YnLJphdpfFLP/zeZg/01kM6sxW
i1dyqhUbuwVd09At41w0sIVvKixSTAqfqSp9+pJlYrKXLEehQUUxzVc8eeLVB8EA2GViICfKF1g9
Lyq3TzHqwZ6XA2vJ8KbCBcDv0OGLHMpsOg9mHjFCeYagnSOfly6rVxW6Ouzq816DYRjoBGdUNG7H
gFk2eriG+5Ah0hMLCd9dsUwvcNmvATaNaIczPSPaT4JRzJFWlxmkPeFtQIZdSXGxZL7O/03SUuRo
VwPKoPCMpzOvD/Ge9u14cWMo06nogXPgn0zTA66shdEtrfVnWWFyxVVvyGvKl/I31YXOzpmdaixb
0rmoTzmEB0NLkZ33hmod5Wkeptnd+kak+sQw2f1kS19miHur5ZMcj1ifOVnEz4RpFdjQXrmqNSva
Idj5LuwJ27kKtgRLQtXNLRn5S6j2Ql/LcRbwX6yrbD+HvRoRt4cSfJOgUyGvt3qhbV6y4SctS6/u
MUxoipZwB3g5MoJxFerKA9kG/WL0uUl0oOehqOfbGqbUnOHxJd7N4uUXDVBa3HIzF+Zm5GbW15UP
Cw7rPdt0F7yCkmQxUg6IsVJ2vDBxuPLE9Cz9naPS/oBxMsPJuFXwapZyPbqPI7RpyyNbMQYjGFh0
gyxXejuWaOYrooFdcaEC/S4bYY7baTjHHDg8CorAaULpUz1MqNxRZduTzalGcz2THO89wqNgaadJ
Lj5pS+3+UNkdAyP2BEGSQCXL0esDxb9h91gcMEuh+0elzLEqu4oSrsnCyWJtazyCwNvj1ONy5eXq
T5uIJevsiDngBID4Db8uXrFxA9hJDNX+/WBax84ZqzGMEfCVT5JkG2AYB0yq5RErHvdFReOIjspZ
dkKuRoPFLjwJeUdtOVDEWWA5oW2aCdEGA8Zngwq15eqhnvI+O+ksLJ8LLvnaYjhCtTsyVRZdKIZy
6opmgOh93gbdnHt9zDBakcpApIkcEorSNxbnQKf5eFVBo5dUH5stbSp6YrptqUEkAGYHe88wnvyX
HZr8PEzl6KVGd+1waM5lgdxkrLi3qt4df1rFwHsg/nPztNohcGCFkSp0lzO+BkKVYEui7ZCz21JU
8hen5njLSZ6w9uFJ/JfLI2KWKXYK7/ISltWsT/0LNwRPfMhnnH9NMeAY3yEr+E4m5jFfVDMwMA7c
yuBNVumyMpTolsMFB1XvwLLlBfP0CoXYUm714w6XL1ijp6VBXkg+osbuSIBn52UiCAwRqdm3Lkwx
Y93UwwSkE7F2P4tNwStPTIMtW4zXQHtE2I/fLOzFX5WKGvCNqvJXb9IGd7INvRE8T0u8zLoRuoDT
vJ5xhvJCvvu55qqrPzp8IIRWooBvQ/GhydC76pyjWAlY+II6FkYMT71MhGDu8g3WfPJZP/UhsePM
srgOJ2SNFMUTjX103Yxy8N+yzjxrfZnpR21VAXxw1Nv3nFYLPGOzwz0yZvR4Sho4TTsKWLs+8nmu
xa1u/EYveQpFfpmIByksZqnwktG+8BcQPgGGJNWHAdyc22w4EU+L6eZR27/walrIKR9rAEyAkpqx
M0elx6cqkWl8CMWkhnajFDYqNiDsCElWbCy7ZHb3XghH11O1ZpKdeQ5VaLdSOTIYbJb5H4ZtV9yb
YzYefu22zM9HMWy28zYP35lv/GeJ9FqcAnDa37t8MPYX2QlH97rtFay81YJ8TyUmpDwFutY/QvWB
Q0bIIe80JzrcrToTplsTLfSZqL26caA56SSxG0BbNUh6a3YMIGfOFzleVZKSteB/OGrpQNhn4wjy
kIxAV6VbH1EaTogbLLAkmnBgkwR8Zh/s8mLkvAA3DrpurpODtWc3obFirU8sWmD+usCWDvafEFky
lazvqBwyIMwS9OqFGwt42GAuE0h/hGkhLKbJfIKiUwLTs6J82ErT2NswfIwWZo54xXocEVC8A9CE
aK6R1nXUxMacdpXHXxOeMo3I8mVG07uyEcAnF+sp+Hy6J3stCRQzpAAIg4sI5/YZJyDarHJ9QCgM
oJwIsPQz3NURc84xtd0sIuQ3JFbGLAAAl/qTE3uGj1DtUBXASQIePYce35lgqIFDyt4A6szpROGI
iYZJYfMTrYzRyL3EzqVDih+6NiBFjv2jI4cTO9F+y6752uBonRL0/ic4eWTqhkZE6o7iGX33uF3o
ClIpmmuTikn82Avb/0ZHlkQnpjgi7HM1a77ddKRIdm9MJsn9RJUJl8Pjfy3oJBBxrNhNDosfYFMf
pjcMsFDaU3OCxJ/ZS6W2+nU2dL4Pw1Jj13gtTYWwSizKvg0+zuszWfxAszYc2Zi3bOKIgokzVNQm
xpTAW+09MniBqnTAV4qqzRbtj5Ode/jaNoCIf6QxokPSegovSOnuf1TiqN5NPx3qx6zQZn7ZcIRU
X3Mc2unu6GcqvuBTRkSFZVuFow1mdflDVvV5/ytoe+CGKbN+omuQvlN8GXSH98vD4axoDNJ7YBfy
02J7Cg9DqdhXExh2BvrMSzQnWezVa1rngLImJax20RqlgYVucVrCQYFtNXD4PmOlfgpl3PTdkDtN
4Xala6Nel0Qo7sXq6/FpnqaJnCq0ubjTVo8vy6JHSLEwLfm/i5ocA0AOxgBjPpQesv5kC4XkoF4c
mbz0vSC8w7kXYDGy+2rY791EmhwFWwlyIuhWwz08Qug3oOPu0TQY4K4zugikl1k/VY/pCPbPsDCb
sBWuSve5WDJYJRQiSSDYmBYxenPNQNXjN8k7OXtvbq6OcTntWxP9vQdlhTL9YTKBzo3uj3KzaX3b
Ur2MQB50jR1eIPBY/9zW8rbEPZM35zVEym3FouuvUPfO9GymnsHMD44JAoE1B27X7kn2E71uPbUT
mzPYfTBZgRSixfHxmRDI3oU1g8+K1AEfb5d18wDAbtvO6EwruKGrvd7aklpIvEgOyKObna/XF4sZ
aTmPDHX0hKie3lzgkz30VyyJFN/KBl0KLhsbyWl0S/olEHCKHnJf+96fDwjJkDYb/DLdOb6V6iFS
ttcnMSE871TPTo7fw4GSeDf1aG96YHyJCtrimHDVf0VWZ5DWHbS+c0Pp6pbrgv3Eqi/9Icm2pr+j
G5r+HUhdbJ5xvBYYQpL6kCdaiSZJUORLlVo3ILDGBV2sAlKD1l6Q21aWGkCXFRompz2gLbACUCym
CHDMlvy4oVLZrDs4Qkb+Wa8P+UAqIcNFrI16Qra5gTaOHAW6NLsdsBUUNl+60azqeJnRh7yRCQ1e
l+p6+QomHVQObFt1Ivd85J59X5ccdkjmQC9xwB1ruUsHbk+3skyup2HLdHOtZdDVEw90hKHIOm9/
6FjUkOWmsMztilyv+sZgbvzUhG2q27Q5eq4nRA/3+ajy89qj5TsXWh4PUWe2boeeQyNZIujxby7m
rHn02uwZsCgAYWhS61h3KDibgBG8t/al0nkEz6Flhi3LaUazO8yyBCQdmQTC6ZjAKJJjtcIredzl
hk1fxYfT9XkhNTSgu0fmhtl1evHorsc76BoALyicjXW7rhoTkeiz/A0Xk33BhBEfZxfqX57jZrW6
FP7ajEfP2qaW28+j4q5oZbWg5RKmLgY8BY2BUn8dHQDSYOtnChxTAi+oG6x+GMNiCxAgIdog1OTr
DMidtJBy9ij3CgkEcF8cMD7zNSG0AixGafFpNFZSGpzReItMns4NqvXXkFb12wK++zJ5hz6MZFZ3
JbIr78YF2NN5TZj0Ojo7fKaxXKxBnKDP/ilJC9eWq6E/FkH07yGfyd6uPsqXEg1WedoxdMfzllv7
HGBBgngvxOd93xeFVm1lqjofIhmEOH40mOAv6vlN1AeGclkLUD11Lvq3eUFgwKg+gHqHwfscoXwY
0cuaKZxE9GM4+XmpOd6H0r5yENHAqNyYICcEkKK6Taz8RxKQV94taP4/H9gkfB1GDw6vpwZhTX3w
6WkhFhA0TcL/HvoG7b4YF6g3KJCz+01Nc30JVE13/RZgEowtqQNGFYAycR8xyOMZJSW/gQKq0NBM
sv6SgAG84XAo3iH2ATPEQImDY+uP8iuZcLpjYtrXtwIXEobwEmd6S6xEMkOlxvx3vW/s87aYFQwG
NWbuCHMeRazI7ZvjWf9MS5gwMHfwr4n1cwZqx8ORmo4WQP+yL0Ds4kjtM3bbqumM6oiuRA5D9X3P
gxivpoH3uyirDJk84KE+xaCQx0XmhEzdyB3YGV1O3nY1OsC7yEup4XjJ3d+hAQfSAvyU3+qBKgBh
AA1f4Aehwhn6/413s04ZvO2o2IquWtBEY4bwPe60SMV9A9+3qTVx9O8iU1imxKEMoJZWwYQbekhf
AqQHn91hZV6CNFvLOF3Wrc++mN5kTRsicK6O6Yj7u5dZcFe7IrMHoexYDIohl+CS/RK/zb6f/oWV
G9UNyjVgkSZXf1VE6QI+bYV+A+WPiGoeMAN3aluYvuJb558HUY5Hu4WRX6cCHQM4iB7bz3IcX6w5
8u3OzA4PVYnoI40hEdZveMmTvq1mQno0clrmV2G2QyJxk0d1rnY4RXVZkdj7MRXYPttlH16gEpi/
SHzMp32oAp6I7YPVwFDsfmji9CcAA8Pf5MWG0RFd229niuNRzjkgHJbqe0k/Fli849VrIUSFtQ21
1P9UPHJ+9tNeq9dYgGrDM5jWu93hsbJZmX/HbPEBmfsGQjM/KP1gdrFsANzyDf1Qlt+JJfXNeSuq
BDlaPYvffInuGUF1+KoO03K6AJ+MfRdDEX+TUil1Sbtdf0Aqga6HDdVYn9BWEhiIAw+4D3mCr2YI
A4z+VTYiRGeWKayXCS3vayOKw/yE7nRHjI2t9CavBYGQtpMNMRcSB2se9o2Daa6L9PGUTcYftzrk
oryBr8gF6PJMyrt99Qgei3VEnIdw5Mhv08Ll9wmvWgmk1lbFH2Cxjn7DZm1hf6K3HCCxCLDyAf9d
iEtOJk07FG76EwC8qq8ubmN2XnRwuIA21gRjFP40wPwGCrN9p7BvgA7aVV8y6ALQDo79au6rA53s
KQcj/LNWoMZPPWpUdlbLXEIyAXofenJMH+MNc1kfOhZDzy/H4WDPVM6Ap658oovBklkyACmaoP9j
HAQUkLfJvTUYyhie9hoX0kO9OHd4Idz7wpiUUIgf2GnieyD03qC3t5dC7gDBWzkZ9U0NIGneGX7c
PKxjRsbOrggdPSPAje2gIwZZnA5kyZGxTaA+mpM98As/oaaV/GHttwm5YMDPUU/65kuV6vLfblLW
nx2jK22HNDa/GDIvgEVkewY2GEz8pa4mEm6TwLIINNEYSKFoyuCDnLbSI2bTOg3IANGmZDtXIaLI
RgJ48oId5Xo747EDKgCuuoSY7kgKW/We4EVVicgvhZ7H8WmrNLDRGugJlBAlJDb36FtLuISNuodr
61hCRtTjyJXdUpWj6gqbJ3SuhlWvGeUHEqjWhFGy2swM3l42JmDY4wJQWpHNywUyGKzKpxK6I7Ce
jQJVtzP6bc7pB8+xwGjnLqbQN61mvqao27xy3SI4hp8dHT1rSQOINHBwvB3gePYH73GEaGTdHRjJ
6LbhBKsSlr7ls8WJz2Rw5Az91Drd2zGb8GAeArSYh4yiPvsaU2uHgtrsWJUaUnGCefqIC5QmqU+z
zIv4NISNguG14OeOM8m36Tjvq0ziS7RDDWujDQzUl6qA+k+gnvpm/xKApoWTqvQh7vXq5fxk60xk
V18uebjjNgCul9uUkS/QVUVxG+uFNxg3o3pkmx4cmnDC/fQNAN7sMeisVr8UNo1ZAuNTruNX2lcz
v2O6AemyL6SqcIUBM38fxErNVVEJjJ4fWfhaYDyrWwGr/Q8HXrEtp5h4SFfe6wb43USwgq7JGv9C
MAY4DHnCjb9A64dIPKCVhb7M88G2S59AtuoyhT++IPt+oaRX+qQ0S7Ejh0X6Rig1VHoJnwsEC6a7
L1L4fbh5uLjifFKhjw9Q3znkSjAws52oPOCIDBAUkEsZFO/2jyzGDv1HwDKSzLEsJ90BRJY5u64v
gxRA6nHQhuNM5wrLE2bkH8KiLNTpOhvmfmLKGZ6bOIAPyZtxy7sNOgYD5AMeXGc3K/9owfMfF0nM
MMBJAY3Fj8k3Dmt648r6C24y1HBqAfuL8LR1cKc1rJpDVZEfHNCH6s0nPiGGuUVGVJjOY9R4mKQr
IpRl1uj4Y4FeEfFxNt/824FvqZ+3HvK8817JQrz4Hez5j4GRuYQSrYeLd0X1gp47LtI/WewOPBqk
NLnvND/8CtOl2uBt8zh8u96McJAd6AY/23WAQSlve6TDja9SgqHp+hI7BoCBQe4C1BJH/5iULkEX
Nc0sWvAYtbqDYDKW92qD1vYMwHqMl3XnWAj1K4/0gg6V1WeAOAp7Brjl/V0aB/tEQGLpW8JOy/S6
c4BZbxlbRX6vcPSIv7tqmHugCbvL7dRkVbylMNefqG6cuA59lEenRKKwKq0hRHns44JFbUgrYVi1
HwfQOUHYgXkbpML4jWRNsSG2odH8s+OE7T/LtZjwdJVDyO8P9Dlwfe1LazuLLytPhwsT6EgIRnaY
Qy0Up9bcN+wTLJYaft0j+MXbsjg+Ayut0c11bsP7cwUTvO1tIfOSXuBlOaWzKaqe4ylzDQQZ1VaK
e8UCnsoAkVW8Gp3V6j9qsmOEXquA0M2tnEtwYpuO5BsrEcN4nnbST1eoNOJ8IpWn6xOq8vJllRTH
oKbNGr4s+Hr8pmxc+jeFzEb/ksHkHR8dx1X/OIce7W2UfninBMvZn+jcoDLXwKjJA9hDZBUswHvh
1LAKOv0Nsc6R/LDpwp6HqEuwp8Dh+7tpBDAAxcYRwUihcMflfMSwUISQscp9JaB03AdtA74P/SaD
JhEgdS/udsRjvgOJCIq0EN0U6aRs6uvWg8Nb7nYwAWCTubT5hShOwqXKKviwp3xiw31NtMuvFUKX
vzaqH48bSVMurt6D/243W/bvcz1AnrNj9XwBS4JjW7fAYgDsQvKCYQPz8Y5dq4as+wnMOCT5xLsa
xwfHYQ1xms0/pCRb425E78Q+4DWHkIEdspz/qAXzWJtyQ6tz4D6vT6XfK8BENF9reKdFNT3UuvEP
3EwYAZMj8GZy5VFG5CFOiHzJkNY+XkiaIRgpKl2WXb5VkP3ilMSxmq0JY4Ht0UubGSzsVUOAHFuJ
pse2mWeOnKRScL7e+xwCvBGgD2gMCLSwZsNBfZ4nZerp56xd9kuVxhtgDhY6POguuG1taJqfYIhL
xFcxTV8xH8HoKJmpROmbNjN+BmkiwzUqUD13kyo+3mWXRbz7k4w1aKs64pi2ZW06M1uLkMojyxwG
N6yB35OB5HgIjgrgdl7N09Gu5cd8Zfe8SNCtKMruFLYA0o0cegIlKwc0ZKSsio8OYsMsih3sip9U
D9kExsCFwZNoPwZkUK7b9k9qxNkN9TTVZwlu5fnQNdAavqsMu8B9c7yhcmDdyGAOfS44yNCr6bf4
LRCBLX+u1fYCQH994syMPUagLb2OcPUI19Eoe1wWDPcH1ISm+E/haapawDzobEZapBKU6VGDXKwD
hbqIM/evIlsqb0O9U3x5GH/MQIfSCPOOpiK/QaK4Eaq7tX7ZEpi2bueTlV2vHBRldsj8I4wyPCxY
0KHQG02cw7DQpYTczOjE92zk+U9MZ+tnLyH0bvfAs7nzkBzTmwXt9pfk5bRCPV5L22UI2x5O4F03
LBY2k3n8n7TzWpJTidb0ExGRmMTcluuqdlVt1C31DaGWwUOSQGKefr7acyOVNOo4Z252bBeigCRz
rd8tko4T3FVpjshnhjj4FCAEbPbBjEboXQN3D0gDA5YtIvIquwam8FriLysjVsPUhKjKEtb8Fs3Y
2FMBOiy4QrcCdKHzpx+BKRemCzLe1dr1iUFVMTFpfrlCSSZuDV9PsakjOVLC8i5gnqRL8aq7zLki
BTRCGlCHlbOtXbC1zYBkl3PGc+dsH4tGN8APRV9f1U1GACCfK/bqwO9zIJ0wFYfFDS3OzcAtDZkN
obwRIkKnqBXTSDgLOLRQGExpsvOHPHTWxqHo4APrarXthYMccfIhcGmxzvpB3xkm/GkNuiVYhdGe
Gd8Rs8BjM9PwUBuJad9VublPkYvXQHFUECRi5cRhaKDlcUtpnO+tKLLVHRR69BzB/5fbwBssxPJd
5cv1YJWLe8iRo07XMAd8DdaCrHpbZSO1wOi2NTrWHFho7WdJy/RAFUyfQp/+aA3KyYDa0S/h8Isu
0tlW+5Vnr8ViBCxfNbSPOmem5koGYf1l9KVCUjub2N87Q8hv1lN37/ZF+EM2ufWEJCc4mVijNVAd
ar9rfgz415Q7ZblW/miQnLchgU60AfO3Pmhl/XnSSqhVUM9Otyr8PJEnyAo3JU2vsioHmiXxbOdQ
wtGx7CCXbaT4aI23WnRy+ZSGwLcrEKiMXOreJeq08NRQ7jp/kfc2bydaN1Jn7e1ZS/MVSLwq19XS
Zt3arZvkMc41FX3FyrqGKGHtu5KecldnXfeUMqmH0S8zZOJV3ycWaGcn4s/s90u4owRd4k0VK6A5
3fGFr4OlLsRdHbjz3l26BK3t3NeU2lkPvMydF9bnIFg0nWeR4Zwxo+vFbz1M0P48SUIi1GAJz1dS
VB1Cf11MT5bl9fPahEAeb3XvavoV1ZLCR5itZRPBz04MlFHMD1U812i8fM0QikBhLtm5tqOn64ot
7hkeJvymJerGQxl2w1uLhiLdtNLj63LQF4/7TAcVPumgm81Dw6wi5kulc5e+Bt6Yjjuebc022LvW
i+nawN/mCfvwui17OV2PTRLrAG2H596OWDoMYizt4nPMZBCtQBEWswuKOPJ3JiuaMyxTRG+BssP3
enAmhQq4dp+tSnefvdZixCWTmOZ8W/vxMK+HbAkfOlXknLfsNHpX+rlt4WJPCJpCwKGgZ+uwcON7
BJlZt+lNSF4ZZYdsn2BTfIL2GgrRdTD65MoLpUC0+7kSb4Nn0lPepS4ztNwZqLEsadfunWhhtrRK
sgk1zGi1RIzXfehsznaPFgRj0i/OWDvtGn1I/DwyHUshgM2yhCOBjWxLZ1zdVEEfcqh5CSg0dRUu
DODk8rUWqv9O/VxMd02hwWyC0Qzh1tJOkx4y3sKPXqqiePMEnhAwKXaejRlG0ApXa47QSDGAeNPJ
JO23ftolxVdeYIo0mw512Ez44InA5TSuNr7rFV8Vx+NRjGJ6Q4NbyHW4SPRLrW1kt1464X8dJreV
u56dM6Mx9Fvrk12crXJQz5zSdRNH87uLh+FYKLRm71rnk3XoUEWLDXq9rL3JCRdcnpYEKnOd+Tmo
AiwvePAWJ01VHkCT4+47ZZAndn3oT851MU21Olq21uxr0zK6K+OO8CNSa9dG6WDHhXvTz7KLNwgE
B5+QnN54j1JNHtkeOZvAfuFcYAJHMmZo8ZRj0iu9dGOxS72uLfeyS6rg2nBEWwcwYghQRsPCw/u2
19sbTsdU7BJHwo8nNGNgHmHSP2ZdRLcupNe+jKny55XyQxhfG83Ukx/1mb3hMCxJTnXwtiOtSKFD
+yps2dwXX92rmYnrlFPaMzsk2Da/Op6RxTOKY0Jgt7hsGpDhpr5qtdV4tyzHINlOPX38OrEBwlct
Tgvvin1wGdYVJlprHwkbFV+PKozHWygmqYvReiPJoX0qda+Hh6grXW/bjCJ+9zsUJ1kpy3gz1nH6
PZm82F0lvZtld1MwWwAy+LLSW4dc5HeQjejdNAEtcDEJGT6WdPsCqQmKtuKqgC5DYgxTODzFmKCQ
YqRVR/kp5cS3uASx2HVZP6eHUSL/ZZ8S6bgR2m3nXTl2YXwrROxwco2ho07MSEkZuq67s34v94Mu
fPMsegUWaTm/jk1f2Fe2rRG8h7GK7FvjL7A/U73M7l3sIYDZ2YGzUGjYtmMCta0xWbQDCp8SgRso
WD2p9Epms1QIGhpbgQd4MiDiMV9mrmQhMq6ryLPubBtYNuHrtSVeZIho9VxBOda7CkBgWbdd7LA3
RFXxPWO9pesQtlm9aBlkpAhghKDtEPnofg0Kt8MGFLkj5jVGvHfEV3TpAvJMFTaORr8rGLAf0ezV
eAgdcg0frWmuk3SlrLAEwFCzfi7yXkSU35ZjNTe9KAo2pzJRrxrPG7SREc2XRU3mWYt5cB+jKWES
VKOG+rOjq8Fbm6ofxUoyJdb/zGABhWY0Q8e7ctKpYuktYwuImFNGOetxknO4c0NyMHDpBEuzm+Zu
unE8TeODQG1JjyMYlU2znIHNDIQQN988tQAZ92HTM1cd34ZbbbsxXF7mNApPFTYlTaXs5MGdAKis
mPUc98mtcdI83KLfyoo7T+g6eZjcenE1hVOUVWgYKKxmpJPNFD7MiJvNJyhx+0sn4Ia2RHhY5Tbt
UbmwQacBRyzIwrhK6oHYkNqW6TNhc4XZGxt9NQTPNFVHN3bOThssdyOtH6MytnFpcV7EZZp/g1IX
AHvIBYbo5Guy4p7KkLzINWuQkwVhdfil7/LquQhgd/DQVBWALJ2rveuKyGcdxWnvrJHA9reQvvSt
XeNV9yifz87qqXPGlWPP8osOxFKdYD6pmyZylpNNYHfVG4iVy/kFC4nqZ5ANngkbyN34OUOR5ZL5
uCXqs7RZZPYY3qJEgGQrh6BDF0X7Va6TIisiTmQF6x9L/utPgN8kOfjgR80u8xEpUW8gsWf/6u12
g+/Tru5ixl7a24xaF/lLWBrkkKVwq/GYUCtmhzHIl+FKiFq/5fDWJK8u7mzo+G2TrYI8bX9McvLf
UtEqNojazte5CYtTE4/hZxsTyFtg5RoJYoLZeWMHYSc39dDgDtV2U7zpcbDsm0zaOCQQsWdm6yRR
dyjGXjKuGJWcvHX7MRs+51oO8YqPN2CkBzSq3gR+hrZ58Cx0vypyCeTP69KFBW+n8JWCmvmhPnYE
Qp7iBEcaWn+UkFE8T7yhYIins1tjTlc8eiotU/SyXeP+7gXluWT8puoqe/wydC7AIEPvp2QfesrD
MhqdPXfQSJTyawvyKMX+OFcOzrhQP0ht3Dtwin4AXS37b/UUBjhtJBgoQBMGmuUHldL0MkGzDbtE
KQrRXRKgnK1XdFHjxvHTkpA3Ojvabq+YhnWYxUyf6NqmdjZxqjFY1F5aPTWRnypEI5Wv173JW1L7
bWM1KDXi+gHbJostcoy4pkSPw42w2vSJAQeedbM4la03+TTE833npxVVr1aRt4mA9xOKL5+9io8C
WYfWdv/KJK3OXw8BXF9MUo2Bmwun1zgb0vF1mRZgaO342YCo67xMx6TwfgDU8B5ynJfxXjDglKqb
z5q3NC2us4Y2lLxJzzBUxEOTtQlazyJqYzxDG/FyLpLaxMWo20XwmUjpM3EzZxHOdqfKvOc2aVvG
N4YOEhw/STqQtMSyBuYRDcMzlG+NGqfEfQDyn8XxJnD0eMN0mBxAlCd5pC8vjn4fYyYCg2qqtWyG
cdgyOVuY1dCdTdLSEpC5GUZPbwWh6dyAigxvprDNuJpMPt9VtHsZR18cT1e1OYs14Z/FwyR4KPem
h6s4QKgZRUZgV39DNq9o0KWs73mA+QQ+h6oVAiRz9c6OigaGwXg21iIEjbgjmkWfOmtQ5SYpG3p9
K+JHbKWnw6+uO2A0AARFf155zkARnpA9y+DOBcs3n0PVoks4izpHq6JxFGEtcO8iD1wDaEavfhD5
77XIG/4ZPPu1L4W4pYHNlnUD3/SSxBTLa29cGkwDQ1w8dNjX7FWIXhF8F1huhZAcZIVDCbWvAmD+
xu7bJjs09JgFeSWTu5uyeLJX0i1nvvckIgmcOmkI7rJF9Kcks+ZT6ti12EBOV+2VX0XTz6rFi7LK
ZQ9zGNKcfoLBUJ8wH3FMhW5ZyL3dob+/0XCW36oixq+wFK6R29RPi0dSVQ3NfusO91JB0J+FAAN0
R9dWT96kS2dLSBqayWSZ8uuYMW148WpBrIuvZEDbb7txXbMFZyq6Yw+2kH3F0glREdhWpt48lEgE
4ODv6fKvGVpIpIqsiOra9qx23GgpIywjCeMWHoSgAz95bR3qa/Yu85PQAa+9pcUa0qu2kvXrxBA0
ibIrb7rnXHmNtcvqMrzPQCY5WzPBi+VGkNMZAShCkoCLCEHlHlQeDWrv3di4IVuMTuXkjduqBsN8
WSqZnMYJSu8WkFM8FiIs9U0e+eDZvavc7H4MOqlv4to9S7KHyE635UTdjgWpWL5hIIY5osOhpKEB
hHKGIk6+hB1VE/9HLH+6AYgubzdtmIrIZSB1e+SGe72MYbSuSyc+ki2VDVszRd3DaDFE+SDhie3P
sY7dZ6/Pu6+LZ48tCqVBpSuvVDSrSBWiPkA6URVWuhqKiDGEQRD780GLUiw3+GCa8AFn9fzk1gVS
iClvcd2fS7L+ulNBOvEaSwx++Dzg0aYyD61NrnSLdDIb3XjriIrDAglVvIckMJ96p3ZfAV1yxgYN
fU6ueueH4TpJE/22hKGLvNuIWaywe2Rf9RL1X6K6sPgAJw8jyoTs9LtDhQSB2IHgrBFGT+Z1tIoB
Em9gV9zB+bjebWdPdMS4ifrbEtsr5rgoYTuifS820dxM3ioJK8TSBgii4UxYIAcH1xP4JQjH9Hee
oMJ/iMYxik4BfiH0fcGYPFrgheY4+WNENoNLU1ODt1tIbbFyxqRSWTVymgp7ar8WbaPdveemaNAK
uolgM0PpRevWS7rnupAG59yAQQjON4i3xnOFd2i7RkHWpIH+orTVdVemKnGxpsNQbmyd+T67d1y3
6PIZJ0i5Jb4oswiY6Fo1QK25W+1tkN6zgU1XWzAJ2fH9TEu1NrlDBzd4TrofSzaLa5zwMcr2rLDG
z1Q7FalL0FzZfYF0pv9BA1eToVHGZAOtQEfLgHM9ne8V/oGX0emRzdY9tcTKdZyxfZq9yEPJt6Am
5eeGsnyhJh2yA9Fe5nuRYk1aIVVq2R9U4H6RtTXfF2JmETZZo4qdaQf1acqn6inIygUwYmznt4HD
+rtBoOKfLVLDqU4zS22I6J4ddP0CPW8QTvJJxjPqQalD97VM1XkrmIO4WmO3q0veB6UeCkBUlaus
7QnS6T0EYZuI3xmsZvaiF0nUBFornSUvfZwW2ZOLkgvmn321fGqdKf1UVOE0o1LshxO4sFYsxQUb
zZCI0OyhgoDgZdJXcidsjLorBfT4I5ipMzedu+T3/RzjzcVr1qF1wRT3XBJBF6POdUhuYdLojL1m
zsq3flEhVsvRQqjK0fhV8HnrDfLR+i0AeSd8Chei2WDjIMGgHkWwhpweXwmImz1ciHl+JK4/YvZe
KCxx1VNi3qGKSF/RIaGll2rJSVclueMVc5fROxKKk/YqRu+UIBHvivbrwjlODSYK94kOM0zXlVuj
6hdZpx9QnUzZNYqlhH/tj1N98MmWaW6Xshr27aI1qwQyKWPtej4SaCiBV4L7eQVB15v7Ymm8N+0g
N10FjD4mQ1ePgNxWhJUHKZGPXgpQuHv2aM+/4fGo+qsq1vZPYjtaZzsx+omhQLDzDM00yfltDE6G
tp5Ms2WA2xOLxCaiFNRuq5zGXQeFmklP5was+0AvzQvQGKRPEo/1K5tufT9RE4g1CG1ItdRlw3nK
fZp9YwcY7BV2sCm6ncmrgCp28ugapNiVe0SwVfHokQdguM0GHFAPfUiZGBXjXeChy2LLU4SIZi0l
1SorSjYcU8rO/2SIZUu/YlhJ0qvaN/ktwik3Alkk2IhFiypDAVVOe2CVtt136UCggsyRT659J2ek
1uyJwFkvKhhxBcg6+n7WVt0Z+ANxtXThKCnY21nfnFHkrxlRFQXihMD9VEgnAjWfxjQ8NvbYtY/w
VLjLqvAcamBlha3vS7fui+0Q1PJznyczmcNUZ8cYzolaHsnTZ2XP2FmMUy/Q5VY210w4nmmRI1MY
sP8mKWswo7NqA/ydhcCn0GJuFEZT7wftbN/X3ZIcCe7Jbwfbx4G9YoPTxVOFYS+694OxtqnS+hzP
91p4wrLFPRkstBG7Jm9lHCLqHWT3vlSM49MbcFuEsqsq9IJx2jHu1VjDA0J8u7VP4TzgrLqyUyer
cPPgBKySx2gmW6G9CV00wXSK9FtusvXx0ssAawq+8OzAML/QYmyztEuLOlWn7Vdf+YugA0TvtCky
o7Ck134Q77KY6Tn1ptGOQyppHlJ9EwBlRP1TdUmLJhO+ehzvrCbyoifU6Uu4dZpxpPISGQEKbtMH
8Wpw7fmHS3RLc73EFByQC56qn8csrtR1yk4oNwPDJ94ispvEqYPJP/u02eTD75apxuTkBHMEZxM6
RURA5ZSVw6GwqmC5qt2R8c/nJBEglzGpkq/L7OvqMKsxdfc9aGdyF41kf14T+see6XRLWm1GkQfT
U883zRziOvB9XBlkIby0g5MvN11YyPgObxFOK4cGFf8WbCgyCJuvv3dWSPEwZK1qvi5J3Yp5ZAvy
oa1HwBNMO1MBdXttkbA5rQTpL3w9C+kExBiVyHKSPpr5YyHRzYrOezxDfC3jMMeqRgwX2faJDN8C
Tf0w2Qsm4giCAMVF/kka7X91sM9wXqgxerTVUjPP2AHsnKEWsQmVVU5lw7lT04hHsVwVQTyfvFh6
5gg1xRnGF+l96tyQCZwJ3/i9sYwh6oDXHV1bUkffprRN3gsewLJNkYQLgAaQne2g/e5blY6Uj6OX
AYEGFfxR7I78mVm8jHjmPGf5opbEivdOoSy9h76bXkwdjLva953uqu/iydzXkyZ0JURP8GQiID5k
E3iA91Os8JsS/jOyVoKC8FPDCrxfGk7YmzRA+oNskt2BvKA83kJ06/1SLX27bfq2eZzn/847154+
tS4k3EY7KSwm1pnaX6dcN1inY2RPYOSywGXSDt60j5sifSVuJKNrGKroFiMrWSejVzbb0rNlsEJp
gUo1k8jQV0C3Q7Nne1fsWZ4h92dJ0wfALluvaNsB6jpBB3YGrmx32+HBfILCh5p229I6zmkKZKuT
CtN6bKLh5zj6Pe0pH5Da5ugpaNVBihvgQRxp9wnm0JjIh8YeDhMYyk249IimJ0a0Mz+V9B7nZnBV
iMw66dBOCKjZlg+qmvJt6qqOW0vifrl1AmBQbOk6NuuxA5UmV8ReaEg60odPpXan7CrswvRs0Gpb
cesYfAVQBxa4ndKTmTaiouNa0/8KtBNzjhYraDqsJIkhYgFGLl8lneM2G6dIxh9I5+n9YgSnZGSm
weBdNV2QYCHhvL5qSBZdtoSDyce0JS1hQ2aHeRBjCMU9xDGNE/o81lmJ3u1TH7ceZHHUdZvAA2tG
Oif0A9EvGXgWlgV9G5Az9jI34xTfNwydfQ3FrDeF4wzmy+xCeYOjz1FO3Qtfz/cNT4tRljxQ9I3a
RCtoHVGvSQkl2sXOgSK3aE7QuLqECyC4oDWz8Wpq+arObc8mlsQE84t9VR0ib4k/aRHgd4a4lU+B
EvMGU7k5tkaXuwWha4KO3u+/Y99Hu4MzBPydmD6ajQXYV2zp4sWRoJno7FSGJ12BQBZ41TFv21sL
fxOhHeiQ0RCimcBWqhaIdqfS5WtRjWV8E5alNaHxLsWmyn2CAiI75O8jJQk5G+W43LU07d8abAaY
1K0xf0wXLR1MdNhiViiQBxeeEm3xLrdh+FlnUXfTCDt2GHwS6fpReQk4Si3q7mdtG/XeAA3zC3Qd
0qSDGMzvRlY62IZROx0roK1xldWxG/3whQWF5MLNXyV2ETG9abb7J+IjfIVnPKzoinpVVygFWvd6
8jQcSlfLNDk0fhcumwgKSm3DwWGsTojq/sY+Rwxt5yY1RzZWU2whmlCh2WwH1tV5cJt7r6phHm9w
AmCYGMkesQ9thjcsoqlGByi67t0Pgmi6xTES+Sfw68jDF4ulI5gioqSMVfLJ4TJMrXzvVwMmsMwL
0q84BnIUwV009sc0mfzuzh2msy7N2NndMk1KHcl5d8Y7YeIJwgQrS1bs0DGELNyxwBJo4/79loEB
f43wXJzQDaH2pqAwAQFBEV5H/t5p7gKsDdaBrsU4+IL7pty2sFANWRBYaAAlMjRqq5haylpHjBgr
drqkceLLymAF15l2LWfjl3EYX7PLEeQpXessIiJbjxwas4zDCUE+OeYsfBUSZpIsKP76tcy8wT0m
nVUjYcFJnI0caineDL222ayrRzCgBW8mk8fkbuyjpNlHssCYCNk2uLuFaE7vZh4h3c5IsMPi5fjd
0Jou6Tor7f77OLTuqfKItS7X0QDKczczZ5AQqtoXMVtmMvftDSKbyvtsEyUBCSwta3wAokr1C2rJ
FCt1gIrA2+TIXVDDONCDYIMkqtQvWWD8byUbDeoPF44iWIwH3zP6ZD8iaQvKzaiRoaMGh3jdVaro
40M5+ia4IqVHd1fRSMHCgYiGI1qLXBcKrbMfEag56Xy4buoKN3JqtHs3TYlIIlDq1Hbfl9rTt04N
uv85QNBln3qkhwR8LXMfPuaqb+PbCJMk6IWyLGLSFy5z1WK4tT7bXmcaxvnypz2VAXj/Pmo1ZD7u
Fwf5Hfbwwqs2Tpy0D73V185hAFsICV9ynKfcyRKS4IVDcd0WI8oe62yFrCEjxDU1b5IfpoQvdp/y
Vh57bdNlRronZKAKwvSNBnPqrkjNHE7GCdpum43+YJAp91ZywFOciLUyzYybCxOCbd2EgPfEdcVR
Gj/EhXK+5cpK2oMKWxWiTI/oQrD2+m9sKT3JQj1kHTlOSWgKwIbADSHPOiQx7edm4QBU+OeqtLhO
01z0b6Gg3gYbwAG/bbK5de8luXTpvslRIhCJRm7USgLkMR+4zJPilYiWMTlrdKV4bNpONUdGADNh
Qrte1526qEXutvDKxAGfUELN7ljSbZ+9QflQ1EMH6GFGst42VZd61QnYfJquXR/Zj2VcHydA4DUx
NrbBeFSKkxzvyJxevnuhkRmy3D5//yAD9898a4cEQ1QkUjgcv85FtmphKjtE+dTfoRsesienrLYV
GjwuiLhJrBYreU6Wcjc09iHc9+s1b+qD8GX7b+GkoYO8SDAbhCEhFz+h9etATRE/gaF2M2nXyZYI
kQ26kLvqwLyKdbL7cLjAOb/2Mj6UacnynOjtYla8yEO1uC1TBslwN5btvDWaASgaCRZ88Mh0QXwE
iCoidrViaoed5QdfaixrB2FS55hgUYg/SCL+Y3qE7USoSRl3HwgSVC+DzOVAjk7aNMMd9MfWzPu8
+hElnwno+uBl/5k0fL4OWe88bFJ/wosnvYz24OBNGu7Ch6l/btbzdAjupLXt14H9nNV3euMmVxVB
DOuGYY7H6qPBLH95079d/yJWGAAkdUhXwHv6lY5a9Qw0lVvsfPN3eTfukJbvYU5Se5dGHzxg+693
DogZMRzb4d4v7zzImMQn+oHxK2q9DPcLeRk0O4m4Insg4qCUCkfBT9pOYOetOkuO+8Ps/nRGa6ea
4oMl/+dzAIAT4vy6z4Om/xsE/0t0sO4xeBoyy+5gd45Ju4NCu8vbx3+/7b9exGZ2A+s78O3LRQVH
604lBoY726se0PLduMNj7j39Ly5CqwoNQGXmXE4eL+rE7X0vNndk2b5Evv0D1/pDmLofZGRf3guf
BSUIdsAgAleU4cX36ltRJ0KpSFHKXrX96ASfwvaDS1yuEC5hC8QlhAlLakb7YuSarUzEYHEnP6JD
Vf1WYyf197rco6749yO7/NgvL3SxFCmhZR9SlR1z9dAXj0X804ne9XD891X+8sR+u52LTy1jZMFS
ajs/dvrdyb6H0XH5aEbXR0/sIu9ZpkUJV8kTK711NxxdDq95iwDc1x/sGx/dy8XbV9YUp1Pm5scg
+xTL+9j77jUfjHn46KWcf8IvXyQhbJMXGR7XGJ9kcs9LEfnj3P0Pv5bLV38x3SU1LiYrwVXIEFyX
NjEZ4WfPf/j/e/Pn1/bLrWT4BDwEoPnRxXpSWD+ID8R4+cHyOj/yXw/Q/3snFJauLRy+nIs7QR+g
LCX8/HhOIVtBnF2LHiPuv+/kry8lhIyXHIo+Krff74RGDj0z81COqTqGZMnmhI3a2Xc9qg8u9Mfx
cL4dR7LBuAFAiutefC2BqW2RzkV5zPpb0I2suw0H0pzRDy7qyyxB7eC5yMfcLc4xDj4X5Hu7Vbie
YGZStJcRMWD/vvXLLPXLH3TxbU394s1WzA9KF2dbEn+WSQeqN9loS2GpY5bK678v+Ldn/esTuPjG
mIAR+x2g0NFEV87XmmTJKoTX/PBJn9/Z5cL59ToXH9oStICmbVIeC/JLKzTLOO1QBxH3Fl0Rpxdh
vSymXYD34d/399+KvLxw6Aaceq6NzPtyxQ5hYQt8IeUxqq0jxkkUdSfC9XACENxnPRWPwTudormt
rv3birgmYPCPxoz87RmHXngeZkCx5/kXzzh3UznMaPeOapMO29RilArOfll/dKvnE+SPW5W27+Aw
kAz2uXjGsx3GiA778tj2j0C+K9LSSpo0+0u8Ch68HYFaSPnK9QcP+HKkR+AwuIlyxhcUWL7jX2wJ
BRIvDcA0nxyCPAR9bEcqBPOZc/Poj892cwMwmAPYDMFV6LxPbXk6vwsEMDPxYGoP6rGTpvrgV/1x
Rl38qIvNsM+yeSLybT4NGC/n6TkjCCEiWmwAvbCb3b8fwR+b4vli1NYuwTqRw+iM3/crRfqnrGKe
QJA8gvystP7xP7+Az59/ngxFANNlpwRkicRIqvk0wuK5LhHd1pd/X+G/Mue3tcM9/HqJi3uwzCRD
WvP5RD208sPb1PvOPd97xXYkthta/EAEiGmjD97T/+O6dGJBICnAootvA8yX7MPazKeivjfqC3GI
G+ts24uOVkgM0vs0EDf50XC3Pz5IbpbHGDAgkDknlLC/v7AOK0sLp7+cLMKk+wprBN8kypU7L/3g
m/zblZiMbdNtMiGDuSG/Xyls41iPSStOXkL0OpFScX4gNxyh1AcDrD+60OVzjOqp8JJSnAbSBe7J
+bWAK0nO5cMtD/0chZt/L5i/Xi9wwOf/a2bCizN6BlygI57EyemKVdk/RdRPpOO31eHf1/njQHT8
M0bgOQ7waOA4F69KJmiT0L0IDPDBsZfFVd8+J60mUsmDnnFOphFP/76i8+fewSUDahtQCZqOyw2t
wtveeeMsTkFDrmrpWe9d7IefqgWqpyLv60Z6bnPdQdtde91ifwfta/ceKOiGrNjuvsqhtBYbf/Aq
TvLqZupRuZPeJq9JElkNvXrrcbxgzZb93hBMseqhPtbWaN1XocwPZHqmX7CYpx98aX97kC4uGAKx
WPGOvFiJiGkaDCiOONnjU/0lL9gH14vZ9PpefbAU//JN09uSEQnOwnZoX85hhY6xmk5FfF6khhfK
3inf32bLtRtOa0W6zoRHZ1zIdVrm7b/f3Z+v7ryNMNI8ZJMMKOx+/9yarnCY2jEtp8C3dqQfkP5h
7Ux1naJf69y3f1/sv1mIv++Zv1/t4pFi87c5+cxy0t8Qpvdflu/2k7iOdvku3ngH52ASEhBX0dfq
NnkentW13v37B/w37eaPH+DQftO3Sun/N1/ul5Lfs4juQYy6nMbr5BE64YZZkda9fPQ3y5V6uc9O
FaNdo0O3z+9QZH1w8T+qDYe799yQieKSvzjnHeKXixfEIqEQDpZT0hHehLfqJvXl3surz3YF90vO
M9lw/XuDUxrP2KZ3l8//m18QAbSyrh0XkOD3XzA5EjU8uSOnrrP4uPQLuO0hnjZjLg8Y1d+wSaPF
98NiNVDX/vvif1tpVDxM3pb2OZX1Yl8asmTJO1j/k1t3z+F1F6yjun6qlp+huvr/utJ/q/CX55zC
umNc8f9b083KwzMPH39dLeXBGnE4hfXLv6/3585+ho2o1QE6JcfjxXutXWRPUZGIE3d4PfjxjhBo
MiHUY2g+uNJfNwrgX/y+HMYc/heXAnROF09U7EnH1m8wfnzLu2fGwuWY3axYrdpSbNsm+Gh/+usd
/nLZi3VDtqBbFZrLWkG30+Yq6/Xa8tVdmcfPceygKd+mSXeXKE1G9IaUr8Ear7Oo2CrQef3R9PFz
VX75EXPagFAGknA2/2IlTU5jGvJZxakey+wqMtNPpg2N+6kgIODfb/Zva5YOSIr/Q9p37EaOdM0+
EQF6s02a8k5SyfSGkKX3nk//BzUXM1VZROWd+XrTQAutw3THnwhDAI+RQt+kREwVdLNi3TLqb9EI
gOYlGifz7qxgevm+qN9UJr2qS1lUtmss+7yQ44g/dkqDeS9wypgoPy9lLj2jqWLfiRJnhnK/HYvy
hKLWJhnlxyQetyHQrEwgTId2laAZWgG8PtEMoHWlgoRhLv7gASbaH+uTFwjAL+TK0cqQQQS2BQoz
rvDl68pCRHujWYiurbYdmrLFiqH4hVuHH6VaoF7oBi8i+2lQi9OKMED7aQmnRFSAaCzV+yZqXnhl
DM0kTsHyJKUfgEJeZYX8B7XBXaD767jMREwQS0v0ZY8M2z77PRIsAJKl4BA2KGcMricy4G7DH2v4
EqRTxNBEb63MkDLzXHU4CAp4bySEe8hVXuvbvDFAtxVxwjEjQHRdd4uss8MD+oHDwgHo3f0bdPtI
r4VRwWyJGX5OkjzxqJeYn8jFbaLtRzCsoXObX94XNb8wUAaoqAtJvGhQCkECCKSUY6DniLmQTnVC
S/vj7wHEhVH5c/+fFqZIhijycJ4NnloYGqLHoEFGGi8D8SjQFH0gp6LRAKM495d1q1iwg3BhockN
VLxojw+gQvGoDhA0NhXwWsRiXNTgtVp4meQxvPRZUSqPwrkBwBRVnJzPCxvFCUOSNwiAjiXq3z8Y
GQtML+jSTzVQP+8v6laHYVFTOIBWP9HgdfqoAEitGB4kpWjIQMuGGbdrtFMkwNDKYkZpQJgcuGsl
BmEGUJoNVRcQiFCqOYrlqAJhiYimiRxgwOi6086glVrK2lOt/UnQRBAEz5h/BNTqMsKEp+Qz2Nlv
HzbK5iqiEKhrHSVC6q6kPiYIiw4UIfqAVna4OAmq7Yn6Hy4KojhNhisjoHeTkgJwMwGl6U48wqnn
0Rkjo59QTE3x4f7Rzb3oSzGUtZdLjOKDuVk8ZjGU4JoLTsBzRS/YfSnCrV+KPZtcGKwI956u8ebV
mHMuwOiOofQ9oDeSi55qQKmmyTKKv9GwROQE5Oro8T7dFzz3Bi7lUrs45Mi/S9ogHj0UcOVE3mjd
Ushr574UQZy5k5diqF2U1FzqxkQQj2kGTAPdlawMLGR2VSL7P3WFgsujbleIgso9YLyDNaAnk12k
RcF2ADgB42smYdQDAWO9IcuwPTALKvUa5TrFwH/naccBnTvINSDyBb4O8UpNsgE+3Nj3Fz+9N0qc
oSE2N2B+cLK0OBdlFDWSAf/Xhn8k4IkjV2Z6/UnMcWNrTPZ4zcYvKsYbvBVq8Bi1V2RdRXoPYQY+
6kK3YZSmxRhbpB2DQlhyKRkfY+nYDcI2Ch90dW2oDHkzJwysCtmAKyghkAVr67VAyQ179FR2xlEU
GrsA9kcVnIpoBQh3gNGVpGjRdtKcZUkwNcz8QnkwdnkmrkWTso6RzEnzwS+druDFig2M0OihPPin
pHlXjANGVokcLgS0xEW92aC9pwf+IrYc/AZcckL/4jjsNExNAQqqAGxYoyagpPwylMK6f/xzO6Pp
iEoMCTyiiHmpu59hchqtPIJ7jDByg1YqvoL/uEZjeovGeB/EqkgMYdj4VXUCFlvzTbfKZAgABy5M
kTb8KZqrvR2lGp23nnfqGvE5L1d5ZNaNgwQj8O93WtPbBqBZSw7wU8a4yJKdEhwFbukFFePJzRgl
NHDAiUdwBpcFQfj16WD6BkNSQuSdMDNpScozPyKrUj5mnyJ6N3Zo4OUzzwTKjtXlb5rHML+3WaRr
4ZShz1OlboGa4Z2iVHeKAQDngFsw5D+AezdzdP0JLov0d7rt128emw2YfQn2iQfWOPUaAtCYYJxM
8k4Ab8LgYYCuNgBJGkvApbDqNDMvfXIu8OzQWShrdJ0GzF3joA2ad1J3gJWUg1Xa77XOILEa2Vnx
xumMh8aSRy1NDsGiApI275Q3UzEKuDLptgFFH6b5LYCI3n88t2lNCY0n6DVCsgbxNrzc63uDXj5R
BQJKeBqHvbeM5dXg7eTwp8UBRuFTI6PKDkT83BlUbx93SCGbQv8ZWkBl4kyRWxjcpgIcsgsE1SLn
zKJbYFLQB5Z5HAasQOPmzK8/VaLiGZApApk/asJT9uy/4cD1Y/FdnHu7WcVrdKOdXbSqM7bnxtOi
RFJavgNtLHgLu/BUdW8SGL2b7/vbf2Mpqd9P6VTAymmV6uL3yy3gRvTCxKBwEby3zdu/l6OLKrK8
KuyjRLuselvW6TAO4anuXuSy2us5VFKiDqfA6zjGOd344liTLuO9wHGEXeapY0oLpau5yMWatCRd
8H0WA3y0QAw85tmyGpp2hblPhpd1G6tJaAeCtwF1AG2MFP31NeYHBKaAjht3jQkWE7tb4HauMPsQ
MNvWbp4nJCG5Kk0BNRI0tFucKBhUDFqP3yFjbfUrbh+YusMvA4ZVu70Z12IoozYYmp+EHMium3Vv
RUs0r4qs+Pb2ck8iDBQ10FUx+U/Xe2YEWsJzcsDv6hWy0xaGl0hlfXpHcw2wqe3Xv72BV8LoyhDy
lWDMG7Ft0dK3DFPcCqv7Am6v3bUA6qnGk3808L/n0tkAndmifYBxJuKtBrqWQT3XgjcAjtT5/E57
xFxIgqEWzN889Fts34t7CEwXK+us4Iik9777NE4u6VaYQXG0bcN4ZDcW9/cW/n12unR9djVIf4uk
C/ldZRuoKximsQ4sjbHe26CJkjLdoAuXr8N0TQWIUdwQq7OBV+folvxJRIJcFmM986/qn/VQRg+Q
Z0nThlgP5s82ocWZ2klcchZLzKyeuLjzOvWsAF6MaeMUJ1jZ6OaxkBCEnkjf2wXrOgqsE6I0EnAx
gCLcQpJ7MpaNPT1izJeconO+MfbiSjILR3wB65dhSQyjxXoJlDcG/nogqImQLJq+mW8k22PvI2t1
lO4YizYqMM/F70bHcJJ+KX3A/TbTjUwEE0Clpro3joBqNRrLY65v/loiowmHDM2s8Fqur2WRhnKg
+PF0LRvbXceWuCos9JE4YH1iaJXb4GJ6AheyKLUiii4oCEHVsJsOcbCjpbZ0rXTpLyU7s2L7vg6b
1S8Xwij9kiq6NE6DU7vVw5JlIaf/e+UxUwuhNEaJpFUhoRVg1+ImBnaCe99ZvW0iLreCl/vrmH9m
qqqhewRJAFTCrk8IeDgJx6UFjx7yaAnEFjvfRMd855ohQ28wJVEqSuaARe9LkDQ9sIq4FvC/1una
NVmviimJUlECYI75YlpTZ7erigQ2/EFL3paLjNHgOqsLLzaP0lE5WGlib8gnHdVbsjmZS21d/+9b
R2uotBkyXcGCgIu46lehVRPhxwSg18P/eBsohQQ8EEMIJSyodIDjQCpi7CNTMMErxbgNrJ2jtFID
uvvUjbCiBlYxxtAIfECzPvGMBc0qv38OiC6suDnXSKqB9fTWZHzFFYr4JkvzzGhxdAXCYReg5FDL
pk4Hrfooj2LAGUJ8M4SQYZv8h2d6JYM6mDGUQT2m/15p4AxZpCYkW3ErltWd2a8rMdSx5AaorzBo
Mh0LOHtNHsYPbBSMs78tv6HR7mLDVMoqeMBACMYA3N0Fwfi+WW/BMGqF0NUBgMcxTBKbOkukdKtT
r0RSxgH0XDLgprAw6aCeJr3KmSkw5Elj8db6h6UX5uweysEGohvkPNA1Ru2jAGzAMGu1ye71q/wt
3/R4Rdp7YIGvj7G022zftJv/yKK7rTuwjmp5/Ssr2bfAbH7ooI0qpCPAIrYVH92DYGZfIonX/MZ9
YCrbSW1T1upKPLWzIOcrMRv5K35S67GF9tHf11w4YGUwfcR5DCU1/cYbiWh2RKcm9hetwfj5ha8r
CqoQA6IPmxsQzJdvclsmvQmydxPoxgwNP3tXEa2iLxQJREVWKENfV0i/11Uk7JIEQ9Y+yvrqSUEI
9jp2J8VbV8lJRIeS9ARyXNJh5FvjVNZ6ZwLMKWD++xOmu32xXsEvgggoswLMmWjGlrFPPzBg3b25
S9RVTX3PbV0z++B5htzfEUJ6ny/lUgZ77BUOkBiQW9ncAZjipRVYujluuz3s6lZ8DswE4NmgrbPc
Q/0OTCqrYhXwZswECmeGirgXpdCbbAiwX7D36PVEbK2A1dfyn4KH4GHSsuBacpItWNvAOeY/pPuS
RBZLUc0+rQvxtPngqhgJN5CO7vytcqitXbmV1/U2WDqOsF+AlvcdfG4/I65eumDc8blXpRiqjBFP
DDfgb+rMlS4T+aHCmZ8aW1lWOx82311OakQk4oYdJ/zm5G5O+0IipbJ4tR08KaiFHbD1wFBsd6b2
2C0mlyZdVuZgI7BEwgaoVZt+1S2mQNZdjqYBKPdPcCrGpHDY8ZE44wqj1eXvbVAoSxFyAYaLR2yD
sVQO+gnV/VOzHh3wv8DZAkF9+lF9goR+kZtgtEBAXyCwYJzEjKd/9QmUfuvcIAQ2Gj6ht2ILrARW
tnOP4mo0w2W6AyW1yT2xHIq5UOZKJqV0EK5VKgdmbBxDnpNoKf0G2piZt9Cu0j0aS8Yap228c/Z0
p4FWSkon6aWw+yNtfPjlPS5ZbhoWUxDrPCmVUoMlPol5LEzCc8r2lcmZwIQ1AY7SWWDRXjHWxXhF
ChUIlABjccdpXZ09xfUunIxk3WJ5ydGFvvD+UxB6dXJURIA4SyuTcDo5PJYpDO23lak9pMvBQm86
y4tmXhTK9ZyYYWTOxeX0t62V7EFl9Ht6nQUsonXOMgis7aSUUl9PePEaVEQDQ9SuMKYGHjartoBV
ZYsrd+lCCXAnBS52bmq4PGAHR66LeaqzRuFCKVCaSvcAY1CqOFVw8f7mhYAyZbaHSVnJFkCvzeo4
6QHD4pjJPGmytXdeCu26quAsBOsTzlc/uetiD1Vog2Nz773UFtqksesHpPkOaHlbGmCUJe06flZL
azTBUt8Sbd1Y8T7eg7r1P+YAL++eSmkqEKTrhtLiMmT2c2VXyHEeF8qJJyyzOOvdomvYEFTMe8Ct
pi45puyjsIk6Yafuxk/tV2OAp9gGO8iSmcidc/YuZVE3vOSaTq2AfvKbBhQee6dbtCvw6EL/p0vv
WBNtEe8nsxjiQQMyhtxXIdOVvj3vf5ZKXXlghzfgOID4Zg0cTBOJYxi9kNXQylokdaNDVXIDgLxD
T5nw3M30EJwmtQgCg8N/ioQuNpQ2qdD1ApDmIQtVd+RV2yfXaifrieMTifzfgj20WWJkAS2yaC6j
bmUsxUgwDcJfrzXc6jvAxkNf4PBWLd6D7vj2/SOb9drgMqrAY5CBaalSZ5Z0mpekoHTcgTbxp7fE
Z6lePRWWsCi23GADbmmZ7zLH32UINLmFwvJZ5w4T2gnQEJoIYD56g5sBMEgJmNR2Bl6GjhuKvlcT
WFkWvHRWdDJnuC9lUZtbNDof18Ce2g0LROw7w+wfapKu/z/ioOmd0Q/hUhLlkgAUsK/kEKvSDgCL
f2+ftGUIg6pv65/yPd0XjowigGsOD/cP87ZtYxrKu9hNKviBngFobosVghb0lO1b+KTKxrXKH23t
mdI3T2ogjTBkzp4g+uimrigQetJK3nVdISqVRoSd40h7yNaejVNcYE6a3/wXBWNcyKJOUACETFCM
NW7LciqGBt/VCg3tDCd2zmJeCqEOr1WUUogASPj75ifVCbd+ocDBu79xLDHUWSll1U1cMNO+Rci9
t2ugwRN0cTMe+Kz9uVzO5KdcBMTlkIsoWLciCrvtoTpJG8/OkKlqF/JLwJiXZy2J8iBrsRO1EfTd
vzVkkGpXFpiScdtZJ8RcE2VTA9g4HeV4ETZ18vc9e1LLvekSYVe83D+mufw4Zqz+ud+UTY3AkpkJ
HhZVWhi22Qe2j/KCv4Tz9j9eCEoTZ+kIpKXpcgOufzvlpCa9j0Wx1OB0CjfK6WJBlP3MMqFSJy5J
WOnJpkVL+X3YT0EqwBQtIOtbY7Ywvv63XdSo2FRqXaGufAidSq48EjOJOa6B4Ge6DH30OwZGLQ9Q
LbyEVLUOWgC6Z1pLgIAcy4OIMmG3j5ZoZthK1meNLoDOwmz4+xkPzS4eHz3rdGJt7YwDdCWbOsIK
wJoJBiPE3eY1P4p2tBkJMLnN1oRgxQR6rZ048YK1t5OmuLdi6kBrrZBysceKxy3KvsDLRfIeBDjb
5NjvVTiZ0hPjMGdybJfLpDM9FYDtRCXGMjWyEyxvkzuH1dHO99XxvPxi7OmMTrmSRan8cET/sxxi
cY0NtlgEbNE2JM1SYTy+OT/oSg6l9Y2+D4DHizW9Ajz8jTc5tAWMq9U3Gn3J25voAG0TtH64rqxW
NXnm9ITfJh9VQ6c/3eZZBVEtGn2BzZSbfVKU5yiOFowDm7HRooDuJRnTCph2k6dvuLABAfp+BGmo
pif/V9kl2uWbej9V6ZnNFfPr+UcWZQSA8C0BZnmSZf6mYH0C6OvJs5tST6jJWgbHDLLmLiR6VadG
aQP9fjy1viYYyqYRSnEXqhVGIG2Of9OSH1Vjgk7MCRJ5tMaia1KaYNWuN7JJmigRQlncyYsWkTyq
mEiurR7QHWuLDnKNFg8Tzji8OaVyKZNanBLJYICJIVM4uKfkoXlOV7wtWU8gTDJLO32O98lTvZfs
bnlf8NxBXsqlDhKhSMaBaUjcAWUUhA1OpXzfFzDnrmIu6J/dpMw4GGM8TY4ggQMW44SHrFluvuFd
ULNkdtruq3ZR5h9Nyq1y5UUvrBLkv6z+8zn9cvkNlHkHgKaQ1pgw2PGmu442H5Ht2fxusk8A74Qa
7SyUMUC4iW4T1suf66W5Wj9lLlqxAZ1cK4k7UMXa0b5dSVsBI80taUlMgCE8WKoj2aUJdffE2HrW
paJshizkIoYIJkv1sfsAMC15elgsjigM9IvHjrCqUHPVkcuV/mrfCwWUZLhI4JZB6GWqi9H6KMjh
T2ytgIkC46jCMpdTPL3pyNf/usm/n3Yh2q+BTC0M2GSQOaFOy5FxdXhaHKcsyDv4k5C8PbHSBow7
9ZuovxApl6LWo3w6qdsOIkMHwKLItrMiiFtAJ+CQAm1jwgDAqJFEIx1qJReAJ0qZ7g+YJMJt6xyc
Q0C+v0u7tEHV9O6ZP4x7M5lB2te4FEmZSakGDnrgYTdRq0V7RbYukOap1+WDusxNZkVrVgVdLJBS
tyBEqxu/wAJ9HxlpZ/fk/T4N8ZX/VNaclVv3V8cSN/384txEmdOCJIA4JcrIyO/lLGRI+LXm9/aP
UqpGG4J1wv1/t1E2ZTuwMxPnNb2AeFmaP+AhYsicfeqYYjVAtyZjuIDScBxSLMANUMVd+uqBl7C1
8he03RaSDfLg+/tHScJoFBqkFUWcyviYwlQofSaKAIU1UjE9OwDFPwvQqAcwxy3vC6E9tb+kTCgz
KGlj8I1OqHZ8nAtRLqfnZ7TdhAcfNXQglIEQwVwDV5OAwGPZLR/NjggpK7ag/Kgb0dRWGpzmebEm
peeN5TTfvjWiXSp1RqK3qxQo06b5E++yjy63PSeqTMY50gAYN9Kp7VWbrovSGgsvPys7DzBKm5Dm
yZSe0ZVhNHbpnDpymgo1S5Zk+frV/yUZXW8ocGMAXFKpVx9InA+C6CA5x9In2Kp6YM+rhU/CMUCf
sK4/Vz7QJGOAG68AaF1O7OAsKL7fodqLh/P7CdBxQBZSRZR46TSTJscdwMTL5NyDz0tfVKCpBmiB
LdoDMNLN4TuJnAEcMtFilFfGItqVh7JApVl2VNC7b4XvMbHFZVVvwmCZKsf7V5LyCv/6Nkxg6roC
vBlDpq5FF3otyBP55GwI4AjnMl3EtFAK0WFugmqQVdOZdMTNVmA0HX485vJ5GrJnKAW5UA0lOSf9
ADqGOCVyCeYcXVjcX9YveCotCCoDTxqyMF5K+WfSEGVyq9bpWUWJ6gMMdxl3xOgOsHT4Z+CsFYT/
rnJg4negW1pHq9J3uNIZYQ8++36BsR4ttGLXHhMA66+9AIxR6+hF3MoPGPEFFb2LwumPl9hjZPnd
6f6n03Njv0dy+enUkYBtJYLpaNKzrlpdn2CCB6yZJAZyPNypDReu0oJky+7ASjL/AsHc7Jk2jeNK
GNi4QakJIrBCeRp0oKuaGjgCyFOE5s3WOgIEzwTu1rCoQVpPiq9gUZ0nxh1wYNZIDnwCFrvaBvKq
URjHSPcF/LUXF59E2Rx0/Pl+2+OTascabNkevp2VelyksKWf+Y+8hOVOHIw3LTBx9nD/HKQ5zYGJ
tr+3g7pCvlBrfiGM6Tlcqafo/VX+OQQP2kZdJdvALDdeuKjtHyQKzXXyGDjKao8Z1wN6RPDvjmix
EpR04vB3K6C/DMzSY4z3BmCL57KhHookO8sAwixWoPsCYD/oIZPXthX45zoAXaclASIdkb4YpI/N
mPDPwJlPXjPJiD2GPZnTG0hSKRJm3RGD0H7i4ONnYGDIzk3tjw5fZSko6ZPPquaVx7bkWcPi052n
ribwmIHiI0tIZ2LMHj+/cG+MXgPheaVlZ0yUyys9EEQn5wvB0jhwN0kFOB7jMpYZt48OcqYtB+o6
omV0fMqAYacSOOIgRELe1NlZjC1VIWVo40mW2VJ6KNGksxCGB9kqdqW6kYSlhv6NEsURlkNOe8p/
fQTqWzJgXDUJOEbXS5cGfxCVvMnO3FIVdiLYiWVSbAuAMQ4Eu47GxlUl2ykolBoHcKD5p7a6/xDm
bh6UKKaRgBuJiiIN1iX7nqj5SpGdPxBiFmbyJ3uqMSsRfDDkzNwpyJmAZGUQ/d4YhzwVpZH3sVIX
fSJYaDU+FT446XGbighcuCDNADmdoADolSNN6ZnjaCvPEUBnCuXfjjb+bjs60QSAOUywRzeLBlVn
7Mkpzr506mx9Xj9y1lre+gROytczI1M4p/MxIQyQGl7iVaD1Tbro4n6XrR/0njJk54jAMYELsClB
epKayh4Usg3RUifnCMs1ooqKfy0R6gSw34Agx7j0tVDwL3BCAybQc8fnncUVg0bERpCXOfgCCZel
A9Fa0IDFvv7UGZ67GFueVYITZx42HhcOG66Hzt8g67dCEbp4+fgG1+Vf+sDjvtJeMiQrBfUicBLK
DFjzcKC6J/BMoqRrZHql7d1IMcBT6rZRZEUYzQU1Xh97IDofmibcYrCtiix+iMSXNJfkF1ClYh6e
96sO8/FaIMBmaJmw9bqYN4ghdv6zm4vKc5lWLXoNNU4+S22as4aI52wZ5jzBjwksRoxJ061+MYhQ
S9eY6GLR16ja4HPTWoAiRQQMNyZXfIhv+BxuLUokO3YFSI4EU/3oXgtHdU1dMAGWRlS+ZsQ9dN/r
dAkAloDvwYA63EAaIF4E8WXZ+IJ3njh4NPT9RSKaHlVt0YNDbO1hIqUDGVvc26O0v//ef6O3a6WO
eU0F2PRo+gSs86/mu7j0RePJegR+6bP1+mew0xU6BuoVR/5k5A82ghwqjIIVZoYypr6CvSfEfLR+
TidzjSE+a7uFGkTpLCZvprk84c9yII+PqfmYmyBVR2fSer02H1nxxK2OwoOR0BODHlV8O233gAqZ
FJLhuk9C8QbuOFLVq8g/+j3D9Nw+i2sxVPbAdzNFbwAw/YQ0m+3F+woQIgAQwsTuRgKV+/2DoIco
cQeupVHax8sKGJ4I0rzOGsx8pRE03vzk291u54CFYvX9ORikX/cm2Y4/0ZHVSTHzMq7lU4pIaOuy
A16V+2SpC/R675yPygTxEFnJx+ML7+REhUMFtiMTmP8MP+Y2ILkWTTl5uhjpWjSJBm2hnP8I0SEC
mer9/b11JK9lTId9cc9BaeMlUCvukx+fi6YgQc14SXRq5q8DVKQJTgepEqCrXEvgwGrWjVLGPSVL
9/i96Nfteg9Ayy9UszeKNTDuy22uBOtR4BlD3MTJQO0ZX6heK5UN9wToLNLXq4l6bQCJaPFRqy+d
wqjMz54QdNNkpjTQYIjXa3PFUh65oYU0BVMH1SLRniW0g98/ohkfx+AB8QUliMfNw629ljKMqP/r
Kcc9ZXZkJwt9q5P1j4euX1ZSd06BYF9k9LkDwgKB1rUgFc17WtW73FPvJU6fr8NKIlW1K+p/7zJj
RReCqH2TKjkDNSwEGWmH2A0tFDIPHlmNBPxnHI+sDZzTWJfiKI1VVY1cuaXBPW3AIYnJFPGEblGC
+PpTMO3UNtfqhhEozz0ruKQA3oG/BIAxaidLqZDiUcYCY6O1VZDlKYjb71+LmbsHB1CYcoOocALX
+/qw8riqwaKbeOdYLV/KoNyCtbYhfpDY9+XMvCjUUUGeguUg5Pht/73QELoWdmE7Vt45rbI1gHMO
rhK9GmnwIRUDKZLWEUSe8axmslLGlUzqwHq5931Jz7zzzjkAax9gA/irRwZ+RRYrAmNrrpfuPkZM
+8jwdn8nlSjDfyWaUldCqahV3UH06ytvPqv2c2eC73GpEMtxVoaNT/hAutwjyDeU4H/byJaKAS6z
XiBLWC03uWX9MDKzM7f36oumi3BxABonGaFSF945CIylOoJrXOG3RS9YSVmbVSUyNn9WHJTMFFWB
VEql7lUo5LorJp53jkCqLNpBowCTaxnVmzxLGA9zzriivizIEkaVkf78Nf4XSxPbqKp7WffOzbrQ
zcrDhkok1QnGSw/1MbUU16xcUmNkm3iYBXWJ7D4Bvva9K0qSvbkV43voVvbJVl19D2U9wNYLeG1O
9M6YFBdedyFaIxzQ5v2E6BoyXYZlpMpZN8Io0wuGXSVqQWt/rsZF8dBueWHzriCRpOyGfws89Zcs
gI1ihgs1BGQdr+8Q19d8UkSxf94kZDcSQbCHr6/Nc4zc1Fe3lFjwlHNeGwoJ/8ijcuqh6ystjz71
cxeu2noDyMNo47eOBsZlngTuEvmBYASWfWzFvmRJ8qYNDgL/mhgrsd6gk4knObfWUhsM2VafbiNX
Y/g9vwEk/c4vv5DK2gx+PLp8G/pnzEyD49BB0QNIsQTu5Ze3NvfCH3GacK7t76fDwXnYcujwNh9P
1utus3yUP4JDYKXm0rW/NKsjHVmy+uPmn8Y/O0h38KaSlo+yH/lnUdmEIqlfKhDAYo5cNUNtDWzq
bD0A5FgsV6IVnwZ1VzxVAunf6wcuNQftlPuMZPxMwglv4+KDKL2A3EgQdBWOVAHdgfsmcIKtGEvJ
za2uNs5K5mRAjZWQe+JLYHavq9wCv67xXeo7MNWT2GVVxWaiQ3wQYApAGIKsBOD2r+80QHz6AkCW
/pk39bVsV4vxRTwGJv/aWYnluhjE5Bkvds4UXkqkzNKQikZS+5l/1sqlWphDhanxdPiD1LzPymHO
bzcKERIILSawQuoFNcjwtsqA7S5kRwL8QmLJj+Xex7yjYXf7mKSW5h8qHsWAxQjaaBJjDu7pvuWf
V4eKOvHAgfwOLuH1DjcT8zg4QHHk9WJUS/T/SOvQe+88sxCR303DVaJHC9HVwBZfmQqrJDnn+KJK
DSBDQLZJMEWU1lJaFRTVKeQPC4UUPyCoDwmYowXTjByG3aebZn41JDYbuR6QDQAckLre7Qhi3CId
/DNmbR2vegZjeOL6VsufxGATqhPftRmAz1N8K3LicRavmYr2zNjwOZ/u8iOoKz3mxgRUN/rnRnts
dNPQlwKmFXqiZ9ZwivzTMFSWkAUAdnOGlYgQXy1Fhg38bdygFSP6O0FZAfUNODfqG6J8FOKxxjeg
FOoksSXU5A3Dpft0fz6fEyeyMLZAfqDyTv9l8VMmGfjJoPOkZ8j7StFrj1eh8czE1gAxxWHQZdHa
9rtifmUfCiN1PGuj4OT8LY868aDS5KJXIK9Zo5m1fEqPkV1vtWW2Uy3/vVxK+3HNLfZgfQBr1ton
zQdmyUzWkU/bSW83GgiAToN4VQE47vUbK72yEZO4CsDh+gje6+CklTbI3URvrRn7JNp6X9xaYjFp
zXq5l1Ip6xf4CnADW0j1JdN5/bPzP5tFZVbEmezgKyLzdDWYGjp71MA+qkQlQ4Bi2v68B68XKcn5
cXjZNIybN6dddcy3gw8CF+8GW9AAsbGRaK5/DvKFXz+VzSYV3zQMg/YZYe36pKnpXZ+UCnJ7mgDi
CcqnBvVkPsYSj/ReZwfEWw+7gOhgqN2LRANP3H+xnVAsE18s5jmABHt9yEaJBlQp4oJz1ni2In96
GpFEO++BbWI4jXrkMzPAgHv2UwOjcJuEFgi8TVU2k3IRG6zgexJGrR27C2Y8WUf98AbIDWWwogg8
MTwb9UKNlwJ/6txFqDAcrJkwAkPjyMRAwAQ0St2wXgolCXzZ4bmt15xk1pIV2YN/1Mev+2pj+j3U
atCuosm4NPAE4N9eb60oN7peK1x8jprcQrcxUGaJ3KyCXSktA9Ej6HJmBN4z+yehqChjlAwAEAjN
riUGQqv6UW/E0FOHej04zHGjmct5JYDSwGUVDm7aQEC2HzepJX7nG/R+wN9DX7Hx1H1wzv0tnF8Q
Mt3wpNAKQoN6FilcgFqGPHkgbfWiaPt0XIfp+30pM+UUJKZVSYVuB47CDUuXkCSlWBVhcsZgaFaS
2tJI+FRv2y3AWLeIqUfy0JLcPqZAlUlTu34WkCZ/XN7/iil8p6/L5UdQD99Hg5PXNvgIMMbbMqap
Mu/jvoSZ3USNEN2DPHxTCRrm+np0YqMJXVWgUauH4R5XARBRu+LkMW7hzEJgNGT4KoBhBWHL9BkX
oXOZunE+ZFhI2SbPGl/rjlCWuX1/LXMe2JUUajFAYpJ9GZzn59g4tO1a2rpBbIKdJxZ2Q/YqjYuq
BwMjyxe7Lf6h8nOxNsomNiWolMfcT+DZR9qjMv5U4yks9qn3JFSIh1Zhx/AFZpQIPFwZSgQQl2gu
oTKsZRYYbRpFyblTSFNHJIwehv6trJ1eROOgf2LF4zd3BAoRggBKjKQxIhfq8FpNBK+gmqXnYAiB
kBvnKBsvQJMUmHEkMi7KjSKmZFFHKOtl0gthlJ6FSrNCEPP5vJOgBTwAyVHDf96/MDe3EsLgRE9p
ScBQYXHXtzJLtaHSAvQHgSvJ8NqPtqy+7ku4DfsmEVPjA+YEkOunS5X5hLsjCC36FNFY4aMm1L6+
CoCKUxzvKG42HOsy3vjkmHvA80KLBejowCZLnZWUg6gFJA45yt9QWBj75gBJ5pFvFVPfI+A+4Azf
X+Ft6E9JpE4MdXi1jzgpP2/yfvMBfohFi27g79BpCcjOzFNDvpZm9GllrNc+c3pT0g9GDaiCPDoC
qdML3CAKvaA4I7qx/hgbQAm5DvFE671eGKHFbCK/eXZYKJopgBAPQ6og2LiW5wWZqrt9V5zlRYZi
t+074OIYI5J/94yk5o1vSUmaTO6FtgwTA2lGDZKa4CtWrceGJ4/DwHhprOVM23shRAk5MW0nIQmR
BzOVl6pBzrprMQIllhjahKlcJJauUJwLe2o8DpGINuzIJ8Kb8hQEzv3LeNv9Me0csOJRZNChsH6t
+sWi4CcqIL9VC1x/9Y/+x0n+GNW+WQED9bEjccu6gje+D8TJqPfzGHqWwWBALU6t/arO0Xd5Rt+r
RjbBe5E5lWy9qCnBaKGaMGecbhMtk8SJtlkU4UhCsVyfGu/KeQVc6/KM6tpARkR74OwBoc5BQ9YK
QwbyE0YMM0tzzTZ+rLmH+HtkeZS3iRbqG6ib0wZgYqvAIHbGNEUzAYdbeUJq3wRGx3rdK4x7Ou3h
lQ9ESaP2ONe01i2MvjyXDjDcNyxY0jkNfbWjlMbkK1+XMrUqz0Wwwrsm1s7RC8JXb31kLaWj9sTk
MJxc7nsrojQmhuMiMfOa8pwaO0VdtK+ciNsTJqfCXRsV2mYJKxXIvDaUjxJquRLVEq6NlO0EzhoT
tJ++yHaeOOFn/n+kXddy68iS/CJEwJvXhiNoRVIQJb0gZOG9x9dvQnd3hwSxRNy942POjArtqqur
sjLRdIOWfZDwxyzQ0gAGEoYKVe4NUBlh8cjcRUtYzrFDb1RQRCZUmNy5VRsCgUjFpc24pxgEUXJC
JGY9OGoF2sT2OOhLNfZ7xDxuQag1/+kn4ez/5dKufAJi+L72Q6e0u+I1BBzOji4CUpLxCFMP9jKR
dskGomnDWjY4JIoee6SZeAYiUfBHkJ/jwU8/OSs03XBBpCilndWvQa02mtic44zI/IKdmSsDUmgj
lEBCRIMmj4lf8OpYZtK4soPgNHAryXaLHTZSS7xuga2DGw/EZPtCFoZBXUZBdQaap7emkBPJoQ7I
VTat18jBfAJnJBnu2refd0GBDuuPNYvsC9hlQDZmuodEVfXTufjZoKcW3XNLDYpz8Qc+B7koKMGB
MmWKoRjyXhGcVqzsqFY9qH8aca4nW38jdb9Y2RUIK81B2YSVJQwr1iMt8u2Uxu/l3+i1CBcuhPt0
JPba9cdMjrY7+EHTFnKFS7X5RiMhaP8AcyUgkkYYhooHISFwaZ4ukRaMdJul1M24m6ZLI7DYAwg0
oYJDT5aGKTOxobK+tgsRqk+Owg1qnEHQ+vGeZmeuPRFIR7yKR6QhArzbHVC0MefUYFuzi6EgUAhi
X6LCGoUcSRnrAWg7Vx6omyTiDjrfmjnA1CX03wPSfMjtxZM3Ab+pazX13h5/11/W+3b4DADN6Pcf
n5j4++SqwGM+qKWY7eyCIeLJgR602RQ69wWaoxXU+gbX9HjSZ2qbbwdWa1Od4Q5RQGJ6JSVaG24A
Bq/NntGy8tvRICfNK9Dl1J3hO2QH9fG3zszh7bdO5jCOwjRkXLqzS7LDrkSC4R1VgxE5MNIF+Ppz
ssn2gnqOVEQS3wvG74OyW+OTbYosoy+n+dDhyfoeqbteR84yhOTD55g8fd4p5P3ik7cPwWRUW91f
Phbs3yOxR9m1UZkBj6Px+TVJSlEK3yVyLnQI06AyEOrDKgb8MCy0BIICriaQFj32jrpg9t5x3Vqd
nI6YUyqZF5TOrrp9LyA+i0ooaa5iZgmZxN2fw1tLkyiNhRIl75cYnxET46C992pn1PqAVrEK8Atd
3SJL/QlKRhKbaN9Gx3hBVHqjwluTpTz1fS/KZK7Hb726/pQk7sSccTo7fkm23IUHjfiwOkUw5cEf
5WqFDed+KwHRjigbgBVj4WaacqeAQe12MiancmAAO2JqfICbfzPVJvFIxW/Dmids8hYG2Qj8BCU4
Wdji9z4KVhnkZUbhb9AKT5IklO+CDpShMGzCfBne+endor4qKzBEkn18cBLQsM7B2XMkMmmXjKyU
Cx9wfyPjAyCUinQkrn14pNt5F1xfYQfZ7W2Y7yOyQ0/uc7h2yemH/zZPVnQ20SuIzuNPfv+9+gUV
71JR/r5za5x4QJOgNozeEkCvbr+AoqKAd+K4t182r4edv/mE/s7+gFKVT07ZxjTNvX7uyXr9UVp7
ex3pHgHo97h6eTwR4/JOnfL1V0yWn4kqNnXYCPMABsTiIpUhAUPcwnLPHTgsJ1Z85LYALvx2qIAe
ZFJRZr3tD7pTSnrEKPrjYcwt57WFyZEuSicVvSLv7TIG5ZwQEY7DwQ1Nl5E0IcRzs19USb6PHcfy
/T+Dmqwf0wcdOJbT3s60l90OxYKUbPrj6+vu3VMPz/nuGVe8ljDqqSPWQCzHcskzt7Fi1SRE1+2U
IbYHSkvAV59W54Cs9WSP5lj7N1G/tceTM+dZuVGdDS2ZaA+dZgh5aizQxjhsbTyK8R6D4T1DV3Ms
LyzzrB1ArPF2AFwW+mi3yxw4wxDE45nKkAsfU58ygitaBICi+n08orldOxbW0UIDoBcEH28tZQ6X
Nb0S9jb+o5YIAhoGRbYlDTKg/5GhOxqdFnMXjYdUid8cdlPRNse8PjYxO2v/jOVOu7nNS0jVBj1k
qMH87G5jPAyY8OJmS7W6hUmbAoybWnAV3Ka9XfMdHlgJzmECOdI89KzHI5o77lero0wOo1ClPdVL
MOS0eFMpqPOn1f9jXaB/iRAXrnPsKLrdALXM8ikdFb3dhLXGRACPunshWEjXTimk/+7GayuTS6KV
oEGbJ7CCVNE2Hh8nr7sDrR+Mp2zVkFO3OZ3AG9Xobx88Sz5ooqE/4/FU/tXLpv75+hMmrhPYicbh
C2zATHvdpERS4GZ2hnE44aoyh/0Td0zI9gOCMOcVcBSRuuA65pbyr3GGQ18g8A2TI92z6Bz82/91
B5B4mhA5fH88wrldeW1h9OxXAVCZBaIbdBhgGQKz4Gmi+5IxSwi9/2Ml0c3y3+OYOgwhZqUyghU/
WMXkZZeO6ISDdRKQEbdP7dMXT1rEHg1IHkCwoo5ziR6MBf+4MNS/UOxqqFIbQNhVxkdUo39UfgQ7
co1/fzZRxMPbDw2UoJOYnAum6fJacnucC3Rvl4lgOLls5coSXnzmJY1iITA9YKtCWgONQrerFoUB
z9VsMwDvAt5r7MnOQvO5ZoU7okP+zFWLtfSRqaul5rKZ7OaN4Wl1DWJuiQjJz8HmSOGZ4ocfbsp3
+ilviINGOX6lPKWfj6d0LrRAkAjFXVyfqOlNNijNFEHFpeVgxwAx9YnOAxQQ1Ce8k9/DYCF7M07b
9LTDDnr50YJK45F8O61JD5WfsmUHW+4TUkfnmsm0jCP0KxUcFS5bx/lSz87sY+/a5GQlgypJ07jk
Bjz2Nj04vgEXUt3VO8irDNcmca0mwD0sYYZmXx3IuoHLFhKqaKsej8rVUWjZJAzkRh7sITSUyMg7
mnRhqsXcxadIS2/rWke3qvV4JWfqDwxChn+sjlfxlVW3VrpEyZ3BbiDyIJKk0QEilni1qX8ZVYmf
oJALCoD41WFXjy3PruuV4YkbLaImp9kMhlnlyV8z0C4J3+j0zePMYh0vMaDNBabXo5xsolRyBElJ
RmPusYUkvPCTpWbUHZewJVPu8L/rcUT20fACEmLIyT0forHWjTlhsHe7Ut0YyCKtmufcpnQTXYyq
b9CazahfvaF/HGO4iHqVmb+BXm+OC5fU7IDBTcyjhxkH9e+ldbWsTO5wfqsog41MPScb1YrzVGhA
L1VWZhfxysx0Xsu05pUeZpJs1xz6nLRwBAkY3mTlpYKAyeMtM5uCEkH7DGQQAmqwAdxu1rJmIGuc
ebTNEMui9JOrPx8+3wU0jR4+LetkgVzFcKlFXPL9jS8BzIaSGXJ0KKNO9dPyuk7quqIamx5YmxIy
VeCWvBx3fxGONtBWClYFBIr0ZOOkhevlRR20NiIa3MSiqnwyG9zEJDlYP8nq6wJRc+Dn1mVFzivb
Id7qY70CcY6kuZeFWb6Pvm8/ZTLLQBhkUuSGrf3CEe4A8g/CGHjAAUIUm6NQHW2Zlzf0yO3Lw/mY
L+FU73FMOIrXMzHxgzIF3t8+hHnZfu1/0fuvHhhijMYR34nbrwt/ALflfl+pPfHef1Gtfzz++dX+
ZyUmHnEI+VIMK6xE1l/i6pBLC7XymV18O8CJ56vaNpJcHgPMNPCzG68Grw5j91Xlkic9QZlnu1ZX
q29ZX5TmGDfR7V16a3lyXOWabqUijVoEliWop2i8SDXF1WIlVCMQuUjlSolMjzkUwlOUbOJssdt4
6QMmN+tQyfTQhphbjryG+3cUYzztmVtZFuE1U6eNdbY+wyMuRZkzsdnNwKcxoOQNXciMdjcNQjPw
fEXG888puIAQf616+op6WqFZ9vE+mknu3xqdPJViSgpiNoXRVhVqAuK5991nc34Oj8/p2rJMQb9E
SF4nhDbeEBySmhlL8C1Z5IebuZRuP2TyYOqFNkn9P9+S6+NxbvX39+pZIc2YoNmJ6nOgncxkQ+Lt
9i0V9D18ODmPbTcg/V249ZdO9188cnUxsUqdp2mCzU+tXl7Bd5EjthJVwwKPM6j0Tz+SvtUldPmz
hLHXR0U7LpzuxQ8Yj//VB9Rd08exh1UZyQDBRIboDvcHJsEnIHY0s9UTJakXXV9jBqLd0TMXXtD3
N/PtYkzcW9/LQtxQsO+hvdBpN3JmM6A2cRI1yBfekfecc7eu9K93/GqsgazUnTK60lyPUdLb8frB
gorLk86s9yqLi0Rb2vSL0ztxblyZZXWdwSRQCYLBaJZ3dkkzxgV4V54Ad9puYw2Oe42O/sv3kfsW
T0t9/TNp5Nspnrg5KXQoSO6Opx2kBpsRqAC0Ar0utljokdy624SqpD5dLpCmAIWEzvVEh05gQpxD
RgBRx9KvVgvLPiX4RmR4+1ET1xcmce4WzfhRUCo6INeIux3pz5P5ReD4/Cf4fHB7f3PWYy/092x4
4PP/9sjVHhgUj4rD0W5I+F1MtGq7MyT02jra6dSdtoQ6YisAZYd36cJRW9jpf075yrIDZh0npGGZ
y3ML+Sqjz9KNX7lqEA5G2rD645HOwCZuZngKdyuKMvXiDPYK7TX/2HFbxIPEbA2U6J4wxLNraAuL
OvNmuzU5jdoUj6XCCCYzzdk5pmD4a2fFH5xNv+Q3F+LDv+11NZlR/D832Nirtds12yElh0MCwl+X
OFvzCSm3RCTgUz5jGy0qWCwt5cRpVUpXpsp4osTYrErTQcd9DCnGwaLCxTzKeDofbdhJ/BXKTpYV
Cmz1phb45BVXVE4MlJ8wUOv0JKlf8vkthR/T7N8j6A02C9uWm/0ACYREELIZ1T0niyr3URkECaIk
HoT4NVKbuWqcwt1JfvZbFQJUVni0PKPacCdULVIcHd9Qk+N4Wa3kYcTsLQI5ZyAj2GdXnzS5tHLX
l4sqwCf1Rz4EEcoOrpxY0gD8qGN8kT1SdGcVb4GFqZhd9iuzk2VHa2CcxxyWAvRUmqhm8lvsZ6qT
mzGjPj68fyiqu1W/MjVZ9VQSlKhRcG+A7/jYfI2PYxrBP6t+JugCxdLjT2bzXGAXWDjV+z2rofib
ogKILl2jeNleOMB4aZAFNeSnqMiJtS618RbshbUOkiDtiDYBMHZvxX5pksa5f/TlkxuPjTy24/m4
tWuH3dchbVMMt1Sfn6mJjxsAaF5AmOixRnobteROkvuKPIZNyEhJY8SCbJSD0y/pwx6INHR16Ohh
WSUonm3cz1W+2D52vxdkmqUVUeKQQx0bVm+/YMjZspEqFCxrOtKCqrJqhypU2on3rCyRhJYi7fGW
YMYx3U7sjcVpoSlPGqYNvKS3NYol4U8QQA2b3xwpDZtxwdS9d701NZneHjxV4eBhcK1Km8Jhs5HV
zQ5cWIhZPC1fOFX372sYQ5EUHmbMf00RdkyTVkXTYVyOp/o5Qb+rtnCaZtCTowkRdSCsFmgMJzlv
v0S3Xz+gEAt6jbHp/v3dXYGWYCCX/iDXZK8eh8R4PIczPgrIeZCIgRkf/YVot7zdIApqdl1QuQPm
EMqiAIx9Hk7DStRKAzjf1CKqHegt+Q0W1ZFnbmGg6Xk0RoAmCG0L0z5mJ8SLgqqF3g7qdd/qmSSC
mmhfVoB0gfdVqr5A2ECSbCmpeH9P3Jodf/3qSm5Y1mP9HGaROdXx0ykEmdvAVamFEO6eS0G4NTQ5
ekFeSI2HbnX7BUm2RDsgHxJunsGTh54/ZVOqn6V58CEGyCDbOGozH6ytzm4gP2iDbti0U0NcNeZ6
3ZgQNTpXKv5Yp8aZJjTp0Xu7BGSZ296gOEK6bOwyBvnI7bSIVTBEmeANNtOfk02e24pvhK23sMVn
HhqYlCszo1u+mn2GL3OlaLHd2HV9zHl0cXxFxNT1/Vio+j1HurqqjNV59RFqkfl4q8+5QuQD4Yp5
GeUeebLT2TyLs5hLBtt1XLVSDg4HPFqwobgY7ZDygrGZh8MoEKyw4GhGSVwSJq93xQlQhUxRF0i2
1CYDSR62AIXHw0lSP1Gju8hYRYhS7pA9KcwlLNS4taY++Nr4ZDFZpyyKOkKC141W4ksmItiRkOVl
f0u4rSJHAFItEk/M+f1rm5OVbRRPadwYA2a2HVp4s5UkqT4F/uOCIz2qoZdcOj5e0DkPggYkEXJ+
QGngKTIJdJg2iRouYhpbusDlg9I4NXJe45VdYzuxhTv9sb2ZWb0xNwl26gLqXG5HNza/DjT0xIFz
k4lVqnxyPdOpFlg1ZnbrjbHx168OCh8NQhWVGBuvSpTRJ1pevOaHyl2o083OISKDEcmLki0ak2/t
KE0lQiWgau2OjqInUQh3cpvmxHN6Qa/zgrLaIGYIDwbruPYUU+D7JSkyZtwZk92KgwIef/CrjYja
yTUOhCpkpjmlsf1OowNTyEYmS2odX9hT+pl/ci2JPx+vpDgTOdyYnIw69kUmaxyY5GkzK97qT4r5
5H018zd0Qphc80PiM5bXvdFY5k4Tsl2eHDPw2CZmp+wi5yXuDxXglAI4b39CBVqnyVqGLGi/S50T
j/9biXQRUQkWTzj276AuEDvDG7Q4VUuIWMhmlJg1lOLPw5pDVbL6DsCau05oNa8uXvQlCl9JexJr
lWstoSzV2NmKmd5Jlr/OgwYcJ5UKYlexX9KnmbkEMC1wVmhqQm+fMPEbTVejRlKgZMJnm+FcMipl
1Pwh7MeWqtRb1x2InHVOBjf7U4IW7Eu3hEWbuZxvPmDiRJB46CMu8ZH2aDW+J/Fv7/2iRB03Zi0u
7PyZ/gLwKkAMdGwOQdD1t0euThhHZxVb4TKy2dwQSAaZ5gzibUZwaIzCSMzI2sie6hnDJrYdY4iQ
VuRUx4jxhD1L73/K2ODBoBbujbkY8OarJk4myjoKCjL4KtBbvgoO2QE2O8JnKf2VAlFf6W9qz1Qz
e8GXzrgbcOrQsgi6cgF6F5NgJRYzEXTCUWcng4gtSqsJBM4TpJRztO0Fr4+P38yB5xgJ3bAoyo1k
AZMQDAVYOUrbvLOlivJfGrxOCS92zsJunikfyBwjg6MPhJdgEZn2qghK6rGODJi+BMEa6BgYkaMp
naeBqilrSCHZA8qrqNI7iHBjzecAimjVqJVUvj+LxboswV1XUKvM0xnOeDwD9/yf4HaToIML1B8u
MIBcbt1uILtMHw5SZwfoguqMIt7yQkaOuffDggsDxUowCuMtXWoOpea56dLk8QfMPE1vP2B61OPA
h0MGdDx+AcOX8d7qr5r7GZLj7wqVlRV4XXNXZd8amsT9Bv9mKQc3c9LBAjACpkcpXvR8304Amzd4
bBV4ThXAriNb5LQa5DWNw0Dog3hot/5TaQXr1cKoZ67wG6uTnVe1A/icWACXNpURATFBwn1OOCgZ
PZ9i86ci29bYfkkqYK2tte52trrwAXOv45sPmJwzzAXCU358HeMeYAxQ+jRa98G6gGidtceDnZth
FL55kAagnR6kmLcz3Kc0Jbo9jQgU/WcCChXdSzI8D/GqVyxJXjpsMzcqh147AImhhIE9PfHcIkKF
pOyYwfZilXutP0LAKJB8eyKi9nW57Bsd7bGgTvw5FyFGujStS9bHX7/y5ZJH5XIrwXqV78DBCb/J
ofGHKM5Aek7NEcqA2CVcSZ7KPnv5fknYegaPA2YmYKghWSOBInYKcYjCUAyzqge0SjLynccQ2f0F
EGDj4SUbOVtXOAzNyoUsIa3/24t8Y3g68KKVwNfU4T0VrFhm7YqElbcS35CUVb104fU2Ex6gkwZa
IwClojNdmdxNSp7VlFzgWVFx2+aTV36L7lmRFkYkzFxFPDumBWRJAGXI9J2W44XIVApuB4689JB1
FF6Db/G32zIG2O5VwcjJ+2A0Gq0OW9lsPxgodZmANgxq9oFbOt82+vYNbQ5r3dxu9Y/eYnQesk3W
ZVC3b+v175IO68wx43kJZPwsyB3gyiaOVEoaug1Strej7Ai6SiXXlBCdNhUEZxA0P17tmbIQpESu
jE1OWYGmVlryYWyzO4gfkQa6dZtIp2r1ZZo6uqJBIEmBc529tIsOe8Z13pie7LRG4WpAMJneZs0c
YZFPPo3N98uuRBdZ9KKY6w/KEhY82Jy3vLE52XBtmSVOJcBmTPIXibwG1o7ZZy/BgvuYe6zzQGBL
IqhHkCKYbuyIr0pqaDCtKRJgiZaqIt4coJSmLTxgS8RfjlHp8mus5QfKkp6+hWfQXjwvyfnMlMKw
ulefMbkTGydweq/FZ4AwngGP777C5LLr4VXnD5TdfKLXskPzHjhfrTODfkJhYXuNu2fyEAMEHb+L
aLEA3cBkiXmnTDELOHl9+lMG+1I+Pd6+f2DaewN4XLDozr5HoA7BgGJqV3Y24BzvUKDUhi3/Iq+B
3RcBJ4igWu+ahR5aeaFJpn1GaUTRfkeRAJCrUU8NGhgrqAdBq5IsneL5of/zZZN7GU/gnI67qrN9
iS43oSvIe0GOzo/HP87fg+H/YbuvbqmqVSqOyQoYcdg3lnXrlzxBdImupWT32NLscNDuBqg7aNjv
cqtuj8aFOsdEe4F3zmX02nNLF/6SidEvXg2GE0qhCZy6s1/qXo0hAIElPWTGHyZoG1toPxQ59W19
Ro368dhmT6twNbjpWrEdNTB/ll/Z9c4YBUVT8+SbCNy1XNPfWOyP1a9iRaiqLGXWZpfwH9vTdLmY
cHKT101nN6KwaukXWvmkxUF/PMK5e/ZqgNIkcqMrqgM/ETajm/5UjiZ1F8Y3Ai/W/h9m0HIyUoug
g3BKf9yVIPBpuK6zs8xV5erT5YwmO5d4ej+2M/fYQbzwj6HJVomHEDwqbN/ZMlPqcYJubcEpCHZQ
ShI0bnsADoc+kmkB+8sFkpqBea9pUJ5yBN7Ipc5yWf5F6eKFHTxavTuNV1812UacADC8QmMpBxQx
n9lSDg0vKgCUrIA/8bw8PPYN/1lQMrcAJZwLcAQBVQ/0EKJvUxhP1tXJiSEN4ggUuqLLrDq2rK/n
+bEfXoSE3dDKUsZ9BhaP6g5aDVi8gNEeOk1EdwmFV3+OvKxTAizja2JBEgWIcVJCRG/45iu09q2j
SwUmF9B1dL9irA4cmA8X8pmzdznSLegF+FNUnJ4cQWgUCNcABZz/xu6rw/BaxOlpswu4D4k3gg4i
OlDVGZTXhc03pvWnyzySmI1FNZlH/e52tj2PbSDy7NIAe9BqijTxjtpnJH5yLt5CDmUulwoaS+TN
REgcAIMwCVeSvmvchI0HW2MuDEhNPs0axe6ElJd6wQfOBGO4QSHEgyKhgDh5YokLxaFwEtQyAquq
1U4rgYCDhnN0WnrZgDj6fv6AnkbHqwAWBh6J9tv5q8OSr8IMQb8CxZKd0g2OqJcVksEG6I0ZmUR5
xXpqPjh8Z0SsRH3mHe+89mnXUCYtJ51I3PFhSEIPR0JNOU8AjWwjUulPx3lV+FwnEDZEj4TMu4R2
AX5XIQMeJidJdEuAjooceQg/SrNoK1eSL+pixiupnsbI3n5Dvd6hDajJUTISrHLqqzIv0L1W8A2d
HDovFkbJMXQs62NLaWIkNZCshIWwMKUrEIXgiBv2va91rRuIVju0ypGLm4g7pFLaRRu+T1l3V3h+
QWmiRzkcgXZ3RptDijrKBsQKbHCIk0ooXqVUatKnJvALxeoqoCXNooy4DFe76AMjOrQRbyhdxDGb
NOv7Ys3GojPWEFhH3LEMnaM5pXU4xkii0n2GD/S6c9z7UbnzBMGT1AKc31CzE3IQzqaFH+CVp/Ag
PVdE3q+ewrjNAmMAYqw241SRC40fsh6tGX0M9TvfoUIw8bARXeuCw3LeiinkzgetU06HdspHTfIl
CDGQ7MQbkCX7jNmMhZZZ6KSUt0d9gM+OYtwq/ErqQMx/lPLaQ09ZX3AUYSs2T/WolKIeU190/qDK
bZzG7wkYq0TdR8Kg/Kpk1i2++LKOXbBXDSWVrOqUV9q1S1FC8AJGGy/QPXTBRs9pGLBhTooSnXRQ
NIgDcd80kuDbkF9w0caGGhCa6JWwy1DvKRoFSXnXrSXoepdiwpzctK0HLcI/5xXJhRp/zZQksUMF
Gr56m7mNuykLJEZ+I5fxo3ZdNpHg7am6FoU3/JgM8IhYapv3iquqCvJ1ifIcDVHfkw5ihqye13GU
ak4OQmadxUzji5RA6vZVQUEzuu4DVjTdNPKDbc0qHnTCWN4JhS0SNJS/cQqHTnZUhISYCQci44ei
w3zDDXxNkbhp0k7v/TSBIHzqlHmslkUqhKqcox8Y9Fdl0hfPLtQNuQDKKUqbnLMsk4ZtIuUQHInY
LqJUnkJ71IpLQhZyyxImiSEZkhWthm+pXKuCvmoCtu4kYfSaKrh4k6d0gsnz2kqAWiqiGgatb1Uo
dwTNkgpFmrKNcyuOWyZ/AgNBJAHe2+d9v3J8qqTPgtwBMjMoYiG/u60kBZ9DWmSC6faUWKLwIfqN
3jiR0qss6zeewYhuyGGpuI7fDyJYknA26nzNeL0I0ooMAvVmVBZRAsaWnFG+qCSGIALt1q6gDdB7
+1GQ4vEMqFi63sErMo/aM0XChHoUu3mlU7LfpQbjs3RWkIamokFz0Ywi/7ZJQumgaxkuHah9XKge
td3PwiUzc6WDLhkVX3CloRdkyv3ED02IWzgdbL+CxnagbJrApmlL8m3UKIki7LrkvZGf8/ATeByS
e/5v12Wa4vz4MXheld+Fz5m58/7FfMWBwQ0F78n1UMRDAqDJWOp2DaoiEK1jTKSTZcIImpybj62N
P2xywaKqjuQfakYY/bRJOlEYhwLvKm0nohwbHCW/CLJvJHQdaAHdx8ZjazPPDlx5kLFC1AJGD2ES
G3PFGIA3aGLsAyHXksp3deBm3h4bmStJgk4L5QMAYkDV8gc2vArRuKqWA9pD+2JEocEcz/E62zM1
pq9Ccl54FgY0YlQED69Kj1xQaiiFlsqyJi72p04ueqSTwMB3pac+CZ3DOm0VLoeeOseQeFBFAW9k
n9Xor/rbX0LGTBbyztYkIKbFoijYRGZ3iMWD7anNgKx+PK+TkHtqYRoDlqU78KKP0WQIWvBMA7j5
W1bA1kiyJezdwsRN31CC70aC5EnsTtz5MYK+AeIpPeFctV8h2/54WNPA71/jGoumyAAiYzllQOGg
FFmmQsDt4sAxGm/LFRqocw1nSOF7vxV/L9OVxoEFb8HumFu8Onp3dsfY7WqbimWbKLEMuygmDFsR
NXqIUPhoTZHxO7MrD+1lCeg77Vv+l03A01BUAwnaXY1YoNsoY0KP27W9Hq9akUDdVlHLL1xZ4A5g
dsrbksnZpeQhPoGnEvjgplR+JZBUfB2E3A65VTkiNK8lAvG/++fA7oKlpRz9x92U4lUItlcEvewd
V69fylENEdJd/QviwFWzovbcvnsJn0MDcLTH6zc7sP+1BR612+Vrm3oQWiXBVAoEEAHmWURA+ux+
p5r8+djS5H7616JdWZp4TcqFUozUwpIsq0JjgPzxN8sRNixtyMlj4c4OezuikC9ENhztUITe+e9y
MIqTgLWzUcOnflXY5adktRIR7cfDW5rISQ6+LGhHHriY2zWxGviJnnM/MaRJQRjgbakAcc7lP7M3
ecF7ALNkToRhgrEdmQw6M6SChE/BqVhTT/+ZqckRp30lyrsA+5E6hyfwOukOmOCfe5os8RwvzeF4
O1z5EodqaMat0r8xyS/MBTTHvo8+E8ZVGW5h49/fA9AmABX2n+oDoqXJxvfaIYxAtqzsukpGXwlN
oijT2ewQAVhLQa3ezZc25r2nBE0vkgBgIxhf5n/ZiavRhXmQyYDwOjvBg/RwUem5I1sJA37EvtYS
nDsAeMKiIVQQQsL4qYaWTU/xS/RR98fj9ismxyOjgtpNh9jZSexPH5ppgj7VhWhsycTkKFAsyHeo
PnJ2Nc8aQWThndXyS71as0aQvwLxN2IxMBHc7hVGUXrEl42zK92SNNlTlW9rZQEhcL8fAUbDb2C6
5JGAmDpHXugpSO4M3l4O18Irc8g4nQ6+S+UQoWOmLBaSgZOwEo7r1trEQfYpRO4AE/L2Lucqah0n
DKFKvlAfH+YpugdmZNTHRQgUgFAfqbC7je/FQSb5wb4aEitOzz6P8rCaRgTPKi3IXvAMJ9DR0JWB
FIPVcgDiSRkB0/ohaDI9EBvd6ZcY5MbFur3xbr9pMvSczagqRAJkH/DKOk/OXKtYbnRskqXdP62S
/40eiqMgNwBrNpA/k20T1SN5HBqJ97Jfabl0yRJIRSPIdD1NOdLE27M+6X4UYcGFTjlzRrsQogU0
ARR9QNbfvRkGH/IuaR3tazB1oliho2SaaIHhmq7OaJRearIGQBcpzBiVW4BlTRGKTpVhM9/yQhp0
ijq7+5aJCxiUoAJfSBPtI5Y03hP6wfwKDcVcQ5J60zCfTJioyTcnmIEsqTIUCfqKUNEKIECWeq2g
NP/ux5pcbyhKb3MiBJcoOceexgQBcQ9FrgX5oRdI9M4VVoj0AX1RFpVj788KNAYQAUIOE8Lod20K
wRD2bF6I0T6P0m+wASMw6s6PD8q9g7k1MdmTXgaylSqSor0LPGbaWJ2oIWv22MbcdrwZx2QpeKlx
Qc0JI2gegdLTUBE60Ltkxe0GXRHUuiJspvdLQd/S0CYOmmt8oWd7WIWIY0hvSl9n2YVn1jTXPm4y
yDiNPMUACyBpO3EzdOu6glOW6Z4qcqOUnpjizIe12gKYmvRaJFgKGJTbMjS9esH0faB5a3mycE7b
1dyQVuk+ls/vXFrocqSO27ddUmSbeXPdWpqsXqmwYpK5dbrPQkNiNFfW8wDoB9LKZrXrSesthBCz
I4P2qyyjRWd0Jbd3XsbFcaBUKUbGv1EVUkwS8p/ZG3KExGeXAqQZnwwyjX+MTTwl3fGxz8QZBlc3
ahAcuPpDSs0CvG0LZ2CcpYnzhyEgfiHchNLF1CVLQT4UYY318tpcLRlL9NYI2iW0B1DBjnHOnfgE
wJb3X5xd2XLkOJL8IprxBMhX8MhLolKpu15oJZWK933z69ep2Z3JRHKTNm1lXd3WsqoggAAQiAh3
nzfhykm4vIA6kiwy1GXRPcOlNowpa6VcKHPXm3ZVIFiQ0xFZlQOp+kLFY+XdDdHKRcDXwuZ9gc4G
cEqjugqhGT4vBk7QotcDUrjh78nJjp+C2R9VyBfaOs59+WC22+SFriuIXIe7l2Zn1zoLPsU61JEc
poU7tr/V77RDa5aXIL6wawGA4C3pbe9Ljjaqft8/jLHx0unmMHxQaGQT37694Hzx/GoKuFlvBh8J
faIUrrAVTcWJnPhFBqf2cIBaRmI2ETRVJhNENXYFOomejSjKQEnUzt/UVV3h6wjvclrmn59NyzQW
aE8ssBrRbgJjLLpAkOMysy0Aoe/GfXkXbf8CGSkcdVva3Z6FxQVB8XVm8AaeXeQmIZJLXaRZVrh5
kZujhtfp6Jvx4EQykkMQsgS1wD8wSGZVPRAKAA3EGezHxg+QNi7cWnsHsb4p9veR51uob9Q5Wo3W
unsXjg9wXuOtAxV0pKV5DH9JJ8EbW7lw0zFwYy/bCF7JcryNW2Mtop2vEu4A0VQciLPMAnI0VwBT
RUylsArLmRbGs+INkjPsxX+QVxpalmK4czt85OwTJZCmCHY6J3luniew/EssehDs0uogNy7YCObu
UR2wPGcwf4/MfwpsfZuikR8KlU/Gbk1dYyEIwvcYUEbVFJ2if+HSeUWSRTi80tKtisjM88js65Wp
XbKAhw+Eh3BEKlfKcHLRRoOmZKVbh6l0GKge2BFF2fW2Z/IA0J8DAb2csybbrOTEa8sYedFJVdmU
brGTzbkZOt6Ktmprh4Hd+SbZTnZyKsyXfu7ISsy13N7yIP9jnbvockNA1V9uYV2vK/SGFNJRDsJx
5dT7qb/wXno+SG61VK1Pq7bCIOV99iy8h1s870QWWSCeV+90J4SC7sfK+3VxZLKM+aXwEHT6XzpI
lXUQMEWR1Y0nMEalB1QtVw4Vvkrxr6U7M8GFJJqvlXoTD6VrbOV99AUiN++DWJVd30m2dyBQZl0D
Ti3eoOB0/PeouPWaakkN8xqjCnbal/KOCX2NrOozO4Q71KaNfXTSncCeFRlvu+lStID0L1o4kP8l
c/b5cjpDPwrrwMD+17KcKbWJZJFniVDg2mT+vYRXgh6VKxvw/7EJnmkNiFVd4kM+LYNmT4z0s9tA
Dl22nWMCStX9Gs3V8pwSROkYn2GggnY5tGQAJl8Z+xIk8WQTbxNHsBEJBZ5Z3ymQN2kPyp+Zsf9v
tCZIv/QC0nBs/5/lnwk4u4ErULal0gTL2sNgVSBS0k7oeniYzN+G1R7oyhrO7nixCVWwGkLFGLo8
iMCQ/7scp1bkbVGDUMcFNig3Kxq0WwIxb7vCS8y67S48WxsUbC9tcRdu4ElGlPlx6abDcxr9+R5/
BdDmtoTmMBo+09WHGqWS4tEDFUvDtOYh+oV/j5/VsO9e/F09Ookvr7nT2vi5de6r1pdKHd9ElHeQ
EEt0F0hPQvBRToEpBizedfEmAjMgMKXjZupNKq2c9dfvwotZQfLucgUUQxmorOALmv6vt/W8vykU
2cqHSemtenKg3J1Pr1K5Rmk/r+vFus9ZF5RFgTBFKIIuec5qITZhR9rWRW+IXZDHTtrLNDMTKBg3
/p/bC381x1BHo7iWZRwS0GPgSR9DqrRlSUjllmnyXsS+kxXQv2jb19tm5mOOGxLK6iD3gJYvHoN8
vT8btF5LIP7u1qNv58pTCNBqn6Mktga5WBrPuSHuvI1rTG3awhB6hZ6jvDD11Lif1Hxl2hbGA0DH
nBybuS0gyXy5RFStC7QAhRhP4RYQL9WDF1o4ubFWYl5wBTgC4gwEuUgf86e4FKrgW+7Hyh1f1YSp
ZnUsVbs1nNurszBpF1a4zV+QvtNzdapcKmZmHR1De0LO+LaN672kwadBZ4p0oghBeF4DCbw+BboT
otqViADYb1cq4PqUqs7Cu8bKI42Yce3FZtHFpWnIfsmGWojtronXqsBLc0qwwYCXmX8j3LEipl3V
F5pSuiLtWKKpGzH8itXM9GgILPxaEvf6ZMW4cWWA1whgJzQgcq4SZVEvJ7pfuVPxMflfeSmjxm0p
MgptqEErfb4VimOSBy9D4Ri/+sbfNKCOk9xA3GpyZ6IWQWiLXk9QLj0YA2gJbq8Lz56HXMb8fUhP
gjkYRSbeleMq7jKx10u3rYxtk2Um+QqUWUbjl7SPajN+LigLlK0g7pM4dHRlVwz3dUA3umeP6n0F
Jdjk9fYnqdeHBRAVSJWC+ALkVLp8ubnadoqbQaeIccfyrTRCs4nVlWBzweOpjKYs1EoUA8ponA8A
TRUMWV82biFNlhzuBwDBYrJySCw4GrDSOsgzIKY07+HLcYRtTcsprhs3j/fS9Lc0DCuKDFMOJkaV
ZCU7u3AiXRjj9nCS+xLJSNW4WqWbcvsQFF9d8R2SX7fXZv5ruIMca4JrSVFR38ENdTkmVFiGrgry
1iXNp4BuNt0A9MaHsJx8L4svGkoxt+1dP7fwGAAHCdKICioScIhLg0rvF4pK+tYN9I3SRKg/+Kml
1e9NIzPFcOsd+sVCao9f+bN4iHf5M0gKjHgPT3XJoVa3tz/n2m9UJN8QeELlREJv7Oy6ZwFgkiaj
kKhh66bZsSHfenoX0XxlRy7ZQHoROlzADqKWx7l/oOaJAN6V1q3Q0xlCqC9Hnqn7b/POGMKc78Ai
zmh+HoBZZCKpo7Zo3clp8D4AeSC4GsFHuvZcvvaXSzvzYM8mDHBzDf3QsKOPyJ6Jth5tonTTTVCI
WdnS16fGbAl7Gm9ztKH8ONKZpUDp1QLFotZtFRKYjTQ8yOCDXVmbheEglS2JCJfBUAaG7svh1KXv
TwAOdG5mObGJVDNTV9K8sz9fbjCIbZxZ4Fa/JaURoYm5c9HiAko+SM7tdOdxLV/Ow9lx6kOjeWYT
EOVZKJA/AENq5FWrRJ2bqOl9/0x6RPDNzqgAVQxf0uBxaot3cUh3Y+3tE4h/gvdxUJ2aqCYU7/3n
AO3BwP8n93lmKuVTHuZ3ZEocYJoE73R7yy2sK76UIkCVoflzBW/Vx1bC46TsXE+vhV2TdKHd1eP3
bSM85OZ/5+M/VriFLapqqIqx7tx0um99yC6bSYD7Wf0dHNV0MLUHvwc61ciPg5i9Fn9J4EST7cvJ
yvmyMNgfBSVIeKBLQPohWz5z4i4nXqFn9eiiNZoZXQsK/9sD5Uke5oHCAs5URJSgE+P7tbpM6cUi
7UYkJIBzV97jU/Tcvg53zRG0KRtiJaARDY96YAWTXe9k9ofYt79g3vGcg2sigma0/SIMBMzpcgsJ
QdzHQi2Pbg19CZIGppQfkrqxblu5vg4xTMAyVSCGcPX+RGVnE0mSPM2nwRtdKRu2BKQRGngqsuxN
XkvIXbcoYEJljGVu64D4szov6ZmlvsmI2NTV5I7mZA075VA8+WAfHszeyuzxAITx0Tf/Rpvp6fYI
l+bx3O788zO7YRq2mSiUk/tuHdde3rO382t0/nfPs3v2d6ty1MhAkkyuwdTNZ3dowG2nmY+xs9Z1
uhAdX84eFyONFRVAxwBLo/mZbiIrv9d36i7bTpv6vbZ+19txIzjERVYa2pOV5dn5yo5b2BAIywGw
RbUBsC8cMJdjnfSJZmWfy+4w9rGJ/n7mCW+RGDL1WxNtyKCgeGlSDzTZp1x+rWonrwInzvqH0AOX
PJKUBZm2XX43jba8pqt2fd2gB2vWCUR1As/MnzfV2TpUAYiXZF9C+z/a8818AghskkmwTYYChCxq
ShyBiC3K8ArZ3PauZcuIkcFeADo2PgdB9RwZWiQv3Qo9Jj16LzI9ZeKw8Xd5/R5Cgfq2uetzDw0u
CgTq0OuD2J8/lXQqRsIURaobVuReEwoHRDcrEc9CJAmWDRHpNATkuqYpnKtJI01RUzRUtwns4hh5
qNruJp3pm/Q7cdO7wpUFFsusv6tSS1GdBuKB0lFyQksyu9VM4vX5dPkxnNdFHvQ/Y09X3fFRBCkB
OUigvkIUFprhsKvbrQ655OfpFXJtY7OVHaPd3Z7w6yQqRJzQVoUqlDhjA/h0e66X/QhOCdUtVQEN
n6YiPQJzQ7OXIpIZafdJcC+3+1jfaxKjk27qiRNpn+CW6j9vf8l1pernS3D1QscF6Wo+ayxoJS3J
BAAl/dITdH0ztTnF/oNghkctfEjBRSJs0vK+PMj7YK+60SN5qPbJafqWPFtm8ptEt2i9MraKboIG
aFq5SK7jMTAuaTqK4AYuZVB/Xh4PcVXLeRHh68bmqwX9ZWM8psrfvyr0o0sBz/K327NxXaPAbJzb
4947ApjjepLC3tBt6L6/cw3IBLz8dp/+rAxMmS/ay0MelsAnhDlHC/5Vl5efJrMYU6y5ygPEfnUg
NI7D5PgnQN00B6jXZNPrrB9O6O+rcuYfyldDcuT77mP6Rbt7wZlUW26ciT5qZJsJg1lAVrp0hE2o
rglqXF91l1/KhQxNXDUdJamGJpmOkRKa8NNeU9eaHa4vPVhBNgSt3TgmAH29XGk5kAaf1r3meqMZ
VxMzVLwiTiHQZENQMTVgqgoISxw7axHRNURgXnPEuOD3kmbIMWfZALB7TIVOc8PySzsIs3ioldVW
B6LNcduEDyOawlvxNIUrQ16c1zO7XOiijZ7UanWj4eR7rcLnDCte/KO102dMDtXnoJNLGFRNL4xx
PmluGzbuRONtpzcbRRtWXn/z4X3lzGdmuPgdxcKAGMOguVqibbQ+ISYdi68KSdnE6FI7TNpi5cpa
uCHniwo5c6ydjMT2pbtIaelBzVbU3KT4iCsw/jt1rJ0AVWe9EG6DQbBvnwxLI4Q6EyCbMycr5Isv
7eUkpsrkE83th4yp/psm95vIe8oAmxyqdGVwS/fx3HCLFByCZ4jEXhpLQ2BTQdequeCZJEyYwFqU
ZxldOYIWoj80tf6QfaNciNcddyUHraABziyrLgG5WKaDxTk+pcmrqgGTo9oEjjLYBgTi7B68/xTc
VJ9x5pTGjOEGZM5QPiI0WzXgnGxTezWhsBgwEF0C3xweyUDTcJOgteHUyjFR3SxK9k2pM4g2WwLW
FwCNgMgMqGNTA9+c53m5Of2GeAFwpzNpvKI8+8a20N4MqHo/QcK7a++ScC01dl2kx7EB4OtMVT7j
+/hOhGqcGqXXcYWD/5BpiilD47eqt54FpszfnoXW6FY7hUco2Vqj+FKvobgWHfLMPDc9g4qEHdwd
wekAUGYTgJM6jMrSqn0AyDCb6I0wRmVlFyw5JjrPITpH0TyDvuhLxwQHJe3piEvLk+t6gwRXBN5L
6Aiu7LX52/njBNpYuPfxikRbPXec0EIBILhXECs+I8K3bZWdDPPu5DPnl8Gcr03I7kUTus4OdQXL
tO27/Zv9zX7f/X55ag/gmv4TgKX+CYxaH9vt43b7/vz38Qm8gdbB8t33w94zD49rLVNLy3H+ydwl
Weh919QjvLWZGnOIXuh46GnpdNKDhHaN2/OzGKWcG+NuLC/1p1ofVdVV0GJfVHs0PMr0Rc0c6VMo
HVW10xdlr99FxcEDEftt40u31rlt7taa9a7rKMPaKMmHiuRlX1lAsd+28aPtecsBuNPd98SiaAaq
ugdwLQ7OzNgDAjXQMMkgOqWznpMd2wPTLSjs+MD17+s7PI8hOW6tPZGXAlCdgsMMzfjICPO7PFZb
RUli3DP++Csftt18T/usmR7C+iBqTpWlK/O7tMVQEwGvFU5/BESc75eNXgozZ4JbeiLTAKEKVmoI
P28LfnKRpMXZJeGFgTfI5SZGR0GGNq6EuA70Dc3d88S+iaWyL2pT89uzvo+hWVqE2RG6OJ62dJe8
v6YMihmnP2tAuKV9fv4l3Bmmj4MqT908Vu0wup7S4wX2C40QK+70s0i3RsxddOBnCMaMYsQpG/fg
73w3oBvwWTODVXfvn87zTre+fzRuLMM8fvXvEGliBUOCGax4zu+Zxit2Hg85JDRfW3ONNm5pQ4Hw
UoL4CMikkWi9XI6pDPQsLFpwR4Cxox33nbLN027FqxZn+swINwOC1lSQEaqJO+Cs0NFhCSqUFoyi
+e/bO3fRe8/scBdETZEtbhoMpvUHiG/RGkCRMh5X4qPlKQPWfb6IgBiYv+IsMSNWemZM3UBc8Ajh
oXDXjVsJ/B63h7IUYRpYEvRdU+RFVPnSCIhBOj/IMuKOOlomX4FJKF7oAKQokhP5521bi8tzZos7
0GUR3FFVlBLXNw7TlxhZRVmZUr0WNC8dZiBs/Sk54/b+0YA4mzepa/uKBCVxC5B5R8qurkVzDEpr
GB4RTA0oJhrG6fbIFu5FrBOet7jGDfQfcN6tg5XZLxKFuIY2jgddCkq7CaXNVJD7GlkiMPGEKxYX
XBBisdDHVkGJMPcTX66bMaoQ5BBwqCgVeI0iZHi6+vn2oBaW68IElyWgYS6DMALniRSrTEFbr4q0
yeSk6ZpmzIKjU+AN8AgQ538MztGTKfSbWIKhsvyDzpAAaPlxWMESrtmYf37mFFMjUp9WsNHEvzCW
lm6lYaUdenG+kMxUNSQ6NARvlyYMMnZJM8K9h4Rk4PcYnwnBE18VwPEVA8Zxe3WWXA5gLzTuaeDD
wNPh0prsZylkw3viCnIe2F2Qg7N60mPm1QGgU2kYbNo8WNnAP/rn3BWDNDGloI0DVhLLdWm0Lbyg
lVIRQwRB9D0FV/NrtHmtrB7SjyWENErzwWcQntycjsePo26d2AjNuDsJmnFmz2QwAPZsLXZZnIiz
b+ImIhXQVAiuB3iP0Tw34aCbsd5CmgGFGAgqs04rVHZ76pd86XwW5MtZiCqwoAANR6AW9aRUp0je
JeFKhXbRBI4TUAFhX2CNL0302ZCCUUgirjo99P7TBBhVr6/s76UjBA1m/7bBHVqGDyL1sFFxTk79
1yA1X0Je27dnisxTceUwZza4PdEoYtUikw9IxX7cv9Y23tRmA9/Baxq/Yla9Qx+q3b8rrHIQBD9/
56YwOxaoXBnAC7l5+t6dsH12BICg0IQ2DeQmvYAN+M+ZlBRUVYhh3joT0kgi22rW4z9xL6IgIQL6
CTSj8Lu6q9VxGHOKxdZ81ZH9BHRSaf5ejGQnt3L6QICZslZmbWHSkDOF+BMa/0CCxk0a4vRY6mlC
XY2+jMkOL6Acil1yHv/3AQbg/nRWVweuHyTnl06Wju3YV1JIEcYAwiBmSm4lHarvfa33K1tmaZP+
xxSKpZemkkyrSk0T4M919RSp3as6yG80lBoGOnTNDKAl69yeRF7VCEXoGQKCThp0eP3kPC9N+okO
m2FK3fcGgsEVHlSvSOdYiRnhnQW0l5k81Ax8Wk5j6XZvvss2tLFJtUUx4PaXLO1lBFfQWUfW9xrY
lGlaOSRqRV1D2AvkURS/DcQ+t20szi/aUggg3IjkeKkIgcba2Pk5dctgikzUwI7Qk0dqRkNOWTlO
0ea2ucUhQeUHNe9Zm4rn10bj0iSHXkNd0MExDXi0XP/dTC+3jchLFyqqpsiTAwiDBkLuZKdjoArh
2FK3gqpP0B96sGbh3h7/Ds1RTFinO4YOcKR4LAkydOoGjH2Jd8immmXbUDgNXcxQ52CD4LPR6+/9
AORJEPVqj+Ja6/E1KmF2NmwitJ2i4Q+osUtn64emqqtmpK4XpGgVV5ygOfR46Pk7ubE0ySSAZ5i1
bPyDdaBYBHXGeqHeyB3hVa/oYO1QqCv1UKCmtHkUwNC28ZBsXKls/lQm+JP83NTsgWcBVNUDJyBE
MNWanTPgl4Zi+Qg+f6QrAFFCF9kp2w2QgTYQCTwgDBhYbPogfp+AXUzY0d98+za7CzELLDDMYP/4
2JrGP4jyKNo+0NGJ3iORvzaRQM+0BAwibjiRZwRBz6SipekNsriy337Cq6vpQLAPWRZ0j0Ii8HI6
AgizgcrRwBmNmyrZxayzJGe0a/aAMtZWsh5C9t2xr4Td5bsCJG8giUDVV7Jx1jEM/PZO+Xlf3Poa
7mUlzZTVhY+vScjI1NYywPX5R+g3WrPxsgNJ3SioTYUgZ2cAnwNhJbTfQ36l3o25rfYyWGYHByRL
UFlCW7ZwMJQd+patghzGeqtEBz3Cczo2myYGQfC7FOzTIWRt/FC3Ti2AGhivX5PoTHRDqJqpaW31
BGIP/k4rRpN0a4PFzN4a6xzWnDmiEIERfBooToUOYEMQ9QK6eXs6l84dlIpRr57fdMjPXlqo47jA
Hvd1lw7HZgJnZ/isK2BAbFeuqKWMDUBbIHWfm4fQgMHtKRQt/DDIsGwV9k3O3sHJZFHERqjJMdxK
oMUwgP0jJpzpBMEK+/tLZ19fKiM/igqNbYpfc/gzMt1+jC1kIpgVmWsFlIUMAbRgoKIxq/UQhXAv
za6UG6oEke4q/m9x/J0NNRjNfpfZb0MrbVVPV27LazIOHKXn9rioJCqHUmkK2KP6p+jfe4pTQjCv
7l0a4NYuSiaWZtozNbGMQxj1pjE4XrYLEBSS8bGRY/DQDGYi2cqowAEhCo+ue2RN06e6tBLpY5TM
CVqDqcCK8pR0r3r3FHtMm+JtLKwhKxavhXneZhAHekL4Vs6h7XO/1FLdTXb68OGBUy9AsWmnbjuI
p6vusFJrXUqZ03N7/KlEY2IEJex1oEqd8vRNM97ENjDJg5abvvFY6DipQY4whTaJH0Ff6GnTSqTH
Cyb8xF3n38CfRQGICmY0gjt4D2JgetkTaMZZCJ0ZyTKMDdAfsvqICMZUqDOlIDodbCr+FsPqVAXQ
dfKYtIranV2GPzJQtwU1EspFaETmrslGDMQqjOFSPdbfVUpkgPKvojAJ2Sf+toxWzo8FGMpcZ0cJ
FdE7ZBBlzoVLSGQIuV/oLtQglNrWjhp6z1x/+CjNJq3ZBP6PfHf7zFoqJJ7b5GvgyLIXHvFzTDs6
oEHh4wTmsBVskPewo87eMpwToEOzIHDpAohtpSu18WvYIrbt2Zj5fMRIyjqoZ/va4DQ1OXTFgM7L
Dmp5Fqk3wVibTf0Aotw0O6iyVedrwND5rLxe43/P+U8nytm10A5+1Gg97JdGsVeEd10xqbgTFeAn
g2DFxxf9CZEvJMJQH0R14fKCiNRAG3WvwrYeJQb2KNOorQQRaUQPAjnKSmnGa8Wi5aPkzCZ37YG4
GjSraNx1FcVWNz2FXjUmF4VgdD4w0rwVL5L397ZPLUX5qL3jeQhGIeAiuGHqWlSCObbX3VATrSZ7
F9GNk8fPt40srhtyteAqBnslmhwu53KsWknNK526UZSaobz1+sSint2otSmsCWv+vJyvnAQ+AsZ0
ZOjw6r00RoQO/eo1DgKgv61oF+1EyKJjQzKfqagS+ezZwD0cgAUKVbjJEtgnqmBbcnfM73rrY+6R
8li6u3vp2Z/EzBDKgRwFVRTZeflze1YWPQxvOSQeMDFX7+VAIHKd9TjItSBzdQ8ePMaHuLXwCnHi
cfgVVyUo3N9vG1266SFLgi5jtIOiI4MLR0Qpb1EPh1G9VlgWIxq5SzetAeq1HDGJtPK8W/SuM2vc
WpRNFUelBocmOBIL+VOV/4x4rd0e0uIbEvEE4I1QM4Ufcz48GmmcyUKAo194TduaJeSzq3dt/+z7
70mzTRrWorFPDHEb3UeZm0rbQaMg/8jRC/IZGffjTBTQgoZqLOxKKd4av9lU4abQN0W/vf2tCzsB
EQJYf8A2Dg6Un+Tr2QkWq8oU9KCHd/16BHP+h+qdgBxkcX+sojXCqwUsAtrx0E6O5jyUlgz+pRQb
dMyNZD7CEOgjLim3QbCZ6HasVBZB6jWjbGpiK0aSrmPDhP8pgxL4WetXtv/iuTb3BoKzTEKSjdcL
9qWpKQuh013JtwPNzvNNemorU0NiIUBrtHSq167nJTc/t8hFAzRV/SgK5mMtxFvdn4QPP4vt3GuA
8fqq4v69R0hye2nXTHI7q/XyNkpGmBzj2J5UxPXN85A85EAp+0lvq4K2gtRbMzj//MyXUgxvqrth
Nrj39mkd3sXen9I/QazBysJue3t4S6fVLJGIgxV34lWlUmtlpa6QwXFTCJUI1UHSt73ACLoYQaCr
v7fCSoC1mNsDAntmUZtBez9x8Nnw+qrP0D2BPjUZLTL6fsCryd8WR8UBcyD7pdolI/u5JiGx5xjk
SR17rs2J4ulrZ8nK0s7ewl0pOlJUBoYNfCsIWy5nWvK7EYLjyA/DkW3qf8pFvW2ozvJ+jZtp6Xw4
t8StaSIUCbg2YCnxfjVixea3kKS3VhIjOyasLOnisFTotAK9h8ufn2G/C3yoGgfURfEJEVTkqDJk
WkhuSuJabvin0elqCn8gGug/QUlzvinOVjMuuskvy5DO3SdhtAMQYKI7kn9NVid8xIMdB4UVv0CR
ofkcpbuwHk3wQKAdpt0pw/NINnK8VpFcOpWgp4jWN+SScCjzvVllbFSZkCJ5nPbQ2p1eKumk6nZA
fhVCuqP5UfHzV0V5u72NFhf4zCj3eotRWyBDBqMdzlxh+EbnotXk3y1wIqhfrtyMc1x1Nem4EFFw
xY2PzPHlpIuCQrIQyhquGKaymSToIBSSco3zY9GNzqxwu6OdwkTspgIJOWk/pqjEoRrUAQXfQ8t7
XGuYWHp3gRcG99osv4lOT+6y7xWQAeLqRhrsvRGtzwkq3h5Id6I7/eS/JisdRotDw9Rhj+CFD02A
ywmcpDJKsqhGWj/60Bsc4upnXb/JwlpTy9JCEURkaJyZsdBXATINE6VLR+oO+nM4uXqzEmoued3c
YfsTD0NxnhtHRTuvATqCuuBiZlr5MYAEwsheS0j/9Nrv2x4+H1G80wFnM08XoDhXkPhS6aMoAswN
iFB7kiuWy0/JhBrMY4309drJvJReQ+vov60RruiEekgio3+aulmt75T8XszBLBV9VMJOyn4HINXy
zErDyRYkhygJrKKSwPEz7YeksiHIzqb4baihF1/v9OCVDinzjAevfwxyCKiYAtjuByS5w0MMtRRx
N8OAp3oP3okduM71Dhv3BIgw2EFYJgA5kt2BxLodmZCeqB8yebRuz+zCFXwxVi5nCepnLwT5BXVr
OTj1zUYngomWeCCpDoD89LtGWis5LfklpDmB80TqEucIN7s9okdIXmEtUxqZUSbe60Kxuz2opS0G
4QYA5rCrkUiZB312MRhe246gqaRunKsq6xLZMKkCIgAxRUap8H26cukp8wFx5Z8GCq9QGgDRJ98N
RcUgTtvGo+79u8Ys9LqgFfN1zvC//7r/jKxPqHKzd/zuM5SkzTmvr+LXhiRm93J76AuQTwTowEzh
MYbCM3i9L8ceBD3Q5jI+RR1spWUptVJyiIMtaXfitOuG2OzdpgbT915Es9sU4N3iIHYHS2KzRt9x
lVZEgxjQecj9AtsGmjH+2Qw1Xb3qgyl35QbNqD5gkgnZeWG4jeV7dOmaXXOPBnDWSsRMJeFBbYdD
nSqHFsiI27PCnx/4EBxV4JGZrxRUrTmfi+ugCVRSFm45bWVwhuBlnG8MAMgg4NmCk7U9yUK4EuBd
3SqzUcjQ4vBVREK1H3KTMy+Mpkaa6pkOr8r1bef/FsrHMn2j3oOBMgro6LWo2Ybjky//t/X5H8NA
pWtotdFlFLEvXUAfc5DYSiAblNTsb0N9O9L6CuINa53oc3x17vWzHYCCKAJ4MEGhXH5pp4+9uPN0
o3DjGNQ0apISRl69RCMrq8ffND92QH+s48ZEHpZHwUaJGCG3n5fuCIJlyA4yffJNrQ8dNXlW1gjG
+ePpxxhKOHOWDipIfM7XD0HgFgoSaLXQrvEoCVm28fXGWDl2l4Y0dzQiRkZtBK1Yl1OXI53rUQMc
TYViIse11UdpU0b+fVe/9OJqfHM9JnjgXNZEThl4Af5MwJChMoZ2Jxd1b+QyBIPp+7GFUGfzoG1S
qPD98qA+hlR7Sn9Fxpo7Xo8V2is4kYASnrcCz0siin0+EiUq3KQrGfV/oURmKpDyJiAbCtfIIxaG
emGMexO0cQ5IVxEXLqT8UDxAsblYeSJfQVuAq0J6Hn16OtgEsYKcCfSfNynt9BiwcMPJ99JB3ZXf
2rYGHwYq1yBXZqh0lmuZl9kjLjfbbBViF+AQnYE/XLgV66RXKhlWJTGxh1oyY3DBR7V3l9Li8fZp
eb2vL01x4XCLJOKc+YmR7ayjELnDU5ysPd7WbMzreHY4ClUkgCowTNysz8isOxEm91qYQnYrb5rX
2+NZcMCLqeMWLNWTPgUJfexCW45N+a5M4ID6QVSAjNJXmjnXbHEbu0K3RRZSLJP4mBNHG14hxZvr
ZpJS+/agroCZ/3LD/zjE/CVnM6gNEymiFJZItM0ncwgQfs80fKMSPAVBZRXCUxrd9Qn6AD00NEu6
c/sDFkeKWxWPXcC7FB6kbTReG4DCAw7ZQ+XAr96iunfEMWCJ7yGKfbltjY9T59EquM3gdyJg4TzU
uaEjVAbFGFILJfKt922xUaHqoG2F+N6rH1Xxz21zi7N7bo8LIWkiA/aqwV6MXi/RzqyH01fBJhsk
xCtJqYU44WJofP5WnurEqOIkwY0DvchDGqBPCenzEQzPjl8VqAQC2itUrBjWWiKWlhCQJLA3zAsI
ZtRLF4qrUVcgtQQm1EGwQtAsubOUZZV9xWtUS4uH5rkpbl8EcUnVKoepYXpDpxk0v5ksd46Xoxa/
zeNxo4Asc+qZIKNZHEW+0HNIPbAa1bHbK3uVNfrxpLNBc/sm8NSp1UiOk2dXur3dWYKEponebk/Z
Q/Agf/j3/bGxJ2iTQaADOJdsMMs1GNOiN599Ax+hqXHpo2KSuKr/jvtjeqeeC5R6+5x+idnKfbVm
i/NkL0F01utF4lJ/k6GVLUCnj+CU0Jf7Q6ijdWsJop9ogr+pUCNDoIEGFWDGuScl4jfZkygUWibg
8B1AOwfhE0LhkDzcStNJaP8o+266DwnqKqk1VfbYOsRb21RzRM9/BEhTkPgAqQa+gfuIGoX7MSKY
4bQ0ZQWU+Ol7KrPUY+WfaWD+f534m70KORD0u8ynBnbT5VaqBCFOaZOkQFxX6I/QRAOv/CySwsb0
o05q0dpEy4bRrs3/phFUlFkiiknGSjSa/YPrDtlAhI0oxoEWgttqdTQMjVjCwTW1dsR0K2NPj8kh
zR+GZI22ej4hrqb5zBa3mUoxIj7Fn3C14tGvobB5FNZ6867fbphZ4OBkdY46sKSXMxsrpGhbyNu7
BsTsUestc98KdJ2NtVUNH3qkrRwQS/bQ3o75m7n9rrjaSCOqU9aVCaQs7v05zflNyM7vDiP51Rvb
/+HsvHrcRrau/YsIMIdbkpI6WGq349g3hD2eYU7FzF//PuyL72tRhIg5wMGEM4BLVdy1a4e117rv
jDafGQb1LW0ZNWQcY5WYxlFslxP6tpeg+TYlqJO6veK4ST9Ce6e4suQWoelJtXFQ578nc8czbO0U
4YyF2gYQN/oN1ydbaqKIoz7NLxJ4mzyPzlJ4zC3Kd13qSfaBzuX93W6ttySLgOAIGxDvuF5PhJoW
j8qYX0QsPxnSsyKW+fRPoe5bheO1XbdXgNhyfRYj0twDjhbZ8esF9axHjTvXcx7xCpqKNnj9Z4r4
529h8yXU2v/BcKBrWiRlsNgb2sLR6mYb0fMcvxegRe4ikexmoMgMlLT74nMZBR/vn+cNPSrfDskL
ev2MqznUe1bWY6F8rQg0uC/zHL+aAW9YqV2m+qvWPbfal94ZXjM7OA+aC6XsQZ5AUH0I+49hLp+r
mdGHGi3m+G8pfuq+3/9hN1iutx9GT5YbhDKHte4COWEFVi7ISiZdkse4N55FW//WnOqPUTzYRuQO
GJwBQk9v5FMtqZ4gEY3cMCJ8BdVxDITpyWL+KCWndo+E+YZcaPltAOvoGvPrFuj7tVFoJuhnc5TK
i2X+Awnby6wmrk0tGXaeUPpUJKkvXs059buecZHgQbdh2YJPXOof52B059021rLeyoVCok6djMyY
9v0bEuFdHJ/kQg+kIczhEAw8Q4cLRLeKczwkql+Fn+9/mI2A72qtlbsWsOmawawvsYAvdSc0sL2a
g28yP7fMnSd4b1+ry5eHcWY39qKNpUUHDfEt9bMkt8di2MlWb3pubx8UmCTSGvgVgtnrD5pQM4IR
DDcmBvVUpEwbyjmwcgfQWip7XSr7UaYd5yDyrXwPhbTx/nH1qLjqXD+ILlYHihDhlOR9nF9CsAdl
bD2mk/jqULK//91uUHLLHhcoCrSETL/jX673qKADaTVBk1+0ODmLZjzI8fChCz931u8sdPzWdGdT
94cgfgib4Zeuf82cPaDcRmUFdjIYuejumtCurZKFuhPaPAcF7s3UM0+1S8bgHfOfnY2qG7cByCUD
U4taCmS+1xttszGNDMFG4+JfOwsf8yg/GKP5ZyrGJ8MpPCu2PCMsPhiDcbZlhjJG//4v2DJbHkQe
RTq4+s3cllr1hl5ndX4pQ1Zr9UdIPV205dwmnHb895bxYLMQw8psFwG+672qhcbHGtr8EjWy4tqd
g1YEUmgHJQBsfH9Xm0u9vRL06ygfrZ7ehlaMGUfdslRxGBdNpKlpPsQUDf6nhZYvuAy+EbRd74lM
tm5ja+D7abobtl/jwfLb9D9OOS63AfYieG51ZOqpKV4vokl6lJcOgYSkDvaht9Q/gyhl0IzmXnts
y+hp4y9zYDqjq2u+iSAvK9SBiSCENFAsei3jcefANmIUcFuQc4L7hcRt3Toy+t52xrosLmJG0pYJ
ibZVvACC31MlTW3wGEkauTISUE7iSzAlnHio5D3w/IZ5UImmXcGsmc3k6OrW1Voyiajti0uSgleg
qtm5Dq2h+za4FRVAgAzWB2SzzZjEylHnZRbZZo1IHKqX351Dv0y6QFFy+fr9MDG5+a1DpWwPyLfR
gyLP/v+LrqsrTmXnepKzaNoIv3a8mo7XhPkzsyqSx9bxxt53kkOgP1QpRGNPkrSXI22EvbBRAcxj
xIvhovXh9iXyyLqWFpdUyObRiqPgICp9dPPBZA5Cq46CaaPjrFV7hfetVwMqbZRAGLoGJ7Mm0s7j
sUSAaSTUseTqVy23A/CYUfdkuRwe49ZeLEpJTtUUg3bOa9MbHHXwYiXJXwtTkbxMK5rjfSPYOgyw
MUCw6P8yvLK433fRzsgoWFZB8HyppdR+FqWjHBrioie1quWnsHbCgxiqyTf0SP50f+UtGwcPAeKK
pg7fY/nv71aWo6nPcxudOMmYj0HVPxSJN9Xy6f4qGxEWXSPYUCmpLUzfK9ckO9E8tjPKkl1wqOtf
av/wfTD+3S2Hbi3DrAPYOBwtRZaVm5XLfGxKWXCMVcpXzBJCx1F+HGbtpexnA0yCtgcj23BUC+sa
LQjCD1zF6vbOeTTmRVpW6M1oT0rxohBkIet6LjXFN7KH/iTvKoxsXd73a64Z/YuKiZ62p2/bDp/t
8BzLP3v7U5fJjzlVuUx70RGBaNSPc6z7efFFhOWp2quzb7wAS+sMLQaymUUk49psHCWQRDn36D3W
syeNP5tyL37dCHmYBgTFToOaeGP9xsiZPKQQa9KcTh+U5CA7/lCRNB76/tuQfVOmzg2zL1l6GHZG
MzcinTc2T7zx4vvX1Dr9ZI5BoJE9dpnaHHK9/aWlnealViy7eWXvkVFv2c8CsFIc7h6anauDlKW0
7PJpKgmsuhmgZSwjzhiU0avS0//pnccaVMij6JPaTRVJ3om1NvwOQStxnb5QFFLYuf6MJYVtK4kl
mpBO4xpN5KXnJM2OQgNxWiyueOdwN8yG6TziIMa3CJvXKBctmNJeqwR9yO67gvpwMvz34g3VVQa3
mVOHLddaRXRJZuZqP3MdE00XD+FURW5pjNPHBkKui1OqjOpIaniy69DaaXFtONKlUgVDFgS9/GUV
LAzayKC/mKsL+DbqVU77oe+mh2T+H1q5+BpTBbtmMxClrXIrYD2dMkwIXE3z6EWhiZTn4b6z3iq/
AZMAJUNLaelOr16jnmGFUnWAaISF9AQY73MPP11t+QzpuGFffopQmXVTkO7DwrDYZsc2/6/SEMSy
zIxC17FskSd69RMgxQudLgasEaQxbbQvTffP/U1uWeL7BVbH2DeQiBtGhvRk8TzK38cycO8vsNXA
grB/gfhwjgQ5q+TUqKRIywM+VJEdi/4kHp3A1/2ygRvayH2ldu29/snG82cRShFOUQBTCXCub3PB
rGISTyGKcAEqEZF8tvLngCEjzR/L4/3dbR0ffNw4fkbhECtcua18rmS7KhskbS1wflDnyF6YxTuX
eWs/xCYKoAJmwyAav96PKadq2VR6fdEr4XWz6ssl+gNNAg51eCUj3sk5lj9uVXIihVfIbxedDbDT
18uJIRntqS9RCMtofoXjk9XpJw0P7UY7G9vyFZwdidNSZr5pw1BUlslqUnFhipKpX6d+GdKuhBN7
x8i3DpD3U15QO+RQzsonzdnUjU2nC4K77DhI0UWpTpM10OavPsl7zcwNk4CPgxQGhBXAgrcK47tI
0qxElCaozV/MoPw2O6NXJPUOIcHWEkRZQHYQjqFWvnqu0nyA8L/GwEXTZ25hBcmh77K9VseGHSDh
iBfXKCwReazMzgnwf5kCsEoV9nNvgeSex0fTzP0+Pt2/RRsrEayClgFc/dbsuLY4iX4rk4hle8lB
Aurxn7b8Jie6W0s746S357bM6JFiAhWjTLWGiqlSXhV6j9a6Ocv2y2jYw8+wprx5fze3oQyr0N4E
j0NRDr9wvRs5VpNBCQlliqj/oA9F4at9oPha2DqPQdKGKH7bFeNQjXSw22lPgvH2LHG1xKRgiXEY
ENVcrz6Ktip5MctLM8D53mSJ8aoHVuYH5UiNbLSind1u+PfFt1NeBelBRXMdKI5qqziRXlWXRfBK
cWepVT40cmK7mSJZH8amSF7mhlDAFnkQQFkSmH+ZfQUqvBiMPSTn7UXn4+Lx+UUYEp/hevOxmQ+R
GZDFxcr0DW7oD5r8IzOPXVN7lrXnljcSaFYz4auxGA5QCJOvV2ubNBqESmie4qBzv2mq+gcexoBG
AFTx68ggVnSQitpwfNDa+l/gnnX1w2APauQNqSjdXuslhJLG2ap2Xt0tK6AAtsBaceGUn69/WgNz
uBXXcnWBw2YKX9vkVcSeGHZiva3jRhEclBGccWSzq+NORGgkfR4Q6zWN+TCFZXAyghi8e5oY0E3H
n6Wk3pMH39wZ9VCusMPBr5O+fpKLRE8IJ1rETGRJyr3SyJ+sOqm82mx+3b/Kt3nBUnylY0/8RaCu
rb6wkrdGWagsBs29u/RDnAStnMmbAmD3qXOg4r3z+G45D8J10+ZQqfqtM4OS8JkYAKfbpJ9V+Wel
HCLrSWNe+KnR/yTmno+/fYHZ4LvlVl9w6BpHZo4QqEvSfrSE9DCaP0AV7YmPbRmKSdFj6ewuc8CL
Y373JurwWNZWQb7Dfz4NWXhsxuk89uQHanaRaW3f/2yby/Hek17h529qat0oxV01Yf12qpziCCz5
7HT/zBrUH9PfUbUHGtp0gaRby+irQcBurgJOBcJLoetKdREf0vTfzlePwvbTv5vORW5G+fr1/u62
vhlN3aXNQlMXgPX1YaZpJzUQyFVgPUfXakDHM1QDdefOIW5dtEVc2SDFYgxzbftRGNSO1aH/HWS6
VzRy5U9G+IOh3c+Sbn67v6UNVBCDEUylL0KxSwywXMR3BqI0VhBJqcpi1GGRDH6IhvI4qt4su7Hm
zQYpXnVUp2+W81mGN3QwCN6GF9k6T/Hx/k/Zsh28CvSXgB4W5q3rX1K0Y6llNaKiNapIMAzGz434
YoUPhryz0Obz8X6lldWkRhaUQYRYaAr83vI6Jkuzv9EPKCL3sRzcoHPjxp93mVQW138d3nPUy4wr
HAzEkGsAUNzOaUX4UF9m2fQUir4xw4eZGB4h0nUzhFJoZH9NquzrXO1VJTZwfrQPUMMjkV2w5uti
lsj1wsySuYav2VVJLorYF/W5FT9yS3fL5Jwpnwz1l1zNoDGe0zLxu1z6OHV7ecfGNyYwwtKYxqS6
vn631Dir6RFx8vlkQrCVe+rATdX8ndBo46LixEESMGdjLRiMa1OySmvOokBCn5Z5phbAYKw+Z1H+
5b7BbtzTq1VW7mAqa1jzclR6kyx7Mk2POSSX2suhLXYMdnM7lCE4sGXKfz03NYRlbBhxLS523x1k
O3vqKvWx1cY/9/ezuYyFXogCu+GinnN9alIX1mMws59M0hxfUBz10jprTxG1hR0Xt/HYLnnA/1tq
sZN3XkeSK6MPU+Ysoh4DSM9GEnpRIn2OWwnmWWZX0xqCrmCvqbe9Q7qTUN4uVPKr9C3urUBoRiIu
DkFq9hD/HezloJs2Ad6QDsoygrkGBBhBSdhdR0vCm7hMWBxKol89cQ5puZPCb61EH1dhFcIkssTr
I+zqppmmRIhLCLIizkxfS5/mIj7W7T/3zWIDyEGySxABNMcBprIOaZ1GUaUxHMRFKZXuNS0ncVSq
af5dGCrkGVWZuJWiP/exNR9nWX1q41LZuc9bbmOBb74BHIAHrSwzMedOKAO/wEoz38xTtxy/hNIx
lvRjvcfitmUj79damaYp5UGXtz2X7dSj1vti9b/vn+fWh6PfpZAn0rkg1Lz+cFJZWUGQopxepF/D
7KSXP8FmBnt0LIvzWT02VC55ZHQGzcBTrbYRZkY1NJqChHh7KquTpv24v4uNAF0BwkvxQIOxgTLt
9S5Mp5HMNiVI0aQof4nY549cKp/khH+r7dg+ZG0mu3VZmzu2sPV9KI4QqC+U1ezteuGwb6TRHBgE
y7pD5fwwole72WlKbHmn90usrpbos66IDJn4IKPrgQYDaomnqpg+6U57kOWPmXxQ69P989wy8aUU
Ry6HWDYu+HpbXbMohcpsixvUG73f6z9riN36ztNFuFON2bzR8MQQxJLuAAdZ3Se5D2Olt01xEZX6
S4pl5QiRUugJ3ah9JpqUo6KlrVfmYYEyD4C3LhucnQRva7+MwAPgIE+m8bz6CU7eh2MSUhlsm6cq
dj6QwHwO4/ikhMpLa+6U7bZsBs0y6p3IL2M6qyuX0CwRfYyYWKRkB16bnGmYQNl507bu9ftFVkFH
2BQAZ9WovbQxE9qItzofpcGt5v/B78M8TOuTqw1CZbWMxGRnFHQVAbszymdVyT3IBJ6axNF9SOP3
psK3NgXfCWgeUDD6DR1K0BZMfYyU2TGD2hVJ37qtIgY/M+qHwGz3JHg3PtTCj4XfesO7rKv6cmLR
y86C5iLaFtszbajX8jIFQRdJO35kKwugSe8wA41RmCRb1zdO0YLUiUTXQkRZVQxe/FskALvjUNf8
aZwdNJHM8WjPkv6QdbJ2bNS8eBkiqzhGeWSDg636nS+7sXkaDfAbgPfhqNcSN3VsT401Jg2vHLCz
0Ha1vvNNbcfRbF1+GjRMfy+VFTKRVYXKUce6i0TUXcyTUz8F9iGun1urobH2WJblUbVibv7jfe+2
YUasCSc5eTqZl70y2sayEgaFs+4Cq4JNj/mSlb92vufG6VFXhECIsJI11jFCEeQjbqbp30LKzvhU
KZqbdLL33zfyfpWVm26ysNbELPrLMLvV9K1r/VL5ONApv7/M1maIHxdoKVk5X+naNtUxCbK2iIeL
Wf4ZoqcIfbj27/tLbHwSysa06RZrI1Na+UShBKVMb2FY1MuT+GsFrDpI1YNTdIf7C93oYlHDoBwO
+obS/JKQraLuZpLHIZKa4dIlwO+nqPog6u8UxqfI16DjcTKGbihTaw4SQsonYT3rzo8+9Dr1U9H9
Hsyfs/lSFlCa8UGFTp3iY1a8mP1XMza9eAAl1qaoddev93/11vEA+6ON5DhAM9eguDhHTG4OFGhq
48QvHL9mWqcxvsZmvGO32wthtBbOiBd+FUhNE8zTptUNl6ZamL6f+1r7FMblxynM0p2lNt5cYAnU
b+HUwZ2vves4y+OYptpwmU5h8jiYBmzSXmIOrtid974NDw0Djht6WJTfHNpy1wYc99k4ygkcBGYP
Tob3on1O/Dj6u1b+raR/738qnT/rOtSFQMIGPsanovO8DnW13gJ6Gavk4cbojvjwcY984PY6ohUB
vgohGIplhCLXuxFzbYZNvlSjM6H6FNHcQY8zZiKGnUDlNvJkIXXRDaZzwM1cHVvSzCbBX0J9JDNb
V44a4Mf2SY5NZjFzb87ky/DSp9lOPLhxgFSFoM8Epo+/WVf2g9HKmnkiaVX0+pwJ86fiFDtOYKNS
C5yD9JEZI04RRMX1EY5yY5tpTMjZjfPsZ7NieaWF3EYbQfxct4nX67HwU0GnSo3sxh/hEg6gzNi5
AltbfQPUwvvBE7jWyOiqrLJLmVJKmSoHGKIPevD7vjVufEK63W+sj9g+KMDrjdI4CfqoocRVVZWb
x1pOv6Kn0CWCc6UrrR/a+r+BCqZT3psEuL3ehPI0xpaNUdwwl72/L6r0hkGdzxKXOMweDAorZnQO
F/BaGn7Q9M/3t3nrtsDewdmiUV+jMrW2VFUHEc2obH+ZADc+Vlqh+6odJX7UttOjpZV7DP0bm+M4
gTiCcSR0WQtkqV1UKnlfsl7ZPoAZ+14FaudKDewY+tQ/6al+vL/BWw/GBt8tuL7z6ZSHlVr3Fwjd
H1RmtpAcs0BXzVhoGqgnpslO91dcHSmPPRg4EloSaigsbrIURQ+1YbSb8lwniuUCAyweUSW2PV1J
5uesNfYa1iuv9rYeleBFJ5Lnn7mOa3uJlME2ArmszhYTfjrN05gCf239vL+rNZjrbZlF8w5h1QVQ
vU42Lb2xMxqHLJMwmwJjsPGkBF3mtgmU3bM1aH+3U5Z+6ocQ8pFpsp4DRR99tRiGpykO8h0Pu7Kj
5dcAFlpEVcgyUFpbRaJORb8yVtXmLOlTc1Tm+GthJV9MA/IVJ8xhDQ7EsOP7Ns6Z5xZUAB0xznld
sSjyJpxjTWvOGhbM8LEUPbVDNBDmzNGOCa2x/G/b4wWkSryIkpPdXH9Tvcy1rprV9ixFSmodJ8MJ
wN52DLA6aSwR5MdmWgO0FOJ7VKa9fZCUqujcUpPCvwMjNf7qml56TbtJ2G7ezSJwTXsuNBdKkFIc
hECZC6LiQo5cJoyrnbrLuhn19utRUkc3GSTogjG8/vVMAPI81XZzFkpWIS0WJvVDaM25X5YWYhVN
Dw1pG4TFsenM8pRKo/wLyGOLAklXS0epTopjIUvdUxI7zTc9qGCcrAKx8znXCdTbr1z6KKDV6WPc
VKDSdI6mqLCaswWvB8QXiXhtpBBw2JjNXmhnCNo3XeYZJrooSmtKbmgXys6Hfrs174IefsSSJFPP
eJuiJbW6PqpyCiorpBh2noPUVvxcDYzQV8d5GRAOLPQ85jJuvnG/g+4YATbsjgJsaOsW0xj+HlDt
BGA2tDWRmdLXL3aOapMwjOQJUpYipF9iT9ChIYeJUkgUmcXveBr71iuyAmGGoA+1LwajQFBwaME8
H7KxCxr4wkb5y33ncXt1kGOBKgBiEVSfgCdf71LE82Smw9SeS1WBwlk0CmPJpA694eyWuZdAe32i
vCvEx3hguh+rE+3qJUmVZdaCVtwPwkzVvLZJIoYxAtsvwyD4OlolEEopmh6E1nER1PlHpjGlcn/T
y0LrH4K3gMAFJV0S9dUPCUsRV5KBfZXW6Bwg1PoSmFn6UAwxpZ7Ejc2k8f/7ihSkmXWFEIq3fOU1
rEY3RKrP7dmcq9JduKT9dtbRHunM8ICdDSegcO3j/UVXgdKbBVPl0EgOTJgg1nWIuA9thqeU9lz0
sXilbRhDa1SUvlV304FosDl1SqQjNTChOjGbxf+yPNB+7vEyn7pGRshQKOVdx+c2K1N4upEPP4qg
hv/f0f+keZM/mig9emkvYJQ3zT20ybohu+yedgqxGi/igkZfpX2GTLvbDqT+bMpN/DkzG/QcdHl2
a3s0T3FdxAdtjKfD2JWdFxK9H5u2ljzCnE+whwZeW6u1XxZD+N3q273u3Cr0efttZOqgUIHsQdW4
unVyNzKapQzVOQypPNgtUxy9bnlkJ4pbU7h7tWmkfYS+WPPum8TGdaf3uORyDIcRCKwsn15S1dMa
FOc+KdBQF2HDsKcjmZ18CnQu/o4J3AZczANByk8hjKI2n+Lau8xWFw0JcyTnEgDEa6Yz86Wj7OXZ
RsV0B6pB8ff7+1v+wNXNZswCz8iYLhNC6zwyDpMomWNHnCU1mY/SYnjUvve6ZZvbWopH1Fqo266H
n2naDMDQwubcjQEE3q3SayL1KFtV0sc4yGYiPQnZ6nkni9xYlpa7yZqLasdNmGPGMxjAZXPq9FMx
gKEB/s4leHzCdifF2rBPwihjsU7ghpRMr7+bVSkOmp1pc65b4beZ4VlmezAnQAvgtSqrPKG14N7/
chtRLEEJFQaaMAypUTy5XrMaRJH2Xdef8UzO99DIvo9mVh6qLDf8yEingzNq0IYStrppIsGrbTo0
RmPdqNyxD/aoFzcMyQDRhd/ibwtW6PrXjPDQBk0x92fGefVP0RjOx6xv9qrxGx6a0iDcnAocj/oN
lXBFg6GOY7U/p3r+0jnBMbVkf5JgJ4KIVkApZmlfBj3aidA37IiqEZPKIDw57bVjHpW5KKxB9GcR
dr0bAchR2vyn3EQPtf6w81W3dshTD3wWDmPmn1YeIC/JwpvA6M+y0saftUDqzIdcSnrHS9ogeTGT
rviUBnbluJGGn/ZlRPMQ/RF1/kcL9fQ4wE7tpjxjL2EVjx8pfv+o0QZ+IMZtHkUqKR97LTJ2vOTW
AS2660splfBg3XoNwYd1YxUO55apmMFwelAn/S9trCuvEtnp/hFt3DUqnUwlMI5AG3ntIytz0HK4
03mnRtF7k5iRx8uyP22o/oz61m8qQJl6uxf3ba0KRRTjqBSoDTL+a/tOOrOzuioezsI0Pjf5h7n+
u89OaUAc0h4MOdqZCtswA3zWUnJ7m/hbJ4X2kFTS2JbDuenNhzG0oBb9VsDLWqUHRytOxZ9gmPYc
yrKF1VtAo4KcUGdaa9Givd6iPTHxk8rZcLYWmecqn+zHPjP7Y8jLcWp1uT9BRls+hPGU+rlh/0Wc
2R4Uap1u7kQnBIv25sA3zGp5BHFzy/9u0PNKaCFoljfDeaCO8ww/anuaqEyf4NVXH6Vs3pvg2VoP
QldAHdw/3sTFBt6Vq+ZuVKSOZ/6s6LNfgpJ3uXm/Qq38i1i0/e93BnQj0QwluQV4tjKovHVac07E
eO7C5EdNCceZ/62M6Wto1jvQ7LVy1xI9UXsDk0oTiox/TcCY8AglshN358lUpy/waX7tmuSHXPeV
Lyfz/ByqmeNHQrO+MKdSetnQiJdQmlNk0+I4cp3YSHLkaYp/zM5EZXQcnepzw8aOARVcN0oC1U3K
dDzBnqIeB6oOOzd+3a9hA7xxNOmWyQK2so4fmlKybNGkwznRrQTGAanLHkkd7M9hCMl63ycPYd6K
1yy2w4fIgqBZUUGdD2ZBpotA77GKUOma6Kn4LV2Tk6gT59g5RvtQ9gU836nSHnUJRUk5sz+htiX5
kdOR5zDJ5uV4IT+tsqe470Gf9u0eD8bG10FKgF6LTfQF3mKN4R2Z53JE3g7nOu0qH2BR/Dnpm/BL
TM/tMAy9yN2o0b4yWjx57awNx8KaxoM6icTvu2E+dBPw0LHp2ycotIMnGwflCRpcJ8cIzVMxGYFb
yHHGzFstH5Ku1HcM+fbl5/cvxN0LyQY+awmh390aIatpFxjGcA7mKmB8VapgaULT477Xv72brEIA
yaOPW3TeeufvVrGZKZfTAl+gt1LrF6kyfwjVcjhmloyk5dipO7u69feU4wG4LDVCwpn1fJBiNloz
z9F4RmJORfDdGj5AYDUvasf9wUrLyG9bu7wMmbFHw7i1MmxTVFGAkYMvW0VSaQ9tcVDhhZqxCk6x
Gn5NZihbh96AAVpWpw9tq52qZtyrZ98+OTRctGVAmNqNysD39Xc0885Ei03M5749EYH5MASNr4aJ
5IB0miqv2WNBW1Kn6+dmWQ9+krdCJPT71+tZNJWmIonn81ANJzWOXU3J0HR9rRXdm4s9eo/N3TEG
gNgMIQqv3PVqU7ccuNHNZ9gdOl84NTgOR9K46YbjKohfSAAo/aleqk6mOe9Y04b1UkhnEGnJrikj
rvY6UpsBjMjZDupxGh+T6NyLn/b/tAhZFqPeEEytYXxtpWVlMcGYKZT2Z6Pkfpz9HMx/on6PYXrj
y7Eb5M74gDDKrXm0GFyzlEFu5jPjPpF4kZOL0X2V08mDIez+rd9IchacJ5vh9Bd8rnr92aIxkEw5
c6ZzKMhdNPDGhzjyk9RrKELoXvu9bTNXqAAjDX9n6eWerezTpHcLJByrWeYEr5cOgrJv1XCez3Ra
e48yXTt4vEH2EWsxnp0xql3JiCnOGVHuTxYESVHdxzupx7pLuTx98CNRCjM5A2Jr7fpXZHonxsbi
VxSqr30PvlD58E1X9W3XA6F8f8tb3/X9WqvcI2y6yK511uri2UekZaaqozwZWeTxxux82Q0vR5pM
mYjaJvdhTfE4K6M6jqUun6m7fKABYA/EdQZ/1yD9a/9SK7ETUd9WchaxQ/Aey6I49lVwR+19LNN6
Us6xkT1KZA1f8rKLXYRU98Cat8fISgjUmvQiIa9Zg+NNlLKbZgiUcwOVrfpq139680lu6WahY3//
i21tCmdNzZCojlbOalOq0ITlZLF6LuyhfS6EHbmGjTh8V7XSj/tL3T7zGmPMb08hbQZlzYvR1oqw
QmPSzklfVAe6PZ03zvbehm4dJTgzausEfMulX0+FjFZR5PIgq+eu1z+raG/IwnFjY/ZEpp/ub+j2
RWApXApzWmRZwIGvbxaZhWlOsaWeYVH7qMm+In+oZ/kYTvIJooWToGrDtPtOSer2gy2QRVI7kixQ
tWvlb3ifhtRpew0K+wBKU5oZEvIUPTyYO5axBhPiOFhpYcPlISAUXkNrCjGHWZKzvcpslbPRtz/7
lmG+rjCrY16GHxW9AkMkQd7UW0rop0o9u7ifyJ3n+qWO2/9IkPb2ewjgDXqcRDZUAq+Pm1JfP2iB
rJ2rtHBF/o8WfLv/PTcK2G9tkiWG5ohvZFRsIxRoEiraudHlJHGVTmtgNQlgDdcn/JfcqOJbXMdD
4ZNnkNdohshAEoOga70mlrrxMHTtKHmRapSRl6F6g+5u1+Y7F2mjWwe1LfkMU+FolDAvfX0STj1G
VTKa2tmqGt3N0sw6danon8vQqf2JQQ7PmLF6TQs6T6nt353UTTtmuHHNIBnDBGkvLS2d1ds2GKnV
DaLTz4n9S+sWOq2HwsmPeaDueN2NSwYf0iLCynj0QmB4vdcp0MIp6RodHv4JaEvfZG5mSaYrqqw8
GXKVHKp6zI5S1kanftR22b1vvRbZAmVZeGiWuGvNshVKVSKUftTPDCw960hoJXLycWqbh1GOn8MU
AgPtUY9/xUpMHwEGbkPxq/xjP3f+fePcuPfAzgjLCGcY9VmDU6zAGDsqD/oZd82EiJK7iLo8M0j+
5f46Wx+WLGwZrFUM8JqreMmR01YkamWcHQiwnWY+TYiADH0IR/3OSps7erfSyn2qsbDL0C6NcyoE
YLrvcR4/NfKv+9u5fUrJJxm4pgNDD4bI9tp8RFXRRG5H4wxDeewbwzh4IzUSiHbgFOiYcJuUTvwP
nwoKF2DPBuDgG6SrXgQNcaJtnMeB8u4wWUA/7Ew/Vm29p4u08bXovdBpJLFlCHPdcssizWz4i34O
q+qj6YCni+QPhvhTw619/yBvwy2Keox5Anqhs0haeX2QUxVHTlnXxhnRpSfJeqq02I9kWOWV35r4
p1CP95fbKGosRUTgSszNQgmwxpwBueurrp2Mc27Mcuf3RA4qJq9MJ6WbR+GNdeQ8h5Dx/mXnBUTm
LU3JkyUVjO5Peg0j0KBMxqVWnFh2e7NPZy8ztEXQiXFAWLiMNvqjq3kEDt/KhtKVwln+MFlWZbpa
YsW/7+9mIwthN0TgbIkYnOLz9elpgWJ2WqwaZxSX1Dp2rWByMyk9VQxB27KXKIioyC8dIPlpGF12
vvP1NrKAxVdTL2R1/mFdLNQ1oq+lsHO2wsTTy+DTkDHj1nzXouTSfrfkp7wb3LY9ZpG6h+Hbeq6o
iC4apSq7B153vfmxTgHcwQx1Vsdf8Wx44AZ/ps1HINa0Cpk61xLPVMeK8fP/HqCRVVEABnBOPL1G
g+XpMntg1OY56IHaBGPYH6K8lR6K3kEgQkVB2xa2guxKNcKfTrfrcP+zb3g4k5IpoeECuAbacr3x
GhZj4queWBRGYz8cy8w3ABB7daw1O5nX216uk02eKNZBtInp4huoRxDNhjZFRGvJnBygrfUT50cd
By8pkM1A86aoYV4TWbywP5riS6gvNOMPU/FQGZcq/CebTk4Uuwq04w1FFNhTKaYcrRaOCu3x/qFs
mcNSxaBOCYwaxqaVOQRwlPH/ZtpZV34EdezXjfOHTqRvqx+WmkNX9Ucxav/H2Xnuxq0l7fqKCDCH
vyQ7KFGyLNuy/xAOMnPOvPrzUB8OtprdaMIzM5gxsDGuXosr1Kp6w7FJtgRBL2Cxlg7jO+EYSwCm
6vR7+HMhmDGJExltcJSV4OD7R77aq1mOjp8CC7sXq/SoJtrBUFrX745h1B79fNzXWnhMQ/35+kyc
303LzyHT5FbnR72nox8qkhHs1CxMJx2uwm4wXcHz5OlbsWWFcDEKe4n6B82u8+qqkcxaiBzsg6gF
hVPOiPAnca3ueLzyVgH1SyXE/OerfVFMBoS5WM5xhq9rZUpslr4fodjZzMPBb/zSjWU5s7N+io/X
J/E8P1x0q8jVccRUecKusohaLHW9blWdLMJyylRBm6Zxhqzw5lHZm0HHu08nu2ifroc9v3gJq0AI
WLJfdvhqa5ehFoJk0/UHIX+Z6qdw/J0G1Fu3bt2Lo/sQZnVvyEKeTmJg6g9KXOyp879J4FWUvHuM
B2gjZKKIFbqDsMHa2hrcaoeycfOsIwV44F5NjqPxYNyaWy3xC8uSCUTNnpwVmsO6pdSHXV0ZOqKu
Vb0UbkI9uAvHsrpJ0zxz8Wltd2aJdub1r3Z+IC9f7b+gq6/WhrNuhAkylT1sRJc2EeX4vngNKr/d
XY904ZQjFNQN3s3UAM/KxXnrT9qQsC5z62eE9YhhHTmZHDkVj7l8l9S3fXgMy631cnGAH6LKpydc
VfYaIHaicpgDGibX7e1gCxWzHJOnV80ytIWvzJfjDF/NYomDcBhkmk5nw5Xm46Zl1eVB/Pf3rxa9
Xqoglnr+fp54dtq+BNJX3d+S9dkKslrjclo3udAtO2uU3NrQbT/W7kv1n58CTBV4PHq0GJia60pe
YMU6gnQWh68VBLuG6qHTZfkfqn/9/vqCu/hRyDZIMFl2PFlPv3zQl2MlC6HxEGsAK3UprpwSsMb/
EAVtxaXbSPEBEv5pFLMS62RREnoYcqm4MQeJBrBJ/nZ9LOdvDaRsadiT+S8wRmW1wBJ9Bmjst+ZD
LmZop2eV6KRWauLuZTW3SO3M9lBUv1LkbjbS5EuBgYzSRV0uZGtd1cCZZJoEcTQf/GHGu0zP9D2c
wgxD4WjejbGRHqVWbg5akhe760Nee8VR3VrYZUiRkRKQGq1FixRlAIEuDOaDVr7M4ldchPdZNBzn
DE3G6McIIjeRjqom7Hrttl/qOjRIobvbsTrZVlMcIRjdYr99iMTo1mgWUONmn3m5tVf7Hg+b95SN
2irKeKcfP8jSuDQigX3fpvEbEi7lSyeIPombXz2qglo4ZqUkLmUU9VDqM8VQjEIQ4wwdJAsF1wyV
bl9Jg/ZIH1R06lg1v8TWoIMF1Su3k4RfYzYnz5EoDBur9sItCicE/UwePzyDjNWpWHalaqYTp6Ix
S048aa6Yu0X/LRRv5uJ3Wz1J2vfrX/PCZiQjIQWiWQc5Y40DnqLJKic/R1FKE7qdlBo//BZQ3fUg
F0ANvMXZ6ovXNPtkLSlsVH2BWqyvP6RT9VBYu8y4o5Df4mNiJ7MdWOF+nn7p/lseh3YWPgYQjfz2
LtA9hbablA/7yBzuGp5DtZ0Mu9p86cxjJd8XDeTQXRLSUO31eiNvejfCWi0iJgUUCdBDWIFrkXNB
pbXhcyo+iLNUsLbT2v8s6bX1ErV6mzljoogHuTP6DAM2lQ2uyqEVgA3Op7+dGsG8rOjzzXvkyiJg
DWFVfPdrKwpsQ/ZFpL6NNAflPCAHFRqJ3LpyhmRSqGXt73HWZkzOhiRSXCmZ1d8xAI7QlZUoF52G
PLxBi9TvIewVbZfuBA1lVLcM4y4DZxov1j75ZP3QqsYwbU3IqofFjzoB0OujIiCnGtodbSnPKQ3h
qbklZ/SfsUKUXtUw8SlBNDL1i0JLpI6zzBcMu0ulJHaQRbUOqTmo34JZqQfbGrX6SxtmYmzXfZN/
S/GFae2gKQIeLZrVIYQZlIkLdhNAhy8LgSNYEZdjk01N504Deni3em/wvqxrirQ7rSv06ICik17e
NG3T/RB7QZJ3Aoo26kHXpupHQS38ux70Wb5nivzAMbp8Ho5YyRqKnc6yVu7QU80/ix2too3z9p0z
+3E1QNilKkcbGJQ+7Yw1So0umiIIHCzYgsZza+tJUKe234BWdmQ5lkY76aikKkgojbYg0KJVQyt9
MgTcie1wtqa7ooLvK86mvFd6IG+21EvDH6tOg69ZVjQbvdR1zgpxAxMYFBa40ReO4CoxiRrDaudG
oLAXieWhkNBglcoxdq2i9++iQW53fij+a6L8f0EBxlI8wgHaWD1wxFqKxKKP9IcpOXZfzUJ152In
Nfs2+tdyxRIJSWMud64ieECr4dViCKNOKXnTWIrth/pXq+puqAv94+uCbjhHI+8muLMLn3qVQ2RR
qZZiJlIOEtiwmiv76IwNB0XZooCcFb2WSBwxXCe8RWECr879NC/9ue9b7WGK/4xN86jE1WHo76M8
s9teexxN5SDmn9rE+pkMWyqV6zuH2EDOAJkua4WRrmJrlTULs0/m50+L3Fi8p9Nq57l2a8S1LUHx
lBDq6zYSp+ULnW6n06CrtaKA10pSiIIPSvgzTL8IWN9F//qGWgbG6mda0Q7lD6sYqaU3CWBA/aGr
YjtsY7eGUxJgMrNxu62zDeIg8wSclDIINYQ1cKPrQl+Sa8l8kIrcPKSNCVEc9LgDLU3ay10ru0Gq
Bw7SHw1wGHN+bfSm3Ju99ZoYcnc3ZYP0MPlkSmmNNPCktcqDoGPNKLRJfKP2qOv7Wq7vfSncUjFe
myXCwkQHi44w6nboLLD2ThOlaMYcUW1i/yFKA1tJ5twOhexLH4h70b/3zUOl3lm14YiLQokv3A9T
vcvLCZBd55SZqwmfjSHY1YFk12BCYnPr951Voyn/UiZEl5GfBmZpTVxv6yQQqaf7D5L0FvIR42ov
NZ+SnVoFbi7O+OJQDFO426Tmvqi3vuw6OVqiA/bDCGgp3GhrUwe5xfBHaVL/IYPyZheRINqhr29k
YBfHiOgmvYNlD545BQhSaJRICpNnDNVfxQBwEMtH/03wHUV4iPzmRQuGvRZIe0SH8c3dQnuvn5cM
EvsRBWsyKlOIka+eMGEh0/whlX0w1dwOxGwvQiRv4Kxc3yVbYVZHtqL7YWD2k/AgR5Pdageh/CNh
W3c9yFktYxnMwl3ABYHXLEnn6XpuUpwjEt8SHmozOchDbyO2qw/AD7TvdY8weNr4jlm2TjqlGzfu
Gfl3Cb04KfEQhBYA5/o0dBa3AgSUOPB8CV0+wxVU40h0TX/ypRbp5NqeFe1XqvSfha59woH194C+
cauSoo23cq5TwH6KUsecnq/PyVny/f7DgHVRwGdy6BGf/rCQEnmiV1ng9c0O+RHcOxwFEaCq2Kfa
jQHXHZpQkD9nmIzjE9Ci/ygXz4uJEC5srpQdJVC5XfwlLnaW9dzVeznOd+V4jOOeOnTtROWt2agb
ZnbndxLPBR6Z3IrM5ZmCCXC0WPHlkt8s7Cfw3ESi9dVFSDrGhmOKTF1pQqSCKH19ts7vpSXwIpdD
WkH7ej1ZYaxqMLgDz4pkbzAGe0JMAlPGXZKFN/8a6r3PiwibTIkftNHpd0klI5BSrIa9yjdNtzXi
faNK8y7If0D02P9zLEYExBfC5VIJXgFtUyoXUqbOKdZYwBLo7x2D3L+l17dwLzcW3Pm3Q0XlQ6xV
Sd2Q07KC1ITV+ZQuDHZ/cItpci2kCPZ5aL7GgjrvQzGJbgIxbo7/w0AtkjXwxLRn1olv5bOcqFyk
nhDfi8FeL+7TOnKtbquLdSFjA9G7FMskSBug+lbnGdXsOrOyOPN4mzldgI5v/aVU/1J42M10etPe
HsJDlQuuVhgbaen5taThGfFOl1ne1GutZsUcU99qMcfll7WfEfWV7jItUT5dn8l1hYkHDyr6vHmw
N0U0eM0CqpDaMI0RB1mt96PbkQ6dA7y2BFA0yhGDE5UvGXVEnOzr2t9YrpdiL3rJ7D/8f+hIrrYG
6lj5KGB46iMWOGD/pVaJEwro1CBZlcjKp1IpX/99uICJKWuxdhYDqdOQldTJgtUpmNbirhzNrFnl
YMSvzPM+aVqoyF+vxzt/oYFZoeMKgYf9j8j+aTxTnopcGbXMy3uI75Q9hjAQ3LIYh/ypHotYPliJ
OddH0EaJ+ed67EsLaJG7wkqW1UsF8TR2OxVp1TQzrrUZPMJ5aumeKmru/nuUBYQKxYgDAcrEaRQZ
bzMwSSJG422ecbaJ0qNVStNGOfJC+gR2BWAtXEVA59wVp2GCbBCzpPUzj86ibWih0w5Qp/qjCIcg
DMe9oAW7VrfDzPws+N1Dam5lNheSaLg/gHtJUhfd4fVqFQ1aDJY2Ye8KTcMW9bjdV0bmiUb2U9Y6
f4/oUmgnhcFxNLa+k6vzT6Nqj3EtTnsfC4lD3qYviINlTsJjzF4wik7Qyt3OUDJ1H9F6/febB3QM
JXge6qC91xzGasbjPkFix2stYY8w1OPIDd/UT/WmIvOluwCBe7YxlDagmas1UIlWYlXqMjX1Xpdu
m0Owi4bbGFbfDm/a6+ttOXFPn5QaDAtz4QejLwOO4XQhwKWSO1HsM0/u/OQrzsG+i8vo+DSklsrK
0+SNlXdpB/NaZg8jHSSjrngaz+gUK9czdpGYvllWYoP9ybjMh9s82HIqfncAPRsb8F2ea7xlz/QS
dJQvQasLzCN2fZ+SHgEbOZDEoxZY2X0IX9/tW+hsYibUOysTOKVR0XXBm8WHWK+LvaJk1j2ZfuwA
OFYcY4h6Nw1q4VMWBJDtpcY8TlZruE0TaneBViUH2rePQVUKOzXOy8MQK8GtqAzA8duqf1PNcOJ5
WqQOfpsVMqtKfTPJDQ/dwjD3VPV8qJNJu3G3X7oVKMHBbuc8IZVdfeA+Bc9KSRFvRmF+I/l/CUXf
lqRkzx5y1CZwJhFM7/+wqGj9LjwaFDvX9fFMMH25HuvcQyngrpYmjH7u1TB/MNrv1wOdryZOMM5j
3ppwGFm/p6spadtIwBoIi22SJizhMyl1Ww6PZDYes35+uR7tfF9yqSP1CkeIkg+qP6fR/Jk3paWX
uafov3vjuDCEstquh79qkN6BVX/GLf16xHeM+ekSJiT6YYAfwMhiY3MaMhjbaBAlzFC0EPczIMtT
W9iJEFl/WsSQZruAXstDTbHqwqHmAIdgwIntUQnH4puYFNoXGXGiyTb6cu5so9CVzi7FRLmZ21z+
XnR++dkKtepnAIqkd8UsC6BBaqX2o8HRc68C4NwY0KUPBjUA1M07XmV9vfVBXoGLG3JPaOFwlaJN
PRyc2vSSmIOjdfGWKumlT8Yrjl4fU8i/VsfNGAZNwtOrAEyh30xwsx+CfNqn+MuGvni0lASaZ76x
+s93HIcmuFCk2PCMYM+dfrOp1/ESn4Lc05EMK619rv+ozOIWWEIThjuLx/T1RXIhqybgwjqHu7KA
N1dZtZnJkQFCG0t2UWjpRaAP8JoB0L8NhtL/At/F7J1MSczPIWhznRwtpRw69gXycKE2gnm+/nsu
jh8xDzYI1C/oBafjn+fUos5f5VwpSeKoMV3CMO8xVOyTnBaiVXwKVNS9sMO1NiIvZ9l6t1CT5bWC
peOSB59G7uiSiGLCBjVH1e11wUmSgxKK//zMZppJ9GlEMXXcK6dRfGnEIdCfcm+Qjqgp2Gn83NPq
GYrZMcQBXkiyo6yxAcg/zz6XoChnIHcEFGpdcJKtpE/FaebsGdApUR95HW9knpcmD6nChf8Is53a
5umwqjyw/MBa7OMRiSjI/ZKHdLP1f2n/KwtaG4AB0MD1kzo0fEkhZ8u9AA/kBI5FJTyP/mcfJFIw
P19fh+epzaKQgGbRQqLgCb/KcdtgrJRpVJgyJd3NvUqC2zlKPu/kvtlSDFy++XrlgQdDhYvn47IP
V5MXTXUbLob0iVDc+cFnsfwiqrYa4ONCavNzMn801paq26UlATqNRQgHEFuNVUxoxw1oSAzC6WT6
+8bQZjdGHGR/fRYvVAcpDCKGyJZC9oCc/XRoUw+9UJGbwpPCEncVusZPYV45/vSSHzGDd0tTs5Ot
DOLSYoTXyRaGfMJ1uzrSeqVNjFmGP60ad2X2kmq3tbhVjbh0Tn2MsbobqOPkfdhjIN/EE8K1N3MJ
GR5NceTjFAiNG6vx0sr/GG35NR/QoMjk1oZSB9iaaemuS2QnN0pbKb/GTXvUlC2rlUtrA3gNYCHU
srkbVptZHLo4Fnred5oGWCRuyfOQZ9/qwF3YYfDjEA+2SFKA063GlI5S1c55UnqBnue7ZjaUCuh7
Jx+mMYuOOfJUG5N4YViMidcxBEO4K2tK3mzFaZmnXelhSRLuA/reNmo//2gXTX+HfhTw4eXdYIJi
WG2s0TSjeDLxU1FH2X/sO6SazFIw3I2NdWFFLFx6SPwo4xBpFUYA1J7gVLC4qlCVHV7KMbxPxBe1
Hnjglk8pnedWmW6W/0WDa6egbhJiX4MDhV1k/Z5SvuuH6kaZ7B1IdnKSUWWkmkO9jx8FFX71TXl3
9lrDmL3e6Mbv6ZREsVPGMJ3dYVKLY1spkeh0tAViV4kSwe1jTT+oChQ6V+qySrOxgjd+JmAjfraT
jzNIULWyzSqsG2eKJ/UTcmI1HIXaCnc+dkPGTm3DYXSqGhYzyWfVQpBANPiP0MlqsBcgk+sOjc/h
Le7Mcdynuj90z0Wut8OxLutEsSv0ixrbGCw52gVGv1Qucz/hj8Gkg6coEd3d+HLLkXc2R5TYKHez
6M/MuuTEKgerDHWy2Eq50bPyxhczqt7NIN7koBodY26NyY7CsJHtpkaDpLfExVhwiO5NTAU29FvO
E0Bu7YWNBOQGYB1lk9OzBfcm3qKgbjw+U2sXqXJTZK2rWAcpVZCvDW4Rr97PkL2CJP40D/5GQnR2
WL+Hp9jF8xJE7FroOMpTyeyMVPeGJtjnlS7xTomc0C+ijUz37MReAlE1WPw86bytdQWqKu7ifi51
rzBzwDBozqQ1L4jMrltI9+394G/s0Y2Aa9k2q7IUYF6F7sH0sDv0PC00gZvSlTTVNpI3wfq6sbKW
nGS1srjQQWADOeeyXbedItMI20Fk9wEM73ecVMWdEql/5w5eB2QCzBujYlZfmgrGQp8rxb4cBv0g
LM4/13/JpW8KapuPyllInNWSwm5b7fHNAkxWS25nHVRpR7Fu43teDgL0hY9KUrtOLUjQMh1RSd1r
ATY2dDjpiXPub2zXrSirV0FmUbIJ/JwozW1LUdPID6q2kQCeLxSWPoVwGoXUO/jj6Q5E4BVth0JV
PB/KKFxAWTr6yQ3aZo6SfpUic2NdvndkTtcJOw16CV2UZTesCx+hiGNPrcWqRwqVOeCAZ5SpJ03c
ZdEnOXma1O+i/FWkRC2qudNSt6r7aY+T9UOgQh9Kt27MS8P/8HPWT6JWD0YlaPg5inKv+sh86vet
9bWV92N8N+QbPZbzjBSYEkkHMILF7oLZPp1s1n4SG5pgYAEu6vdjkht2UAKH9Mnm9qBNa0/OAu4C
rpRPvVZOToXr+f76/jjLRPgNeDChcUIXEEG7VWFGVsIEZKhheCn3I50uN8le/z0CHQDuYLBoSIAt
c/4hYTQXKStrbkyvFAXVSdjsrpiWW+4wF74cJQrgpdRj0GhaH6lN0XQFZrccqd2wF5Q3AMD3QvSg
3mB86fJM/+djhYoIHRSAG0DdlLWmTx9h3NoLCdNmireaTAk9x69VLfQtR9rzTU+Xj4cL/w1yFgzt
6exhxFxKMqYGOAb3d3nTRvTno0+Sb23sxLMUGOz/xzjrjS83NCpE4iTDbJsooSTRV8DIu3LLP/vC
Jb9EAnJC84E/vbd0PqyHiCVu9osQUc6hsDe7RrHFIEjtDiyy66e+cNO3s39ElBhlM38U9l2Xaxw/
ubm7vjDPdBR4TqvY6PG+0JQlCV8lriJCk4IR+BjeToI9YLuWZV9DeZdn6osP3bQ6GLNbleNjrOWf
y3F8oT+4AF7TpNr4JWfVvYUZxmW5pB4cgmtShB5UIGIb2fJ4o9BPlvLmpkqN4TgpebIj8e4hn/rS
vmoD48afZOnm+kRcCg8RHOVfvohCmeF0jYV6VcZWTnhhsJBUDRq3NEgD89jAS966mREb13O8a7WN
YZ89HN5xVRyBFDYXBNrq/GvqQtRiVEu87meV2CBQ/LtRtbONitPF0TGn/z/K6tqM2PxRsEQRP4lO
/9R96WOHPslbtdWnWbbi6i4DJvZfoOWo/bCwEfpp1WwmkFLYlAq/pm/XP9P5dNEc4BlMAQOILdI+
p39/zMUM3UPrPHV69KNXjaJkNL+Z+Y2vbTyezqdMpT6HtA3QN8SY1sA7fxISFMTq0Zst5HSFDh+V
0RH8b5RYq0Gl9ik4aGdvpDfnJxBBF+QWfneYwK9JLdOghIMWyKMnac/gxcg+UPl/yvVpI1m7MI28
hZdYeBah0bj88w+fqelEbLFCY/Qq2Jeo/didmUPTB5ovfZaiaiOhej9ETleFSm2LQicFT/rT63Y7
8ll+Qqti8nqX0/S7WdmjyRnuVKrdqXaiO+jS2IfvXz533+qDcJv+AIXfHqJ9ONrl2/hWfipvc2fr
5Xe+VPlRLCRkUajznZVVykDsGn+IJw+C0v0AoqMUMKbKt6TWL001tUv4PCqdkrP33GjGtUBrcvKa
Bvb68BSGYPdzu0V7+9+lA5b3/sdgqxusMyFgYNwyecYcsjwdsahdSwwelDT7m6s/6+a+F8r7ojxG
wsaKujSbJB2LhsYC/1vTiEVBVHs/aScv1G8iQ7jJE1sHgfTPux8sxX9BVrt/zgs4xGI1eVRvD4Ya
2ekw3XX3Qbibha3vdmErgr7mP9TDFt73KmUb4TVaRlLPnhIDeo2+K43siOIvQ9lIOi5kwOhmkAXg
OQJaC5jI6V6sDfZdrnezJ9TQI4yD+Sq28NncghwfefFdnm7kbeeAEQS1P0Zc3XXJICdohBDR6Oa9
qRbP3dOMGJtDPQrv5LG4H83ymI+23G9Efn8Erg6CRV0frD/Su+ePRLg4XSTKw+y9vj5E9v7h011h
/3iM7EfLzuzKjuyH0SXFt0OncoLdTbJLlj/Y4f7Xr8pubMmGK7V7ev52/1K8Oqbd77779pfQnmzZ
rg88oA/hjrq2Hbmy/enIdnMN9/POfj7c39/+/XQX2n///L2+It/5jddGtLpZa8scjWZgRJpd2I/7
u7t+L++mHQBix9pjj3IHzOXR2vn3umv9aO5R29Sc6LH95BwH+xbou31U7I3L/vL3/TDLq0s4TupR
14PlNz36ebary0NGKWtPbV9PftafgOU18/NWirH8pauJwNlIXUit6Aic5W+ozg9TJWERF8fUxCNh
l5TJxpX8vufWMVCjgMcMLA+ayGpg0EzFxNcK0ZPswvmFqRD/xtfPSe1vX36Gtmh76vPG971wDMAM
/C/kcu59uCmzSO3nwSKkqnzXneSYuoLT2pnz8ros2B/ocNjNPntVmGLP+Wt6yg14PVvfdcg2inv0
OfTC5m6R99+HLU3VCxnKyU9bHfbSFCeRIfHTxFTZaULJsw/X96huG/KUaNdMkac06Kao4sYxfHFO
gCXj9KRA+1ijpyS6/tKk1KJn9N1TXxzz7KYxfyVq9/365J8P8N3EES7ocjziA3A698Au66mOA8lD
9bdp762yt7MSx293knsnl5Sd0fy5HvHCYQyXWVGwhOGMhF612s7ZrKatlOiShzqbOmd23EiOHP8d
UjS88ju9u0364QaZ6aeNuMtQTlf2wqGGo0MVepHIXK1sRetM3s2a5OX3gnmcVYmCPPYr02/U9WHA
tvnnSs93krG7Hvc8OVnCkv8AGKM5t27NxWnHWd2ZkhdjAOMnd4nwo8VjOXqMhI0KyHlt4jTSKuPs
S7mV4tHgW7ax3f0UgxdZ/JpXiRve+ihzXh/W5c8IFo5sCNQSDLbTlSP2RouOOeNqpt38aJEpoBnj
a1iNxhIqoD5SWH8CrtnrYS+NkfmiQU3rWOVZfRo1stBe09Rc9kwDTqe1D9snA+tc3+min4K4MaGX
xsgSpfe+OIKgkbM6mWoxSubYLGQvg4E5DG7U2CqkysrcZdyk1YPQJ3aKjdb1MZ7v/YXvv6gWURhV
uMJPx1i2oT7NcSp7lfgAzrRLml0+vQTdsJFPXphL4izDIyOia7w63Co/VaJKr2VvLBvHLH6GeBLG
UQn6jgPf0m6xXbk+sDNLMyogJxFXXy/Nx37WjIavVyR2kmL9Udh5/wqwRlCcaqwOveCqjYU/qGFT
6bOF0IIr4hb8sR1/N1p151uHNrOHCt8mllkTGYc80A+pbDiaAskl3F//xRdXAChPjotFWJJVd/ot
ijiTO72rZK8U9rFP9SCu3XwPIF2qUDatbN+A5r+l5XuhdoUKDKkqNRKOSqBRp1HDSSpBtfSsu1D7
g0+ZM1rRTlTckjey+IfHKx4Ctd0ZSNRn1vH6kJe/e3VMciWw2mmPQXBY81ElrR7mru5kknJTQ0Ko
KfaznyYbE3vh3sHyjQQVDTT0bqzVvTPU1Wxmoc9KiPPP/jh71aw4RdS5gp4jjSDyORWq4c3GYXxp
ZhcFakpyQCD5nKvvqYf1UAtUyr2i/4006UCEScDr3lbIik07ym3lrRFk9/qcXgy76E29bzMQQ/Lq
g/aVXDa1QP8BjvZU7xthckc9s83xRpdey6T8ogt7ObpHbnIjU730OT9GXt22BRSKxEgCzSvGqob/
P5C5tLiQXR/gpc/JNYBSCC5veOOuplVJIyWP/VDzYp8OfAJxv/07VTcC5ghB3++GT1VsHK6HvLQ1
gbss6oEWORqontM5FWeNLjFb1gsaW9y102cZ3dkqPgzFFzE19sOc2NJGDnE+mTweSeaWcvyiN7ua
zAkVBAEvl9lL5VjZdV2k3zSCUd9cH9mlKGBRSI0WscezHTiF6qwUYTl78kx+P0VYwyEa/68GU+Qj
XKOUTGguwO9YZ361j/1DUlWzpwtztjcjxLrMUYk2TpPzu+w0ymrhF5mlA3bhndTjF35v4I+2w/KV
7F42hRvLV4eNubsQj3uTkhMoEbiSa8DsaM1y6ieJ5Pmxov8oNGvaS71JeqD5YW2DKoo3tvaSApwe
l+Sx78qm/5fRrg6yxQK05llG0gVMBpKF34YQLtFxFIqq7Te22bKNToOh2G9iOQ2lmm22bgeF+QhS
FO9Kr85E25h4tY+8y+NnLXibzTsl3thi55N5Gm61q8dKGDILbDgQx9jR0slhwzmN9qX+d0DGaaDl
ePnwApTpPKltIBrA14rfaZneh1E8251sy0ZoC8adIGiLdHT3qPrfB0zYru+3Jes4m9WlH4KUBU+t
tZCPYZa6lZDnehn8+T9TcKN/L9O3BNHI63HO9zWVtYX8Bf0aLtZ6baZNFFYCXq7eXAe/MvgxXHR+
tnHDna9HgkD1XNTKwdqsO+sSjqKjWWSmZ6VZ5ADsZUz0mqEGtcP/Mp4PoVbZnJ7lpl4iREX72Mxt
Qy3zXTSiRf0/zNqHKKtFOARz3BcTAzL9bN+2M7a3WzJxlxbAxzlbLT9k/pu8D/gwmeHmQpk7GUiA
zngx9RRdpvjL9QFd2lUfoq3bgYscUKH7TJukpc3e6vzODeb282QF90k9zRvr4UJjgAVBzxqdCsqC
Z3Kz6tzUUa9UpjdNuSujj+i3zUNjSTsxNt25v7Xa7oAH6o0qd454m0ypHXXSQSq6H1bsv5bPSW+8
WYlvK/NBkXj80CoME+kxU3R78l0DyTNWwWGCjFOodp/0pKTP1yfs/PMs61imHEViwY24ukPmOkJv
HjQdGpbjDHaWu11229FV/ZtcNbfO2AulPdPgTqRHSV7Kg321rNUxLS0N0gfJ97fYOsJAzwrsuQQ7
rBHHjbrJ8cf2ryI8hZlsd5nwz4IQsIoXcWCSGlINGjqnh2EjLJBzoVS8HrVZlx65YquxuIUNu5A+
wbgwiUXusKjnr3KZoBIEOHqR7lVKaecNpsc73nzGV3xo65fhMQ/rjWP2fN3TB0NNzkTFBDn1d/rZ
h0PeKmB8BX4NRKrHGkIwq29lRtFJTL4LldVvpL3nUkrA8nlaoDpB551ZXB0bapcgqBXpYA4TeVfl
M519OT8A/OJ9a8m/AE/GWJ6biCz16U3msy/aNjlo9ML86EaRSwWhlLS+VaV+up1q7df1JX0BkARr
ADMcMi/Qs+STpx/Z7CRIdX5oeIEp3Q2Cfl+3/mcUFOzC+irzDMKT3dWb7ug36R6d4ky915TbRjJ3
Uv8ob6HH3/PW0xtw+TULURgE/IISOv01gzAOlu8DM5G/jiQWJlII3y3E0x2oplr3K/otDY71ZHTH
67NwtrGRTgSWxXxzuyIRszp3Oz2RG7TELG/u890UvmJt7wjFkzG/IH99PdT5cj+NtT51K2CctGOI
pSCu99X/Wz+Ohdu4oXyoTHuLYrQsrpP5XIJB26LdD/IE1MfpfEKiULM8bgmm6Lum+IwLhi1gup7S
WyletwroZxtrFW355x82liL1QcnpbXm5/redGhuGJ4oI3xcX4OuTeJZbEAiDUyi9C2+fdXsaSKr1
SUit0PdSfbIrrmE5/GF1Wypol4azVL2IwMwR5jSKPgQx3hOR7xmym1guUPwsvDPLjeTl4oIAHQuq
6l0Dew35rxnekBqEmUEbfJqPbW0HmRPT0upTJ/j87zNHRQ+AFQhxUBWrlS7GnRqXQuzzLKmR13Gl
/JeSbZwpy+yvFh0kdcYDxnqhdK3ewzL8D10sA8HT9KxxB60QbGWQs5vrI3nXKDgLs4BDZMSSwPGs
Pk8bp2rShang+V/qJ+lFlWh6Od3bHNjTtL/Vn7V+ByEYXfuNuMvPX8UF4UvV7x3NjMDIalkYWi3k
iih4Yn0f0+GfNM1ukh/YX/dtbqu+K5cA8KSNJX9+RPGGNDmoeWBDpFirs+NrJ0RaqQSPsNztfv5j
tY3dd78M6RWrso1Y56cG/RdqvhwYTC5r5XSEVdzHiZDP4eOQv42R9GJ2D2LSuaDxkHNU3WHLG/kd
+Hk6pcSiGsb/GyA8DMDTgF0dNvWMadejyvmUNT87JxEf8VyDhIWwynzfar8HRCm77hm2FKa0sEeE
9g6tsUO0tIlesV0ySmTMLTZMTRdlS6DnwuQDe6TAs2RjvHdXS22eZt23oiF6NP37pAwokGl7oXkr
/VcMSzfOgzPFWTIuKrysK5j9bJ81/a3XaDH72Hg85v3nOP/uD1/m6X5CMNrXm90gsaL/VIId8f6A
kJ7/zutHGTlO9VtfKkhNzaKtYELTLvyKYAuRfb6zyQZZ94sULzeGuloYYgvjasqU+FGKgEs3OZXz
dPStjR125pnADLDEsbmh0wHEfF3rniefQi8iKI+azGZuWzcVk5v/R9p17UiOK9kvEiBvXiWlLSOV
bfMidFd3yTuKMtTX72Fd7N5MSkihsTMPA0wBGaILBiNOnMNfkQ3I+WIppHV76hvZt75FU+0ik6Im
QKAAZ1vGKN0V39AP7Ul4X7Bmx7I9/QJzT+BTMvwy3TqX3GEKWxfIcS7dAWYEcE4J8RNQm5GVMDkP
+sTrqhe9JvuW6zmYv3t1PEYl5J42HN/KZgT+Fg9RFJ5QjxV7G5JKVYrZsvOAOOeEvCp9mMZn2t0D
lL/hB5YvENR9+D8AK0LEFoHE9bkEm3gLkueoCpJ62AM27aY5cwlGOqqG28QkQBIB2zDyc/auRNVD
Ow3/PFjMLcgPUIICahtdJNdf0Ke51YxRazxKkuOlDGCLDnRmqHqoxcHeQKwsJxa0vbzehT4q/i4Q
ljI2WU5UO8W9VRl0n5YSwCaTod5HtYJOLr3TA73fFAhZNwrWTUQAQFIspKmLZC5TO5ce00aBHIie
jLZXObGymwsg/2XWdR5FO9P77Uts6eEBgkOuFdAKHOfFCVNqc1AadZKQAbLJ7FVNapgenu82gYev
u8jtWOSgeprKnbwD3qvcUuFd2VogM0XPE5KIQAFDUOh6YZGfKnVlnPEFUZzU7lSAAQbA3+S+QmnA
Gyoc1KEoK18Cna9blTl4Y01yRCirHgwKNrTb87EMKG0AMCGdALwiypDiI21M0qqybLkIEnlSdpWk
Th5sAhLQ9Fvxw4opJE3RHgvQAXLeYs9XNSLDTRInD7pJ0/ycY0sngla3dmJbBIFLrh6MCaxWAFpD
DwBOlW++i4C8lgAyTfusDBroR1L0lNltBwZZ4g13JmIV+A11esM5vocTGZhfEetIi/LQdHvLqF1C
pj0r298duobVjbO2fOlxTRzEFmC9Q+i7mHFFG4okoWUZyJEDMWxc9cphYKUfNeiD+amQ3rOMvQbl
Qnqg1l1RSv+84mC9s3k7KhSg4F+Eww7vqlO1tsogks96pePMFX65VRpaHG40mIAsFRw2Nlc5/wr9
L+Y/1nucAYhfIa7Rz4muen335ICWpjcCVKD3t/fw8iEhWBOGZOhS38csroPZHk52O7pydGom/y0D
3ykIbIxHVduKFJdBOLcJQij+QMIiWoJNhGPd4EykDjqw1biJMtS7TK2e0Gf6i+is2+OySu+yIQXD
fF8yX2NddgYBBBiZZaf2myiTfiWVtFW3Xpt3ZNHBwgX+O9CWCPdWPGiMsoHVASpn2EWphSZxOljo
ech+JmPR7mZ9mxJTxWG6igQwFXiOgEQVCTME6YJRYmdmN3ZmHVQjBJqMTldPsY5e8XYsY6Syuvho
xzFuL0mSfDMvozuo2P+oFas9jS21Pzc2Aw9JF1+DNAoHbYHSVXy8yvY4ouFRrQPjxTpqd1mDtJI7
uNOnBi53Nz3V1EXv5RaQdllf5pOAwZtI56E0+ZUNu9jxjQyieKvV62Ca62OrmG78RFjjd0PnOpBi
zM1z70DMzIdg3e0Bry45fx+BL0aG4pZwnzgpA7HJHDeB3NO3rmfZLmrBgqEas37IKtkCMepc/b5t
c+HKMViwL+KEIxFqL/pnDQmYOWme6yBFZhhNWBkkRpte8gg6wHa3TS0ib24KBWbA8BD74RFy7cnN
mXWItZQmsKKfmvpmOm+3f38REAi/L5xjRUoMs8r0JlAtP3rPKHQsXNJ6VXHARrltip8DYWeiO443
AOGViXKbsFIF1NKzqLCaIP9sTk2Y567tt73Xvyb6/9MSX7+LzTgq0AcrHK0JDCew7FM9+DT3pu6Z
vUiGr9AN/7uyA6/GxU/khbVUnc2x4OPSixcj3SnGU/IrLl83ExArS8Ub/xAh4Ubn/72200JILjds
hqWCrD04d8fPFhGTHL+AitTLp9a/vVwrO+/KHB/2xbBsR2IIAmFuhqJs9tpvQRnWtgNQe4DRgLYA
QZh2/fuOZNtVitR/UKjElbpXk53z6DNqT0rrmdCHHsDFcntEy9gDaQ085/HCRHoPlOmCSTA1DjTO
sdnRujw3DykkecCrdI9k85/oFVQitX3KwECw1fCzNpNQTwLjJlJ94MMUzKpIWqLhEBvEru4SKd7p
ELO7PbItC/zvF2vVJTII42xYQEehtCvzGJxjDEn821bWNuB/iICA2kD0JvgKREuAtWiwAq5J5bXQ
T1qHHsFjxg59v3Gm+F4WfQVK4SYI2xE/ISV1PSAzK5iTp3UbxOY+AeV88aSWlTtZGyDntXm7NCOs
zADWu7rruBlsBFqdE/V4e8rWDKD1Cp0l4FCCjjWf0ouFmajJGjx42sC2O08pH6rtWJ9PhTBVOEFA
Y9h4RQJtJLiFAmKrBvJUJLD6M6RQ0GtlnkY/R4ivWXs5DRX1ODBv2k1Hp3tLE32nulnujh7pfUPZ
o6xSbjVdrSze1ReJnqPK2rKbLBQ4JHqUc5nvRbdKPgf5n+sByJOBdgHDB7cE+jqFfR9LNQI9xeqC
aZ/Zb8V432zVDFec+5UF4SrJyp5CxgQWtJF58vBp2ncp4lkliyFd83R7s/DfElYSzal4lqNECW5E
UXJqks2ibcqGBj0EVjzkGhO8G7LiWGTAUPy7KWxKdHGCbAjlUCGsGM0BkWPS0WAeFU9XH5QMiQd2
uG1kZR+AioJH4qj64xALmx92mT1blAYlyLHzEmw4ef7Lqtm5HZuNKHCZVuAZU4fLGCFbhTyq4Juy
sYOLhQpFAKGuO6U7MAubX3/RrBcLrYelnu1z0IBHkn7sJPOQFFtczsuxgl8A2Xk0AQLUCY7L64Ou
g5oaYiJtF+BDgMf9W6ivkeRPEKy/PafLPYJ3M5C5X5Ss2PLCfoQKR5pB8bkLFAlSFFUNQm71INVb
GcClqwcyDwNC9o8rrYtkvxRKDWo1zDSo9Mwdldc6O5mzxzToQ7AKLZ2n26NaMYcMGNpGgafHP2Id
dqKaRsdcowiozXep3wOkN3Se3L8Sb27lrVLs8kyDl++/1haV2Alw3yRTaNB+xk8g9beS/dtQFFvR
Bl/y6+N8bUbYkgoIqKEZwmhgVh8sQ1esdUfaHwrELiM/TRFqRLpLsz+3Z3JlH2qQ2UAuC//BmeBj
v7hwxrqbHKnUaaAfwCT03N9vgYeWYRtGdWFAONRg7HT6PIMBkIZ5pqe4pq8daj/d3x7Hyj6/MsM/
42IcUV6QkkAVOUghkqsPdzwXFTUbh2llI3AMNl7KIGRBF7gwFqUom4bVEQ2KBvQZIJsZkQCNKqD7
nyKr2fDuKyvDRVagOQkMCtI/gjE6IM9rp2MfsKz6M4NvKQMojsyKb4xbb+KVQBdkaF+wWiCIeHbi
evYok81Rj9U+SE7xY3MaPuQzNKYP9Jzf08/o+7AxjysZqGt7gleSy0iaMlnpA7qnJ0Qer/qp2aFf
7QR+23/eF1cj47N8sS+UUc4aqsmwpL85cft7dvKfU/zveBRkj4DzQo4cCS7kagUzvWEWNcKYPhiz
hygLDC1+IcZOks4m+TRHUPfEKDk6yjGbS5DK189VfLw9zq/OHsF7IHXLKaBxf0KPTfiCWY7Agd3X
feDYBYiA3VHW3CS+U+t9ZITz7M9F5RHLZQlIsEOKHFzj3G/hUvmWvPUNgjNR1Tpi8zT0uAWQqqX3
vVbc27Q7dqRFd8z8Y5a39GVWjj2YGEwk04DKwUUg+My6V7sRaO0+UNkxYX+rJnGber8xtSuO+cqI
8LgYKvDn2/nUB8V4N1hAWCreZIAMRn7WpkMRn4j5LX25bZOv1mImAbrFngIgbBGk12pWmiV4aLFt
U0+DOifE/apvkbFVXlm1A3Jh8EgiGwmo7/XxmE0nKQtT64M0c36NkFC0E+l3mX1j+haD1KqPgWjG
/5kSfEw/W8UI1HQfNHuEBdSnttuQfV3v+9FNCh/tQYT6048t6ZOVSA9H09R4yw6AqlB0EYY4ZMos
Nxiik9X3af5A+2rXgrADpRwfeJrdOKMcjm9Qhghka9ObXHXB7cXkI1ss5sUXCPtH6iZiphBPDYqB
hJlK34xkax1Xz8GFCWEd+8x2xgqQqgBaC7tOSVxnuNfNjXF8BeC3BiIsYdm3DIyQsKId058dGO7/
/E4UN92pIJpv3RJApLvhWCB9jCzqd5Tku2Pzt/5dTZ6J/gloXKIGPHnZ300cytYEC9eJFiVpHffY
Wkyt/EHZWePW/K7vXtBmosUNgF7oNlzvIgX8gBZE4SDcrrp6jhbzKfHJ6UOd9v3gZr/yk/p8e9Os
nswLg/zvFxdXqoHtKDX5mM7FadrL3qhtvOmWVT9+aV2YENx1P6YyNJEdfmXor0X7kMagfPEgONjQ
M1L3J6Mwz1Xq6eiLQq/UY24b97EZu8bUneQGdX19cHWJuQaEH+1xI9OyEjZefZsQ/RQt4rnRxvDb
XUNbpCeezCclf0P/pDuZISPqxoti1U0A7YuUiwXAiiILezvp8r7TpHgIevosMwBjnPQhSjlCS32Y
p+cKifsZOcBS7g7EkI9T0myRfqytOOIHwFrR14GgRXgSmuB+Y6Y6j4E0EleLD506uhr50LeUWdZ8
BZdqhTwMGo4MEUdYdaAAyh1lRJSCNAtS67/nlm2EXWuRAMQcwfwCpiTO43e9ezXoqBDVyqagndtd
Jt9b6m6i4TRFfjPttoSU1/YK2oLRdopHGkpqgn8tnV6KVLOcAikfvDHJDgb6c+HRW1rdDZnltmCJ
l5l/+3yuvQUujQoel0gowxdlPuG19jfJ95YFTNV3sz7h4Xbb0FedQ/C6CCohUsbRhIB+CjtzHMCo
X5uwZNWxR9LOq2xy7GX6ivZ5P8p/69WPirpt2gUpWl+hyn0wlR9N+quWhp9mah9mkLiZpNpNSuE1
WrRvIbDbv9AWwjpyuRXZr2xiYMSRDAASx7IWLwnFSBJo+mAtSvnY1775HRKR8bRzWOGVxW+6Kz9S
9MD/BWfdFH0krTtsJHb4ZIiTdWlf8NPgwJ46gM6wFzL11FrSiz3VW6E237wLG+AbkeE+UaASM6gW
SZXCaNspmHEJQKH0p609mgZ9KOsgmW23Q79X3X8CLr+zZmNrgvlmFo2DFJ4XrAHXRjbu+mQVvdHr
WjSyoOid0VNtdpShoIpOci16ldLht6yBvCqm0iFt1XaXyNDD7q3Mn2Zl3JiHlTNugNQJcHFk3ZHn
F26oQcKrh5YZvkSXf7T1X9npQygTe6OEzrefsrPVILHit4B2RJUetRGkfcTXNwiQDX2kA0PpsfGU
eDrqzW6wRm9KCndOQIwanwHtY82vUv9GWicgv/o4OhfZFnPZshUCQwbcG/IGvCq50Byxq84u4m5m
Aa2CDFxwfeKq2p01HGxrx+h+sJxDAw4qMJCfeE+vnO5lcNMqfysj3tjta7cWmkeBG0ENHcpVsuD6
Blu14l5mLOjqu75BbNX4zuDOAF4+qsPOepjt71a8xbiztgVRt0H1APE8IAPCGYukmYEUspyDBrKs
E5SDkx5aOVB6mlEqALjSRoJRdfN4dhuIwUeWs5WQW1kBNGBwnjaItGIFxDy+mdYTsQxtDtrsG3hN
77tfmKK7NnNarx3BFBU1niR7DXPRLkOkY9yDJir+M1TVnyT/fds9Lx0OWAeRPwbrKdYBLbPX59HW
GBTOVXkO+glwWrOdT2AW2aoILr3qtREhUlPyykgg/zAHBT3XYG5qUOHabZJhr1kBVh3EEeCawaUt
XGnJMBoaoUQOjCz2akt1QXDzWQyv/z5haHXGugEjjPuau5WLwNbOoB9qSK0cmIzdjaqVulppP922
sZJgQts7bk28N9G35YjnQiKAUKInUg6S/hxNR4ispdIDzR6LqEMlV/M1J/YSfasteG0vQE8PFWoA
6Xg+/HpoapNBqCeCVchgMheclPnOAlB8I25fWyaQxILsAt1inK/x2kqSW0YBzyQHNX6f5NEB8L0X
CHr/apJ0d3seVwd0YUoY0OxUhUwLQw4Ufd4N7AFyBhuD2bLA/365G6B/rLWtDgsyA7SwrV1HKzZi
++XFgRzKF1AelSvsOSGwTrJUtYhRyhwTk0PMT24famXeGMgKoolb+U8bM7ohxaggrYeybyycnmoA
VZ2DN1HvamfVr870ofrZbJhbzhtSUjpSGuCkAuJHxPlYSTcoGJQaxNBloORQQJX49tovZw0/jTgD
GU2gLQBDvV4Zp5OkLusKLZBnYPUKshvR4VcCn3XbzHI3I5LCg4sXvHGDiQWIiSBFW9NZD1gDhh35
RNHdNBvnNN/C064Ygi9AvxHnj8CzRPChllSqw5grelDRdp+ZadhE9qfWoZeElt9uj2llcfCIgyAc
KGLRqCJWS/F+q0rIplgBbko3kX82cKS3LazsNgDYgIlG+RC1X4gJXK8OZbpRzbS2Aws4vfKetuyp
ixR47dFxu6yv0AQi/TLSEYiL6cGBftDGByxnE+gUeCC0u3BfJFbgUrRBTrOeOkHSPfS9DHWPB5Mg
hZdu4H837Ii1t4kNcZcMiRNISeZFaeYOwPqqzmkoft+e0WU0ywcE7U/MJsrpYnQ5MVklbMidoHEe
mHpGosCNQLjbV7+UWDmhIf35tr1lvy/fHvwBjiYN9IhZwgrWplHlINiRAiOh4LtVj51ylusxJLaM
Ju3BAxEO+MLQM/7gzE9zkbid9KcZNQQyYI8BhDb997Du+oP4Uly4YsemqlXIthSoT23hSt8N6p4i
6sWv1Xl4IA/S/vYErEw40Fxg4EEVHpIY4oRr4BfnxfEktGrJn6Vfea8didTu0gjCKiMgeJtQ7sVe
giF0NCIkQOgI/VWeR7gYoG2McaTGLRf7eHEYBFSkGCnnwZI+Ryin3x7dui3u0/A0woZSr21R0pMy
sUfzsbcNdk677s3uoBZIWmLtM0MrNiaTO6+rVyGndEGTALDyiIvxGrg2Rxpo4lJigA1/8JsekgLm
YSDDi25G7+aQb1lbJFx4rzDvCUFpEnBWWXClcdPotANLzWNvfTetb0Mb3xnEpVYLanSkrnTb0/ut
CV2OEDYRW+GEor6GdbweYUGiGukYUF6QYQYPbktDxJYHMkRIPBfM8AwHTWa313B5RPk4cSh4gxlq
S6IfH/NKafqc2o8tAQU0bB5ry+wOdSwrR2A77rQ+yu6TXKKHvK5+1Eg5eKCha1wjmc2X2mkhC9mF
QCNFQWTOhd8Om/Rgi0taR6kPdxlfd/AaipAZa5ScFOw79mMmUXQDg5Is7kvQFJQvG1OhLTYYDIGF
HJEt3BXoJK6nv5SUASKoMZj4HzDe95kewFc9QFGXvqElxk1ftE92Qk5Rp1sZj8VliiFy3jU8cNEp
DEaGa8sdcfRk6BuQ8GfFuFcIGhfR9WdvxIjLBgWYwVMa4SHeDZhOIdwxnLiJSKE7j5ZMzJ8s7nHX
KInufLfUufvd0hJOmo2x830GQ0Xr9lGax64EX9PsJzaCmaRPE6s4JnM9HEpij1s6HmvTAAEdyHlD
KwTpQP73S+cVd3LZc2knMsfzPbSvajdR2XjYWOcVMyZuQPQlADSMQocwDWYNHopOjdBkbtHmbkbw
77gKyYGrgZasa85mfcgtZu/0fDQeFQ1Q6cpsYo+OZb+T7MzaNb1aQGw53+J+XPgcADs5ETbPLnK+
NsHDde3U5HKWl0GpqsWTnibKIY4K+hTFSuclKXod0RkEDk+7ZejLAjPG7YlZHLQv81A75TqTgB+L
05+Ao7pvErQhWaXjV4Oc7vI5SpHUbP8ZDmnC29iIHA0Uf1VIw1yvNGvTAlRgdhJCHGb8U5QI8IdU
IUfWFTLaZ5L+1+2hLR/LMMgnl7cN8Ger8CLPzcroizROQ7P70KfXERrLINjcp2+NCsG2pN1Hkifp
WzxkixsSksdwWdhk6MaAhxV2WpxAyK3N7TSsNJ0c1VaN92Sm+i43u8ZNWbWlQrGINwR7wo08QlGu
wbMdo7Tu2vEZuqQ5mkAM5Gi9EqJqt+f066l/dSHDGqIagJ7R2wF2A9FrUZoUHTLR4ehBHO7o7Ap/
8EHg69t+4YMnFCTmkrcfURT9oX6UYa94RuWNW7BobkX4Ck6NKSOcRVcuROCvt5KkQHyyR4N0WBpI
ylWQ580G0KToxm9wqf7Ok9jeiENWFhUhncU7e3gjoXhM1F7XpbYvilBL75UZkt1z+Ma6LcKhtR17
ZUZwBkrb6VAaKgsIJ8QHdIVZVXynxOmhznd1HHkFqt+9Zh8bxd54di+8EMK5y/EJUQiUwYrJyqU8
lCEub0x3WRG0E5j0QtSgXJDym1mzu72T1pbw0qKwkUYppzoOZxES9ig5xIeYaPwgNXsCrfnbllbW
DhltKMkjpW/h8SpMqiVBBVJN1TLUCRLqQ3oo03etHB9ntfNvW1pZP1wyoBblREKIsUSSCptkDp3V
vA5ZbYG7zPAwj+nkQeIrKzMoHHkVuomMDE1xG4b5hr8+EEAxA6eFmgWa3eB+rg/ESOpUHa0ZlD0d
/dlOHpvdDml7Z68mO1qelKJ1iXxQ0uJobrLpLef32rawkk5BwQYmK7A9vSSgCSyqY9nHHvu2McYF
XAkdP3jA8o1qoGIo8lxXWU3tLG/rUFLCzgBJbRcfpug+c+6QMUZOFEwJoSF93Lb69RBfzux/rfKT
cxGfMJZOVlXXdTjAweVv5MX4nT9lwXCn+2Cp9eoDUNX39V6+Q+tuwO6bx2xXHOZQflaf2YHujdPW
UV36+6tp+NqDFx9U8tQB7bs6VKjkS+DlMSbdK8lJkSG0MhMPKqM/bs/B0jlcWxRuNJJMWSzPmPih
e4pluPn5oer2beqn4yP0CdFqcbhtcBGUIEoDFgWHiCfsQQNyPee0bKoBEUsdghvIGxTJj231WFYb
Sj1rVnB54F/cacgE8qfBxUQ6XWs7bT03oRa5iLKkn5v4nWU2i4eb2K8QiUQ6CxDGaxNRPFV4ridt
KEVgT0IRYvBHCKq6mtZpO9ri/3VTLvv1BOnVQpvKb+j3Kb0utprT7RldOaOoaILEAr3eX4+q6w+p
WJQiajGaMNVHvNe42ukZvSSgiN8irFiZVWQHUD8GcTbq5LawdnWDQi3Sck1Y98yt5CkkwKFlaBy5
PSA+c8KxxNsJSGHcx0h5iD0ijl7mxjyUbWhXxbBvExlE1f28pSG+svPRcIqiLHjrkBMUrXTJ3OYk
ZW2IsvXeiMYzqCqesjspZT8Uyf7FivnQxhunbVn7RJBxaZR/1MW+TMaY9bXdtSGT6lOevbcEWTFy
LqXBrcjkWkYPIPhparxKkt5ikoa3Z3ZtAdFkiy2LmgIw7sKxGFRrSspBacOIGvt+ot4w9Dsq1Rt3
5aoZnmNBahxFK/HGimbktJxGb8NEQkG3Bc5OovaeNeaf28NZcZdALv/XjnA72UlqjMA7tKFhndSW
oBn+ValA2X5fFwH68jfgXfzXxG1pc6o53pyKfjdh7eK+L/PEICScuoo+6XVmvvd17nioGkKOqlab
XaZkWyR3a24GoAk8OHin4JI+yiqQam31koRGlhxlisPduobygdxqrj2DnQvvq36uDlKxxV25Mrng
+0ZZFQAlVD4NYXIVQBTsBqxI4WzU0FG0X4fWrv2pyp8MNLSm1LY8R0Il9PaSLs8+Lw6oMIp3CHIo
fGtdHJAcIISykLouZBYBYkIpkvfONLOn21ZWgjkuk4qAzkB2AqlcwZNVbSlLaaljcCXLj13CzLPR
OqmvSUYMKh65e67bcXrPpB7922Yv7XO8f48bH8Hv1usNhY9AfgjCddAAQGXseqxmbtO8UJwu1Eir
utA+R86NOL8U0AmfZgZkozVw/pDIKL266OtdERMH2djsnxs4eQoJ2Um8plGbAWTr+jvqDlT1SJp0
YY9MxA7gEXqcs7LduPjXVvbSihBpDDZB0SpFchEUtOMObxaQrrGO7m5P6vKQ8rHg4uWaZyBqEKxE
6Obu0hJzqvTtnUajDFRO5kemJoc4jg0vMfsNiM/S18EgCDFgEohtnJfryVPbtNQkBwYNmUHbPFE+
VCWq0bJOrA2vurzn8SA28QZQAVziaIRrS8hwWmhhJDTsyJ9hetcgtFm+kWjDp65M4JUV/hq5OIAV
Mr+T1tY0ROoOCiVgKHQTSBWD5RBEvJWeoy2ksrYIa8S9gXAERWGUlnAfg1FezOAxgo4/pzdICNzM
6DVNS5AgT/SNh/DCl4pmhLGptKnmqbUBaLc7cEGBDAm62OPfCCKiavdkJX8Z607odKn/cY+IdoVr
dx6bqUCqmISO+T5mB8repuz99r7nvuLSl3yZ4HOISBSlBtGhxToqw0UXd6GV/1Q7iM8DTgot9h3a
WcDlje4a3XCh27zhrb8UpUWz8BwAq3COA6S8r3dLO5ekaSIGd63vsyB9U3+Yr+nDcI7uq0/Li881
MkZQpfe6UxGfs2nDpYh7VUVjBtwWKuRIFvGyzrV1BrXBKIpQVkkL1/ioxuSU2abfKoZv6s5G6LRA
novGBG/dFImalLFCQ6dAEmkvgykAUn4VQ9vZALEtd5Zydp4meKejXk2WuZPUqks82hNwhBqWEaWH
SHEG3r3eqMUxajvL9oo8RXecmUKw22+GTp6PqlkA56M1Zld47TzMn7f3iehEMAoAQLFSQDWiKiKy
ZuFdGZu0mIdQY0N2kFD+OeQsuUMTUnaMGKm27riVJeIHG1ctknlAMAhHLm3qUSuLYgzRGag+pCWV
3jpWWiczHZNdJA0d3EszI7Eod4On5Y3kN40GHl8zGzw871SvntVj1jTINUqSespgDKFXudlxIyYg
MC+ckNFElz2iLLjy660US0yfQF08hlkfOa6p1neGQ7ofxayQ+0LLNHdCmnDXmnV6QtOOciYQKNkA
Ri6PMEd/8fI64F+4ZQX/Xo2V1tS1OobpqI9npH0eJVApfNdJQ3epNNVBn0ZvVqw9Ks2wxcf+VYq8
Psi8hATPj2w6XrUi+L1QWYE6ujaFWay2ASmiaW+oGkP5KJk9xCjyPtfQEtgr0nDvzBDbNcshOQLm
3ezKuBl/ZUVWPeZUU71slEDPWRgjEhhQfNOmznLzEfKNRdLCzzbEOkMkrwVr05A/gv5w9KijRy4e
RCCZrSPDM2X2bKazsx/kIT5Kg/lC6nbw0PC5kxAfumNJoUJVVfXGs3PlekA1FvS9oG7mMb4IwKvi
nBSJnE5h4vzua9WPGcRYk3fIaB3tXA2nCGgsdY9A8AVfePtYrhyTK9PCDYEiMfRoGFR1K9V4NPLo
hZjK98nJH7vhnEtIud82t4h/+XZH6Z33vaMiDm766+3eNeC+m+RiCpUsgyqZ7mcg9QVC1itUza0l
6mm0PkkNYCuxvt+wvbzsr20L+1yvht4iVjWFg8WgLtaiMWdW/aE49NKvMrI81Yl8VoG/Q+/yw5ju
Ldn2AJnWii3o49qkf71uwEaLzhIxdHMyeR7aiWC9s95FF6qMOGBATx/rPoG42Ag+1kaNKwofiwwA
itLCjFvM6bRumHHAMgm1x8hQjgZxyL/vI9A88hyNhvcTemWu19XWktKxM3sKzdJ4GhIo7+poEPyj
O6B+edtYx5XpQxFOB6gT/gq+k//9IlKsrZiiiGSyMKXtMU0Ml9jvLTvpaMxho+Qqznw2OieooCGY
oO6MsTIncWvr2FkfFYDfFSkOtz9JjMXhu/FQRdIBRSwk5sQ5ZhOJjKZN5zCOdLxO+6kDay7gxynD
RXzb1HI5OV4S/RQYPC5v8XXsQM5Tq+ZyDqHjOropgv9dVGuVf9vKStCBqwjuCNw3AMojCSDM8WBU
UpwSJczjge6KIqWnRtZrt7H18TAySX1iKNyDFDqO93GrWT564i0f7Lq2bwzzcFCKyLrPnbrax0nZ
PtC6UA6WPFpeQnqoRyZKrz05IPLdCHhX4kIkSuBaDKR60WUhcmsMTcHswc60kMWlj4yFvkv83vnU
e9ds9gbo15iXudAYBA1G6oNgsfo+83NH3GYrmbji6q4/ha/kxTZFXdySjBKfYp5Nr9onfkh+QV12
326FOjyUub5CofWBOBqgDK55L9KjaM6Yj4pWaSGuP7fctWfFz/Yf2jm6q7z85fbGWNnpsIUXH1wp
qG7Fdoa5r+XYVGCLIr6vmncIqhJnC760jBW/xEs4pBbbD+Cg65kDReqQdFmphSR/A3/fPmPdrhgh
KJlsTR13S4upQzhnQDucFwUES6mmtTY1ay0sfpjS0dq1B5YdKrJHTk06z7U3Hg3FLbfIplfOMPKg
KhqSgAnj6dDr8WVjik2azkZIDPPMWqZ7hpE7u39eKfhhrv7JUTq2yHiuqWOqTzmxQ6oMxLdyWriM
kPuZplui8it7AvvuS9EGlEeIZK+Ho6tDoU6xaoeZIaW+YaXU13u99J0atDa3B7Uyc+g4lQHYB9Ub
2smEy0zWOlommWWHUqubkDJRbah1TlvKaKsD4r4cFJRA0IlWLKnTaDNJdlh2GjkNiEJT3CJ99o1C
0uTp9ogWthD3cm0W4A2QRkF543ryLCluiiYtnLBT5fopj+Ja20sqNNFdgua8TSrRpTmAZVDT1UBf
zDeFEAOlaH+zG8uSEOsXrgO5HCf6aWkjpH0PY1+6Wj6HrN3r6NM2SevGJDrgf+0GCWXJeAOtvIB9
2HDQwGMjrQTGQCSYxH1jK4h7B0V9zV3/4WE4te7v0+vJbX23cX88Gp53lPynjYtt4ZVFo9wjXHhl
CSpXjlrDaHKivp+eyef5ePfn9pqK/ku0wXfxhY0JxNwZOBbUV//nty2PJTp78bf5Al/8tkKtNI8K
/Pb+YToF8Slzz94x2m2YWegliGaEZ+kgqVGHS1Z9fX8w3NoNJvd0+AjvXe/x+HL0N+ZrIVUhWhMO
AY1mQiy+KHf+d2X/82F8Dk7PH4eddHik3nQ4elvbQBXPgWjRvp5GZudm3vJp9B+UPTnN/s/EO51O
bnPcucBq7jTvLXNfPp3TxlAXbz3RsOD7Z11muUy44cEfvs3Y5ONxc3T8FF9ea9dG0HV4PbrI/N/R
3RX3pevvX93peMr85/DjG9t7nvTjj397x6+vIEgIeBszZ0cRzrLdTf1MTEl9/U79h33nBs+J/3z4
cHfQlPMi9/zkv29h4tf36IVN4Sj3bKyiKIvU1+okz4dHdv/Ddh930H0Kzt7ovrzI7svx/fY4Fyjn
r5m9sCkc7bQYJw2ifli+5PTQDN7s6n+Uc/0Hm+UY+09PW/jGdX91YVA47wBeYNJnR30dvVh3Vd8/
Rt6fbONaXT0NF0aE044nxYhrA0Z0Tw6j5//vpAnH26rBggzcv/ra+NiN/D55nX6z7P5YHI5vHnl7
Krwtk/z8Lk7AxYiE842igZRStAS+MpSw3H7+/uF51YN1+h/SvrS3cZzZ+hcJkGStX0lt3uNYSZx8
EdKdjmStlrXr19+jvC+ejhmNee880xhgBg24RLKqWKw6dergrej14hy42jit4Z5Axq4TE/N25HO4
8C3tw/t8lpYcxeMc0Y8etnG4KuIZirfeCqSiBf64r7K1iohn8dThB3cNo+VsMeuahCJecbDmict0
m5Htfr/3l4/a8s/DA6H2+zvErjpifSTk/jJ5Ns3GkpEQgVhEguT1qbe2EXWWyweyMchrSCn94GjJ
j1cuu07Gg0hVU/WqiEOLNmvr7a2iIenJg+ajUkKod/gIf3G3dtY1/1VMFrB8vS6KokX521+vHdyr
7TG1KjeyZADoP9EGu/aS40BCK3a5lwJPgxhPcjWKRYrXlOzXzvN2Gz1sE89xQrJ8VCx3o7sbKlHZ
ulLvgxPhciyDBWWESaIVSQZT/OWfSUhqTvaae4iMd1HOmEWUT1fP1uotxxnJo/tAbNteHT+5kcoP
HA2rMYxf0Q0wJ+QdNGb9Vh1MWjxYoeVxYoR/MAJEiUj1gNyGbVAaz8BzLKRkgRW9Oak1QimXD7hL
Vygq04N3OHD5xqZr66f3+iuRuQCkqu6lYZK4Tpdv7VLJKQKvdjsQ79Bw7pp/CBX+ymLO63puwl7C
KC0/I8/Wm2T5ziM8y2+X0NR+Oh4OH5zt/Cot3Vscc2aBIuVIq8Zwzdav5nE/kgwzeQnYD3oykiWR
l2RDevv9fFp5R7AdfgJtepieHh6SbAR3FCdHNX81/V0/c1OY3UWRkgrrtxJv6Ei2zI5WerrvR/9B
T/8jhH3C1mUeZG2NNaOGcHlRrw7xnlbec0P+u8V8qfK354ghN3o9FlgMEKw+xSR2wiMs+sEm9v9M
7u9SmNDyolxDjCCLFv6ztddiu7NWK6sjXtsRjqLMx+YoxPx/u2MpCbI0j8ZLjk1DmQd/Tp2NN5bU
WRbn3uGezmSO33YN3Bp1HF0gaC0co2PQ2AHxwuPhLJI1R9Q/XOV/18R4fQAA5OQcT8q/PYkUnJYU
yyrIm2i/ZU/pOvQPFwTLlKa7V3qMeb6Z41fYSkfXGFkgVufJ9E7Om7P0v3yZS4iNZ+sT7jv8sTiq
P3/P/V0x419aHXQz+iSzoc/aqlKs3QrhivCw/sD0z/uy/uHu+SuLcS3F0JRxcoFurtcD3ToCcZyl
2xLXxgNyhYfyfXEcz8H2kXegaxliE9KsCOjiQ/3sffJWxFNNtocceLFGDsVpRSrpVtvOrqh/WadX
QHB4voMri0lGqYWImd/SZNlbR8Msdgr/6wg+7w3Fu08XjAcZ6kC7aF+ndAKtsrt9+0V88vDy+tpZ
73iAc06JuywmqjSHPIu0ZFJ6CSGegbchPVsptThxlTwfWP1H+VgMTGNGaS5+XSSn7WX59ksgeOMj
oCO67RKDoNjwBIZXOhCEDBy3Pyt66i0GiBnDtthyn7qAP8ag+wUeCJU9Hqw15/enO/DHlf3t9ye/
8s1Baot+kVVDisDcxAtEJeBsEz+GJe+kpjzIPTGMc1Tgg8GThWU8IxjWtzt7elzft9kfXMNf19e3
pTChVWucgyoxsRTQJDpwElvnDOpP42wlfryN3IvVP/yXEhkH2GMOe5hn+XQ4sltbJ5OYCekpXjQe
73r50QnMro5xgOem1jHiO1v4V+dqTSfVb66p9XT0Dp+8rOoXFObeaTGBkzGGWaco2MkGciwU1LSN
DfM98BbFUb6vlMw35UN5VxkVDWvCfK/KP352JPzFOSKO4rFpePWS6x0azyfFU2j51JJ0oKXhcL35
ZCd3tuzLVX1fSlJ2RhxCzuCuT5r7lq2EnuQ7zyt5mzYfPP3V868w7pso07hmANHgdLbbWCQXG1EF
WCVx5XLzfrzNY5xDGghl1hiQVNona+84PXnM179TYiPCpetnHoXh/PXxbWWMlxgr9BW0F2zigmTk
hPTm8vFRpw81edi8eik1KPfYpgvp3rExPiMpx74OUkg8P2uC21Pb8w6mn70k5N/djd8WxziLIg3D
GCSMk7NAxKsTrG7pPipTFcamK3gMzq0lzQYx3wQyHqMsgvMgaBAoutrbert3loAw7qrf1Ps8HP7F
Tk7dfWCmwGzfiV9o0qVvWgkce6AC/41wJku80dGJcpgAqvKqzizjhWPVPx3HrTAmnumAx2ylpIRV
r09IXyGxs3Rd84CaCf7h3JAzmehbYUxQYwptmQGfBmFIcZJxc41IZC2JvauaqSTEEzep3K1K3opj
gho0EYNLpIO46rqprYHKq5IUtLT07eZMZV/t8YahnPuZJ5Mx9FDJhyQ+Xxe+KW2y3C4UiXTisTQ5
YrhbyRh4lJ+ztJewNuuEl1GHmch2hWn3uX30vFHghr0//dftVjLWLcWCKXUNlrU+bUWN5O/iBoZ2
Xxd5qsiYdX5tz2GXN/CRneWcIqo8iA2tKSeXM3P93y6FMebh2hdARWEpHV2LNMEZhSSjA2Y6A7GJ
gIOnhZOW3dNCJgTQjbjWhAryrMV+e/UTgYxb5MO4XoqjeewraBgxZ/kqfx1R9uf6xFO4nz7wZttY
0OsFIcaolTgdTP4+QQlgwIicfp9aS7Gz6JHXwDEd9p1dY98/6BKRx8u0a9vn83vkAOzJc+qcc2HZ
MNswqcD+gwUNh9M69tEPqglO+nxBYmHN0eyZgPp28xivIKhnPRsNyHreWgLZkmDZAtNFjx3hpcxn
im+3ohjHoEdyrRkBNk4wSVyT5iGCHF42aCY/eSuF8QdRViggp4OU5+2peX4bbBO0m6vGumrTw/Fo
U428poTshNf1di3st2uLlnvUjVH5+W/vSxamD7LYTscobfims0Ya90+yBM7L9vg4DJ7GMJ4jEVOj
GQdczB1FTbCLl8BN6jTXiEUtjrlxfCELt2owT66qMb7YV8kazQ7E2Ay/kyPPNXGMjMWAjhWoIrpu
UkuVbC3DNcnb294nrouplxF5vu/eeUagMKFGfg2iRBRxTqc+tIGA3VigDgeRrz2hb7f8usdkVHdc
CNtOUckYhRYV2MOttY/K1QbVVJ1aoPKwGl4Cb6ZAcGMPyqQ632I2sZQrMZ12EpdK8IaQuyDOfomy
Trg8LzfABnFvS949pjA+RW+COiw7LM+CO95vSbbtlpQb+vJUhHEnYVUaQT1CSkPR9T0QJL3qjBDh
SXXhKVFo4LllTqShMJ6lGgYzbRfQknH/bBxKlKoabipo5uF3e1xMqHGNijroumoK6E/WiIxXbwXu
Nons+yrP2zzGYYy5HNadOXnJjIzrnPPrPFfP9sRml+gqti1WkT0XGjFW5wutjKVyJoVjvpq8O4xz
MCxDXF5Vg6lev/astcRnUKp8NDIBraXHKzjzVJvt7omNVEcvMERZWwS3kuWIW/BsvOIm4yUFvwiL
7jgJlkGpGa5ndM1DlAbMwEm7YvKLSfaoclUEg8vE4zRXwS1hvp/c5xDPabDA7zLXqsWA6WX+AmWO
rSPbwHNhbpGVbXXbdIFnpDJ5og29WPmW44w59ws7I0TOkybJpqssrW1lpL5AU6DgR95riHuSjPuQ
AoSkzRVyhsnQIgvPr9RBzhIhFmdFM6m2G5tmR7RJIOzPFv1lAcTOMxhxSfOo7sY3JNtClN64CbeZ
Et+tOMaFyG2P1+z0AAMoYnv5ZZApmFtzq9yTu7unn4wLMXQly0QVYjr6fNL3jiXbXWOjGDXatgdi
pfsOaybTcbsq5rFylcE5rk1P5meAyBF7jBciuh21eslOrh4lMfE83eJR+fD8MdtiFaZK1g7ytJlR
Sy4BpZgRbH2GDi86nnfIGMGzQE8XMIZMaiUp+vjaJQOC44amIhEOSkV5QdUUxvw8sb8ymDCnNaVm
iOpucl7r/sVGioN88uooP3pGDHBcg4rlPwthMimlkV37MYCQ04QCregyowAd7YA4WuWu9y/fL3/F
MeGNnnQLsRoQBay3p222pZVFj0gjcrZucgb3do6JaDQtX2hjiUU9X0QShNwA9GeK8nbTGGfU1rKR
SFf8fkKetwtL2u3wBvO4CK15k/27WdPff4sFy6LFQNn+SwEwt8IZ11sH/wBkWn+YNN+VZ9JtKMYZ
Emo49JM3j/UfooK/4hnHNOhZoFwbiHf2DhDQdmNxs8u8g2Kc0jkvtUhRpxWecEEDiLz3fYDeQtcG
CB6w0tWnaX1ylGPe4YI+ChT/MN8fzBtConR1rY94EkUk3iS79FX8o+ybZW4nBQmOoJVbcpzhTMSD
FmkwHYKzAo1DJrPMXs3MMGhH0R+CarSR2w5fw6TGCMr4IqLGN57lTWGYg3c25dAq0CW7Q4x05bQc
zOw1moo0bWqcm4YuMZYOnJg0dXOL/qU6xGlIFrltFC/3VzrzUpogJNNQCRNjs1kGMB2U3GJRlbLf
Jz74Ucm54dFJfHHRMLYNEQb6OEQN7K5fsdA3ozBUdBiAdkhGWJ+QU7pE1v4tvNJ9ihpjuNsvpfWj
QN3c27xopLMuBCuVnWZTbXb2U+seOco0u2DwqWHk+AI+4QcjaoFh6mirBHg4QspgUVpqpZD7ezoX
j6giOj4nCjBMImf5z9MMXExhHSK6q+lptGLMbNRJd0F/N0GidgUMfR9b2o5HgjSjL2AFBIsz2JR1
faEyN3hooAu5ucoQq6A7ufXavqINN0KfSYWgbxb9P2jgM8Ufk1Dqvk3DsjDhAfblW/sSbITV6nMR
E/XB4mwjTxJzKSQgdR8vESRdnbVOYt+0E8lKLG/dEINenfvS5p4D6BCZpkCi11HCuN9b312kpYIA
AZ4NsyrItsztViZjiMTIAiiZx5Yq6LSoxp2w7TXSuk8ocVkc1ZzL7AOxgmnNYKvGGbEHOIR9f1UC
ASHzSt796r36TM4eAnRddLMlPTs5tcZ9x3vdzdyNkAp+U7TQorvpx5NLFetxEDPFR/dYbHpNp1Fx
k1Q0fry4prZpBtroRP4/j7lAHIO9RrsadHVi7mL2W+ySTNBB9eEjMW63a4x0W2LY1suB58u/cEaM
/wHVBJrjwEsKEju2Zy0TYi3vywUEWcNArfJdnPAF1+eU7LVlCFClQLL3Fv+12EoRfYnPqBMtVuDS
JJ6hE+mBd4fORdo3H8RcLrFk5nUqyKZf2eFumzrnVUXfQOFA9B1Gz7egzywicuAhE6dfvbcNzH4H
XRSoIThi/BTtgY/JBoZ05KjSTIz9bWEaG2NLjQKyBAye8Qdwh0fWOV33a2V5Vp/vm+qcf72Rw8TZ
RmOCfzmEnHW8bOzBpG3nmDuFVD6109yii5Ks4oLzQJr255/3D9Onbv1DXCtZ2KAl0ofM0TYb0oK1
Mnive+BIVZ+zwvuHBa6NW2Hg2FCV8qJNOiuvuveF1VUkdjKqamS3WlBbOxUWN03LE8r426hLBQwx
x7Zi/K1g93SX05Dj02eMESRI5kLDmD+wuChsFyUo64S06ALTx6Aukrv5Juut0R1p+CTs62X7orrV
U4yXpwqSx22YUC13kgSTD2izHB8vbxizUZMk9UPVDf7c3/Ofq8fQRRFzSTS4CQ10d7dbLtZ9mBVR
FPhjaWnVptazZaGAIb8FTDhNHV3jbMVPfYI8DMzAWFNQDaFv/FZen4tyXZRJ4J9E2/cjEHeQE++y
1qYju1XaWyHMi0AD5NO8YJCY/3za/3GctUHXyHU5kiW1JPMKd+tY6y3aEPZL9LSGXrR/eF2t7Gj3
vtvtFqvsAa/xQwx03mp1duhqdaTvvOTNVznv3idO5/ItPAzPY6gF4HLxLSDsf/0ykT1vrQJw5m1J
fHe3AmhqXK0kOtoeoAKY7caL1n7ef9gjFbeRMU0DwfzN2w8Yz6EqX69BgGrg6IAySPVGr3u9DCT1
ir3wysOwzB7JX3FswiMD3UwyXs3AVwxMddROasl5Nsy4x5sFsb30ILioi66FhKuTLzGw8K0kIngW
SmrSaBe+Xkj/fKU8dsQvcDR7jmDdw/BIFUQ5P8binMuL0edFrkxdsQWoHRS6PxPnkbjAHW2gTk9A
zPCUZwbRjBgCsShA8MB2Ip6/PbuwSoO4AhGUj0eFZAFQCnhOCRbq3XtHCruxwalEju/3HcUXUpVZ
6Y1QxnK1PAokpYbQqwWrqQjaks5/AmvpbE/rD9P6+Cg8q2s9DLxbrVY5pQctIxiUefi/X4O3i2eM
28DgFqEu8R0KEkFOsUqt8yE8BA9LMpxyW3tRfgn+/aXP+MiblTO2Og1mHOKyUfz8TN4uC6Itr6HD
i4Jn7PFGCGOPYSxXaYFRuL5l7t+0P49jSnoXRbTD/bX8DFZudo/FWkVVrvdXuVV8w432jw+LlfBx
XwBPOdluk+F80QPRhIRxL77VSAQtLHQULF2iWJt+1Z1SQp86jjeb6aDAsrSFjGkf4NzGSLxbi0iG
rBDGdMDuoVUcPQyh7VdbnwhTs+D60dWpS1V6FNeYxJWTzwOPLGQG5n0rn7FIQenB/wc+dhhHBgDi
VMVxSuojeNkuE/rwMvVY756O0SqykTXnnOlMcvRWOmOaiNDyc5xg9e3p/K6tYJm9B8AlnLr98LIp
ljsQNUQ8GMKc67vZc8YQ8dbHX097PjWgWs5e9fylJqAP7lG3bYBKVp/Dr2nHQ8viVrFmreXbeTMm
uRgqDekMyAYcI0Qp8Dk9Lsl4sO3s4V3ZxEhBU/Pf4CFu95mxUWWht/qo45Qr28ktH87PVQDBfNV5
+jzzJoYkpOBAhY+MCkhUbvVZM89xHmLUhN/CfH5J66Wbkg2ICGzUI87WQHjooxmej1uBTOhdnEO9
lkYIXFvbN5QCoUOPhvWoWS4gpuB2dXOKBAS32jPrWr+tk7HbAnAFgPshFviS7cWRlGW6kzcfur8+
pG9T0xOvIDIXeN3sLGOpOugJdbOHxIauLSfxSrf1+peCmo9/gB5ya1Sa3p+ertsEu2wuD+peXxp2
ais7jsOfN59vS2eMVq4jVYoyfEgCxMvWAbF7QNAY4p43m81idSGrwgKySPxf1GHnQqWbPWAst4y1
TFIxORTg7Gfg2dBXUbiY72sQ0Ttw+69mIv4bYYypKsGi7UFeOq0zfmhzvymoCuIcEXOR9lrCea7O
JM1v9ZgxUVlYCMXlMkkbaZvDD4rH11UFmONhqopa9+863kayg3jVSBXCIBhhNVs8LwzSosKGjp6p
nweMIRw3P4Nxv1mbId06BeNqYKTCFU7P2JYrsLwQ4qKbCM1saDumuX229CVnfT8LArcSGTdUREly
TjCaFais5+2b4yZLjyNhNh75awUG43eqsc6MtIOEi+WoXkiknW3vVnjuIPLhJTvn78lvwhhvc16o
1wWmzMKrWsaqIjK1/K/44MGwXMFNvczBYBXrwtGS+eDkm1jG5URmFstSArEZWW+3aCZBPOQsDYuQ
32TTWXjqrbzQ+fB4zTg8F2MwLibFVLZ0KCD4+bRGSOI4EjxM8STYxP29sfGqXB0FK6cpjSlPV6dz
+/Fa+LZmxsXEdVqBqBaiMdXvQaMSQccCLpMNYJL2u02PSPUdjH/xBPzualhCxGzALPZkEipOLVU4
Wz+jj0s3cNydDFQVR3V5S2RcTRwlqak0cDXrtdbRKwrEUyX637RH3BihydTwaxV0wpEhK370Gh3l
Dw01VOG1I+sDT1G/4I93Ds1kHExvSoImJgvoS7RR9yDgtbfb5vm6kaxfy5L2NXl8xP242cloxd9p
BOH8xtbd1wBTkifmj+TXf7fDbNosDjtpbCZ7lW2J4DhJQt0NunYjW3m8L2oGmnS7yYwfqnOwpvcN
NhkWKhDx3Vn2hGDME9T1qXfRo3n45JkIx7majDdqgfdKxVzFm+XipHu13olL4Bk8Klim1a2P4N0J
LfNV2ICw/f5iv5CS986ZcUhxHKrXtMZikyuxdCJSDJR6dJCcbNwyIMD3Arc81YOAkoUdra310TvS
19cXhCYjfd0BYnT/g2aQsre7zziqSCmv0UXELaBtS/uXgJfLUnJbmyJ70pCP+8J4ESBbGTHEC0Z6
VNj35LMgjY2EmwMurOXZlTIi/36d2hX1DZIZlkffkQ+Go7z/AdPu3tt9JiDSoqTJh1jBpfrrd5Jz
znYGWXS7lYxXqhbFogs7nG0MsyXgZ7N37/b9BXAeCxJb8ejBT9mLIzyfGq6dkiQjweBCirYSAWVD
gXSNi0dY/RgTuzQ9keRPHNOZdujHDoJdVwP7IwbCsMMuxKAJMRLChLHmG/WX8husURwJs2HJNwny
bah1HRY1MAGQkEQHOdu0jTUIIJknz/d3cj6A/CaHcTtCG+jRYoQuihT1R9t9eHmR6AS+RKzKe7DP
q8Y3YYzDyWoQyE/PLb/GpJjL3vhssycJU4/73K78Yd0AUCty1HEy3HsnxXga0xjavJKwj+fPU5U+
F8KqMThHNf9W/rYsxnlco7gKpMxAJZecJhqsib/i8elpIkniHBdP75igRuzrUKsGbOD6nFsjBgGO
hmVxo1Se7jH+IZeTOI0kfQoXT+g16kWS/upt0GOcrc/OM0Fm9MzFI87LxPBacPxPQ+oZryHGJq4i
JVLRs2WlezhCXESf3RqPGO+DW/CfjOenUvxHGNu4dVVboeiSWMWrwtpaqYHMoEEouCu4kmavWPOv
JOnWjEtjkOQwPKt4XaARySTFicvjOP/i/CaDcRXDFaTFqhx8pTDe2ogAPOHKZAVyotTl6N8MawWc
+zdZjLsoxloyhgCyTG9rLYDLcuRlb2evu4bXKr6Yt9y/W8c4C0BC8lKUBXhAHNJUmnrbbxv7srQq
6viPj4+uSS/2xt28NpsdWCxWn59gCOT2mcyA+25XzDiQ3gyiMLhCMU0nn7rIg6XTLOU1D0Q4wzV6
K4dxIslZaZo4CGEA69bCSDo80CaWjnyNfBBqRyt6zOnhYPGItuYjn28nyrgUqWvTYDFgfc+n7Ul3
mu142D1N6kO5r6M57zXBfDD6CqNWfsykbJu2XARdqvrVCuXQgmgD0iPC83mpnBBoIdj8WFv3r7dJ
R1hDx9RJHRyOyI1ifvKt+YViebles4XqK1pBZPVMeh6MZ/JLrISFqQEliPobmLQZ9VDzMCh0cVoT
uUjkSui79Id3h82GO9+FMLrRNlEqGG2hoj+dWG/Ve7IT6WmdfW5PZ+CkkOqxhs3/gv52zk1+F8uo
hqIUWnAZJ7Hb2orOU+N/ha7nwK9JZbkgg7JruoJSftw/tNksyXe5zP2jFM0oYNDe5DR1rPeLLAmc
khv7Cbx2vKBkTim/C2MvnsKo62t2Uf2xoUa5y4LV+B6lrmnxGClmLe2vpB9Ba12pbSDL03aegIVe
vCSbVfsE9kHeimbTdN8FMZdOiwGlUTMJSlAJAoOwg3w62H3dB3QxYEIMn8to+sF/NgLg+G7NLFaM
WmmmA0sImAiB8qafH3wWCu4GMpfP1by0aYUHK8RcrZPh6ih364BxXdbRYxgTy+Lt5FfT572FMXfQ
GIeNupAhEbn601ZFqvokeGJJRtPSflPLe564aocV/nUP6LR9elrZI33JU4CyKehteN8ze9V/P1nG
22AQQd8OC3wPqk5OZhdu/9ja3qLjPgvmThRjxMHbhAqQiQEBtyd6BR9c02cdBAk52ZonGXSyToj6
wJFn7HOB33dJzKEqYI034waSxiPCZyGlOsFsJXgawEDhTqdENoEycVzMnNV/l8ocrCljyldf9qof
m2RIrMwVa6TOxgfUeyY2LBnZ3w9evWX6TVaZMDjYADBZBa87i3RqG/SPXgdV9U8nCXRLBQCPRCKR
o5rWxSuvVkBsFZnYA228LABf6OByFs37AOZQWyVAmCgrqg88ZvCeXRzZbz0xomH2rogU+NoCnQRD
6S7OHMmzF9j3pTOHHF97QcCQQdXPK6t8RoVWfDXpZtMg9YxQg+juCxWBi4wOI3eW1FwY+V00c9JI
yIZaGkH05bds91dfkZcaoO5NABxcZ8mvxqtpUjFYJ0CLp6sCPWWcXZ9TcH1CFePQJQwPYdYumjkW
PkY6EtEg9dpvn4vH8BCl5Ompe4lQ1/y4L28WCfBdHrPgLEM/R6NDHmaYIT6PJKpZLQnQCHh5AZwZ
+e/B2YCX2dyoYC4t7Mgd0PrlLf5FZ5sJyCHm6smaak5R2K0PCTsxmcj7dD9F35KokEg/dI66qqfa
yuB1vw4HZSQA7vDsbMa2b+Qy4UN21aMA3W06nuPgpQZpxqlES6v/a4StPSpLxf+dg/l3Nb6t6q0n
LD91bq8Y7wuYmKKsZdD7yfiC0FNf0Ib8Cz2th+eTsjqtq9VH6Awe59Dn0jhTZwDGk6qYwoyendu9
Hi7g1cgAE/O75OHsyxYKOsM6c6Y0zqFaR676el/Lvrg6GGd2I5BZ4pDm5zBtBWgZsN1SRiO6762z
J7a28JQt31fHYHdc2SR6/qovATQAyEANwuoEPQScT5kuPeZTFBnpCIzUxZg0zAm8XXtV6EZvdpXg
G6GT9BlRdN/4dRXc6/lBRZ+SdFl1i9di1InafWaFkzSHuLPOZk/O4oVc5PfyslXjK4nhAlMwgXpJ
vOnOJMv3rUHbfimkDZUN/yrsotEuQfv7J+PhReee1d+X8FUX+QbGHC7FUF+0q+BLx+pzUS9lMwLl
b2NuA8m+HIRlGdC28e/v21yYeCOUCROHUZM6IysFXxCtK2InJ/4QJFtdjwhnHEqMPZW2ov8kAsty
4KEx557VN8KZuyiNMj1KTaw4bwA2PiapaIUP2uJxuFhFiUFbwqOcc9LeMw0AMJG/isJSRpQLo1R6
4yL4qkzLygkMKsnEbP6061+gDF78Ka/L5ndAfusYRqvAJ5axxLsMOLqqMM55TAV0vsnY82kUpUz/
PO6n0uTF7gUbbaSYR+FxDnnaxxvjmAZNL9ByhY4hdF+xcDujMURBvPaBHxrU2Ra7y1GxY0fXSYp6
4c6mrQ1ED832HKP80th7chnlul6MWI1kyK2kZf1yXYcTtOSxogsPiRTL34ooqKUOcSvH9XPLcUM3
RvgcR8tjapsawJu5m9LFw/3d+JmA/toNdNtgI0DOxLpJVSx6TQvkwC+fMXPQqBLS/kLx6VeZWVfz
KIjTADhO7PNT0xmZjHsy2jrII2UBoLX+e7E2DypdPfEor36WlG6F/MhoFuAORedd4CNJlnm49HRy
Wl+sNrK1h8RFs43xoAe2OhARtEAObmAU+T5BIyGP/2cNn74E0HqMH8TIWvzPrTc2ywGDvnINy10E
KPjvf+0nQum4svIAHTarqOdo2s/sOyOQ2V+xVK9R1qqB31+9ugbYuv1otvp2tK+7XebDZTtnZAdl
jyP3Z5x1K5edtZG3lzzAjgf+Ovlcn5Jdgal6UU6St8B5Sc4TWA4og+n1Yj4cjunheODo8qxl/91o
nbEwI8W0xEVlBH6hErEitUhqWzhkD4hq4LDvC/vZPzItFv2qioThD5LOAjmasDFrUYkEf624wSF+
yDeBPZDYBqaJKivQhANniqEYoTuiH+g1a6f6PHq5jp/3v+NnnMN8BxNTSuioKwpJCEAn4CYlxnXa
8oYm1tk6O5+xXZfkc63Z92X+bKRlZDIabUSCJMlGKPhWWoBRtt846W/fOSfEX25J96YsyLvmePJ6
NbwcPC+19ff3wXp/QpTLi2wnVWadqo7hrID7S9N7grk9zLAMK4wzF8Cv5DyHSAKOfruPTtlOocnK
cLttJ5FVald4Siqeuarf4tWVrkqJWLyutlmv9v1TmEzEsOivQtDgU6rUU+uXXqTqYt0dQ4nEPbrt
heX9Q5CmpTFLx5RCdA9jeqWkotHh1q1cjK7G+CFYOeKUZgc/avcYdIGaVIQC0cd9YT9ebCbGDOG2
1DFwG0LZgDIT9awwNSiZWtMB/HT5WjDQC7Uz/ftyfiY6vwShQxKj7RY4VWZRGLLYXEs9RkBCrOyx
eWsTpFe1vfr5Llup3T55SPnrXDKBn1mkW7EsaLBN9AIpz0RAftVKsJdKTDalozkI2nkjluYchylj
jKWJscKYs85SgiV9ZxZxAVnthO04tJ6z8Lqn5M2f/AUBmAejv+yj8lLsUa8CrOYXzKZbN5SHL567
+m8+ZHGrQIVR6k2R40NKjSi72FxpgS3T3jg0+u+aZg25dJy5Bj+zh9M+f1s7Y67JZRD7MYHI5/W2
ty4fjvP2tl2v194FbHbVPocVa3Q//PGrkjRPduZLU1agfMX1nPOTtLMWhHKaoi4WKDV9ublvbwxJ
KhIUYFTBT0O7uYC/ai2G+0tNItNpTNdIqdbvzq9mT7vWrUyHo+qTk/xhv7hCkC4FaAL9x7fbj3mK
StQ0HZyoToJtjh6lMw1jq3NkcPp+FNNMEB7F+eyCcQSYXwkWhMWXS/m24DwWkqRodMEvpH2LrRUL
3qDMn60m+HnVnAbTG8hvqBrjBaVLEPZD00RPsrEDyIBm8XKRHC7CSVNAfps7As1sDXQAQficL16N
9WKk2ODhslLltRrboxlwos1Ze0M/ub5AZzkoCb5czrdFYwT1tTgD0/E0CoeoXvblQeme+v6lQnbv
glnqVC6f5aEmi+rUylY86nY7kvE57t51nbboUdbDwlqM5JL+ETp6Ns90LJxO2+oLqwXG8Fzz4sUf
+bnphEwVo7rRm4q5xEwYE+qXQEnPbfi0cPQAsxDSk6IjYKxzMjZEKaixsPOrW4Z0wBMte0hDTkjx
FZCymglCBVXDHGEQRLCYQ73usiot1egpy1HDezDAwG8hjsuX3XutWN37COZpq3oeL1upfK0vIMrQ
wCyv/yoKCuhKXMaW6mRgKXCMmjaLKbep2IXwPj6WT5lJpZCI2qNikrPdDrao2pnuiAsqucHGNKjp
9MlSe7mMdNydl01A0IEumVaxijQnQIf6R4BEhF9vA4qRQzEmrwqkOVvRe4fZX8HHfROddVfmwlQM
QJomrWZiq6hqAlUMtOhJiGm0L0l8kqmximhqOWCEpzAgywYeMScPe8VKvcSyL4+rxHnX3z19qVq1
Y3pdyE3vzFySGLIrgsVkerOBy4Rx3JkcKXo4KLCxcStdyHmkl4dGF4l6Db2y3Lbbc0aFlBRHo7By
wVOD47Un7WOt0UbhWddPl4JvkTGFEGEwsvhsGDygypWPQ3x+qtGZfFkOkpW+44TLP2rsDElPLol/
DaksWYK6muKgjlRxSwaUFMKzLf8PZ9+15DpyRPlFiIA3rygYgrZp0O4F0X1vE957fP0etDYkEsQS
OyONNBNzI5ioqqysNCdPRgZlKQJJQp1p3lpqyTt8wJpgNPD4H9wl+C2oRt+b2DgL8jBtY9/2LOrd
M1LnpQxW9LVE6L13cjVDU3WqhtSf4ScOPwN6pwRoFqBX7D8GQY/fwY/T1TEVHkHgxF9Ou04sqrbw
7ah/Uc64PsI2tlFmqPsjVftg8TGKHxEZ+EGjZTM/S83CuzsTmYFoBhUWZnzmMBltshE+FQ8F41GB
nQNg0JByIKlE0p/SeUt1qt+0ORhFto1a1Hu4q1Rx6lIjd/VWVtNv9xAKO4eC22eUwSE4VQURFpIQ
j078/deNOnZjoYvOKwdu/LoK7boeCXw8TDDBw05JTw6tNpX2/F7PBMgSXgRUIDhMUh45ZO4F5sVQ
99XgxXbAbjPMw/iiHb0OtJzepDvHMWBi/AtdrBhO9ew0IAMmOi8hGB4TnJhhTnPAxgs0KmDM1A10
kiKgGy5M7NpMMO3mxfkAxAvWVWvfaiuy6aXh8DMX9U7eRAViMas6J4C8hL4qeO6AnHy+q4/+zLgg
Hr47PClRmLaNdHHCSK6SJDbYK10MBL623/8f3WmPMf69lImuMA66KkW3SOxGtupjt+GMaqOskax2
i1Wq8RuqXrg7oy7cP4bg+VRkCUMQgGhhp0kF4D0qiuO81HaKa+UZXfXapNvnOzcTOt7LmLiCqT/O
xs0hI7PeK1alg414oUx6U/SoSj2XNXdKPIIrmGuJF6Qpwt1RYpetmiq14UvUvY5sVwLe8VJnXqnF
TsK5s7qVNblmWZMHkTCUqS39aQvYHZXeeN42DF6p6iC+lzUpGyNK9ecLnMmzwvGEfyui8x+v0i8T
xY01CeqcSxRfymyvIc0AB0J6DxOroQyMHfa4bVNqcajTL9w1jwYV+ewqvLj1ijq6ypYSPn0mUFlG
zd2VDDhWqwqBxsYkSlaS9F5Rr3VpDaUul1bjI9uy7uGZoEWvh58YkLQ+O0u50kftQ44Sj9d4reBO
T+PhLOEaz2/b3PZ8TRA+02TH1wuByKP1hQjkEJBBEFlE3KM7erNfUVI6lKMMuQ22b7XrzgVgBv6J
boVVbyVH8fT8eB5LDooMgjdOBLsU/AZkLu7FAQ3H9TRd5jaSoU2tSgxpLK8wvXovWqVWnJiTgMZs
JQzhb/4Vc5Naumyjobu/0PgA3GYF2Tv4K1PaiyCI25jxO6y3A9gOlGgu0v9ADrdqs3NKorzUq4xf
eHEeOb3GVd8Infj0UtfSQG9C6K67sPa38R2co0GLNgwYZ9YVGjsMnUgmSE7OgkWCZvV80+eOWBmj
Cdx7zB2bXvqsbByOaavcFgYtc9S2k82wA6pYUbTky6+IUNLkucRfJuaHXRZZLBqMJgx4A++POVK4
ysnrHjOaNK4zUtQVk4RRGVaXr/lrDaqiXFX0hCIOrUWJzvhGnaotT4YTcDaqv+lFkqDy9pUHyOGy
vQbPLEKrUYGhQR4pIjK4pHzpfpKMdICM1FYG9luf1MOu81ZFvBK/2ZI01CrP9AyxySJz1uPsAQSS
I+kcFiaBpG2qREzH+vLQCIXtcSpdRSQq3oKYuLlRhD3h2k8/NWnnVfGM8KMXTh2v8e2Z+0GRSRBA
2k8SBQxuBifrSrwKUN4pAbgurAYwKlajEYqiFCatlE7zpE3NaKli4F8KyGc/P6Tf5rvJId2tYqKV
TB5lIi2IhY2Wdl/RJACOpB0HVq5hW16Hb6AlUAJyzOQHs8Ddj0G2gsBgJNPpiSSvyoCEw5qlzV7r
RS2oVm1iKsNLRG95Sk8zo3CIdxK4Q/oiffonLtN97s1tMVESheVedw/8n8rRpXSLGYnOW0dtCpMT
16JylBDU/eSBWcQa5b+GilmGh5AxBmrlhAYrkGKfIubO9n2Q6WGTE95TBxONEh5+xVtTghqIhIP4
bZnrdGEwDenbF++79rRcYZHKwV8vLbCvnrCwnY+9nROlGN/DG0vqVyUnFjJf2Ow6sHbU+6E241yN
kEszaQ3knZ4qwrVVh58MI3sRveqJWZi+sVT+F8Zjmx6riKYBeJcgQmF+o4Gb78gbygMxmVzY3KG9
Sn/Sfb6vLM9gQALhXuKtkWDWzKEngxHuXVXaCWawxwRVpOftSH0jYLvESCIaM8jQa0iTV8zytVeC
yRr+IViIHmdSkDJz+6WTwKgvUi4sKamwaakkSXkd27XFc3ISTJxqaHhL8h69n3t5k/RynnUcV7jY
GeZQGCXqNePE2gG0ILLmGY7lGMyeP0SYXVwvWOCZMs2d5Gk5kktoMYbNgG4cw1d30win4YPftTIp
S1WsP4begt+RakG4TgWoBnt+ftXZmVfvdqe5yVVvQ9GB+mOnlRVLfJd0SDoDDfTu4iaovoGanMZZ
6SYhwodDynWqpxvOGsEpz7/j/6GbIshk0QwGYr7JCQiohLZxPH7HJv8SjyXpNolWDAYrIvrc4LrQ
47zHyMoStb7Sb9lLl2s5Ei376i8dEOWPtIrjWBXWuZk2ehCqjkqVqpITCsxGtTFqTXhoLxRjtsPW
IZUWa83eZdX6Ozg2MCLrUHOkhTXNuO84W4kDpgBoClb6LUXf3Dem7SMllvzS7lvN6+A8XsVUIXIS
rWp2S9M5CXJqX0j/OGqGVPhQyCnICpIvkxOV6SYWfMGBLvO6E6n1a9d5qvTpbdzmLC4xus5Um0Zp
EtLUMoJm6df23awx51lAcqigtD1kd8ofr2INsdoV6RuAQXy2GoI/QuOrFWf6mFhQkyRiFzyK2at7
8wGTXFzg1V5Lp2Fp86EVASQKt9uqQksuN92ClZhJ+92vdWKVxCEpPE7GWun1jjoEl8Ggvw6gDhJJ
vKrGVjZk/KqxbZ+81aDyiS3EampEElLpX5maG9fIWmFyAp4q4hpLUdVMRHB3EJMLhI5Bro/58eNC
i8lWccCrYnd6fktnsvjw2ZBeRECA3pSHWyomItKelfur0UH5kQuXSFgJhzgE/6pki/0mr00qMyQw
CVFATOzyCnlaveo+OvAi9ibtH55/0EzGZvwgCTEdPgcVmzHTd6t+shv1jYjTl/CE196+M1r4ffCa
KswApbYDRvgINJEVgHhUynmJiPA3WidLAM45HURoCVZGsG7Ck54kH4BWFrNcqKCD4Oyvc8PxXof0
j1MCYOB0C3HKnCz00UqSNI4L5qe5yzwLw7YVvcoGHrv6A0eGQoYbyULUH5D5XthedsZjkEdkKkAq
EpzaSQzoSWXTpUNe2Vy7kZl3+UqBc1iSQP6jhq7JCSWRXT0vwzUbLqRX5uJB5lb05F4zYhZnfpJV
dvGH+Q45jnC9xgskrWSQR/mkVGteS8+iYHb7kvdJApRBWmzkpUB7pgQMRNjNFkwufZq0KYYal5WN
ycLWJTgLMHMfknmWkSw+SBq7cMVmDeqtvMk9bvjMzWgG8hx6jWGDIbvLMWM2C1BxOVatJdeECVWa
IVKzki5Ks2BNZz0vheFG3P3vAzI5cYUbnJSq6squYxRUsk3G63xOnG6XVYJeKAEpGbQB5KojXhZ0
bfzlqXd6K3ly4H1Si0yJFiM7KFu1TuAUSzGJB92lUQn8CUttqL6S/E/cn8t6wyqW27/FFek+nn/G
IwPMWAqEh8zBptA09+sw3ViUkPE6IZKwAT2c4BewoPMam5B81weqYmefV3l/FFDD8Q2G2IIVb2Q9
0Gu1XAkWu3QFxhU/7AjKbDwywSNr5Xg7bz7FC/2ay1OY9Cb87HdNriPNKI+Zkb7FMM3hi0o3IW9J
HvHfmYPcamm2er4Zv97fwxeAdRQJAhmvuzQ5E3Ycu86WcWkz76kuvLRICFZspPK0TvsbxCmAOJUm
8MJlZ/QbcIuYToSSfPBTIdpaFwXqYP47Bu7uPJcIHZF8E/DBpj0+/8o5i4ic3n8/cnJDMydnlUDA
NhWp2ufEx+sab/IMZVqXwGt8LuyxtWrUD4WV0ZxCQ12neV+BiTHftCzwBBIQZImqNaBfAIGm1r+H
l97ydKT+FupVszfjRuRED2opCcFeVZZ2FSKbiMDVc/ZJoAXSQjAwU0C8X9sYLNwoXFEHKWaP/65N
AdVItq3RFsdpyNrr6IuwwFy65UB0FukJKKWf7+vsIY6I3t+WdhBD3ouOkqiRsropbXnNHFo3IsUA
KUF9iKSFB3R8jB90+kbSxD9mhjZTIg+SqgRE8m1CCYZb5m/PlzNTxhm38n/rmZyZywVMw4NMzUZK
zaa+xWuQrxJgOLitmKh0anm70llIJs54gOCq5xlGZBSBxVyO+y2sW9/lpUYAPXXl6QFsY5h9CNyC
jvwGpJPtu5MyMQm108k+SLJKu133hNfrn3zkws60epXrlRa9uBvuu0NSjiG00RAf/8+R1mp02urQ
B9vtw/MSQn5GdaA1IPQdq2UyevDu160UAjK3AVXaUfvmSxi13RwbtKX6BocYum26f7PNN+Im+tP6
XpQPlFPaefJTpxiuIn9nob9wHWbPkkdD0HicIiYR3K8JHngwVBjNa9cKCZ1rzKGbIlwCBM8JYWQZ
LwvNIMEvTI4yY7qa6oOgtl1Hd3lMzK1Adr7UVjarMID9oJ0L5RdWnr4hVCHyFDzF2i60yOo0RuN/
PHCQDmhLLdAmqcuWT2JLPoQWQkbvBJZx0BsS7gBohc6vWK1Qr8/v5gzyBxB/5PlppBpQ5Z3mwZTW
kZU8TWubSdTczG3mm641V1dIaVTIcUkESWk0HPM0aDw0YbtB45Vk8GTToDGsU/NNtPTQz2nw7QdN
TlsKB6VO+KS2JebkiySNNlS79kNfkwPV5V0VcDSkM4xYVlmuXQ/vrCli2Mar2C+YxrkHAAOMFGXE
LQOBNg1kOqYr5KYpansTo9AO7jCrOQwr6dQfenRDI7ke6bHabLVszeyKhWd8xi7fyR619ebxcbhc
bkIap9KhqD4wu6pLF97uUZ+npgsjk0YYFaaXSNLEJvcDX2bxUNc2FwNo1u2qbOPUq6h84R1jQcVG
I3ArShlxOOhhRI0DKD78w/1i/IaRpZp3W9ttteodcCZAskwAKxKQP+7QyNlvXbDRyKTVVigsPhf+
kHdC/YFH3waQSeM4I2mKWh26lB+yKG8uaWC9D7hi1bdzANl3u00XXoOp4v5KElElxFAW5ICmUz6b
qHbSKGDrSx2pbBuvs5beeQEmiXnVMegtIGcXNnaqJP8RCLLCETaD5r2JyRJ9mg2qQq4vFIt8MPoG
G75csO+zIkbcOMr7wORMQTkYJR4loeI3lyhGpZf10PzyD4377yLQfAj4kaCgED4J8UTFo5LYL5oL
M4gGpbzkXKi6br6wjoeywygGEBIczdjnSCvcvQ7WYs00wyim0ESz2MqmvJbX7au8dleMlmiULuk+
ZtrkFkMUM7WyfW15K1ZtYe8WFHL60IxfArQcT/Moi4H1e7JgZpDLAc5Sc0GhxV8hopJBR6DGFMYl
bTx6RW/Z1Kq/002J6sc/Fy0ryMtgiAUSM/iOySbQUSAXSthdRFQSfL3fpZgOH+zrU8ifhfLC11bD
7kT2RUj0YA+mvQX5U5ODlY9DhJAe5fCIY3bRRLySeXmQ5t3F9z2SU8A9yjaqUSVvldJC5MqN53lv
c0ZZHBo7gOMAPnRy3nLLU63r1pAl0SqeViU48s2OR7GOQk8z7DmqX1ITawEiOFEyY94jTfXXKXWR
K9S+ePPKdZi9tuUmQq87twkZM010J1CziojMGjDcM1OtxVRnQqAdc37p7Xk0mfefPzkpoXBaqpCw
VZVkseiBZVRU/NxTqFyjUFU4NVJI9PlvtIMBqJYHmAIKOlFM3+Od0POa7hLKWlWuSp2rN9mmWbO8
nr2lzLkHT5JiNeFe+KiBDvw30jFlBsE1PBFl6rii17+S6KHqLnVx4ruaFOg/7h0V11l1AHvkGJXN
VolcIA9jUYHOpCRtXxm5W/iOcWPv9UZBLzSeRFgJeJv8REdFIGYQWHb0hc5CimQsH8PX7JMFIzBG
H3dSgOAA0BqM/zT6RFCFvL8JecpSfYeW7EskhyoX7freaOkXJtCfb+pDry5uG+SgBv8rB1b8Xg7U
yAl9/PGlOyjntFDLdWeVBOXgi7OVKbVw1WYdb7cfrdVvvLXPLNj2hxfxV7yEhxdAqjFlei++kRpM
1kshXti63c5v9cz/aBiUE5kRkDssrPahfPi7Wh5eLOyrwAPBeS+ur8UO0QjEMdklZ1ZSvioTPeYw
hylQ/VIi1ZCtPAxRLuNsF9T1l5+XX5h/RYLezJfM/OwJAzcpilAkBPKTneeGMEmZ8Vu6AuTFXWQO
wa6gXkJucdXjJk51CfBITmTRZwfzPtnkQch5FE595iKUOt8fkwufEJk6xSd2rO97iGGKXnPrQ0cx
KkBMWhjGCy773DGjEQnYGRa5CtAJ3O+7KDuZ1GYRc4na66CYVXRka4ikwT4fXYScXnB7HrKS4zlj
X2U0hWDOgPjwjKV9EnaORINoEHwo6usGE2w+DwfrYjWgpt6+1RrA3urZQxPl6vj6/ErNneut7Mlu
x1zJKq433txuX5evxSYH6L8azOdSHvB5v0uUBcDa4NyNNab7La2D2G8rKWEuO6wN7JC8iTgH4+1U
IyUmyP5NMwRDtHVh1FAfVLDZ2ZyOv77GrvtevS5SCD0Erv/5IPhQYPXBUU/RUY3kBFEuOvRFa0Cp
nJLL5+7z/X0XkoHURmvmWrQvzM3qfN7vj2Dbenu+Hw+Fh1E8bBimkioyRh8+dM22ACN3YclcpFIv
7Rh0DZFYEA759yDJMe6QU1l4kMdm+IilZK28LIifu2MSEHl4FEHW9sDBFfeNC9eyYC4cUpoR4N3F
qvAi4JWOSvPZtTEale2OFfRKwLDCUOPaSx6Pk9Cef8ZoM6Y3feSOZWHdOB7AgHulkNCWFHp8x1xY
0UgjPW9R1f7KXtnQaFrbhzPzXNxvSX4qD1B8GDG0UKKaN7FhRS3IZRYyzEVM9yGDKajm0Cl4jfeY
D1+16AAYhBUXaZ1jKI5WZnbwymPinRianXjhYlV0t6JAOgwfCgadbgjmw8XFN7BdkZV2u6FM1D7W
s6XBfw81o1FV4FzisGCREL+z97vUdxWYPQpcHfgK3vuw8VEU41cMGLbOVzAhPt+jGcWQUAkE9hk5
cOaBQAW4tzCiMJP2wr0DmQ4O6p/nvz9z5He/PzmCQXTzhPMrcKj/RfpDQK+u1WxkwVw9F/PgmY81
1P8tY+qPKCitBE2PZXwiBtF6rV64vwvbNAXWxFLv5jmF32c0R1N2zMfzz38o1OHM775/cuaV0De0
2OD3R35ICf9r9/y6sVTPJ+mCrJkH4E7UJLBQuDaTMgWinN23rwu74Ph8LUtbNTqoN5mfzHcErh9/
n716Bmr1i302SwLGP78R4PdhXQujSoUq+tHUYSuj3Uirt+i7v468A8uscAtK/EvZeiNxcLykBXaN
x/ihElPeFPXAqIjAAA75Ayyd3hvdfnVdAlHNOCV35zSq/I1QtChyRRxjmRheIRLqayWf/j4/qblH
CTYG6SWkBxExTWPMkBLLsBuHZ+3oXXJmSLpu1PolwBC5TbtQ9Zq5oHeiJloR+H4n8UmPUW4f4UbS
eV9lN0tEq0syJoqhNMhWeBxk0Dkpiert66UNGx+oyYMiI7pCQIDOF8Tkk7vjRRJdUREzqh4QdQSg
ARMUtb26JOcheh5byG7kTHYLkyBYnsIzenFRtua/LNfizPAFENr9EsvD+EvPVjTZMyrMnCLxsSKw
8TsLoejsedysYuIDIkAS0jDAb8elCmxsu13MBy3t0+SO8KlQZOU4T+mCua4nQMd5g0NfQXJauowz
FuDuQMbLenMZRcDai8GDoI17Mr5DwumttuAczdz3OxHjJ9yIcAV0KwQUuP3F9c7dOFqjtxa98EzO
2P5bGVOAVQB2VDEAFeLFP9Vm9KpoS2M5ZwXAxQbVEHxsaermSoHLOgBWwZ1QGc0F8Pm5xVr6+UmA
jJlFWcrH+PnyGryk5tBjNPpzCXPeF7Bn/1vB5CWWHYatHBiAsWE/VaFVp079WSvmeRUtHPjSYibG
ROrTpOmQ6bxoArInNUkvC0uZvR0YMIvKI/pBHpI0URh7Tc2Azx4crqnqqz+lxi7OdZt5jcfk93+F
TI6kSvq8iVoI8bRMV/5xGnE0hDe/PjkNWsqFvK/x6ykiZZYYoNsRMKRqyQt+KPDD/7qTMzkLN/Cb
sEzA765hKvDxNbEEg1kx7SIZ8qwduVnPxLC3A9fCaGE9o+8SYyL8JTO1hWOfNbs3MiYmHedBp36A
tby+Ii0P5Af8FczyrlyV3R6PxyWo6gO2b7p3o57fGC5F9Cunw+t+8VfWTjoR+4wZSZv3vba1r8+X
Nmsib1Y2MffpkBWtHypwLY+RwVvbARxuS8tZ2r2Jpee9MA3kCqsJrFL1t+vr8fka5lz9O1Wb2Pke
bckYo4vj2W3cfWJdLqcKfA/qgph5RVNAfgZqSBY4/PtDGUI5KSpBGCeTJuiO/EFjjJ0usezNCWEE
lNXwyINVboqua8AyEsipB2JdIpu9ziAyAguAWiz4EXOG8lbM9NJk6DDra0xEkE1/hVjddBeAx3N6
dStgcmOc0pWoaoAAoGCuuc2+/wnW/dK1nLPGt0Im18RJ26rvaAihI8xjLFXumFrigVm7WrlK/8U7
fytrclGCHFxHYgdZrMlsnVVqLbnz80eCGqCEWhiQFxOrD94jsDp3mO8xKOgjVXkrGOATLdyUOfUC
8YWADCIyOMpve96NYanEJggLh+MQAb1zWvGWbJCNIRlBThRWbIOxqK//RiJyLjKw50i/T/P9A+32
VYqxChdfTXequ047s1s3e7IC8vAoaH8poybdYem0HmZgjBYUTD3/FTtRjT51AocKZA6zKDSBVoNz
gtY3sNtp1yP43a5XdB7iv+VKBjZVAKfZknf7m42dRgG3HzDRFxozURspxQdgpwcDT+Dra6WFO0lX
X15OJ2Z/vnq6p19Xf5/vNzs+3w9yR4gKumbHrpPJzU4ap43pLBifQ0hGb2Vsi+DMzUDNvN4TncFx
O5cA9TpgiNXFVc9Fc78glf8rfXLthYb1g4qF9NdXSN8YTEgcS7Rc82ONNrkzOG99LTGXAG6zvsat
2MlpY6oFU4klxDqgBZP/JmsMLB0nuDzf29nLc7O1kyPt/Iyn3QJSaFE7jCyknYowkvEWnNjZHMLt
aibvpVRWNRU1kFOuwYmYqrv2VO+ESAO26vh3wYbyc4/zrbDJqxZWYUUJEYTxuzFR1kYqt3JelNM3
GMY+Wz14czS462PHd4cVN5tYfEmZkYM5I36GIU6VSr0kP6AAdbXzdW1/2Sg1LDy8wugqPug06q8o
A6PAI4gT01g5rSiEcvsfF+/9PbIkJKkkVTZHPtBuNR7FxbL4l54BBJ0mYayrf/6EICvHGOBilekV
4JalFugy1H+9+nsdE1qukZBrZl6vfxdt3rzxQfIfkAYBiI4pCIdj3SjtYySBSp09ZtsOw3AuqekZ
3lthGaVZqq7l/ElMjqz9A/gVtVRDy7b1XFkfcNi/FvDmIyZaFHRxGg4RPoI7RFsOzazROd6FtrLL
Ic01vE3+skStONqWh3MCSAE1R3S7IUS695DyViq4LB+Q0s2ajIzEUASOVLZwDWfdPY7haPhgGEcF
OsB7MVkrp2jiyzE56h3Nr9ZgtTzgGRrAVfqC5s064reiJoaFbSlOjKWUvwCiNljCW2J5hMlN5fMq
BQBhsipodq6y4WriAvXRnP90K3hiaxoZhKzckPGXYuvruH1ERMPAkkF7BMJhAhceKRbgNIUGFmoS
oxVl4AN7JA2XrMxVoX8LqnMfmDkvmG9dBGgyU6h8slSymlka2oVQ/wYAD3+fQneTju+Dpmroy0YR
9NJ0/oA2KD0sMXTPvER3UiZ2LeKrrGERt10C4ep+UTVpMOVlMKLub/+3Al2F5C1WmR6fXtz2sRcF
rMWCwEqTGxfGTSRxCEcvGcaNOBFnKMNr6aHWjnY7NyFZU5wBti554gi2xxoL9/1xwffSJwvOqrzu
8oZpL3SjDeh+yCvOcFJfzXgrq3giSqsiZDegZFqQ+/iAQK4sgMqMAxsjzU8cjjbqa7mXU8CSeiNq
1pRUqkM6ALWZ6Xy49/proRiBC/qwbiMImNmhSCdAec0qJU7zt6oX3rMZVwCfAxLAsaMYONbft+TG
w+Vdl5VCpegu0p+SPw7FMR9WKfXZXMUGtAtnvKH1aokecsZM3Aud7IHPw+9leECzKLrSZabUi1pt
um0uYThlsOr7d6oCTZAlp+13qvXBoWVAS0j56pB89fyuSuyFMxkfxHtDfP89EwtJ503rQ/u7y5Br
fbKRQjyMqS4maPY8usxLr7JBqi3ipH59y0exIKkBfQJSTNPWyyFq05xp2u5Cr1mXSPxJKjvTZQWz
zD4D+YOTjFyM90EETv6zgn7ELt1lpRUOFtfsuIjE+UvHtGrlXbjeFPmD7OcLrtW47mcfODmnxkNL
W0kDARi03HumUJ7p196GSthh4TY+NAIDGQs1/N9WTE5ACnuPAp1nd3GL19A5S+B7RhYUffhhZlDi
RULzYK9xgD1hC+J1kRPW2VHlKWCORXRmWIN2PxZ0Ys46SYDxoWECxXA0rN2/moI/ZDLnMt1FiXy5
05M4C4nLh/yX0suDkQj5TwVs+KEQckenmW5DBUBJooz91UZyvJCEfISOwGJgh2i0PKDuAoLR+4+J
cj9Ou8oZbOEAPi3H0eX1kKrROdo2q+Gdys3yVbZEjdnEMhF35S7gza7TME3BcU0ZbcOY/ZHpr54R
o4/uWK+eb9XDAzV+HJr5ABPlJNDVTOy4m3a0BB5R2nZyAEraJs/QVBaKapZ5lIpBBBmmBNfofeio
XH8u+dGQjJYUhzSS2wFg8Rvd3VgvsEmFScu0tI1ngz0O8qkrWfWr/5bWRWgqjOHzpLt2ZpsRziPV
3r94/oLj8XBFxi9AIyMHgmzY82lhlmfzIgwBkLUjIWq1oYlhLHIGLR9O4y25qON1u7uOkMUhjY6/
AZALCNG9FtBCXntdmdK2BrAWJuu81/pn+Y7y31KT8iM8bCJpovxljWY0jo5pG90ZmoC4FxT7+Kda
7zR3JZqKyhOa5GjlM/xGXYOXVDDRMl5feu36L074ds0Tj9KPpESsBHwJQFzjR+wY1TJfVCAQte0a
BEdkoUr80LIysoveCpx4klnl5lXC/UdghQqM1jSqlpNxfY3uYtY9mBOXfII5JbqVOblBQemynFvj
YDc74/tb2ZtIyRFwdC3R2D+GypPFTZwev5VgY/NRUGNginGGFDZBB+1OWwoE5lR1zJghecYCTzml
jhWCOJMbJFzsVHV98ukVevE2nEI0QIDzp1e9Wvsb/DxXlTkzBMJpGmYAdBIPJLpR4KRsUXa0bQgU
YU4UCM+O7NKQjSUhk5MS2Qa3MIKQyFLUbqvgVhA6AanN87U88FCMWni7mMlBRRJVdiwDm5rzRvoW
ffCW/Boox5EcOJf0aJMCo+OTCIMXZN2TVH7pFjykEEb54DfE7FZOQeluYgDaVCm4uG8ZG9WoylFD
dEEiaIwM+X1vk5BbsGxz2gIQqoT8PYbUwhe9N2xinsty6/C9TaWMlZYbJl4EvM5dsVsRkwXlkhgL
A8X19nB2QvU1/Po0gAS1ik2jDih/RKoCxkPwrez11eoIUtS/zw/0Mc+IDb2VP7Fj4OFH42SAJcq2
UKDpTfu8+JgiKWvgd2zXIiTDuICIv1UxLAY5lufilzZ4YtTgn7RxJAu9nQFzK4vpqqbKaEHGuILp
63S7wsnVKDNcy7aQeptFtqSsdJq25Cw3Sie/PF/MrCBkakX0JUtoUJ7cDQydEfiBCwab8eyAU5Xq
mg4Gzy/o5CN0EyeGmjKyCoASYE7E5MT8yEdKSHZ6+5VT8Q4w7z15L961dyCvLh2YzcBPdGo/fKID
7gGSgn5ztssXsmSy5/T29ismJ5eHUhwUAdXbUnb0hB0lbkDr98/381bE5OAin4nzOMHB8TRYqqWR
V7BXi3o7sNyCpMdU1LinAo++kDEV9VATrMD+kALNOtiBJbzHK2ZTVGrwHVsxuN151f9+vrBZt/lG
3BQLIuSt7GEKRG83IKElGAXhaZ1mJJoFBLhEtkDQ6PaHc3j7A4dN17/OGLa2OGnkIc9wv+Rp5yZY
wd2YH7zBZvtdLjWqlx1pWXPRP9XWDAKGL7/WqcV+78dGDlgbJKvgkiKsUtAzem9S0aTshiEjD3a8
F1/dnDBGvZaKTWoEg+UAmAYG8pYo2xCdWkt9SI9xLWQDcj8OPRvboKZQWCmKIjHIa9pu3K+OPafR
G7CSuKcqP3zFfmUO4EkEx4+HlrnKb6wA1I+5nKjSey2oJXgGZH+VO1pcfYGqWBPcqzAMKr3QqjVn
kEcaWrjsiO7Q0jixIsMgggGU7wab3+3eQc/+ucG70P3pDMQrEXyVtNCS/VhLJmdXO74+18zHTCK2
6Eb675/fBC69i8k0ZdIPdleu61MLlIT0RlNGxx39UsPtWyLNfszzQCAeV1FA0yKiSGlizZIUfdgN
Iw6206m9FJDOVXTHxygpTDSn1Ib3dujgXqMfhNVZAM8XljtjxUS0YaDDFmNZeKjjvTYGIo3EQUUN
dr0u9ffO0NLejCidYADeGQQumIX6XODs6d4KnJjNAcMCOllwabvLQSbBuWqFylAD/vNQ677rEFPZ
wAiSoBex+eMCQZntKeZAcZqI+EY02/9D2nctx44kWf5KWb2jB1qsTY/ZBlRKZiaTIHn5AqOE1hpf
vwecrr6ZQWxip7Yfyrr69k1HKA8P9+PniFCwNDWIYPQaSLAWnOBkmronIQuI9ioWbPRgMaAiETlL
mZpJanwaR15UtE6+VtFCvmDWBMBv05qDy4zuEi1rN9TKFgcwIQyq4yvN6R9jZ2GKZ0JhGZfvv41Q
axrFflPLPIxI0ATn0c8SbBIbjlWeyBisfAcE0w76JbrHG9hQtQ0XUJz9DbtN92DhXd3+mvn9jcYa
pJB4XNi0mxVQQuGhaMI6niK+g7/M5Kt12UUmE3+J7oPcWSHz2QSWgoRZKhkLxmeiZWCXp8Ya9JWA
mZFaUiVL+1AYC9bpeob0zTPYVxtWZ2USxZumHwlSA8RPOSvzR8Lkj3F4XPiAuQWfmD2QTEdnFURo
rs9XE4+JmvpYCzc8N/Jznp9ku3lUPd33LZQqz0I/EBHkywOqaaCxTY26OQjMkuOfXCa9swG6FBQF
jTUgAeGvvwJvmlwOYpl1QLIpsMfisdSMYF35hlgaoJi/PeZpTn8aQ75JmLpAUUC7NqagBVzsYo9z
OPR/BjhHgkiaauEdNO3hW0aoS2IoCr4PWxjRKruXH0H/DzWjpH2+PZTZ2wDu4K+x0Bcm2IUroK0Z
7J8BCjzar7p9TEJw2J9UaR/3ZgsaYW4hvJ2dPh5NwgL4e0WQhVxPX9YrHBMDT+wIvKndtd7Cz3/X
Ln/M3O/fp4dUR0XbN2zGO4LnyQOpWDE4IQme85bHynFKAm9MB2gCpOMr15XJmYGopUi81ksLI8RT
sSei1uJmEr0g0KxuyGMzlFzQPnYa3t9m2kTarheyCjdYyFVgk6obvGhGDrE8YVV0/JDchfSGmXRM
9NEncfPiQ66qI3054kZASmmEYE4Xt4KejjVoBFJviKYW145LbU5qu1rP8crIyMjgJayneSId2BbB
CZphY/Ex41JVNAawvlUE7Kh1ZufD6FuhPEoxcaWCeS67su+tv7NPLiaVKuxXbZZoCcAbDprLkX8A
R62NxHg76tC5Se3bxn5W5XF7ILn61w75fh9dhCjgkR8Kpg05p9xxhgWaczSdjVawUj8tXq8P4z1P
6rthp1qs4W+bBxCnL/TE/iwKUF8wud2LL2hYcZClYtqj7FFlTAYSLdVBEnZFbObj0WPNPl+pqWrE
pcUWz+i7NFo5NUT3NIAPvW7NVD1q6PW/PS9z197ltExP7YuP8jOJLzIZLiGGPgOYE0c9dp94sFjf
NjPn0S/NUFfKUKHTeshhxoPYp7BTfLPVbAGppqRaOKqz4TrqkVPnMThsfvB6aKPcpjGHhZaIBIYt
pHW3wWO7Bqk4PGoIjjYwra98wq/iTXjq3kAqXkwp58Us6I8q3Pdy//4Oamaj3E8z1k04J2mN+liD
H3Or7tKRmLpaPt2e3Z9oj8kWIn/scMT+P3pxWT/uG6DfOYcdTNn24hVY8DKgR0/e88Z9rw7QBUuW
sKqzMcqlUWpN3bFIhkHOuEkmCsT8JJWnKS5BAGqoh9YpcyuOzNsDnb3ABFByKRy0ZRCAX+9W3vNd
Sa1zDmkvfpOlRgOIzVIPzOyJuLBBBR+el4MNgIMNRtDZk5yabOpkk17JMCzEtbOXFkpxuK7wYAP/
yvVosGapVIHMx1FjMEO+SRBSzBbCiune+3FvfYMvp3wdpEquTdTZ2Ak93otOlpngA0ddKfR2uUzY
o9SvgyXU0ZI1auoG32tiIYO10rV7cB4D3oQ8SFTr5/xvvDrQMQZQ6X+Pa1rEC7cFWpDI41tYUmM0
HpPUPxah2bZv4RLAYW43gLdbmcCrQOfK1JD4cvD8GnGTE3xFHgF5d0C48FfG9oST/859eGmLGlSG
1FiXNiXvjAcW0QSExRnuXegUXQO1yaHc5P9TGj2EsIivfw9uWs+LWZSbQFIGDQYjsUXb/EqQnuPP
2yd2bktcmKBzVurItZngwkSji4k57l7abfqocoa/kACZ9UaXhqhgIu/6dpA8GJKKcc1ApN4fH12+
IyV0FwMIE9314rkBBBXyoIG8vj3I2Yj30jj1VFD7zGvjLOUdX9uMroHFQy87hzT4KQVOcuFMLw6V
CiRcra+qlsdQq9KCTEYWr738yFSbfBdk9yMLIsnaCppVlS9439lrBmUUGdxtSMGhD+J6v4iVWCR8
XPFO4uvjlN4xVMXwxFWZH/qH2JLSdV+DsTA3YtQArLFbephOVybtzSBICoYcGY8LUFpe2+erjHFx
RpGJq/WyPkPGZjB6XTKFbMOFNivvQBwF0RjtqAULL6e59Dm0Cn6bpo4Kww9lXePF6kjvVrSSrHGN
41nuGEh6xhbkWV2QIINRFHhn5SSuoL4ZgxKKZ6ESwRPGZmwRMu6Nj7zB7Z03dyH+/qwfNBShVCXd
pLPjoHBAkH+FyvNtA3PnF2p/mggu9UkNlopiPAbiH25Xck6H1KoN1b8uJ72vew/Iui4EyHPlXMB8
WairIQ0DABG1vEMm1bEn9ohFDe7NNe5qwHUZ4+QusunODQqXB8pzoF2DwCN1gPqhjCOv4zgH0JMu
aleulhk9X5ldGxllWZCgPsb5Egv+z0ZIeFsVswjMIy51KK1d794c/DTtkKt4fa8SMvp32mBWR+nR
JcnRjM5bsFUvxPZz9QkZuWtw76PsiZIPZbEVhHYcIo1zIrItd/vOjhXoLOieId7f3iWzngGjA8fG
pHYh0Sm6oi9BFFa4nBMMLx3zySjrzvuQq3Vq5nYZ6rxvsKxZlnrwK+y2Bbcw0Nn1vLBOjZMRq0Fz
s8m6vG0yW3wtvKdIXZfeQUJaeEn/ae6FAepK5IUmXTAE21Tc1oM5SpGHgHcGOxp1KHygIbAYnwUI
crngOo+QKDLLfRqtkneIKZ3F2MyQMQP9uLTmGKP3vlIPSI/x1+01mHGOwOxMIHlUQyBSTV2A1Qjl
6kzlBkfDK34sAkuLl+qucyf0ygZ1zzVD0sp8Chtg7rA6JrFERtzJIDsGqrLch96+h/Y61MbyrLOy
4sABCHl7kItfQB3dtBz4ZoxQ+M4GM6hauxzxUq9Es0d0xjHb2oVIUCGQzK1J1fWWqCXroloASc3O
NPShoMWjiHiLUNsNPMtV3/Ts4AwCuH5cRWfCcGExfwgPITQD0c5vG1TcqSpZrhQjZnqwBzvc+Wt/
XZkv330nHtie+ntkl9biQSa/Nueph+n2NM8VHGAetJioGX+f62tfFTYS18c9KuzP+5c3D5ItECC3
61Wk26jsO7h30UNRrXz7tKTCNc0ddcVfGqYLfUMNoIasAVjQjHYl3ynNa5c+x/LCy2vJCnVW1GzM
urbELqoTiD5rRXOsEhVqPMi5sc0SKev/ZTLBNstpgIQAl349mbn/12Q2UFba7w8pukACkHTdE8zm
L5U068I6nz7yhUWc26Z4IAGWBPpEMBZPXvMiugdlIUhwJBTlOHkTefc8mNVv75KfnGTYpBcW6OCe
E/qwRFYLVVnSoWN1L9stsHyHB2xOtGQ+antt3+s1eU/0qXsoIKnBmz16KB5QV/l8IsymtiWdQ3OD
oENGFZrft7/vB5P1dIguv49aZiauJS8N8H1A2yG/iKxfbIVWZkOu+OiuE90275zQjKzSTqwYsmap
3hEGnUEIOm5/ydxNfPUl1BZI1E4D7mEcHQAORR1agS+pke1HqPFZty3NbrbLMVMOUlZKrio0FIIn
Kjw0XENPPrTUtW+ACQ+7zUOR8owosdum9hL/wncwSB/eS9vTjrzYcRG8SaLJ37ZfIPiEZxcgjv46
IQg7CBa9J8f3xprUEurV5+4pR2MzOPlSPd6jZ3e7CBOavSxQwUG7Kyr3Anpcrr8HckOC4PrjgLko
H7JolZ1UoyvvROGccBw0StJGJRCeVNa312DuOQimvt92qXdSKkuNWsewy9sJkDbVp6sRPbFWCwd8
0Q51EbVBJ3ReBDsRxN/YjSGNRHe6JbDXHPgCiHGobaMWiEI+zScJFdSAL+SOhRnp/XB4KOy1B7Vl
Y3zMUtwDK/du4bU1e1wuLVIDGz2k8bkOFov8mEoQ1hD1LkY6Ecoy7c7fa9KduwQbmp1MRHTAo4ND
Eiq31I0Lohi5EHtgIfetgdTfSxDZ3lqTSRPp6tJDeooQ6YNyaYt66QTIC6t8NODZ1pD9c6dCI0UZ
94YptQuWhMnF/bCEEfEqTgGkbCl3oIIxVys6DiBrVtUbu1B2Gk4ht0nWNrn3QLllVZb+le5Vj8T2
aYuOafEONDZZBVe4tKpzFxI4OtEfBQVYSJJRcXNYjWPKiRj1Pnz2TorObfTanjg5v3D4P26fwR9S
s5PvvzRG+f5Oid3OK6fl3I7W24v10tgdKL4tbN37e02H/tn2+PBpPpmvhf5U2r0T6ytIyhreefm9
OYfCRjMoAhv0vE1NmZRD6Ho1ijUGtYC6FdPtECVGqcUq1nyUzQrQ+o3Eg09CAzX9gWWgLam5g7KN
Ujl7DOSUXUsozdkhOyp3bRbE+Gt5ZwujqBwq/IcEjacteLDZWwSE3MB0COC0wGdfe05mDPwcKh5T
XsFwbbSCiN2kORyuDNyN2vqUvX0xxmorrRv0QS7BXaaTRu9Z0KALCio4gHvQaOsizVW/y5CBr0Zz
5N4E7mFgLB8N/IN+e5MsGaLuBzWEcIiLZL/TKs6L2KCnuT3lmNB8ifZ4Npy/HBI1n6EsZBgS0ihK
SozniZ4WkgCdWf6CIKNkIqcioS3hqG4hyMeQj9Xj7XHOpR7AA8zjbY66yc/lTMpW8+IE5vMSIhXK
XhI+RaiANkGgi8yXy5Q6y+hiW6DiSCqoV3hmJI4Ptz9idk8hP8DxAsrWQM9STr1Ocxfk1jXnpJ4d
bUeivT5Vll1DRsw2Te/X3WZzUsBLsAUV9G3LcxeYNp09FLBBOI89db2b1YQRlLEEerDZRGSPtEtn
gukK/G9IMJ2EY0MWwr255daQdEHaZZp08AFeG+wjNRaDab63gk+ynjyVXymaPHJyR1AKSXXNKKAZ
K6wfV6vbQ51GQh0dsGlMDw1k9iFzRLn7oof/EUqedSCmpKUvhfded7uYJZAJV4TQQFfgwtxOI7ll
kDpCEp9Kao9EmxO+c9le4SCmABrx24OaOaZ4aHNgOcPTWoZDup7NhGcZOStgI2n3Qwva1mA00nqB
smauR+HKCrU9RTmrcj+AlbHSvc0hOEUr1gTr2jvondGlL69wJ66S7pHNF/vMp0n6MYmighQdqMF5
XBPXAwxkXwy0Ft5WBTWup541bpclZhKZQJYUfWOUTEH6T0UmA6PHlZO93Z7fmaHDOXCAek1k3Rxy
WpT9XOSSdqx5gEf5k/I+QTEi0+aUO/YZ3dkroBAq0zXH422zM4CIa7PUuo4ihD7UDGbT8iQPHoQE
garba5barcqWqAE6RRVLM/AJif8q3bPIc0iGuGsftcgoyoXoZFre6zXAx4BOGtopEgrpKnVyWq+r
IrxleYR/awgtbZeKNtPfv/X71BwjhS50cTNisEwNfYm1CMULpBZ1adym5VmUGZ2t9hoat4d1Nu7r
dsElzWRor8dHTTaSEH2bTOODeET21B8r6cGFqnNyH7mv42skH5ROVz4gEUgAYL290DOh9bVt6mjl
ytAKhYSxxyDdKa22ygmTHfunolqVAEqbYrVUSpgC6B+zLU4xIDrB0YpLBfMNXw+RVCDXLkR1DLgm
VJ/BGdLE6KBUOlk8Ry7PnpsqaI2iHUcJOne+BA2NMpJlIhYssIVtAtZdqy/UYDsmUZ6Twe/6t2js
hteMTcaPTPGKxLw9UT8dHebp4qupZ8E4BDF0uYAQKqHIzVbySgBwO/K3Ul/poRovWJtWnJojdC1M
wN0J7AlNT/z5xWud4+pczdAt5QTSk1is1fAhaazbA/p5HUGtHCwowC7LEKCkO6GaWO2EdGgnDEwC
OGOsD0W1ZvzIUPJH8IR3caJn2VIK5Kc3RboL6FXo0kroy6CrhIrWgEtLFAESicrQ9pP4tW99ZiF0
nIkpYAUcJGD4hr9gaS6ttBMTzw183pEr4PvjTVWSQNw3Pg+UrGu1bRGSqhwNtbGC5LmM7SY5JSCm
l8L3JWzV3NHGw06QINqFjDTaiK4X0quiRo7ahHfcPWQu9MKQzHWwybeVYUINGDKkRHi4va4zJWiM
foJ8o20JlwadEmB8dWhYCaW64ZSRCrnhRBcN7q7X7yJD+hvxG7LQ6MhGBRLqJVjY6wHi0aQoQRcD
RBDjJgKMMf9gX3k9gX6iCgkLnzTPMv7H++4ptBcGOreD8WgDCpgDAyv6hK9NB4PMuAyCD8fPCOpY
AwFh3rreKndQXEi3tbn5LNbA3Tt4Oq5vm55xYXAF/7b8fXteHE/0ZSaxx+eCw7WRzuQ225GkA3TT
HGPD9Rd8wcwLFVXXC2tUCMLwY5cxDMbJfuVGcScYa2+T6GgHdQ+lKaI/DPy5qF5HPimW6mmzR+nS
Nn89x7U6iokbwXZ+7GvS2KkBlUw03emsb+oMmMq2mF89efobKZ/rQVN3fo0IvokUGFZyI3oV9fgg
9TtJZx8QYMThQoAxdwsiryQo8LhTt5hCbaW0RnJN1XogVPpt3+qtRj48yco1A+Dozn8dqyVIzJyD
vzBIC93xI6eNftvi2gWCfyA9T3jEsTv0uEubbvfqPm1ivEGWXu9LVqmdhER3Xxc9rPbJjk31qrEb
+W+NDLwR8qQfJiGXdL1jmI5voMkkAG/DP9aMuBa40aihFCjxTiEQlVknrPrCpV+Va8W8xYcrxl11
Szp1M64ByqAT1BS3KAcOpeuPiEFsmrNBKjid3q/jt2btWZjPpdhp2vzULX1phV7EPOtjNCDCysTQ
Jr70RmNzL8VztkYZfymBP/NuxX2Ph+vU5w7RLfqJPtS4ZmL5e0hGshLrSdu7v1cf3rt39d3hicYR
ecvvxwM6fn1LyIl4ny699mb83tU3UKFbX41SlEn4hgj9N5oeBEdh44Ka7m2ZsmkmUrgyRW2jIGZD
pZmGexiJ/GF7NnkiwuYrM7XVopzZzLFACwlAU9PUTunY693ClIMb9pOtvWR+LO6S+V/HGw6iLAAq
fkMWLi6Lhpe9TBMywSmt9AG0zsnqPrArg7XM7Be2iXH7auJmHjMTPe2/zU2fc2GujBQVQNxpjUhp
VV+dDWA1rkP20OzOzapdlOycPQSQkVKQmpdYAGav7UFGtMijtBEcNwlJt2kFk1f34VtwAocLEY9t
ec+OuyrNlsY5uxehG4O+yonm/Zs+8WKcTYhkWhd1vGM885sRT5VQv/NJ73TniWNyCa8zAzKbclS4
BUQW/+HEab9emKvVqBn8OgewBDI4rBFputtATxyyWbwQmV6sGqkbYw52eR6QLs+IL5w4BQGY35nt
4HDx1h83ccbrVbaqAQLJdxFvKP6543Sx1OUXwcfz0mDbjxh1lHgpVJqbLA5VBm0qcyPLTR1cPwdq
upMa3nk0oI3brtaRDqVEOEe88Aq0n97zW6MCb6MORp3b+3GG4AUTd2GaOshhV0hR4uHOGU78CcU+
ozbABWpoRAqI8MSWpvkLuTcdIhm/ftl37X6VLna2z4XE00MAGoHQ/uHxNLhevN5DV5fG43oXSIgs
DgjOOFLraAg9dX/jLX9lippp2Q2AEx5h6tEwnsVNAQlkhnB7FgHaaiUuoF2+FV3pGwjUBJB75WW0
wtFvaWTfFK+McLVKz9Ur+6hse6N9EO4i80HR7R0HDhmf+KfSOZ8FxykJMZ/S1Y4gn3s+edbCiZzJ
0kiX30IttNIPQiowKuDY6DQFJ5MliVhucSljMbeVwR+H1n5g56CkRz2NW6kAhZc6Ck4t3YcaSVLb
M3uEhqkZRM7tvTsXeYMG87ct6mIYmJ53h4yF6zbQHKOdRX18CxwGIji79FUlm80q17/0Batzubcr
q5RHbVHtqMKOF5ypBDAQkFpv5E37QGTjaO52JeGt13HU/ZWkVx+3Bzx3VYHQBlkBiGQhHU3NbeDW
6dhEMl4aqt62HunOYffrtom5XQIlQCQ0ITMJ9Uf6ehoDLuArDC4eAMrVSiI0uzDZ+AsR/UxP2fRs
AZsG8tJTlonajXztqUrCYCgd2smGR+8JvcPHCowM7YqQZPeODYon8XtLPhnzTaiIP9jcwmzKc9N5
+Q1UFFpJou9xgSo4mZQxaGuKqliyU2HUnrTCL5w6yoYHj5OUT9nV5MbIGhft4iLjK/veG9ELqBVt
nZh1N6QcOkSKAaR0EUIMIucR+8YnEKcnWYuiEpnkuiRd8Bgfxz10UzTecmGMPJUnpe+xLCaxJbuJ
YpZM8zai5eRu8Ju8JR3o+X8Bj9+sR65vCiPRGMlR+Ep+yPI0PvJZ2SJlUfN5oacDyJx0IZUFz6yA
aPLw3/3hV5gpJXKlXJ6vGDFBYFYrGgDnfqjuI0mIV3msjCs/l70PXkLNV29EKdPjtE6hKZW09UZN
eWYd56kSkJjLlRYarnGTol8+ZjszLdGHScAlAOh06pevbNyVLJG7rnF1dOpGbwmmqiLIS7Atub1L
Z2+M30sH9szrGwMkjejsVLB9wodCBchZOmsD+NYywqz9rWtqnuX5Cwm5mUrg5ZZFsHhtc1DlakhR
cnX8naz750NoeCfO5kAMEZuxLS0cxJmaH8yhgowOapz2Hx0DaElNtTB1sTtNf2e01n4frQoAkyBh
KR1Agfaa5bpYGHKs60xmGwu3xfxoobYKJ44MJFoCr0criYE7yH0iOmJrtMxpzE7Ro4hGoZKwa+wp
RQBjUbVv+rthCRs3/TJ9aUKA9S/L9A3iZXySj1IgOtozn+uQ9C1tPttlrV21x4VwYNYDILYA3T18
qkRDPNATmpRen4p4cD9rw75pARpYqF7Me7oLG+L1RCb5wAcSCxultd+CXQSkQb5x/+la3q7ViblZ
nb9WyvpRXXz/zg4OkElwqKI2Bu2Ca8OMMDID542isw1g5vYBnMKkH2t08dtUxNYgdawI028PjgmC
egAAb//+/AG/MEDFaYrUh7KWw4AarlzbB7DwOWtR0hNRzlNyKI6fskYGN+uuqxeCtu9o89bYqKup
UBJsQJBx4+Dt9y8HC2gt0hXA+4BucLcr1nd3G54YZ/BYe8bStTgXPU0w17/WjDp1vRfmoeez4tR2
sB++XvAeIaKJBqH1fby186+nX8nD3cYBguS0Qg7hbx363+ZpVCrD5azQhRh6+8ztDtMDACT2ij4c
zjXQj3a4sItmnQwebIj78TwFyJ6a6n7MKo4L4FInzYX9oCeSUZvDwwZEOx/uEqHj3NxeGqPmVuu7
0BsHCWkE0Yw2ih7fr/7n2pkTqRUwGhp0wiHKJ1HnIm0jr3abWESqwsq3rAV9kI9Vs/Rmm8sh4EmP
KwjkyBL4wK9PdotzoUoKPGRQ6u6X9VaQSVeHvGnbw/pXa/r3amnc6UJEnNaJjPPtozkXIQLoh44m
FkT0+IJr47HSJELR8qITym/F8DpkDwnzOvDmbSszgFjM5IUZaoyMIKSxXAnwXs+T1/T19hgCMVWQ
tweP+DgPIiE75qSSbqfXugw5XKBSB8IYmgHyrgYVh9sfNLt7gA0BOhUyZaiRXQ879/mC5QdFdNgX
5hB3ttysM95AB4V8/DuG5EnmHM9GLO+1IYUvOC1TfcmpDVW2hDfWXaWp2UarXPu6belbIpL2dKB1
UKSJ7xsdzlQUxXgekycJTGXQElUIcx6tUdDj9cveAv35GU27n96UnIoJd4q/zJRED+DSTI7oSg4M
cPs5t79nrpqBejOIkBQBiT4Qy14P3U0YjfN8bC1j3+n7cgcFDy3Uy6d4m+ykjS/rjb50Yr/11Ok5
uLRJXc+q5PpMHcMmAg1kPyaVMjDq9mcL24zY72Rn1oVuriYO1pPxuDDguYOMpiPAV4B2AnyWchdV
LU5MB/C3zDmPNUuIn1X/XgBPUJ+aID4L+1xXCxvhF4PdvZSEn71jL61Td6wYtGMmqsM09L1RHrUn
hUXrL1FD/Qv0d6uFsU6b6cdEIx044YQnjR1qokfV7TkmkEUnQTtMvS5sr9RTXzGisEVfuGr0oVH7
77eNzt7lCEX+bZSKgZpgSKsc4S1i9sdnF8qDCtkfKrL+7I7H41O22wk6FJVW+uOSu5gJkMAZAHwA
4ncQrcnUKY6K0A3lKpEc/gskJR3SvAbIanrGvj3A6fupSb0yQ52YTPTiqO5zOAtpzO0xVDGnTBDq
g4sKxG1Tc9kWQLsRyYJHEOy69JPdk6NcGttCcpCLJBNl6r19tHXogpMz8KwLR2PaDVcDw+UGazgX
7ISv+oa5X+Rzo5EtuljyOidVY8/wGwys6fxm4Zb5SRs+mVFYAMpR/Ydjpw5gh0y8VHpq6/SH6I4z
hFWyR1r8E3xddqBL+6faFI3K0NrTwvC0H6eBMkydPSmQQjDH+53jyXduuWXO9VpI1gGkblTS1q8K
/5EMuq/LOzTdZFbkW2/aayyaCZ7n2i++qkhtJPeFEewLZ2jWUfAEfoqY1+Odb5cuqVp0Z1RGhbDZ
9B6yQxbr7U5zuPBJTXTfSDxSxoc+tyWIE0MxrVrlZ7k4llxNSjSoMSRcpa8FOFAqzfJ4vHPFVY42
300AEGi4Szij441Ej1CjJCkQfpJqdgLgKHxNort+6t7fF1JC0BiEYnvNPIHNBHkB0fT34ltYLba2
T0fpx1a5WEMqiNTcAMVoVWkdCQ39j1WhCzX4kHcc2PzwMcpJYszKN9X728fhRzzwvYCoSXEohEPb
kHJnauQPrTItIGf5BwW5KteDQMb/nw3Ke7XQl3XLHDa2oo3ut3zLL53p+W34exTU/u/7fFALD8cM
bPVGeqgBVXiMsEVIsXVfbw/mJ9aGmjFqy3dDkUotN9kiaBaUspUQm9LpziU54fTC6racftaWBBNm
lwkQGLyBEbyBzx2b58KPJINcVDUbwWhdNVbjxjEZuKg3s25dJkAc9XX/mPrsEmPVT1zoNFgUM9Dr
DDcGLBVlNwsTJW2xdGH4wo7oV+PRDXMHdesJT1yxRADlZG/LHwG/yz/ZQ6ka0BUgYnO8Pek/cinU
Z1BzDtzkkLJp2E3V/tRiUAYvMWTXDFDPKQ6JIli37X1XS38cxotxU4cxlLJR7GvMt1hYtU8kDZIB
QbguRaN+zySijFAQgP6vp8tHNTCTdaSssnfus+0MH09sk/3ggCLMnm5/1eJqUMF75QdNpgTxtPWy
eBU19xKn+29e/qDpSQbFyOa5C3YRpiQllWxEzDYYFtzFzzobVkIBOwNCPSh3oLh6vSFSPqmaJJc6
p5K3gYwc8TE9aoJeZ3C5vyQ3hRyblJJ4XUgQV0DLSEi0ey546gVrUOHZzR7NLxJyuR0RQlvo9rK4
lhZxNnOudLoHJwZLBOF09n9AdUzkUxkfWRJ5E/ZYQPmUimu5tr3ejoNNJL1U2lESzgsLNHfdgwJh
YsoQFBYvn+vZEfCqrBi57iHfseOC+2rs9bEH/3QRHEPhpZdZUPpsSt7i3NBkAnyc9lI2C8hX+imA
JkcIFKjo1YOwF4vnLbV3I8ZVKqlBk9WzaD9jh6hQKvuFh6Wd2Qn0bnQg1YZVZKENZO/eA1llyPsU
UJJJBVNacMyTe7g4Rj8+hZoPBpAyoPlH1mEBaxeijkTsHcDcbrIwZvoNQBviKP8ogIKhjRgYKsFw
GHAfvXtUi5yA286USsmqIYO5FZoaZDkvQ5MueAvKO/0wTqUSvGBsxaxiWafOHrJXNzmP7CZoVwFn
cLUlMwvJNeoq+GFt2vwXVwHHMmrNDFjeCMUc+SHoOujmNEZSHpJoqbdjcV6p4+7GGttnEtow0zVr
epVVsKsUeq0g3An1Gt5/JZn9Ir3G92rR2wZ4CxArcDK4Ur4f/JdDDMpBGXmsJsqhkG2DPosVgk8b
chFAX3JvSww3s6OcKI3gKqC8A5jn9ZQ2IQtWVEDxnVA0pViX6lW41oRVMRwRRPrxV6XZJW5czn1f
8Bdza4nrlUXaEGw0wO9eGx6jQgndAe1nQuO7j3IzdHbPo6KWpR5PhMQfXoagTR4ZVQjXHKsMq4QZ
0IYXZ7+SsfyKuKSzK0XMTjGwcIcx44FbYqXXfAiX9HTnDjIK4ehkEnhZ/KEb3Cesn8UuPjSorAa3
oc/ZmSGoqX57Quh02ffmniINIEjkCStFhaNt61YdyhkgBC0N1In08AiWzmNyks3wo7Nr8NwzpmTu
FCtYS3ZnJGvWKlAqA7npKTK0NVQLEK8HFrPgx77fafSOvPwueodkHA/VZHyXwn/KSbxqrbqCLiPS
Op73okCzzBBS/V/e8z/e+//lfWbH//796r/+E//+nuVDGYBIjvrX//rfTVWXr3Hwmv5BmvLztfkj
+/rjXL/WQVUH79V/Tj/277/8X9f/it/6ly3jtX69+hczrYN6ODWf5XD/WTVx/f0V+Krp//n/+od/
fH7/ysOQf/7zz/esSevp17wgS//81x+tP/755yRn8R+XP/+vP7t7TfDXdPyzzH7+jc/Xqv7nn5z8
Dw5vHuARcY+jDjq1ZHef05+o/xDRP4yEH9Sy0OkGpec//0izsvbxl4R/sPAZUyvTlLgARfuff1RZ
8/1H/4DWFM4bUvU4zniSi3/+9WVXy/F7ef5Im+SYBWld/fPPadF/bwp09gk8AmM4KZAeYefSYUYW
VZwr5LHRsk26kt1q3BZC15ohMw4LN8z18fvLEgxhNtDWQKPQaq4LVTeNjThVeV/3C8gREZENIitR
2DcZLSVLQLRrx/TfBiF0gJMI3wTMPRVDjI3b+SJ6kXw/Cuyy7rlaD+t++BrUDjX0KigBvkHyHPIT
pcY8XmyAf03z0rSCEhNR1ETVC4d87RTdjgsyX4ZONBuwQPvnYjnYIlfVqcFmkRcvTO3cIqIRHRsI
4SyQRdR12vtAo4hIC+QcUAJPjFumyAl3ao6MfN4U7cJDZm5eQeuDoaFxZNK/ux5bwKGHKIszo1TC
xBb5kTHqSHkWo1Bau5mS6GoeCseIxz9uz+n0QKK2Kvo0FMiSQmQG+SgqPmqhn5xHaobuXs7Tx+L/
MPcmy3Xj2rboF2EHK7Do3AbJVUhLhVVYltxhWJYNgCVAgCCBr79j+ZyIl9b2syJ7t5M7d2Q6uUiC
ExNjjkJVtDNpBVHy92buNbASuEf/+yuiBz+HcCILFWjp73cajbme83moWTCuaZkb2EsXQ2pPVEb8
IQy8ryO2ftT7wkfg/Y2CkoETCjzz8VdsVu8WD0D5Kdm6aG8NgQGjgzt2CyP1CLHWCyrJ25ohZ5HD
RLA4Zk1E1T40PL3gzRI8ki1ga7VmWs2loqm7dyTqg3oM8/hHaDxwmTY2QSXFDH9qiMsCECbGZbqK
tWZd1YXL+Iq0oLTANDdKPpEinZF0H+lw+Jz0XYykhnHVvNR6Y9OO5oqOVbo1NqvRj7rbZG3tPTeT
2eo8b8e7BSsCmt25p82uZ1JekmgSMUDmHpzCQGQxmr7EU7fbZt1Ete+yJaqImCRsrVU4Taecic63
+212ZthHhlIu6mwoOhdWk2tbe3AygaqTIxjOVhs84buyXcbUlpldhzfTz9tzOwPnPoBI1d1Tn+j0
zhaS7tdkVmMtedolNV89sDo1FqqOYzWK3dKA1wOSk7CI3Y56g484H/unnKiu3ROwdL7aiUL2CJJh
CLufVsYvk9XttOcN6WmZz1P3laUpaswMPklUFwqOxqsMkRdbaJ0CDSTpCAefvFfxTsP+FYs5YOaG
ui2CeEPnyUXgU/ODa2scosSK9i2eQoeMsUa3fofhbXqZ0tY2x3ZKbPIUcwYAY9lYN14MBdS/sEdf
9ZlwJBwI5zBPCp+LmOsIRM5JZ8MN7ZhGmslKQjft2k2PHDgTEgxZia2iaerNSCbvIBcMyMmptqdb
xRfdDkgcs0mnnglcBzMgCpRzODlEBNksZFxUt96Mm0nUbRdZPpdDMiXtnsOaitYI6/RBFU5buqIM
jktQ1C4AT/g+oELwyyFYXXLNuUX+jo7zYhpKQTuSga0VtAO7CnFYJ88cLCgQXIKNGGADfEjzSdS5
C6l7iZjoYXqezVF/tapYo8tqoV17U5NQq6j41gXMl3NqbDziBeG93IRJI9h32GRN4UOSb028z3sh
wCGUimQ4RA58W599EE1gvxXBrOqIzknzgu9rnstuCSJWu8zMGJabKfu59Ak06a3pQHZ2oV/xORb5
wqrAZJ2tWLraxyFTBok5LNbw8hYMgEyXJu6Z22J9dNtG20rLoYF6VXrgzqIZyQPL1/VZxkLdLwk2
6Sr0moflXFipEZXSNdd9NqcvMdPNYfAh7apgmRwknqRNWLkNRXITSL0EZT+BZoacnxma3SGdUn7F
4PWKr6914QNPQ7gsxb37TsIt/FbMXf8So4p8V1GxLaXCbzK7qQ36Twzg3Ous8+Ktc438tkYNnMmD
fsaRdMuVzcp+cThHjUNK7lLFG1DuMhp/Z1lGozJqxuRhXLhUZcALPM9hytSjCM2iy175GCnkuut+
xhGn8DLHTP1bBu8hVjFKoFhPbOCGr0rE1MVVRps0GC/gQdK+hMvq8V9E+MWb22ImS5W2CBjopkbU
BU86VnXjQF98oSZeqaXjoMHStiGANAL5JAMauio1+J+Sa96M9Srk8NSxSehyDXsCKwkVSQy5x3TM
S8a8mUuSND4oSYwogxL2N3hxxRAhLtk1MHBdC3RhJVxsxCOho8/rJuF+qWZh6bPMuxDgCc9YWs8N
abDYz0HSRoD2VPFcNVjvSTJ81bbVxS7oQgFnwnZiC4TWGIzuaOwFoHw9DtOpaZ0arvPCNzAtI3xp
yjlk7rrRA3IdzjlT95BTgiI54LYu8gypr7ciT8W6G3TBp67Gn+uLUkSjc5/kvMwC4qNFzpfbsCCe
Ebhhtl4m0xCmBx2tRbrf8LU19WRlAa0EiRDrEaleXMema5rHYi0Iwt6CpB9Q3cfYPgwigVprRPRs
gH/d9Vh3q47h2Nmus6uISrd+JzhNzG7tSa7hchiAAPqjkJYVn5nMGLvigevWPTK6iv6QZRNdTqbt
vSwjufX8DeaFdr6aVe5gyyXyxF2ESkGEtsVuVZ86aWRyQs3NBD7ESebYp5diOCJ2TMvvhZPdFUFd
I7sGreA6lwUJAmB6iRxgHaB6758RtrqBiM4a5rCdJEiTuO/aZolubUYZMgaEDucDmpTZnlIdBe6S
B77t94oUYoHxwhor9pqOkQ13KASJlqVeHF0v7GrjqV6QWSFqKVbxMOWBj48SpQ+uVGD+s0Xon1xy
fr+uQpxMNgsoB6FpfNNq0ccwHzYL1HziYABtPIH7kEvPX14igOPbmSEoLsIRnO47SqE5LHKGeLEc
Ua1lGA5TUmrfUdB8G7Xpg2km5GmFIsm+g8IJ5irip/QhFIYAEBmoedErUjVg3dNw6Bfn/Ds4lxPq
j9DqdeXYynddoRWUKyxkw5EFuYGb5jYCA+hdY3U5sQa64bVttmdgsNBEhinpTnELVzG879X3FzLg
Ut863/tL7P5CjmWTNvlWpy2S7opl0v56bccwfIg3nj9pthUcmclZ7jFFQtYMUkJWG+0S36amXqlY
pwcL1WJ+4cGhhKWz2Dpbqi7MhkubJXa4RraApuWiqBm+iJn59BnFe+mwI09Ikg1lg9HmuhXZGwtz
+qyQQfKNmpTcwGUXvGJu0vAmHpP+uVFd6o40EHKqwD4e0x2n6RTvDZtWuFqmkA6WvhtA/RkbAmr6
hI3JVzExfAB6GFJ5TFDl+5Lh81lL37vzYyU55JQ6VRHO45NlXyEjdtcCBzG8WIvmp4wpJ18jmUbX
GskQsBOjPNmwp3fwL4ub1L8lftBXUNoP0bUaF7FWXcIzsk+p2YaKDAyJDStZDNlroeP0dctdMR4y
4pr+2Ci8nINZvC9KkmplLnXebd3lRnIUTjQYqtnzzmm2JyBKiFI3TtGTmnU6PQrK8+Vq7qBPPwVi
Q5kpk7SR8W5Y2IiWjKOVQEo3w4dhQO7GP47WtsPKUyJ5BreKwTt4M20BllSie3QG2QgTY42JJRo1
zS6hF8+AzhdcvmahRxgPyyLkIvZgiXpnc6TYNtiK0OkMXbEPV+cwVTUdynC7CRFiyLLEjtQSZLD0
bU1FqBCoOCVzVIH+wpqfbTxZ0FpBsBV1ILhovwxFLCERLvD48u+FSFuQirHEnsBanV5JQVvcTuRA
vwV0PXVVjEP8t4kFzl+O2mSibjmPftqtFzdmDbcXrcbh3nOw1NZ7MYh5qiMCh8FKjwJHJ7Maut/A
ED94uF+SY9ZqjuFU135N03j8QsNsziqRxEtaL8Ji184tE1+d3ZBO3yQ9h4NqEIOgn+f5z9RP/V0B
6mC3L6Z5flGRa5Nq6taAYOhrkgHxka275bNFA4j6ywjiIDrW1Z3c8LnrpEd9Da2CKe3iOnOw8zQi
EaNQCUEToaNvXrT+S5/mEFQSl4m3XLU22YWjivAOA7pec6V0hiuq/NvCC/VQJIrQEq8+OJpwaqed
6Rv/SQxjkGLDn4OjDzCeK0XBEO6jm5C88pWqCyvHYqu2FXTsiuBozyr8zv7bopfiU7JGlMB9cnBW
kQP2cn4R6y7XdRTiiIKWSyF/NBTz8NmPYlVAEzeS7VIcLuCggREkg2FJNHxqgq0Yy7bR8fNkhvWL
xEz0S9I33Q06shDmpnHOrpu5nV9cthTtPhZhd0Vj0z+mhfIwRExWOHm129wj5VwWEXbTlbCvKFex
3BWx5c9rEw6mjIo5uxREIOFDR036JWwXfadX7x8N67BJYvhhRFWwza6lW1x0osNI+V6CAdBBocDj
R9kUvCtlguPWqeVbktWparocdAF4RJQK9K3k0GAjv+tlI6YqSbAzDiD9RNUSR6YoR9bPkMegdXo0
64JjQIGG+iYo3DDuwynFIW6Me3MFC6gR81DoO93/II//CgO8Ft/nSU8/ze/w3u/A4f+5lT/GBzP/
+GGuv8n3/+ZvMOH/G7jgWXr8/48Llt/waL+9/dD8n1ji+c/8DzJYRP8BjAGta3Q+5SPzEvjC/yKD
+X8C8Bsh3EqAXQF5AJj2v8hglP7nHNgIwicElgCyzwPW/0UGo+A/9Aw4gRhJAefl0b8BBt/BdQls
ocE+Br6D+QV+yK95wz/mFwMqXMrRzsBPeEr2enPtgfE4q1I/9geGUv0BhvUO3YG/bwBPTmxqYIhA
ivQewxrjsNN2HNnRoQOogJU1j4nlw4Xztr12OQ+uor5vPgB43gFnvy4KRy5oVTGiKUB7BhLzj5uM
dL4uoHawo1GUXOm+43UI4U6JIObug/v7fcAGh+0gSBD5ADMzIGZ46e/QyNHOzmPvFke3DO1V4RN4
jMPYv2yCDta9cLOCX3+mD7/+jufB+vkfK+8PgOS7y0P+d1Z1gv4GA1TMJd5zZCic8EDiyudjZ5al
hGUNupXJk08R18SVappBNjQ8uWlFrl7HONeHv1//HeUkww+AjAQcaTwJcDCwrn9/1N1qKTbgUB2b
5fySO+g+MWcWXzsrhhpoi0fI9syTk4xUzXoFk0/UQVOxLUpFZY0OH7J02Q45TnzPq4vBRPv7D3y3
3n/9vugXhQh4OAy03v0+gdgGYfpAHVWOdJV+GG2t6ZYe895uO8NG8unv13s3jvn1QEBgziFawwcb
/Be5mMwmNxbH3yM6vECVSXguzbizNN8FzZTc80m19+2MzTngzQ5Oq+fI9yVzV9vUdWb391/zbuAO
i1EkAoM5hYID7j/Uz++gzmHJJkjemu5oI534Eg6LxVRaIGGXCjPHDcof0AFw/JuexSLfUgwbDnpN
0Yj3LgH61JzJsr4JviZTNGNMvs1nSmkskidmFnkxO77JEgc7JHptJsyBS+X44CbUlyv4CcHpgkNk
VUUMPheNnRpY8A0fhQv/wof/gR//ukWQXeH/++s7fP8FSoMORIxiOFK55lDVjUrH6L8kTFNnkNan
TG5PU6HaAPtwWNwEPdoo2Newq3lJ9KFrKEZ3Q6NfbUjJJ2+2/qGnS/B1K1x6dLbtH9oulC/5RJGe
ohegduE51gaGdN8WBBYCkRnNGlQqsvFTonUwI13H6+t1sHanWNE//P2NnqeM/3W3oJMDKocpFlh3
v39vxK7oEQjvj37xSZkuSVdpRz8ykHr/1ZxNscBRAS80hi8WNo3fr5JTgLYbftcx62b2TEBZBiyi
L+zs6Y+8Q77U32/qXb0+v8IQvJCziRG2SySW/365bNOK+xmXi4eJXXeTuMQP26oi3uwH5eDddvQ/
V0KZPI/g8FW8x+CHLRoB1en+uFrGrvti3CCyCPoHTxTCoWPRw3ybi/u/3977In2+vXMIO9D/AiXo
vbABivwi6M04HE1i2Ktp1zzfZZ3ClwgyF8DmjKfxkys2+QI/OHxEMyUfvdA/PWFQfNGXIBMEJlzn
F/6PHZGsadbaoJPHecpIDbUcDjh6gf18FdGh+YDy8ofV88uOKqCYgWIm+O5iNm65QQQacHaS9Q+J
WFFpxZodJnQb4CwY8/3vz/cdx/hXlYvRZsEnDuYUeMDvPoqJBq1QxTAdA6UgDE+A5pgdzyYcFhMz
2QF5UJ3/FGYMUwXSNqxuplxcuWgex9JykbcXYOMU12Mj9OuSzsvrEEmblHwFfryKlFyB6y1f/v6j
//hG4NAGRwos/uD9zh0NaZdGPJdHJxjsdQk6kybrx1PBEvX490v9adEjaufcOsIRCFEPv7/8MRdK
IxtLoh2am+sQg5/rRW8rBjcqv0zibjzx2KbHv1/0D/cHzSfO+TgjIZnuveGGXxPVRSMZjxuwlX0W
j821W+EaONKGfBCY8YfvK4YrOkXKewFly/topok7gHtOTsfGrHzcD2kLCnXs851NlL5bTOguothA
X0eXiV6t+cA+WPB/uldc/RdNGZ3Ye1XNAvPrlWRmPA6AQzA6wB2GTha3i5iKD7ST56X8rv7HaZgk
cJaKAX+/b23RoAPGAfRyBHFZX25jrC916rE3nxHHJxbprK2RIKIvifrwlf7hOUN4dzbawMWxct+t
IwWfcE/XVB6FCuwhxqjlnkOTD4QRfubXrXeoXWKNEBzsZtBJyp6h2/r7qvrTUj6zJjOagw31X6/a
67yxNj8jbTxIjwyT7IvVNMEOyP7dwEhIQeTsP+rp/vB6UTHPhg1nBRd8fn7/fvIYQ2ulUTxZmxQ3
DbHo6CAiG3gt0ubfGUT+qmUhxDsZ1B9I/8Ip7feLSZyQ8m7Np6NCr3YDn+bPVn/YpZ7f1LtVBAbK
rzk0igKs1H+/CJCwmfqBoyKwrWkBkZKiLQm8Gv/9xh5hyoLSnEBsVrx/cr32lkiyyuOG+IKnTmit
SykRAmi7ePwoUuYPnwYCbNB5AznEMfr9UWSekJa2bWY+wuMK2Ra8EJjSBuhofZoPJ04U+dQskxXV
StIPmPd/ep7gyBWwfwrPiWbnL+ef22uLFsBs43zsu5TUs01eSYtd71+v/RgqGix+mMz89x6OaYbK
tiAbjsDesAw9mgbPNn3JzCr2usNI9Ay4fdS8/GEzx7cOp1TcGbaq9wco+CBv3PXNcCQgozyNnSOf
cr+pxzye2mObIj/473d5xk3er80YJ1kYMmD3KNAO/v4sGU3DoffpdGxjpC0dN4exBkyLCP+JjyH7
jMJQkHIpivWzl3nzqRjXAnN9MVlbMtqqn/CL7h/WNsIpYB5ddiDSxHntVv4KxwX0/h0165kVbhF4
mKsi3sVc2eOkIv2IxkV++fvt/KF2JAHOg/S898I1611rApNAbZIxmI6RJMSWsk/jOlMN+WLa0H7g
Ev6Ha50LIzYG+DyB9XX+5/9YhVkEapCLOjS3KWGwHFwhNp2JPhRnLOJf3xaAbexA4L/hku+3IRco
M7rI9cdfiIcOsq0KmpwgEJy3HzQS76QF54oI9QyyqUJUfPh0vCd8DYKRNdgafFwbw4napDGyMsJU
HsK5D76OJvIw3p4hi7g1vcPms8BH5C3gXf+gyTp2VY919snl1l+ZTILy4rcQeeXBBAbBRD6yK4/O
m8HvpRXsv3On/YsjCmfh31+CSpymjgMQGdaRneQay2991pMrqTeO6bMQ7HUJ+PxoqGIgnYcYWmOO
5O9YxtUtjAFYxcPA3M2TAS8+w1lk6hdb89ToyxSeLHdrPm6HQKwwXm/S4YTJx4cxdufq//st4ICJ
HR4NTYxt6H07EyJcAw1rDgZ1pDqM/6dCVm2im5L2AQ72KD83ZIRPcmf4WgUsfHV96y/+vsAQ/XA+
9f1/PwOgBfo5JLlS6KYjilf/rqgCtnZSsHA6gpCR91U7K8Zv1zGZw2pu5Q4ztOU2Q3UqvVmfsrbL
kKk+i6CmGxc/o2562uapVRXgOPOwbETgY2hNzbppO+YOuY804OkpMf2tHecaoSKY5jJ6ICvFGBRC
AG5PAG/qWdt7xdm30fHPaXZeXvF2wYbiIOAdUyrSwY2oGZGX0J2Csa8w8KyCYqlFIY9W8R3kx7cy
nK9Y2h60dJ8DzOxs8TXagpr0+jh27Z1b7WnNCg9r9b72fH2ZJQgKhb91ADHaOh1T2F9nGUaMC6AU
d+FnBdqSLOWaVpLmVzoSFSvmCyOCKm6jnTFq37L+AuPoH0tDdsEwHxLdXmD+sKOZfYmNrnLogyjA
C95PwG+6yrRkR/IABMqOHP2qThsdYI+n2S45ix0LC4Zja+JKJ/TrEoLQI33xmARN3Y2f4Lp0phBh
4LlBesT1jTAhO46eXEFOc5/MyKId+/FlbHvM7FrU3+Y1ztSdc0kFvPsZkEYto2Cf0avONG9iAIuj
Y4/K2QueRDcy8/tQ3TIWnTAUfEE8KgREsB9okFo5r92BtMXODaIKSb5rWLNbvDvNZAMXwqoSQ7hL
OcoDuDYrLKcD+mxTzFMTW0YZvUWgwX52b8lEwO0ANF2lMrpMZfAjX376KL5cME5DQYVomh36mZY+
pxdZS3fpqE+i2Fjp4vxJYgJfFoB4/TpfR/2U4XDZXYYqvO8Xc8x6oXZ2Yo+RSvdYxSXBZC8O4E8V
KCiSgthXrLN4rs7e9kv6mWE591n7eZkxVR2gf2m6i8H7vU7D7wYEU0psXodbc5PBm97r9LPs9FvE
561sM1X1hCWHjPIyTlvM+vULAROwQGxUObvgKx2mm9hZnH4bRP7KGz2fVgaQlhRVgRk9aQm0YkvF
Y3rldXzwME8F7e7ETHodb5g3TetWpWF7qeYeCgA0vrb4nIF22LTJQ75hHkj68brAtKjuus1UQ9yC
wyF2cTy/JN30HbOIayv5aZS6Nj1G/mk0nEQmrkGLnCs2rLstHDCC3vjn1quHYB3uwkJ/96E6ePRc
lWl+wNqzwgRtFxp8298xuTsltKulbZ/a4HksQHXEZyLa7QCW31OhxyMp9GuMbQPu56oaFP+pcw02
a1jGZHrjNr2KmhnyFDyEDVNiO++ItSDr8fy0uOWKL/bI0uZi6hAOi9nBfLIt3/exuQaz+3MxZjUE
KI89tXFpRyjvzhWkUPhvRIcWmoyY2PsRu2KJgXlp5HoxBWCsrEM5gssQAJMNFn7vz7xN1Z161JEl
FwW8AdRaW2vlSwy7zeHQTyBCVnoD7IiuGbzf/dzI657TF8jIyqxvYaG+lW6U9wIsPlemEPor15cD
Aw0xlQZRmFNfNjl6D8wpygJMH/Br04c+Q7ikctPNMMtXG6ygQiIPFid6CGmKb1BWXiXzcq/0dAc0
M80MMjZtsh5bwyR+XgYXt63sRnM1Oj9UDLNORhZ2O3Y495dd8jaQ8LHwyw3l+MGSHT09LkpZrKhu
qj180tAvI8uI3wXdGybIYBfbZ12Qo162O2fMXg7Zc4uy2hS0hAPh98mjAZgY8svDzM9VFHP6hfos
vHBR0shDPp3kDMU1YkHHfaFMVoH7qDSEKmCpBr3Wj8zOiqPgsOgW/j/4zU4jw7SaPeDbg1rN9Ep5
35J6asDvNhlUgPBtgODYt9llU3TZ5zAx4AwtuD2fTMWOqO3YnAlimwobU8GHvX8QPSNvuWxidClt
b39k2t/7bvwZhDAy0RAO7fgWlgKpx0sFS7gIqOrivwXbTKA0DJISfnjZTR8Rv5uclY/Uz29Fgy8k
BlfxCGxZg1qPQdRnfKI9cil78IOjQttrlRO/HPrQ5xcNyuwt46o/RsRJxDiBqvKoJieeXaQiWk6B
SI+cbuQnjZDBnhcGxTDohDNXVPTFo1Bxczv2ukfrkozTLsrnXFYgXkGpJjX1O+LbpG4XCc5ak1lz
PfU4aAGIbuy3QsVdsLcWIspNrl/1tNFX53Hx0tDBvcxbIi50q8iyAyDVHZYm5j14myndgX/c3gNA
6Q3wefuCNnr4HkI4fIH5TnwFr3n5VDC7lI4u5jodCyjBu6iTeEfwJh+S5kFn+OCHfljxcfki2UPU
BIpnC+7jrV6RrtFufTGX3vnFlkmhixjk1R7c3iDQ1eZEV0ceLN18CqZPRI36SuAw90WkHQxp50Zc
5iBVXZB4DPbjkOTXrhiQWzBOJn9JEzJfeH2uPSTFfrra50ymXZkOhF+2MX1rZ0v3jdlgfJAi5AgH
hYdkm0CDNMNxxKHgwdhufqRtFh+1Bx65RNMGiuU82JthCZLuzAPhOx2m2M5mFb0CvdJ3PIaezoG2
e4mpTnTBQI/8HJKQIDkqmq8CmAKkQ/voG9uCXbKaS4zuZpC6ydrXYwsmIMih626CigUxxY3nYHZs
Cg8pLWCPMC+t2zehgkND3iJ5j3FMNsFpssuyM8Em4ZCX9QDTcheYpsoLBGfgPHMIDclfNyU6oF5J
vk9H7qtua2glRx5W0ucgEfqeXS1eBXWWcQtmcBwbSCJ7W7O0CC+8D11WOhXkJ9DiSTWKZClDS/Ov
dm3Rt4/5Uo9yAd8Iazy8GNAEErDrYvKUO35tfOO/zJuTh20T4Q+h+PizYZR9JkE6vXp115AMZA2D
JvoQFgvbNzJpbzffyKtsFDxAwTAiA80umyqaKvz/bBU1XQcUF7HKG+jCglc5i+04crZdruiR78Gs
YWiHSLSz/TpeOLn5y8SmWVnMFCeiVYboHY2FLmsZggr9alPrYDN7CjmHDmIMTAnIlDDF2QwIWhbc
yFOXJSukYkzicU2TXNCTqOxzA4LXl6QD4seQ32l31NFx2ANJscfNRO57nm2jBvkVB1uwgmCHkkmb
Yg9osfMo5uJbB//ooaRDst2NTeG/LCIKoYbeonrLFis/iXgkaG3VRl7D1olDH0R8154FfiAt5qct
6MZKzVhrdWL9Vo9xM4OXvK4xSP0jKEV8FO2uQZN9THCuvaRFo8GU5fSsV4AHIxZxJD/BNx1RJ47b
cCm7oUn2LDAddnPtETxHV2XFHkfj4goc52EfLB5dNJPxI5UFWiW85+4CLy9S+wnWnQfWDcNbCtzq
wSZx/KrHn9vaYdrsk/4HxlTxLhNIKVyvDApkXbQJvdMxiu+WIRKbewKXjz7IHlQ4FCdjELUK+i5Y
bXS1KOY8Vs231Ori1sh2vFwnqy5BPSVNidgRxHmsw3YNElBaUXDj4G7SH4etDSpwhLp9PGOjdgUC
i0I1qwM+22WfkWjZeZ/gXmm01FtvyT4coC9Xzpx3EBwnv64glHSVwqTmQYAP1T33CO7ed1lkjuAk
wXJ7WeRQKuN+UCKXawLn/QvXOyjbcSo5YLjd3kWSzgcNWvBDH1FwgjPC31wy+ie5guumFBKsoqi/
W7LkSc8c3SdZ19qv5/6QR5tD9UJMva4g8MCdNkBaX5I+Sa6XnCJuA0y1yrNuleUWOY7UxzhYS4lx
XlsRH5uTTGbxOA5jCCaxJt3VuVu4VS6dp8sFNMdohz9AQdjdLF4C79mdT1pRxfOS7gZwwbE4i6jF
T6LiMVqzYN+weHucJ5IfGp7bXU7BJ8gieUMSGyIDTIJBjgph8gefTamrMd9qwGZLZf7Is224m0wj
FcxUCReH1YQAKnQW/+DBzPZJH2uIZ5wSd2lIed0PXIWl5BNDp1HICwqL/xpPv79KAnJ0mDy/xqDn
XGwDGNzg5FJ7SJu1mGtu5/7KOq/feKM4r7ykzNd9oiTG4SuQupplAr4C6IOqgfXjz54s4Y1MYQdm
ixHseRNaWFT2Iu7RCkU9iulkl1ovqUx305gud5bJ6OjzabqIBkgdtklEJwc3ppKBxXMjXXxe2os/
wWhDHIiegJRtMg1xQgJBsknibxqQUJWjMYeOSjfYbeOgq9e0x9lF0eE+QCO7SyiXoObAkPGEgvWD
x8W48+hWTnpk6ji1dvxmN4YFn7FaTsReGFMUZQJtwBVDz4kzZ9zfouViuzwMkLS9TW0t/y97Z9Yb
N7Jt6b/S6HcWGJz5SuYkpSZbtmTrhZAnkhEcg8Hx1/eXdnUf23X7GgeN+3CBBg58CmWXU8mMjNix
9lrf9txPcpo1eHOfu8k2ig/lEFknk4VPohNbGqneSWgo2CYp7NC9KhdGv64tltIGKOsJy2Oxz6cZ
VHrjW6dyXuOdEI17k1EiOPNMlmRCRaTwZOrN5HPuWzTx05Vt/xFHRX2UuS5uNyNVzm9PzaEPJ/de
qcJ9S9Z/u7M6wsr2HBt6QmH8VnfZ8KixZphUOVix29rGTWOv0RVrv30uXI2lc9bZ0yLpKFlzK3Va
tmF7qC+PaIDHjVYix11YBvoU6jnfu+oDpx+7eOPk4p0n1IYCtHJxpReIiCAY/X2bD8GV4CFf28P2
GhUOKOjBRAeHWW8n0bSMt5l7EteWtvVbCpxvgVW3L9PWcA8p9POYLfpjqONPyApTuobsgdC/TrPy
S6404iWz/fbBZV/YN3m9vQ2VebLmLDtIxyrfFOOGSRES5npkUtiS1E6zpWIM5t2oMaSMDhqrjk19
aweEFrzA9Pusr/U5ipkKQ94aahGhlnqQ+srjkneLHnVcOWBVkrmrONT9lj/ryMqv1hoJwK3fVWvB
vWEwHZMKrDVdvKy5id16vHwHzI6QxKexVJfabgn2gOqDPcXmvqm78mPZBME1N1xGOOmAdFS0tbue
MM3ekoNFioz83BLgu23KZdg7dXMpNPXtKkedNNo8xfbERcX1x2uCsh0pCpFFKUEOJoyKoIzRHchG
lZ4VvJdrzRSFzuplkYSi8/i6Cey8Ko/3zWgFt7IyBWEdMLlTbVnHrSS74zO67VZGS32/SL/73DVN
cAyb5XFsM/8g5GYfirGsn8c5n47z4i17p53fMQHdod/f+U9kk9Sthg60H9SsbnMrjjErn0qvWa8r
u7OvnGq274jiTMeibceT6PMoMXVU7nqrG643Lnmf59K1DyaQ5BP6kOKMiMN7z1vjlOffkTvyimv8
PuO+KdyXkssqYYpq21d4RsnCZBp1uD3pWm6p9LGZVqJCgjBW2dzFs+n2Svvj3pl77z5q3fBKFNVn
MZTmyWS9d2JHn64zbeggSaH23ujnn+bVl0nQN+RymAvxhFYzvmpGZL7BcV1+cCam9eJ4PY515J7N
nA1E9anMHT+erq1JNPGpbJCVSUp2+7VzBz67CqJNXUzNN9gv5c5diUnJ7ViMdBxL+2Q7urhjLl2f
ejmHrs1ErD3Jmf5ar1TTxZRNh1C09o6PrEqLztKU4Aaz7BwdXZ4pEpGIcOtNFEqDIaeo/L0vdSJV
5FB8Ypol56IP9axk6g5x93ZRVX7qSvbCuVZ632GUSuOQvSfgDrOTVd3eBmpZ9orghJXGpcKNa/r+
YOE1O1g6d7PEo7BnRIZUTAyt4K+EwRSckev1YQ3cjXUaXOtwjZod1vL2XpS+uG+oAE8WVd0VYzjG
dDVudhjASr2tuDMlvMC8M1EEtaVsNGGKJTpVFpwu0lBoHUNvJ1G23VRt+cle7eCu6r3pTb3Ju6mh
wJ8sMga9kWlYq9uobGKM/I7zrS2mIh37Zn2zhX51cFBLP7jlap2rtoW1tC4j8yvsYHyfTU5zQxBr
3RV+c2em6YX2MNN3Bvu5UWq6t8a22jF7zkpIOWAHJ4V2qgTBFs8x6k03tZzb9EMT24hXrOrkR3Xm
jddickou5n12tJ2y4Nu+qH3hZfHTLByJc7/8TOZlu+kHWldpK7cwDUv64N5k1qO/FfWXidrqYDC4
XQmnkw+zbLHoO+y5oU2xkiAXGJP2de+9eJOyk7muSA4Jp35vDUN2jsh0HlQWrGm+CohJ5AwSZ8lX
pnAFn6K8W3cjNJci0UX4SfUkRrg3iRPhNO/d6HPlJS/X7QTaOXJLjXW9DKqQ40NuL+HIpyU6YoO5
V+bv2zi+EWpElA7n9jgPi7mroq15XwOJ50AhnzV1rrqesUUh6Kw2irwTvAum7Li283AVe0XAKKJJ
v5oxN3tbL3dt1S+p1bC4/THu3gR57X+2q/7J8ebmZmpCRkmTPk63aCmv4zoLDjIcoEQGpTOTCBsI
fWTt8EhSYE7H+hI4masF6bJbSnI+2UpMIi++bQRekrG28r2oAjslslFf2xktNrSwbjkYt3AOdr1s
O1nLUyuaad9FtDQcy40vwQFUNjmqk+N727eFivQGNJDYz1t2a5WueXQDgHy4DXBIMqRhNzBI5oub
MbfEBfRPdcA3Ly4IQCUhvfIHiVMMcye743NYLvPR97prQoH9nclnZONqeYmV/koGJDyEmobC7Ov1
YG+xfYznub5epjbwkqoLpq80PgQhCJI672W8Fs9VJPUXv/8mdchd02/tE4lHzeSpoE5DZ6s/5m1f
7hw3GK/1NHvXiuFiDxv5DCbHB43ZO1k8nDIpIuROkwdHuxZeulzu8l2Rt0h5QfY2n9m8snyrTqVp
5COn65I6XQOcNCfomHVqaRMXlMqhag3fJAXDQSEfDxSMrepesnpe0NZAji29ggY4lgWPVazXjDD/
pD1HXOs5zo6q6mkbYPq8X5slrskg2OQe4vyG0L9M8a618UGXvbK5oetiPhTcMERCGW1xjvpM+kq8
VatpH/QtfgvfW70qFbm2c36gvpt3g8P4zKTCjTHs2plYLleQd0jGzaGlaXkVKvVQ+KG7b3NK8GKj
oeOR/Uil2vqD3W7qCvsoDMM+6p62ul2XhGJ2yVMueMpNnSpfDwG53CXxxSiAEMtC7JkQ/hbNiuaw
QmLqVsrBMFQAXeMl2LnBJlIS/tWBl5nvsog4rZDleLdklZ06xebtq5qgHabcNOjVbTiWrxPDPxLP
K82J3lN5ELG177egh65jI0/08Xie3Tg7VbP3oBmYjkqjKT8Lp3tvg1lKe3txki0bSwv4XbY80ycv
09rnJt3aQf9txvPw2nI8vpHWtKK5yzxtkUAJHObuLQgT50MThKQ7cyptN6lrR37t8lwcw8x7ibuu
3hNDBXJHhgDijqquQkuc89Z/boaouQrroduV/fi+FejiledOp7gehp3fe9u+jiPzcQrGIDqul+Bv
5xHJwqjqQaoJM/8R2ZShgu7YH4GGjLcL/uRrUifrAVRw8YLWn6tk1gXK8jB1dDkyYMbxQJctKss7
a+qjIzet6TJdO78eWaVnKoP21HYhs8q83Eq1Cbzrut5saljDeIciQmKOWuesi2C49aclfIjjnN79
HLMK24g6fETSPgQDX1muU84hrxbzZsvK4IEpOyohQNq/8XM9Xmox/zwsE0NpQ+WOr4puXpuYeAH2
t/AMH23jllZir/kFBWijVVK/6IfGWTgwNE0mQ91wnY35cMthTfMuysJzbwKGWDXCCk+jo+qrxmKq
VBL26Du9P2QftrBor2Q42VdRm4sngcZ0UJtiamJmFyNb67RxRcb0+KIzzOay7MwB3uuyL0MDDs8a
Zg+QUiifocXoR6G9/i4fwZWQ3Z5JRy/sZG0Sb5YGwJ8reiW5bMrXvF35u3Uw1aTUo3y5DTBE7Fz6
bp9NIcmC9UV1BKNAQyprt/l+syz9ps2Uc66ypnsnRa6oJpqVuyCdhH1fwLxQwWyTTJRmZO7tBsaZ
hKMQX+ay0jcyn+tPNtHyOC2CBd7RWqDI21tXBjc1g3K4wPWtvBkgaJC968eo2IVL6TyDPe6/DaPS
htT81JwdoLllssiQ4etW42QPzVyOHL3cuG/sEaP4rQ4by0nF7AenvrfDL2tJmGJjX/yWr20enanD
gpNwPc7VxRJFlo6xmBhPrXRz7oLGRykarP6dlRfeU1zV5rPddB1qYZbLiD0Mu8zMVvVCXm3aMXaF
H3eUVnmTj1h/FeNrn6pY9d8gDdsvfMghka4y1vvZsbxkLGTX7TCr5FEaB6Yak8G1cITiM48OA1c6
9HvlnLLCdSBM64HJMrbLPOEaMHKSOy0EhKHGtjDbYJkSAHm9C2z3khAhHPaeLDne+b6tiWx4338u
N5sYa9RJWx4oMPuPw7oAtSrVxK+dYcebm4V3IsL43sVpeOuP5P7Q8YvstC7h8r7NQIMc53qNr6Xe
tj5xglH1t3kT2i5TjpdyeJR0jk95Zuf5MaxxzJTTVAyPk+yUOHi19A61pL+/m1q3eqRXmaurKsqK
MjU0YN2dTTesTLe6cZM1iz2UDYdvfTZKV++GgW4rB0KBf75esTbHUVafQ1Kfj30kzbEbawBtJhx5
IAOxU25iOE8hVPiANIDZNhLWK71Tnzw8Lh5F62pMuhx1I83CrXpE0sg/IMNzg46tzjuMYrZfoF8M
1+jn8hDXsnqyvxNDQN8v9ENbc8nQmc/DPJo7sS7rhbExlucY588dgix/vRrwbG4X80pkYtYpN/rs
dmlZmClRLTzZ8dh9DBoqk1jK/JZoKE7dfpKnKAtw9DThmn8SVi5v/FVib5tgpE57HSA8pbLggrRX
iJbM9cGG0NJjXNvHsKavn5aDWuudKUdWY575WFaGiH/UblbejEjjTygChIx12Wk2i2pYXpmH3b+T
c2M+gwlxQiQ613q1HBz6fuv271A1LS53axvsyki5cNabaX6vbVc/9zGChRJN9MSdIbgjIAsBvVLx
basD6oO+GgIO+caioTiwX+GgoR7PnIuBrury8SCZqXRLyNpJSV1SVxo20ju+B8ALF8RZlcqxws7u
ijUnsNllNA9GN3Lz4xjO9oeuUmWUVgYzOAoWK0tP0nuKUOhJhvcuH0QvfZoS2q74MJXszlNJUsNd
Aci8xWzHuYsYXN+XBB0YiR4Vt3EVVw+xYeAgvEp01cRa+NJvfN4IoPW67DGzrcU1XmH/ye1rFgGt
0I+VY4IvgVvIm6LLHWTIdWZ7sA0GeOa0hjXEihie8baWcqXHYPPlIR7LZyq7zRt3fuXH74qCkGod
xqxAq+v5EJh15xCk80aMt5ME5pA0ToQTdyKOeUKjmt9bUSlPzN7kC0vD4DEv8XFUMwuXYwHiTxhU
j6sPNUPFUTFcl/4QfuGyM9dwGQzfjdKQRqEg2CzyClZLZWZwVh+po3PI1V7mEFZHR/xQrZtDndV2
znDlhG7xlqOoD3aRVpm8CtZRnnTErLybnO9Hnc60OF6KiqWt6F7d4UMxx9Vv1aHtKnZdteYf6E7x
OBk9vTb38xDBYrCLHIAsHSN5+O5hGvEif+ts5gnt22xiuw86lyXcy8v323RcdO6iS+KnWQd1uPga
fS7ZTePshZrZ73kR/tJ4nZ8rN0YWnmNHPxpQD7SiMmkO8rIzNxwAh3hjwJ3tZ4R8m7Z725QgaZjw
ZZY9RT0nkAr4bRRn++jIZr0F4Kh5BkRAHoYwa/0XVemq5ApZBIio6OoXhYoPaakrc2ybgsuQriHP
pKsjg+q+MMt07E3fXtlW117FrWVfm63gs+CQ64KUDxiRO9SDe/CBHLGfb4q9fbbL7L7yA/bIcnPZ
5/ysZROxe8t94kppHyuJsYd0dvFWs77v+wXWy0xScQ90ZzpZuaBZtlBTQ8zdeEhMNarNOZzaYd2F
TYPS2lhRZl2vtV2tMH5ZcGCGXC+dVqBJjkPPddeAbfQxF/C+Cto1OHDGLUqkq9hJmhDoEB3TiqSL
Gft3Syf4LjY6iO+nbpp2PIcAYkBspcqtQbnMugWE4w/+dUs/gY79BbDmiM5/57G6j2qAPUBd1vqv
FQcKVbLY+lOXz7eyxjR1QyuUI8sE5E0aDyM4xYM8xYt0T6NcfBxKPktlokObdhGdD4xdnBd2sQI2
tk1A3ag5pPzIxerurtUjhZYlE8oeFi9UAXqURXchzs1hxYFJdeicucaP92s/mWTuLgyFYhhIdMlF
PKBR3Y+MyYN0ZTMlGMdEalkLaZhusa7HcR6ukSZ4N37hZiDHSI2elqqnBKzDiT1+Yvt/M3I5AtLR
LoN9ljGf3d2WCQI01ozGxgBGUVq3OA8AwVtxR6dd9pv/w/z/X5C4Pn5tLxDDf0AYf0Eyvmtr/vff
Io+Nbfb/Hsh+N2pVf23ATr7+gnckDvS/M9kB8eqINFIUkA+CDn0ZvTB/pzX6zl9M7Q2pl/AakhGN
sSH+ncn2nL9wkgeX0BR25Mi7/HXDD1qj6/8lyLXgjfQZa0YW4f8hkw1blaA45FJM8vwfKelfLaMT
ra6m8lW8dzo9HGbPw4SFFztd55n7WV+Mf8jL/OZW//56ZFR5ZyRJIvf3xKSDpN/ENTMFqC9JeVom
23bc3DLnD+5/8ZuR9McLRZzQNloD1OnfvLCO7CMaeE60r+xlrU8S1k117L0yRJgpQ3ErL0nRNAgv
oVShgkxcU5Ogqm9l5rV/+GF+M0eTeyPwzufOLQGHNFHYXx8yt3oGU/tBtgfpo05RL/J3WKWac41/
6U+xh8sH9i/n6iVjR2UYs6QIcEDiDH/7QBfNyUcNFe/HZbHQw3r7wcAaujJTXD8LJMkz7ojywXKm
4U9RuN/c899fmhVL35U8AkHH3x65xPeMlXaK94Ry55sq9Io3RgT6Nphb7hxcmpoFjlWwXCOMD/cF
z/lIcS/fDaDK6p3dBdlZdm39/qfv48OPt/4zN/M7VuD3JxIAl4QMRtqNOMivT190jZwshpTu/bbv
Dox2CE+Nu9KaXJ06jbPFThd3YTyPzssd7e3laDarObsdBcxKq+hPK/O3UMP3p0Q4m/Q+3QXWwuUp
/uSUhx2Wzz4Mvn27ratB7O+DOS25L8XpXM849WCCVX9YgP/41rEoIr4S8Aj4wpMI+PU1Tc2kBKia
vObSm5uqyl2svX/Mu/9j6QW0cDnIGUcYUuF8N9P/9M5q/JeRVVJ8hEWn3buR7lrxprPV2KBUW/Xn
xQKnc4ViH3an9uKR+wMCHP7Bb4ufTeXCmGD5YR+/ZLV+fZ/SyntH4yM4dAvmrTgZlKCVQmbBdlKt
hvGVGxLXQ4rVl15M5XsPdJK+ide472HHdC1Oa7f6WuWXQRJVUTPWuLPLcWNsCxGjHRFNpitnAejb
pCYU4tw3DiXbjGuShrHy1ndVznX7/RqZ4I0DgJBrkJc73zzIM+beGmi9JEGgvfy91MvSMSJi6e1+
HzXQtVDxVk1TA0Sd3k5WoQZN5Jlij8TGNDDFQNNISFvhxjdlF9Zmb41qRHbxL71U7hbmQVJn8YjX
3Nv3MDgKSkWbtELrQKEbaVH3pHeGnnT3fU+n48llZMJNuC58Psky1H38qQbcYvLEbhsXS5kmQNs8
mKLBbNAyYoPG/iCMveuEMzHHvmuE9w3QhLc+TrjMDNSdoRoecDNs3+q1c9qd5dfF597OF+uAYdKz
90NURYIasJy5qaIfcHPy2M3SeTXOy+yFK1ygrNheSscMCN7baC20z+ZsO+i5Mx8VPgjDrlHDUsA2
Ij9ig6Ix2wL8ZaAJtw6EKTHFTkICy4rOQTkwwGbu+hy1p2czTOreLWNwUq42ZyePZZBUVrzqg9yc
ENnMsgemAWG/qbFYTJ516nzHOqDijeutCWcwbjWyN9o5lw4s4KEPgy/rqlMFj4X78ObXOukGk+GA
drleJtlUFNnV2g5Yl7M2mL7pNi7wbbEtBtd27bdLeOT2Wzxpgu7uR8fNlp53HcwFYrXd2nu30rX/
FpiyLLCB49D6tMXodFVKcdw8kk/IxNkPB8FNmpGFZYgNDv3hYvVS8/PI01uOuW+q6WhjpqcJMLfs
DVYCwDJuzttMFh1iQcgmNOCP8fxuXw0G9JLf1jRf+iVj1REaZywnCQAzIKXPVc+YEy/7TGFaqmtV
LX2O1d0q/B2sEA+4HYq5v1uGiY4No6ZwdmTbCi75Yq+R+3boTHHcsI8yiAjeWIZ06tI8l8Kvh1Rj
yXkn8Lje1ivNpR0yFbpw77s58KcSXmBVR+QYEOYjweg80O57uw1svBDUw9VOmKq/a/0pb1Ju+eMV
W6nFe0HyanZEdJmX5UZb9Vq6tLGOca+0PGwLNqx7LQo6tI6Qzpkwa8Q31MbnJPnlVWWumBNKBOF8
YLkG5uYiQoqzaSx8AGqMmzzZZrShIxvGML1gZONmH03hnH9amnweUl/iQjxtIJGa4xTN6mMcClXt
qYKYFRYvWyH3Xt0x/wJQ4DBDg2wXe7+5RI6OLf2j5bKPzTf0f+m45bnrbju7ntcMJxkQkxNczeDg
+9VFX2FGs4s11nQBl/amxyHah/GUDIWcutSMviX2BOlWtAXFBT6sq9ZNgykqw6SvZlobaObIvlVp
Rx+2HGG9csYWD1NX4rTCk75O5E23DPfD2osvVeY5V3O5FYTjlCdu2q3QLwXNEvdYbVG/HX3XWN8s
kHM1ysq6znd9LmMQffSg5zvaCtAEZ+lONyDtA/3Bz8MebFefZaRaa0J4Mt1M7qsoQYtlXh0f2lSh
0/XqsQly63XgunwPdmPiJoX8QDqlbZ0xnUnFmJ1uvfIpEps/7DMnumxkmerax8qb6KyzFWbVed3g
0mD+wG14E+KsqK9pxbXvtsrX/o2zudgvcmNN2a4B2FmCNu6AmLlZ11WHYdn4bKJmisebyfOj5WgF
ISmoWLnUPUNTVc/NVDnrrl71BCEerO2xWl3rK9syEnuY5VZ3YNqk+wUUXOSmlMrBcACQKGi92O70
geK712nYeG6zZxsW5lw25NdPeiFOd9q8ZnCvtrAu2uuuCMmFWITXsHyHG2TS42z5F7IbffgudUbH
cgDCdphrYq91ixu3s8zXnB5j9xbT3BzSalThG67gHboRjYrxBkkluO2iOaIjSZqOOWL88hjRliHT
6vf4pWKnkd8svwNDkg15fx+HpIDOZRbr6NYG+7hZByfoteiScapMdwY0zWgEv1ym86zIGhBQ7/wh
GabV/VzbG8ENZNAIchy7H/PFqizAsQWP8TTNXeniZUQNxxvc8BaRkuKrZsMvnpimdW5a6o2Yo6sl
diWJ/qz3IVBS+7xmvV8+G6vS7U3v1VZ1R4evUMccBUvvGKMwoUqw2ofGua+sZd52HoY+Yx+sUtTq
5BmXRtCuwFkybTBZC4cQTu3pcEizZXaw7aN9hRG9LYOxjJPCTDsPantwpiPXQXGr4G0s9D3LYvzg
+g4MXY+UjTmW3eJER8V0iivsl1ru6xlH5ec1HMLmnjYcuorprBFsT9i3s0z02Nj0h0VXjvedrMg7
zSzbZ91x7qX97DYMlGPqEXzrRc6PWm/5+h4xp1luJ4Upmi5TOTyEEyndZO6FW14j9Pu3ls6qdUep
UFlJX5BvfIwtK/9Wj1vd3+g2iM3OWbTJD9vUVfJajXY+fM4w4WT7EHfO8EF3QwNHL/aa+YFg9fAA
OaIuPo6izJ6xMlXyhAOA3l8GwNmHyR+4agdPWqzPba58/6UDnFweok1slIZl8NaIhee8jDoLDwBq
c+aZqCa6XzVjqNJhgxudmi7OL+Zs48h7odfqQ9FlIRkyMbCnZFlW4oXqc5qvBTWRgy8EpQqbju3M
STvFPZaVsIs/e6VkECAtumA/WHH0wDff+RTasjj3mzUUyDjB+gX2xvaG7qgKEiujPSb7AnfSVm79
ncyCsDujYC7VV49Y1VsTB+DhzQiI/GYecRgl9sSBlDhbYX1anYKab1RhRRXCOxcf0c4DtQ/Q1fTj
4Bf2rQwihiCh/g7tWWhHm6TUpobh5VRBTEdUZRQUdlG/KW3idPBaLgGpIg+fbdtaLLCHEVJg6CrM
nD2ECgTjyNY97ljO9v20hj6MlxpUYaJL9gIQubrwCd5lWOLD3O7kzgqVFe1AwpOCo2IBZO2QqvDS
JspK5mhJz252OUoEIQ2nRk9jgy+eKtXw6VZLOb+zRlcveyEL9U1EhCXTfq3bL/MUbR/kGMTQ9Dny
ILybQgR8X3J+oNyW9vugDPVr264QmjvjiA9bKxkBHhZb8YmrWmdu843qjNBQPYf6Tey3pjtOTabI
I/ZLYJ5ZD0P0RZG77T7adu+MV9SOsVihdk45hapcLmMN68FjfAAw+XieOMRjfz1hQSvaV0qj9q7B
t8GfmaCYU6SjAT9OhQqKszuqSODMXGM466Jusuy4RVPmsaEhRGoL64gqY87IJre/+k4XVQda5hmP
GtKXk/iMQLtkt+YXa1PleMCbOL63yn6u72ipLp+ANurx0NcujZxiXWp7B8tYvccHuLi7GJc4g+Jx
N0SpT/3a7gMkjGIf4nLpk3o14720QRgR+qxHdtUA5ZM/XnchzkHw/gnXruyr7RPA3KlliG9WHmCM
XWPBUUoqQKNxNqTpV19JJmB6tbq4aGr3AzZgP9xt2nNfcgzUmBg3OMoNboUZtwLXkFR15fQSenLK
U8g7s0qioYzXVBA4vsS9Fk4T12sKhrwCEDeHMFgH5N1WhuC+I3f5kvcWKYS8ldI/xJHlvGmMV8kj
4d2BBhPJQJ36CMcQzO1BCOTn2GD4BTrw2WadDKmFI+ASpTSDmzhxtXBA5VsYIAk33Re8g/GNl4Vx
ljbax8PltttIXdmVTsegjCF8E5abgnYTmwipPBTm2V2xaxzaeb0YlVQZBilpre5jOzM1d5+Prfhq
WlRvGuUA0NOWMUjy5Bi9rYxMM8yxMpblfUTtcz0cNkF0V5giJNUkeQei71babzIWD6Pf2c4+UiXr
Y/O64GaMcNRAoM5lcbU20/pNDDZbzeCWCy+b93F5dL3FeTZxuMz0BK1x3hOJwFC51WV4s7UiUjim
VC2IObgjt/hZzMFtaYoqvKpNdJmyC/HWYQKiDY83ZZYUtpkJVzh3JrNNTUrCY2XDs3ugwkSfazIw
Nujtycewjw7iLUfyjuSVnX6erX3JxdhOcqGKZ6SQi+91gU9GZypnRfUgyD0Sp0P+6krBHZNulAqP
phmnj5NUtps287R9auj5xPi+exWDhgWgSx/GAWPOrIvCPa7GRgF0dQO1zmkgZX+p/SBv8IxFS3UV
+Nr2T0XvFdapkIFzmfpAdX1ofLfw7tmfgin1+RcB0DU1tel35ei/QPL+7wYZRQb7SUS7DDf6ZfrQ
8XV7/R9AU8vuZ8ro9//oB2bU9f5CKEBUQ4ZGRfg+GuyHpM3vOIiuDBnxkAJhaSAS/S1pu+IvZBky
/dAa4WMyn+hfkrb46wJK5CwRLldFiJb/jqbt8mZ+1kAdEluQchBdAVSiBv2e3geZHIQZveOU3ckc
phEl425yc0aQyF3mhss1Zzt5+byLrwYHp8TMvwpZaxDKxmnZiaJ3c8zXjns7TI46+/SlVjDQNecI
TdYhQU2Q9wPd7gNRlhyzxkIEc9epjb4paX/rnrikusqoLlW6NqUvj82AKy8jHgEX1MErmYQX7jlt
06H9Qcf4/4v2f7I8/rNFe/7arKBzfgzfukzY+v7nf6xXT/x1AYFh0qbL4iGOw3b6e726/E5MiyWA
SMTC8ZFj/16vPsBcvGI0X/jv7Ius/X/Wq+X9FXo2/LQQTyboUZb1v7NgvyNLfpaovQtc90JPgVgH
Vfvy4/2sCTOkvgSdLD75sO4RGxYhF8pJF5Td/IF2f+e/jeGLWVfWNMqv8bpisGjgB2IFYmYPWokX
Ie4ebTSplfEUmTDrx58e5X8gol+E099/wAgA0AULZQe2d+Fl/CTtOjm9/UyNXxZme7R718q8OvXr
qplSsYxdePzPX+1XuToCYwR/IwDh5kLe8NzfQZOk/LT2iIIxSVYw4WHYqqduUd2bf/9VXDuyIeRc
WD+/U+KKYqWe5T5LoKnnqdVyuKqacPq3oGk/3sul5eM4bHvEoy571U9PLsLbmgPsQjEVNdiCjkxF
vBTjiSxlflYAEPZ20X0FSr/+4e39+pH9/cK0CN0IPf6fkL++jyesfi196zmvjqtYmYlMOO4gVt3/
OCh/Gcj3c4vl15bG3y+F2oHbnQYD6v+v73FrmFHfQzjBICubdDQbwaqtf52t7Rt+NPGHZsY/3lgk
yL1dZH7aqvTUfutwxXXJrAIb+zsejmfj9faecRhfV3LFf3hblx/7X4uet0X7kJfwQoEs57ru790E
0EW4Iy88FiGsnSPLGt7BfJHXmxmCywwwUWfrH0BK/1j7EfgkwDOwxIILKpT96Of1knlTyQ2zLBPF
2Kx6v83d+E2M3LH+8BT/w9e5EG5CASFb/M7WQiiHOyf/F3vn1SW3sWzp/zLvuAvevAIo245tSDb7
BYsURXjv8evvh9aZuV2omsK0nuecJYlSm6jMjIzMjNixN3YmNchfNZRmbD8sol/X99g7Y9ZiDi0J
hcL5/zATv5dpP7i/FkWj3Mhkn1VgnjxQyKBHVqfuQj9+AVx2l/j0O0bqrq480vTVHnfZx3p3gMSf
VvcWUvwK5hB9+nL9c10aPXVSGWK9maN4WSXtQi3LA0sISBNo2UHSohEaGW/NgS54qgU/N6UwRk51
f7GW6LekZqcyx2lf9aC9kKtSAbVQaHISZYzXyJPOtiGuI6syIg7GfJws9WFVy+M9H1GAECJfoJZv
vkmdeVOb2pGnt78Soy8b0xFzRlWOC99iF2o5sAa1xFivppBPTvBGIVCo0rkvKDKp17Jcc6Xz7Qjz
LkxcICIgqn+/Pp7sDA1oeA9Dro2aAumYwHytJfNo5T2qJIpui9NOaF55lZITRPrNK3hWxKNjdMj6
JcjeISrDpx2z6FsAVO/Tu0lWZiZ27n8A+1DRPN21+judoqkEduuTgeIjAfNHTuJw3WvP/QkrAEgo
bXJqgWw4tSJ5YTATN1LuqkV9vBno4xgA/iVeTwUijKyVQS34xOcAiD3u6iwv0YCJP7Wn9J5YZppP
s6ZY1SjedLpO38dEvkclzd7bFGf810jzI/qwKxC1m1Ixhe9iEKkmDGF9vkJ1er5pyWVDL8eFS4Tv
Xp1d8kMsaWB5N0GdBzZlZJ6LPC7pXAKSD5nJ9XleM7Q4z/KoDbQ+wFCGVh2lakgwJKlaiw4LiMo/
08vpDKGqLEJlv+Q0TYa+hJCd6fUF0UO0K0G4TCA/96fKFNJ2jafo3/oByDBvBrqQD2pD3ZgmSzKo
KwO+5FgKnHq8wWYU0nKhcykxRkSaOFINYXJHQuM29Y3GRT1L2F+fW2V+ap4eq/OBwPJJMnlxrC2W
kcSEkEUgYUE793VJO15H7gCqLnKcM2+dCG2Iab3I6pAi6ALAunMgCJAotamaZP2WPMn8GqaI2Zm2
0mc02nGqAKWgaQd+qvwXV/0y+6sK/Na4t6qiRVcdVUEIg7h6kUuOI+pMP2jYaaWjkYL5hkM9JDta
wx0b010tJamDvuQoPgVDyBmU9WVdpdSDJi/biVWhAeRDRC8WXIpYEy3iuTjd08Puq04b8ZmoSAFG
3VpyWzabjmxlB5ZxUHapSZ7dKdoo/O0LPln2rBZ8/UbJrcl3AarS3lv3iP3t6POEmaRJMzhkZGVU
0MOjD69yqe3CyERWvCqPbHntjbuRkt7GVVJRnHkvQlG61ozRVpWuh6JnSIyAhHGX8rqAXsGnw867
q2qU0JLHgCagilp47lOI+BFRzCfB3ifB3EWCQkZnqSTLpIGUUFBV5mjOEK2KNGvuNT/VUmm+FGkS
PhoUauiprNO8c6NKFC0H+SWaE2PYgJ5juhr8nRgVouG0RRa/daBQfleVUHRI3kNr79ajEUFI13vW
l3gyvB/0XUhcBGhfpr7OxoOJPSh08yAllRlvzKEKAZcPCoqdam91wVH3lPBHJ5Byv5ky7lMBramj
Ujmku8TqVYQMCvS0nwg/aoWmRsM1mTad3n1LQ7QQYYry6PU0xqpU5QT1i2+FmXGkz5zHeZJx43Jb
kPK6i8JwspvGJC/sKGvQQkQs3f9ZAl8ZYTlA887OY9pCNpafhMVN0BXjN1VLUSmjSRmC0nbw1L1f
hjDZ+UqOKKIt5ZRjXFCFkmgXSiENcG/ppCGjoB2eAnR2EdaSRvMhok3gMSURqG2nGNwYyFKVYo5b
9XIBc55BgWy4i4wcQlZ7ol0H9HiEOFuNYRpz8TgDCgQf2YHUyZAkeIQkqoMBRdGr27pWLToHiQbG
S6agW/jUp1FFIhy9dWtXqNJEZxsZ2C77Ngx1C+bDb8Tn2Bz0aoNQkyBRu06oix9V+Osy8ybrdHQ3
DhGnVnjgcZPpKLJXEUiFoE3S3RCZ4hdDEKNfPSJjwV0+0OHiUicFTQP5ONlTOnJ7RjTL7fpzb5LD
KVAmTu1PWWFrY089JySj/Lc2s8HacVAP1ibJeG6BBNEg1IjkSErokYR/yaYflT5n4oMOQ2BXZJpj
yY3YboMSsAP424wMpO7PJaIQVG5vR3nE1LWlBPeArNAn7xZwrMR73Wxk1ZVrc7qNBMqMdgnzL50p
lFoqt5is+oFnHWRcBVRevhOBV5bsEpEJettEP7nVU9o2qFT6auECEylit84UoCBxGiIQ6QVQmDr6
ENKWlIbN9FOyJu17MkK3shmCLjmEPirbLu2sUexKQMF/BH3fWwDmy6n+rnpRAiZE9uK/SjA17IKp
0uWd7oM0ogwJzuNoVkZhbEiTpdW20mlssCsEWt5gmEkkutqo8duKNZSC6+li9Bc9ceBEUtqH9jIP
EGBPUeVHDCfWNZtZgoKvriI6ybkQkCsPyLHQrjHDyiAaake6vqM6VeAVC8v7WsrV18Rqoz95g/Se
09c0UMAPUBoKEqtS+hpbImXSHlL4AKK+jCihBEodbNp+Bhah/kjWTGhAoexyAIVPfpslugN3baw5
+lREgKtpp1acbvSD5IYW9HJ8bnQpliXHTJtSBY0e0IHFrwgqCW5iGCw2FKMj2u37IXwQIG5DA5R9
NsXfet3yzXjP/Z/77KYM24o+JOD1Sts0f8PqolU/YKrWGgDmHUARsv9jxQ6DQKBrvwydLx+Eesrf
ej+CuwaoRxa5BjCF+BjkmpoRcZJh3GQhxGcFvXOWIQxOpaS9rrm8SXoIEy2Zpuryn2vi/08B/q85
0/t/x2LbFWpxyccU4Pz9/2QABdn8L+ZUV+dsCM/e96TwPylAwSAHCHIRCC7v/DlpTZ7x/+QA55yg
AR+6AfsviiRcBf8DwxYU5b9gBeZJK5LYmXtojM/kAE+vYBBLW8BBsa8asvKO4D293CpwNESyXyGc
BGZLcSZyf9WubTM1P/qTRkfKh5lZTejN5gB8w508X/FVSNIXV1zAfV4bN+wlNLJG7fcAEgfUKSoU
gvoMVKWa/rpu7/RK/W5PE3lnM0LyRPBCnQ5PDLOYyn052KUgZk8NmLmXEhnE3YoVcWEH0l7ST2Bs
qUmI7y+XUztz4YHTWHq8OTxsH/budmvb25u77dZ1t3cO/37n8nfXdew9f3LvbrYH+8D33N3xr0fX
5Wt798jXNkf+yHdvD4cHd89X7/jhA9/qOAd+23Zn8yv59fO3bHN+/vCyfTgc+G02v87ezF/eHrbO
G9/CR7Cd+b/wZ/5lY9vO3tljl+/lN37ZPfDrb1yXX/XGfzls7M2G3/jq3tmHw4t92Dj8zGazcTaO
48zftuHn+X3zL3Nu+cMdI+ETPc3md3vn+G1znL91czzYG+fecfkzo97vcgbv8Om2m/2t42wPd9v5
g/LZdvzkk/OT37rnW4/3z/v98zxNTNT80+7dXWrPZp8d/vP1JZNXVsyaMb0fXnXzxUMVI+nxbvvw
dti+MKiN89PZH53nFUuLXJS29I252+KjpaaGPBYswuPWfXz99eDbD/bmx70j2it2lFMU8rmd+QH0
YURwf4LNmu2wRK+HpyfW2WG+WZL9zZ174zgruOfFO/3c4CIvQL6/RKKaKXTfXvAW1un6GhHn+Mj/
k8Y7tzAv4schyYXh0Rj5ePd4s72ZHXp79/5//vnwtmVvPOCrd29327e7h9Jm49y9vbGW9u0Oxzo8
7Q673W6z293a93jY0bnZ484/bm/f3fHWdu73rDc7j23hOo83js3+3BwfnZsbvO+4X3mCrjrCIq+h
il0HqFZ6dF/dF/YNM7bm1doinJ/52uKROxHJ4bwmDm3fHvwN25Lt/jBveKbtif8d7B1/mne1bzPC
45994fT2H3e/3//p7cfnNRd5r2ZcW8FFAAYcoETp7JQPh5eHrfNnfwjt7W47T/rdlhjnPt/NYZKF
YSE2NjHQmf/Vfdi+uC+Hpzv3NSe27ezXm19bfgFDedjZu5cvHdPnEkWeDjv8bnPEzwt7c/8zso/P
LLXryrb7iEO8WfbXzT2RZOvae3fzSBw63s0B5rqrzvW6q566yEvGuTAoEp5KwL6zX4m5nc3n/rHb
2k//RGaGRxC9cdybLR9iQ9y9/gmUuZ/r6keYv/5hs0zG2CP5wFS/Et7vmIW7Oa7dPbsPrnNzOBCt
92/sFoI1EZ9TYrfZlITX7ZY55+jZz6eA+8ribN/cw8MDARu/eXjybfs7XrRlTTglNkd24StR+2i/
x7LD7vBwePr74Nt/P82/9NfLw1tov0z2L98+EOyIQw9P/Ovff+ONxPy9c/9MjOWfj/vnzfP+j0PI
3z/bL5wig2379o6t+v32/v77/XG/+Xo47n8/P3JSOI8cB85m8+zaP285iPaPN+4zW9TeHI+3xOzj
nql3mdX3aWbkf5huDlcscrbs7ziX726c/eaerf7+jd+e+c9zUHh2bx5fX3FE5/fKilyPXlTDThfE
9CmTGhwxnJI3/IXv7u5cjjy2vu24x38OOWfFD+g8ueoHvKZPzcadQQMtZrHJdNw9sP/ZarPV+fQu
bXaR/Ws+6wmX7IuDzTcSHbZP86nMQrPw/OmJHzjY91wItvxp/tnDYXfPP/fPTJp7dB7fLzZM63Y+
NdlR9+zcw/t1YX88siFnV9/OPviwncNpYO9xIaafaL11icc38zK6+9c7bjru/sHlZ64vwHw6/E/s
0SngAvuQ/6nqUj825q9/2BAdEuAAhtB9pjODZtwGjkqQU2uCk6er/B8rpDDJv6P1Kp8psdHAAytB
WvP2h5ffawEXV9mQvME3ULphbAkrld3zUWk0dFJZnaVVVB4Ip6MiyUUZZoD4DPYUdRuawPWDhFby
z86dJlJTMIy5GDlL251akVo6+CsRKGikBvJ3MSzTQwPX74qzns8dViyKgTxCuJ4vRYToQxEDiMdR
Np8F3p3AGnLYKSpNa8mn0MMCqq0PXq6P7PSInNdLk6g/0nE162nRgnU6MgtQd5GSh7TzMpOPolBq
bkei4k4kH7YyvAumePnxzgHfMR/Ni0mUi1TMU0hh4LKAHQ4C1GkLrLpw6ihNjtdHdWEmwYUgGwO/
A/o0S+yRBiWMKWT0AnUhuhdtGOl7aD+aWyD41gOdO8bKZeaCF360Zyxi24jkLs1F2KsyaSr2qeQV
wibq9HDFzqUp1OYeVk1meKTWTlfLS024KXJQxlZSBh34xikaZwaR6U3xu3LF2KVJ1Axq73AQzfpF
89c/BAxaIHSzjsYSaIYcuy0I1PtA1z1HU03odgdTXQlQFweHlpoOSMME2bbYyp2K2mwTyqR5kpYK
rYWSSdhAsOGHZCSv+8clUwBoaLvWUWVCLel0aJIAxa8wwFExQjlCDi/R72s60Gwr9auVDTZf6U7D
LkP5YGqxwbrJKKpaYlTalD8EgeHvzHgsv4F1UG97BBu+VWb7en10l7zxo8mziQzpqIglJjIQUwf9
Fm1L67y/sp0vWpGAf4A3eUdonc4hJZKgmoQAeDx69V/ivKD+aGbKp5AY7/EJGBJdhaqqzyLii53l
aR7gDwtaUxiiZ/3hXN+GsPWtpCwuuTp9s6DJUGil5X9hpYJXFOo78N1CZc2IXSuJj5QpvD9pUQcv
pGWLZmVzXfRAgC2UqfmN8Eqdzl6Egi+lFDpqGvJlu6Rrf2iq+kumhXLzeWcwZony+eQyZYgKTnax
rsHZ0muEjAD+e5qba9NVE6lZ2VCL1++8TiR1IMECw4fW5zvq72OwCOC4aRMtg+5dAeE+Z9kdODij
TVEU/i7rc8UudG3neRTXFPTX6HvpMliXRDVYiSLnbqmzdWBygOLw/TpyOl4rTHlYoqhgS1mT6I9Z
rQb1IVDatF5ZwQVe8J8hg6jhzFRMTQMScWppoNYeSAMohiAM4qOYyN22LKGrz7vqztcF2o/AmGyq
eFabwT4yE3HgsAaN1FiHdhTKlavQeaShsxyNb/KgMpJzS+RJP3I/Ejr6VwvR7BW79y1qt3LT02fe
i75c0NnS6U9120D3/FkfwzLUGiqoSeX8ejRSsUlbiZNiUHLTQXQrdialzVZW9uL4PlhZvOgQRKFM
S6+2zbOOmh6a4g4dUcKO9m57tH7kUV9+OsQxLhaYidNBZy3F0+FjzeC8YUZhKkAACEpB6ppNtjJ7
58EHKyBfRVMHailqi3OWNjovrg3KGxBN60+5OaLCE9fRTmyT6FcTVtP2+mpdmkdcVufWrLFPlhHB
i3MS+Bonkh711MW60hRuZMjgHNNM6zu5o0PDHXxugSvjXLO7GKfe+kNZ5iotUikM5lEPqX0BDfld
1ArVTYsKoCPGkbQS/i5N7nzbROt0BgUtQRVDYaZlUmVMbihpr/RyDLBZW1206zPYwO0gE5rv16f3
PLKjPQrSDEZWbtaAk0/DQqv4fabRlml3Xp3RLFVWrpJGHcSHw+evnVylucHoCrrpOvDlU1OxOk1x
r9MWNfZtshHjqd0Ojfb5yzRceTSczMqLiLkuET9wd+W5KlN0h3663ykxOiJxZDyKJZ1LSSWueOd5
/D61NnvRh1tn78s6DHREKzFMPMlRQsqfjifT9bPiGSa/6PRiRg+EBogJ71ApK81f/2CIfRwmQTAV
dtKJ9TEwhRQmsFSkQxNinAJK7pehFwSaZUkj9Z/fCuBLqVZxvwZmrSwGacSDCZaA038SGus5KTX5
gcYPNKHorz5AyTeBVA48bWXEFzzTIu/CCSEbIEHfhVc/jJg3id7QTM9VdG4UKhQLIgUaB21aG9fk
5i/sdfQc32/XaMdyPJ5OrllA7qj6BReqIO9u9LZsD6mCFl8IRnvWgKBFKynrNezlhSUlxUHegYuI
Cap09q0PA6yCUp5AWRCvW132aaQPTbcP8/oIPSK8vzMOO0OvCIRMF66s6JnbzofujBWmEM+RscSx
a16fFbRpFRC1moUti5myJRfTrYDvzlYQK2QfaN+ZYbxnsQUuWaXqJ3x2olk9t+s2mlyeuMleKYzs
UyRRXG9mW1xNeQHOgsZL0HCshmqooftlxzQ5FHbZCtNbJ8iJsXKsXxwTCj0sGZkB2htOFy2cIprd
xRaIiYTaVl2M6o2YtOmhHGiv/GRoZkgG/i8q+nzQGgtTqA3AiZ6mmCp9gDbdKIAhGX/APTGuXA4v
uQN3IbYAor9zI9bpoMrUDMJBLgq7ghllU9GGjTJYUG6uj+eClfmYmQVyzZlbafGMrX0jsMoQ1cFE
m2CP0GtAqXlqrizQJSu4Nj6ADbo0FlbYRTQWJ3RP9jE9kJTqhV/dO+3G9cFc8APIzxgL8Z/68XtN
4cPmNWTkGSFDQDegbL1tEyNSCp/DjEKyVuowFwf0wdL89Q+WoPYuoUSJCtvSu2+mkSkbOImLFV87
u3iADCY1Occ+Yi7l/VMjUjOUaS4J8JrpuXhbRkP5nKLmcEA/RZ0AJ0MMc33+JJnfeHKgzRYlmW4F
lQYQbW7U+jisqUyipC+xqPoWE1hKgTtkULN6VgfgP9C8YJ8Bl9mMoWbtMlq2/wijcKw1aLYDpY+f
rn+cS5PMQoLFpv9PAk5x+mkgvg0kc8BrYiNA8UCASR266ZU83yUjhkZ+wJgJ+shDnBrRyx5mi4KW
9iGsEMGFzlVv3Fq04Oi8PppLq0mDGXkc2SJ2WLPzfnAZT40zkWaBws4iiBeiYIa692h4QduZNcjZ
XLd2aVgmKAk6lVTIB5fXg3ao9SHtADsajebdxN1YHgoiqPsvrJDsoFmBM4vGkNMxGTSJ04FNNAQ2
Vt3mbZBuBg2Kik9bYdp4QBEN50TOYubiLBdiVAXnO6oR3Cc9hNEImgSfTROB/RHJPhA2eNdAaXg6
FhMCpEaYfT8OlRTyInTtCi8zV+LteZZjNgM2iF4dksqqNC/cBzdIUaXSxNQAJwqk+VYYTWULRPKY
98A/dbG7N3vtqQBHjq8b3g257iPELsXK2XJ2t+JDSBotV+TD6MFYPjCQT2yBhcKGM+mdLG0aCEGy
L+qgid2t1qLIh/SYlYSHiu6itRTthW3ASwAcFoIWGlesxWIKOaRYLZQv9oiiSYyyNsJrQGBvFXWG
Xtcef/+898zoKJYU+hZ6Rk8nvJWRcptQaLDVIIA1oFaqrZFOazth/tinkRO0vUF2DA/S6Fte7ATy
zT6UjSyrHiCLnZhGDjHAZBwQmwlWXOh8BjFFSyWkkFgUl48pYiVQaY0ZzJHpEkD5JyU9SeBGvkI8
of0OoMzyVvb5PEfL0bHz5iwj4Yt22dM5DOJSG/yS1rIig9gEMi7tW9n206+yNaDskjLU7WRxuCkC
Jd+nlVy/XV/Cc3elVYbXC68cbpFEtVPzsPuL6Li1uS0mle+CWP6dVMYb8pU6YN4Monx17UZ5Hj5n
izxYqaSRYVUWu7TuwyiUpTK30RTgwVq27Z6tkq2s5OwUi2mlJ1nhhMM/OXsWTgPNBAg4pC7sKhJo
SzGzMHwtpzFVXcTk1C9wBU/0D5oB+SIjSeq1M+KCz0JLxVWW+x+ZoyV2sJoKI6ZRFi2JxCu3GoTd
DTyaUvCS15USrWzDC4GPMgnPZAMKuTn6LQaryEKs9o3IxtfrL8TF+EVCExkcdpVI9AYH2jOU0TyT
B6+vm60MH5CByEVdfoWEGvT4dY+6MPPUYsFnQixA/8ryxSBDkVdNZT9LTgRs165tfvU6d3lkASza
+b34rja/oaARfPooYxIooZM1A6tJZ+ipJ4uplWiQeEBWAjtM7jS+p0w7eMvDemW6L60tj66ZCpin
JK2hp4bSLIs8UKc0g9at9xV2b8XYjJLl3TQo4q71eV8yBmiexzoJHv5ahNhGBaotIDxNa48uHgsp
b+/7zBDcTkep7vrCXQh++myCLnuuNeQgTscleao2QmRO30RkeL+jRhq/mo3R7WIo2/YUM4Pv1+1d
GBr5eRDHNCvKaE8uUnGJKoRpO7PL6DlkYUJA8bKqEHvI+ZnPLxmdrNQt56GRKV74RqinhV834Nut
Ua18Wx3a1qPklykHSc7IA14f2IWYCiECAyPKiXOy8XQi6ZVAwbMVMltK0whiy6CGxbmk6OcgcyT/
buC9E3clZ83Ky+mSXVKNmKQFlLrcwlfahtYsWUGsV+ozsjcDSs/3gOdTByR/8LXP1fzW7AJh5XJ3
YRkBJ3AFgO6BlN2SRbozOjVtkOSCqJoMgYd6lV3EZe4YRq2vhJYLHmoS52hUIl88U1KcTiysj63R
9Sj0ePU0OQlkOrsRhsY9zGiRS1+csJJkuTQ0ntRz6YRcMY/FU3tlb/jlYFqwk9UqWu4C+spwL+ZP
kxkmKx46e+DivIJ+WKHOYACl54A8NaXqpdz4I0LKUL8l97ScocyG8uv2umdetMK5C6celUDr/SD5
cEMW0yJOdfRz0YBIyk3poeUdCEH/6TwYDB062QiTBK4mL/kc6oCymz4WWEk0ZJxAoScjwtPU1FyE
rsVyd31Ql7yC7NT8juFSoZqLqRPFSa/akLglNM1z10yPaV7CScp9yjbK6HNEDnPijVSLSCmN3i+V
e9vCBwtoanRoIuFrhhLjmIWVQgONbxzEYSigjJ3aldFdWDIiMlloS4QDn/ziqWOgMF30Aw0Bdt8V
UFRNgSgjyJ5DebvigRecHRNzUoz8rCou+7MHetqCJmQfD11npG4KbsA14twM7TD0qudPrxmTSFkS
gAIEFUtj3iANWeObma1b8DG6fJzyr6xSNbrSBJK4ZP3V4PPRkRObTCl3EtDby2N7ys10CAa4jKIu
9JxYgDVFpvO1hvh1o3p0DQ+D1K+cBJfmlEs1VAP0pJNnml33w34LmkgoUkHljlknR5lK4oYOM3RK
VHktub5maT4bPljSCyBhIIIQyG2bsDsQqptkk4109zlhXLCU19fvwlFDsztv+fluwpmyGBgEjWYS
1FJmN8PU0PupoeShexZkxHUJA5o1Ho0Stst/YVSfwwrbgdfSwmiVWr0UmnAw1j2TGAID+Qpp+9dA
z6qtqJfKtq8DdcXmhecZgZ9b9dz3PbfVn84rrY15jXRWhlpTKdl+kB2tYki+j14Q/UWvavqmpWLl
aoKIok0/pCt78vwuPVeECKHcqOm5Wm5+Uc0N5IBDei+NQXps5WyEabjyfwpe2d5NpuBtaq+s7xAb
Xjn5zqPO7K7sFO7RJBSWxxHUg1bYkJ9EZQrQEOUMfxMpkfx4fUHPIzevToM8JJAy8mjL87UzMjQi
5YCEjdcGb/4Eg7fb5HWebVVvyN/gZPZ/Xrd4PqHzO5eUGlxlMiXZedwftkkAeSgi89wg0iZElbwM
M+2L1U7IkFeUVLaakmnwjvnweXqFF60hFi5Zf7/FSxqEWNyzT613Al2Okso1VCyKIHENgY1p91oe
9I7VJ6Fkh5k39S6M1kW8J1ks/X199OdBAqEPHJlTklwDmdJT+zrVCK7JBAka+ZUDf/2MC7XfyVBm
bD9tiRTpzA02GyTBfmqJt4NsofeV0S5nGZmLjl4/zqy1QrPVO20MVsLR+S5V8CPAsjPUjcCwmNg6
EuJoaGqOEzkpf3OAuDH6za4Ez9emgQp556dj+aPojWIXQeT+7fpgzzcL1kmlw0QtGjMjyGKwra7H
bY11UGPRjVTooq1FmfzpLTlbMSnyU+kBXrq4CLBDTBDaPTfEXkA8cFTvO3MQDv9iKKY873qQntYS
U1OD8xNApDGR/VR8AZDuQTwtikhNX7dzYeebeAapSojmuFwrp1NG7VSDyALVC19UNdcqaXO0pNQ/
gPUbjiasnp++koKBg56OGhldpGdosNqXx7ycl0gQImWTwL5/r5H32sDLqn65PrRLvgjqUvwnYQkm
/XRoaRSKvLdQlzQM9J/FqFQdkgmpK499cijqSjzCDqE9alVExzoyICtb4UKM4RrHlJJ1Agy/xAVr
SdwB++Dy7Q2+8E57XH5RzcQgjzkY1YssC1pnowNdvqBuPVYrgz+/F3DDon2VYg8ZcH2JlsqFqZA1
0i+2NOXiDxYjRLlQZjM6beAnNTDHOH7yoUj9FwEHw2ALWGTCzjL3j/Imeusdj4BRKuHC5RMeIFkO
XpFLiFfurovtzs6zQPNIBg8AYjg3u9MFRrQiSy11DF2xrzVXMpN6J+VdtBJBl0m9/5gxiWfQbxG0
F36UcUAhxKGEbkSNorGS1u38CeliMYLbXK/Fe+qJ2TFWhC/e4A3bkmrno9c2n3Tns4+xCG5qIfaQ
PMihG1aQvAyaUe24GCKaYqSKG1vTJtchY2E3k3gDyLi5vpkWJ9a7dcB9oFWgygIfuwjsVR7myIK3
oWv6fnvUSn3ciH7bbfOwWyszXFrWj6bmff3haqBPijFqaRciq2GFmwZCFGje/zf36P8jDyCETDiP
NSeGTW5zPHzmwPjBigCFtoYoYoBSTmX0RxEErOfUYxFXB2WMLPHZKJDo/tzRMRsFRU+Vj/7yuRd/
MYvKqJaVBsmi2yNWcNcMAtw6ePDnYvq7FfJ5EMbBmWEYy6tyS6OIJ5Bgcq1hNNObVoKffd8oqSHv
adWv6f8xCiL+dQdZBJx/jHLVoH6BbR4jp/OZewbSt6Mauil6Nx4F4KINJ8eY6l6q7BjFXctpzKCD
/astqbZfN37mMtTz8X1wEQDtibWLI7nqGkMVvEx1tLLx9yJMh44O6HXFyiKiqzpZdFHmGsUCKtSC
F1baJKR5JZeRSw9Hv4OeJskfohJ6F0GH474eOa3TrMi2ijz5K+H8bPthGrmxGQsnU05Z0m9ZUS7C
KQ9tiSTmgfRF1oqu/BY2zay8DL6lblaqUZfssS8487nLzeTIp6sZTGoie0IhO2OsdqjVw4EN5UPi
IJNZudfX7oIpcvczoRfgJvbhIooXdHNVMXAaeGa6YOOV2YQ4b6MR0hAXuW5qcSOYFxAUBCV2/kJh
bdnkiFJCCQVsz6hqMb8JEPveCd6UOrJg+E9NR43f61tUidJBue0VrV9ZxMVd6x/zlEa41IHcwVNP
J1UWEIVqskB2cFJzJ0yNbKt6RWJaFBS7VHPx8fpwz3fFTEHItOI83Bffe38/hLjCR3wzgvfJkZNY
3ccw4EIbEzQrk3o+qhMr8mJXIERoCWWseA4VfcPx4YdCngLUnRRYj12naCtx5pI5srMzMHsmQpYW
eQANoZEiNHXfJYiJWbQt1GoM4f7SEgWRajNTRznbjE0SqtvPzybAIdIAXP1JfC+3BKlG8PvQryHd
q/8IYsqYiDA/fdYITCccDWR0qACx409dJMnHJIDKXHVGhvPDQt/MpYpRrGTgzh2D5ge4y+eWDJTn
zMUcRlAK+D0yAdBqUfXRzDDfCMDXDp8dC1bmHBElURJTy9RUnSs90rNC5BaqzM2MdtdtKNZr/nAe
PnRCIk9c2jOpuOrz1z84Oal6b1QQTXehicvtIBA53qDu2g8exfrrAzo74mZEE3cqhccLjULLI67K
5w7bMETpizaxv6a4TV80zS+3qHIPbo2E59Enibri75fGBxICUTPSs9hfjK+amGAUKSI3CoOSkjEw
dnjgDeSZpX5lJ18yxY7ifOG9Ql5k4RZaEnQhbV9UcNBceiiCPHXyzpR+qAAMP72Z5s49MEhk1Oe0
3sLPxakMx6JFMRCFoHxn1cmfStHXoAfn64U/UI4A8z8fm8t4WysSrEF0teKAxvi1zafJnQQ1uKXn
tb6DyTq5y+CiW6uNnW+uU6uLOOHpY067lhe6itRN+64I4QaDmn9/3RfP7yIUNcmgcWzSfk5989Tt
tWEMYwSzUQE12/BLGreTPRpD5qRqId9IyNCndth7yl4NGu/nddOXBsghxstW5g4EyPrU9DDVBaLQ
A+8hXR9cvZXj27gR1zJJF62Q1Ka6T7aXZrVTK1rUArX1tNA10HDcKgWS61IpreV1z12eNw2BENli
UiBo+51ayQ0RKvsGLRixnbx2l/dFLW+nCMbDfZnKTbMSEme3/lBcZBiYoxkF8ixeUbwmT82h+KeW
5aSi7DBB/ubH5fSYaWECI+Wcq7LazlpxkwtbgKwf0q1z3nzWszg1GDSqKqDxF7mmwW2jaRDEJNuZ
m3seKqhNgCm/7QxYMTfXXeTCtBKPAd1gVefMXCxeI8yXr7KLXJ/DZwvV3HTwwpaULuqP8lrD/IVJ
5fKvU5Jj48HxvJhUKxNHw/LLyK2bxs9pPePq54A+MHUn1K062MdqHqafDsskGmfNDg44KMKWtP8w
4vV13bYpmu3IgpJb8l70vlH2k5J3f12fzAs7gcIV25xEMeXcJYKqaQ2qAHCjumDoDaeTZhn3yfr9
b4yQiSbPQRvY8jksSoUPnq9JXQDQ/SbIRBFFQWtaOUHP/IL0CccYdT9yNjPQ9dQdBx5vFBej3KWv
vHxMSLu7Yl31u2CU9O/XB3QWIPF3tFm4erC/Vd5rp6ayKqv8LElL9PY05cUDmeUdwmmkwdWFola0
XE7u3gwQGULq7y3qW0tZcRFKqGdLx/sJqCQX5BkJQiP96YfgORfT8BmXm1ETY3rAhUlJ5ORLl0y1
Hzt6qtYpNJ9hOnOY0jtZR4ktmqmox0hVWIgDbqxQlFLpeUqVMfgZxmAx1EOfmIXwLTCQJm6+e2Mc
ZdHeELpa+J2lkQCLpRCKnoAgBfpxcbQRe1/0FCdAw6kUXTRSGz/aNVZUKS/dUFhC7uhB0M/fjw6C
8qM0grT5gzxr0X+f5ElX7qvUqNLfZaw2rYPAbChtIgFh1siOpCZKj20RhUfRiPSI4ljUja9DkDUU
yLPWryJjK6thhqqdFHe9ZVNhM6s7MZmZEqBVTsxvpHdk9Uanj1L8bdX0PX2NeRAqEQzJQS5lDjOT
Gm6XCFGb8eHzwTsWVZQ2DpXbrH+WRkGnVTJvIs9zU4rksRONjVV9HVSlih6gFxWUfWJZHglCxpJr
P8pkbNEmVcp+MLR9BR/qpGyaLiIX4yCHiMLCvgpqod81KVArW0/MTjZcOlPC0HBSq7RSlKEKT3Tz
wFPGp7ydpOx3UmS6HO4aWAK/lzXP2c5F0rEQ7sHL5t59E1oTYOdWqkMeKl3NR9VBlrxKrS/S0KpM
WTY9F3oBptXyoY3YDDWiV05roJf6WM8cNKkrKEJrfde80ajfClif4UsmyZS1z3UekXRFPT1KqoCn
rGdJ+0CRm+FJD4cm5hXhT21JvTISBVTsE/m/OTqP7chxJYh+Ec6hAd2WLCPbMq2W6Q2PpFHTO5AE
AX79u/V2sxh1VdEkMiMiI9S6v4Umaos/VRDrSZxwD9iwcW1XvZZPGDGPWqeszMTyaduiAbfbpS02
W2cXVpYeu7KhGd5UxLY+c1c/JsvrbvFfN2mlg108xbNftN+SE9srsk4IfH4P+6ZqL4bxd4L19xCW
TvDj7bssGkDpeSqdrCx0VJdZFWuFPaldp0EtB/Lut4KP50VOXurcdmjWV2yW97Mtgr7/iIPGqZsU
vURpOVvaNdr+Uiu1R7zvKpv9cVpjZJBnMSf2EsZWE7lGekqx+KtKq3j38p9Z9V7Ao5yHM2sLwlrX
eY8lWUfsq0tyTHVW1GKyH2OZ7O4NdsZy/yN7tRa/fWJu+hc2W017IKlQbBlrEXuUxs6S9wc9VNa5
77BzYtkfMH5/JWFJOAuhSyEfrrYpuiNhLJSvSx2T2h3nAxUoQ3Y3l85hzge3EFeTbWFecXaX1n70
suNFPXWOxaIhjbBZRiLS16JXzq2vvG4keC3Hj3M796UIojZzSoyD45SgM7iA21WwxZlkriY+87+g
FLBYh7ycUQHh8mydQZ6QCPUx23Ku2C3BhM7ebx8oLAloSNkoz/s7zysEKlU8fpAlp3aIi+YzmJQZ
q0tI4+48h+WIcQJbOzZP6nRfkMjglr6Nwfrd1bYuSXsgzFqt2UUPMc83hAVOcvnVDE7Qqmu1tOW4
nhUuycWcaYaCKDyMfpgHd71fhx0JhXFV9uX1QrWu0Ui7yYLFNf41QeZJIcYmq9YtHr3r3e8oX3/y
NrDr+tw3PnluBN4m0eb+UTl2txHdHQlH9YWTFNE9cXPG3MaIhmbvOBY7cQFbguv6cZ4tlkCHRGy1
euxqAoWvJrw8qhpF4TJgVJwE3pb8F3cenMdpqW34bxmrLbp1nWZ2/kaVNw8vXcQ2Pqo/xEoID1ki
Hf7zfGpy6mm6hQyjX61vnRDXwhfLgLy+Osug2nPbFqF3O8d4UZFfGzhfeBhjblStdrxWOUHOW5C7
GERsU+FiEr0V92HulQ8Jmwcnr02aB3i1Eb6ni5I5eImroGuOwE3KkGTJbFc+hKPeWNwd/UmKd88H
+/7mN1X++xLWWEgHLCMlZ74WlINbNivxn+bi1Y3c2mlvZ9vnAZF+tOn41Cfe9O6vXiycVHTdNN6J
oEnaZ6+p2unO5QTOHydZGXtHvRvfd+na8rXok4l47r2Ku6eaMJDoaZmcPXlHCzQNp3kQVXQo3VHb
M72qXVJtekSjR8IZ858hmV31iGy16k6mqEzyxSM78MzlLnKXJxV6ff9fkss6ZKlQcR2Ow66V/1NJ
DTpNwLzyeKp5RhzzFPgd9JTo7RL+7i2e1TelqCVr/ZJMyeY1L+LF6a/kNoczqa+BKox7ZRgUcpPt
W1yrfzq2m/OjGzn1W1ourlyx6Ccq1fvylDGrz/Z8b8L9wIaGnluM34eiIBohKauAXY2hvKhSVemT
RJuFtp/6n2jtHAev9pjoDHbvC29JPidZO+NrRBBmxaE08KATLcGxEpJ3SepkgDLFXbulp5DiPn+O
sXNm/xzeY7qvRLD5KUIZ7ILiwVDPkR7M60eHLpSYaYy9V0qj27iXZG54gcEdMJ0PzFAhKyLCWMav
poA4fc030f1XYPMdg1a2ugENHt1XV4CYZT7Pop9FU6G6b0y042cEXpzYSeeU5okMInNV8H7ld03p
k59K9ZneYxfilzxJ3XzMiHqeWzvU/4VVsHRX42D8p3HbwieWTovl/8fCRxG7yrDnOIc3JB2U6286
hRhIugyS7jwRzLqdMTPJl6MT5dJkxBUo8sxnB1kLct/udXAjbpbdxbVS1nEPYKOlQyADbgcZQjys
CIKpbetTHQb5HdON7Uh1bffPSnB+X4+LN8njWM4bEuxl6Y5qcptTGGODfiLcsTgzfOAYMtpmdBC1
5VN5GAlGcDKNaPygYC/W88bx9uGjxWyzKeeMyYJGc1Mq2+IKpFG1LplV29pcz5W+hCPoGO0YTnFJ
gXuQ2cg1t2I2NwWWFzat6z66ajq1GOxqNoLmHdz185R0Xull6+A1aD7cNZeZItJdHHzjGReRXVE+
U+68t9kfep16pFb/kXVU/AkKk/8rYXaeXJJ9DVdECOdUVgM8khMph/dhqJMtTeKZZhXTGCJCxxzz
+adh2Pv57Mm5Hq8NiSvuafUXz/xp2DKfDnKKBLHYwbxBAw08muGcdPKYW9LGspq/ebjcB5Bw2ww6
W/Lc8zJ6lCE6yJ1eBF2i7ThE6uiSaNiv3meyBd0t+QS7OaBsrvgNpE3450rsExvle1X/Hbg1VVZt
rTj5bH0HfNseSVEQjD2yv67xMoad7lTLlv8EhqUHL5q4L1OiQYtX1dR1fkUAz+alEZ0KEow6ToYs
cdvxgRT7uDxFHhb6aTKv4XLyh9mB0k92IkMHIhItMRYoe1MRuKXk1e+c4Liv3fi8RXMX/O4a/Nez
LRT1knYmGmcSAiZj7oOoGFmzLvykyMgaidzDwP0cfxF/6l0NRd0F14Pfmpw/EpLuMlpJYffZDNLp
Ei0Us3mvZHvqOy0ePKRVw5c7NDYVMTUznUKzFoeymPhn/SZKmqNONB0fSRxBgVK8j26Tto7kOW6p
4WvaJn3z0+y+2X5CTFfeu3bkPKnLqvLJAkkSdVr2wuG3uHOf0S1J3Lg35B43uVHBqxfYOb7pc/YA
cN/XxfMeFT35ESjvb43OaS71ttHk6X1MvEM4kBSRYTqVYLlIjsmjnTzv7yyT8q5qh06mi+MXC8Uw
qauszzWFcdtd+Ud5jv0rhiZPUkFulfvsrQt2BQESB2z71aTBxpqZHJ5fvJZ2x2jRcPKFeeWIR/IJ
opd9Fdi6OINX3Q5uQAbvgOv3ns7N0BSHoihj/4pbFejTvpbbzKPaJ8+adZP6mJuK/IUCjrq8qjYx
hacGqU6TataYolO+5MDBu8i7Mi0H477LTVwEUWxz1idAyPmY+Bo1aG5K8po97eBBFBRFdxb00+Nb
WftbOsZRUxEpsVK7YDYI0U03ViS7K8W+6yPYm9ce4I+0ez1FC/EGk2Bm4f0KK6HPMnBMfdXLWJHx
oSqmtobbUl8BMvDvOPUazIfZSFbhWWAp36D1ux/P3Yv/yKbZ/sP6pfzciqa96wO0eSefKf1xr9fm
pc9Faw4OD9T76vfOfHYav39RDWEZp7pzd/8UmbClKXDyRBwCGgr/HLrGba79tptf4NmDYs+Y95ne
9qX3nxU7dvbIBtJ4KEkm5iwQnFoZMl68sfJWxhXNYM+Aqls/fISVx5hiZ5kpOaHRd9RJRCoyf+o+
iZvrRTa0w4t2ouPeas6hdK56fzmOeNWRoSFE+VEXbM6niNac7qVe7TYfdDfl/plSPNwjoshZ8fX3
kLWbNQlTudf4BCCkSP45yjP/nEUk/2YZMNnqOp9stjprAGkZz5xnCOzaijmkI00sYDxH93IxizRu
R7LgtrHpUpR+16RzsvvfkCXMQEviNrTIQv2J82j46nor/Buf7fSz64RxlQFnqwkfDlDgE5srJMbX
pE6vh7Kc3Fc95JrXZdiLv2E/br/CXeafyWLF0+p761MiiL0+j3Q8yCeXgK3iqIN0OlZ1PZG11s3V
MXFNnKflWtn7bWqNc2rlZr4i7EibNBB2+a59PBJween98JAbLzq3jtIOwE2xf86O1KzKj3FvrnQz
+1/bxsIVOz12+BwpHvsxWuP63qs955+3dtsvLcDBT/40h5+6aOuXMsAhg5XGdr5Zw4IWKYBM0alF
46OvWkS49jBtVffPTI746mdTe9Q3a39Xw4IlyzzsbflQV5OENu10/+O2syLdwyZNc7RCti3KzXa9
FZ0ZFQOCnf4Vocz/Wn8snlaO8MewLZePcgliIna4at/RtKhb000uvX7PPU/xXzFu1jaCPrBty8va
rpyRLTjStuQQlOX6/8AmnE5NszBV2fIyJsRB9eh6nelPo1MFIPIubkYnPVu9pvVUBdEZ5tL9CJcm
CPEmmcWDVAGvu8faZQRQxQx/MKy1q1RGJmIqRUkQwzYJmxw337DC0Rgz3OxwvvK0eQz2R29aoD0X
uSznqOZaE4XTLWE2rCT3pusc8ZDlWsqHfIrLV5QX7cvmreBADH7rnPpjMjlpjgNDmHZhbJ6btgh+
9JC099tczcWNKYUvj0lME3NSpouXrFkvjIqTu8W1O0VEFhuTJC+c6UN10EHV39ZseC/XamjDv4P2
xb2pxR6c3Lgs3woa1vUmKlTyXCY5MVhcXnYMZt8EeWbLaTrGromaq8mVfZ2RRiP/iyffIALq8/ZW
7mp/lds6LpkK5rDH7siKLbXcGUKlEmc7aV3u73lhrLmjWgQd0VaNd+xkvGzZhGSCdnYsGO5yfjxX
xyb2naHbfwkav/jdKBZ902qZAlKzBD3AwWus86+t6u6Wdb9LCQe9Ck9KV2OUsUWzPEaL1Rj34u3A
Bdi3MNtZy3rA0803WTnuYZ/qWITTsaBtDzLRSuc60Bs/M2EJAh9IIu+jlPdZfsPw5X+cUc5vEjn9
X2gCe1u0a20y4tKTt3jTw38gge2jWsfuqw52/3rgZ6oMlpzx18AS4ZaB5h8d3Jbk134/tzGfu1qe
KEEe7zF3fO2lrswnriw1AxzEC+bnFnMPhn0PVQTVM5oeNVPqlmLiW7u3oxXBX23n4D4Ka/XZVo18
8yMotHSW7fLVzLhOkd0F/pnN3RASBhXUrZeqdY4/YZhpksloKu72YDIqtVzEe4I8nIrVKrPejWtB
k+K4q3uwedQOrHVNIkwtc8eHQJr1EVchCUO5N7ISgnBjOMuxzpvUamUYgVgrZfjfq2E6553Y7vP4
EgoSQsUu6VR6EaHY5RCvR7omS5T8vNfvyPTzR28NN50SitPuWVdcurZJ6oGIW/wIUz2G0ZAV5H5b
Uoms+vS0lS/hnkhqt9j7p6Ff4reg8F17nTSXWNClHr4XJNb32EcM9lSFVUK6Gy4Y744BSE09TmCW
/6vJfW51zxFAMj2GUoEIoyfTO9Hb6o+McqiI5WupNUfHNli2fkLVmPZmcWr/tp0Zkul9/WE9+L0r
3qt4wJaOmSFnII0lRk4zXctdt/fLnI6ynXTKKx5+CbG1xbGcNoyPaibirC2a5qH3mSfAgeCUz+2U
13dqxyjhnIvEvY7nJvopOtnfoF+ni2k1LYa7xOYFZDmaDsiQ8y0zsYjLQxyMCOhbADGsMtmbv68g
m763dknC07IM3ikINR19v9R7lXlKzR/OtCWPIeI+tPY9liRpQyyzyhK8H2+hMocghXirfhdds4zZ
uPReiyGrpveKMY3y08Uvut9rIqIt67bR37NFuuZOxoVNOAqX6jnGhTdKu3GpopMfr+6JezzudG6s
OnfeLD4QF7HuztK7Nx+CNpjvWrbjNjJck/klEpsqb3CN5HAsaavJiSJU7iopHaPPTjFG0UEFMVvq
QUGRkYBlN7nb7g/z0k7JcTdlc2t7q4igUoH1U1LY54dqCznV+qiAxmxX1V9VEUTRcUd5+B4Q+vk5
JcaZDtzD5m41i+cekm3m4W6bvHtbRDN+JV0riyykQ/mGZLBkqG1LeWBm7n8txor20cGKYSmekxEQ
+GAGfyGVJ18r9eH6tqPtqFa5/pK5V4SHuI8n+9XswpnTvll4C0S8cBccWnUmw9lv/PNFAMCKc6WS
7zCoVH+c1LxvH1u+ur9jiMMrq52SF2fX6/vQbcl3tw5teYrdvn/FOF2+rYOoVbb5ovtwKk7d1GHi
/rOLOsF0KUyGk6tCntIkXLf2KOY1iY9mzcfqSoF1z6nXE+h2V7QJPQtBduPvUM7Ai67xcAbwAbDb
QzUS7pZiVTqYYxzXQwPM4Xe/G4NxAtbpey9So0rzsciaNtSL3D46di1f5jDoiY828RTNB4cUxnua
54lZ1rZ2ykj7Wqoj2/ldB6Y2Tp/C6jAuvtv9AilYZ5qe4lrE8dGLUZxk2zbZLdvJ5gWZitbFyYQ1
+8ChMqoxG+C0/3k2crD95T5U3lWQbOPfKV9xOc2jdfIzMGbGGkt8F0iPCIfxZpaeaLHo9AmAxGGA
cqTUWJKIt+/B41pvzZ12xNYfzLIxChU7sr2sNAoT+VIt43byPHoMFDAFMuBu7FQDQWP651qtnsP/
rodfrl/Tt9l6d7rTDuors7CvwqeuRTWQGruOIG5NF/3Cks6P0mUM1/9YiDdrChjijIeQ2zweOiXI
w1RjUjxqizFOClDSOGeNanc7BAZ3TtLWiX7k0fHITM7z+RlSpWO2t0PvXsp3+1kZuVKm2e/kzyu6
6VTkrn7xdpk8jJ1ZDGGMU/0494XrHQgp009Lgnkjft4Lju99uHnQVW650gk4s+eK05oAGb12ZV2g
8agL7WbDQGrafSMbRjWi5usujZc1MMeR9PnlINp9a28rFbtXahwXnY7w/y9kb/K1DDF/pIuypV1Q
jCteqAqtTJEa5F4MomFQnNfCj/cDxsQjVGZeL0UaYzqeZ+Gam09JzptzLplSr8FU/Ych2sJ/pZ/I
lbpVLDabeYCiNGjb3Tk1e9HsBNB6+mULRCdS1yU9EG8M2UaQMFXUZWM3Ivi2eGOZGNGFv2/AvOhh
m18b/mlBBk+7TXT7W3wPSaT+5EjkHAh/oBC8bLcd1M9dIAKqbdoJVcxn9KNuxdnUurL9EmW1A0rK
pHnJYejHYxeJxBLraOLHxNR0TmwXqTJ1nHkHZ7Ztc537Hnu9i4GWSQOcGfpDROeqshWOr+NO7gMD
gJGByoJ6lL8T5TJXuyxdPkP5uEAYk7vSCK1rky5NDCdlo2V8XCta3gN+3M1115T0GLoQejrordRf
Xm6dln5vG+/qpmvda2/JxYvapf+E9peEvmDJExBWp1fq2MH23e9DAABWFsHy5/8kQ5roZPzxVmUe
RJ8vryIfpvaYqKn+CfyG43TUZv/arFAPvu3Ln2nAwoPhwM8fRtuHlKB88F51K/Hr1aBPV5E3eN/5
Ssnjp/KMwYvuKxGavfobkTopyLnUOG6tcdmykoyVC35tdXDknJMPMGjzM6PqPmZ+Edh3RNLibw8z
wUGWlGZO29UV9T1upfBJxTLp36ONS4vefyf2YPQi9aMcPFvo1sMfgYmjkzGMxr88b6tBepWZ/wjT
0VmXy+rct/Wl0piyzJ96js8l2xZX30KOsH2LkDkSaV7Nbnhvgl2GUDNd+2RcS7/LR/YPnhEhtoaa
8y6ONMVKRaHzPMV9Pd3OeeQZCKZOB4ciaoEpsdCOvauVOFF1F+CwEhwWt7f/uEKXYkWr2WQjcOqr
u5WApQ3+eCQzS2CPAmuS4IpD0AXX7siMBMrrhqfm4jRwSnrP3lH2/J7xg/Y+DWMx/MtFJ2XWm5Ls
1Fj7w3NtknnL4Mur+ZTIHtMXz1Tuk6IFcbIQlc/jTPuvKAdxCfnE+sjKZrxxFE12QXRplXcEvjbU
OtaTdBWRYsxG4E9MMLxMO3eVJMCa3b7rtRYvhVurCipYqc++yUFrNUFyTboaPT6GWJN+K06eB5Bm
9xG/3sF7nNDC50B2XUP0xoUhNnXvqrcc5M85175dHzvHnbvbPFz2PZ14vcITy4jwf7W4GB5fvIaP
3TzTy/txlVSoeQgyzZDYll99AzbLEqVioBWqaaCJxqZ89NiGXY9q0epY5DMUv0HKx/W1Hk2Fap3w
qXGbZuJSF/QKA2rQL6eBmD72M6U4s7XhiY0HJ/q3+I59lnbV8+0Yhxw5lp0bN4t0YD7BwSOZzYiQ
zyG2t+V1JZHHX445/DDHcfBp/4YC3A4bGi/PgHX399po98M2BIKm2msE8eBy+AmjDeAZk2fMVmso
4Le1jXSUtk4Hhx8U0XTdEURM8670REsrozbIpiYO/sF7BLAdqAguZHHHzlUvZ8YsTOOdb7ATYPGe
oqazBvrQu7Oqc/60Qk7eUZBXWGVbBcsPjpxDxkcl+O8BL7nhudl8+2VQcn3wg0hoYdho+2PEdkiY
yUnPy3nDO/0GwMfZ0oFH6DfdUt8eCj8XTjbEu/DP1l38Dyfoq1dUquXfFWz2AytPtzzDU3evU10F
P2ofSpPS9Dhg/nBzX+MwyXuTxNOmjoFO3G+E4+OeenmNCQBJFLK5dpp2e+uJ7gpIHu4vmcuoQXiQ
Wez8x/toJtDDCZ640q2lxUN5Mx3DRpTjcVaVvJ1xm4BuMr38yf0OJMAd4vxQqi3cTlG1oyas1sAR
TAyDmIv7Iqg7fjPMgMgMz6s9Devqt1nHvbvp3cGBS2Yh86cZt+Vp7HeaWpHPeZBZ4Gr/GPSBqbPR
aX3nds9b8oUxJgo+hGdghAhK95ZTzQD7HJFOPGZJIIS9rlTpvSCHxRnAcUt6g2jAw2VYXNCZ4tIH
pEWejw9t748txX3rfwsFPcYpTdpHurtj9OTMoS5Om1i6v9FId5RVPWB12ooi4Dzz2vFlmUzwHzsX
4DN9sw5Rqhb2ceS7xMnQvfet9XZSq2UliIHOQZt0EUQPaHVJyI05h/dDucQTRUkEK+t1GneIU0F4
S3vO2ymqbz3KB8hzOS3ukZzK6qVuCgvcE2yiOg7okiRwngesPC7hnnmWKPfUbch6Za+L9OcOP4uC
P1f7Iey9fUk5IuE4Vk6anxkDXXmA8XFvwq3LGzwsk/AmbGJhAPQ387vkUr6O+86SsamTashEQ+3L
dOmV2A33wzSegISKx7m8+HO0W+i+Cqdc39j34PXr1xwBiu1GQpxLGc8yK8SIFEPmsXc917x/n+gE
KJAy6iG6PJ9i29Bm8XL2nhpTtwJiwNwEcSS+iTNDbBVOC7lAneuf2wXfN06DKD8SnI4sSOKYeiIe
XdR3lwDlMI2NY4ia1zgTZQREx+NVbMPgZwym8o283KHkIkTr9eDSEh1iNFDyeW/a9c5KZ6ju6M7C
u210ov4c6F5XWUDItT3SOYDWuK521aHTngCA2QsenjIIhg9tV37I5FfFU8fQ9WaYCVjxEQMGB3s8
5n+auBgt25R7hAyIo6M+QvWq23GkTTl1YOpN1o5WrazP+uqXu27Dt2hFUN0aLwyu2L5ev0PdBkfH
K9fpF9A9nNfCUqSlKE3hv0R31X8WbvWnBX19lWOIdCIfcfTJ/Kage1smWvNDpUf5sCD3QCEGB4uP
krYGykHLJrMeFuSYbm7qM6oHiuBagpZzkiyRyuqmIgS83iIe/SUee5n25SxfE6RHn2XrmldniuI1
7bzefPYYRLuHutTiiX5iR6Ey8eWjuPsj5apeGzM4SUqtdmt2oNCdoByTJHK3thgrLI/Cfmd22+cl
rTCAAWrAPR6Ya4xUnLqrkZ+Bu8g/vhOtT1IwoKZzrOdvzyl6+hGGIDKooTWvO34gLV2++rcVLSmx
ypWeBzQreFZj9uljTKtHRBa8+t145iwsvyK5BQvW0nb38XmayGCXKGGqQ84FdDNkuRHvas5zkFWe
XyFbxjMM/nxEsJVeajJLK9xgmSoipe76GLgTRq4ZXzGYav9rjFYDKvy9fehbOs+j1cUIrQW92x2S
WktzMjW09mTCbsps1Eh+Wc6W6HHPOWDgxmPzd2yc5pOBgD3uqhP7i+dah60VMW0vsrD1s2e1C2jk
brBwHB8DUczGg5lu42V40Es+/eqk5/9RPZP+E7CTL7MJ5dVfy2bdRzHY7vccNrTYKMBrNGFV7r+W
gR3YwLeV/0tAc5dXQ19Mn6UeLgpEZpAm3bBxW86r0zci1WvCeSHsWkMnQSa+hCGilrrE5jLdpn75
0Sxc/A0ZQQv6DZ/306dJoJuA40qOQ7hVSzbNe/HHXVzERCOMziVRo4SuCIaN61x1WE+n6+q5T8bf
zFNHMNkIdCnrTxR1DCF20f8ZlMVdWs6Xp3ieZTVc7WPTvw8QwjzQSWuqTAAMOCncQZmkgE5AUXvY
lPflMvZRpqSnOIc3/ug0lXItifYoAcdbR9j2SnY5wqG5MMtTMedILOqL0D6VciM1u/dW8c5s3j74
AVA3V74WD6NaikfWaTDPzd1eXnvuAgasLhIlXrggwCCyGdb4EAGqvQIqjh9OsXnBMXJacFmtKvcX
msk+zNgrAbhiXiOrvK/diHT1aUG8QevVP9mVeJiDmHxueLlAJR94BdjyKFDsvYvSH83BL61ztQno
d2p4YT7jMchfAroYrlMo1i/X32H5cfCsiJhxA8ugLrby1c2rIL/BknV76CccY068ChQ2pHmclUNA
DjIMrJ4KOndfgTd1Y8hRYQd1JyS1JY2WYmkOSyunPRWhzR/Yt9DP2ouXLy0Xqa5cPEPIN4eKp3Mb
cmhJGXyC422Uv0gVV4PPhj1YbDWcnW1C2WOkGG/5qTPShsgry8yycvVT8fzwCfi3n2anC/+NsmzD
o1C6/7yUB6Y0OA98vOkkrqPcdNgawpd+TPHmsu9Q+kXPCSVi4Bkwil+tYrkAeUyY/9qjljS/HSAO
LUK5D/qQ5EMx0hLJ6mYPehDs8f+R6IFB/XGahG1+NcnA4dlN3ebx+Cj/pgngnPC8cYaWGSpsnp3F
1N/bsEd/S/TgCDJL33mb94mhKGhx3ZGmRG1TeGTIZ8Xq5LTlofbfeArrO6T43yaf2ynz+5FuL6ro
z6M99nCE7FvnqvZG9Exmh+SkYNdTeaxjWvZUCybRtIauQ2yUbN41opwyPuJ0Ry5T2Av/s0cMR7Xy
OYbrXjtX5TzxSgD8J4+zN/qPIwh0f8g3f/uYPE5NHj65fXk9UUNp3dThrZ7RfqV9MlSvm4UuA5Pa
gnt2sDeecMSV5XFF2Kfwhhol03zUwGKEynVuuHEKrUZjxEuTmAIh20WAOASkDZ31pCsKbt5/KJZI
3zd/Hn71TmX8q7odnVMvzCLPFNepyaJlWEqJagJIkCgg8IRW3zQ9/Kd7YRLR1MVpxEapvjJJ0ME3
dFU4U4E8wF5CUlh0wCcfelv7De8TNyFX6JiWIIT40PF9s1Wkmc0+8Pg9S2WgB71pwohcGYU+F1gC
tIJzo1yOeoxa/0RKEJB2vfrqfai97WfrOYNw5IJxPtSLnX5HiSvaO4S+1W1NteiyaLtMVXDMfAnk
MlWRRvRe7/iQilu2FqGxo32rP2Uptx84Pj5VNXOTHMCt2vhByQ5AmHTDnXkA/1tY1z4O1Bt7cGNw
WwZD9QfRwbLQcOlxRTJTCTQjhlWWJlMjCqyrAkhtvmOddr7XCM3XLAbu2q9IRxyr8gGu1XgvKCz2
LxovjR7eRDKfX5eiYRXkqLDgiq4FVP4nLt/buyl8s57h5OPhf5ydV5PdzJGm/4riu8cMvJkY6QLA
se0tzQ2iySbhvcev3weUtNsHfaKxrZiJidBQZJ0qVGVlZb7GtXgVg7FoBdQheV9T3PaNSfhmIYmG
bJepW9dBG1sBaLDAJLnO84eaNj7AKjEUfwjAIzJ3CmPN2wAOsYBG8TRNXbUGI0Snez4AajsiVihn
Zlc6JneKToZtgDSj02c9Nnlp3k2t0os0KyemCUO53IG07a+mrp4ov01EBpfGSHvvA5pu6Q9JcUlN
04yfQ+QRFLfN8wrVH1CAJJlxOlIrrjVCTiXFPPpNgCESkLGmacClCEFMi0Fg29C/RcYxLibD25fU
lkNEikhwnVyUaRnSgsv0LbJjBdpMSKmZWyr3MXeTItOaU4GRoxlXTTyXs6qTaVopgv9A8th3mwAF
1SNiMhIVFjETBB7HNdu3H0RUFcooHT07Hgnv9BEp+BxQBecxDeDEANs1RdKLFssx/OEMGU3UVrt4
cFOlU1+DKSMGCiFONLagpNRorQgMsN0SrO+rpEyeACYqxYZX/fDc+UEaHAQSb3obYaHcGb6MwtYg
FezIRs8aia6hJF31JDcvZdSZD8gFW4CPcCryNok1QemcFLm5rsxQ/h7ksqG5UTSIh0nz8+KmsvLq
rh8zTQS7YYJgz+fUPvWUuHJUsQUVRkYuwLzO9PpLFiS8cyNkQQnygDg9l8q4ekc4oIcExwxIrpIl
ggD4TWhvCVNT5yhRDMaxiFA06ss/94DaWJ2di3lzRWikTwyOyPsKEyPZjyirDi6AB9qDwHzKbyP8
uNotAbyVRzxTxN/+kJnKThSo8TmUCSSuElHHPZLgIpgbqVd4fiI83rymvlz3JNSx/4zGbnc3BlXH
DVPo/kvZjONv3wBmt40rK/5hcUlXG52DRSeijMwSCZrIABc6knI67Hia3WogcG5gMZD48fSOf1Kj
z17ywgh7W0Ia/pkuLjWavm7GqzzvrRe0X0Dz0DHWSroAUwRkWRHM1yRKpx8hbytmJSVg2trU6FQn
CiOtmdt5WueIoZF8D9F2xbRHmqDbq1Tq6HqGM6ej7izAolk+pYBPRJGP79O2O9b9KDe2aMi9xjlQ
hQCUUeRXG7OwgF1zt2CnZPrq5Ds0ZMtrXMfE0TVEXbzU/AyzgVDqk3xH/hh/KXOiMkkc0KNWLgj9
AB7Tn8BNo1t4rQ04w1BOhQ2IcO+2IT4FDmm+xDMtzNsHGaz4U0Hv5lHT6SOo3I6XaZ4o91GiqNld
GfUtUjtW2I172eyGhzqoa2RQp0pBBqhIGm835kp03xZKTeWpHyGtjOJEtZHcBdHUSTZjc8MrSdA3
oZrzXBzqUq9cueHUbPwmHIiPVl9lh0wd5BY6bq+aFrVVjfigKQ1/HEDn+VmEUyE4aK3lKBpE0hj9
MHOAEzskMjrvquONA6ALl/r7AdzcL5WnAZ9amsVcMp9au6cGwMlGEDDAGxox+dFXg/fokem/Igo1
l1nHoVcJBOSAG6g4yjf4ICA9UuhB38pw4CKvGsnalUkf02WFIZTuB/Cd97xVCkyNI7kGPq9BDuql
qZScOoGJaMeynCQgTCiSuJ4HTYY80jBuqU2TbWqwAi6iCvidG2IvadI8aLmeANcoz/JYhj8GE2Sv
kyQGWS7sv6p0StH0brNIBWdE5k+SS9s1iLe5kuoPQioD5GkRDbmtBamZnNL02t6G/gaaqTDE/DE2
wvG72erSg05DS9xI3iQKbmBZNCfwhfJDJ65SUtNEULI7yWzMe5wb82+iUGsAlvLclx3iIeVDnOGy
SyhpQgavuVJe0JMH8AkcNz1UEK+6jYTue+Pwe8RHD87zcZr6HIwIBdTXOg79bzLVNBC15ZCGdGLZ
YraspMIIUrCbcZcA3AAHAIH/4mVjoLogkiba8IZZ7EDY8zcVsHU59x7dN5JjIPl2q6CTtvGrxrhu
Ik0YCNWJpFH7i6KvVRGHj5YXW7e0Dam49J43CXOBa8htUxegtgyhSro/EtleSBp4asigLO0mh+xg
Q6zyfugBpYptbZWR6o5gISxwXs14VCc9RetCnG+YSCyTcKN2AWXZBESHspFS07iZ350aQaWdDnVe
+5XjtR21PfSb5Mu6m9QnPyaK2QhchrgP8SzZmlVBOoN4c/W7h/B3GZZpI7tdJdIvD01YBaw0G9LR
mtJP7G4aha8QEPnGw4gkuhlO0qMyGEi1lOAuZUpjpGg46OQyxJs4s+6a2Js0m8d6QNLgSRIHQpSF
pz5Upicv7FoJQPhcZ0YMrn1Ro1opnamnDuNMOFB4s67gSMONmtFtOha+AHyWZ7U9KoZ0BV2sujYt
H8CxIaVk9r5qNBhFWUU/EOlpz8v1SKt3GuLe2wIUVf19ItXWnZAFqGhYFh37C6Xr6WbQDq9dj7Bf
Q7Hgrj/IkWoJdt3go9xklcBbtKHtvuGxmkXQEKM8v5NHCVgAmLEaEo0n0u+CI9duyiEYC7cSB0l1
zAkKtDOIbfvSKb3Qb/q2kqKtFVgxZyqwdDItAKgT8Dnfj1yJkmD4OvgUZjbtJEidk+YQ4EnMxhjI
hVXK4RH9MSu96rvQvNXCOCldpZsSaFo5GLsbKD80tVt4CixGqaSvUpxJ9XYMJm9wx4GS1dYPSIxd
iVWs3IkgTm4R0aViYZNCkKgKyd59WBrkEiXWFwJAz44kZOSs/kqyATP1EN7Hfd6MKLyU2ABcYYjQ
fAUzq9KEzGv9qtToOzvKNBZAi80iQotR9SSQt0QuW6CRci15EpCXgUoqSLweWLabwB96zb1ifMoT
KbpRQaWLM2CQ2jHVWIOHaF78Nr2Oxx91XWqFVA/JuCKNhk1jJOJ3Mr6+cXiiZKSgXWXeSIVSSjtP
NafvvtCLV1BMO/ECMpny2muSMhdnEuCZeAn5BwrDwUR/VMxuIBcoEhh+pQ1os2Nw4AAC4kQZQyTe
BZgexE6uinywThS1x7auaCuXrU57NxZr6zAKftPver73w8QNPuxVqhmHiOrJXaN01JDQOGsvAURw
S+agT67JDrguErHOO3uqKWLszLCsKGDJsAkeqEkmpCB5J4OXymLzTk9zwLBcN/5NmYAktjtW+QsI
9e5mfugBxRET+GCCkNe38CS9n3FBBdnplIEXhjqYCTARLFW+WcHIYfaLYDTAZyWUK9IIYd0Nanjq
z4RiG8qwchE8BmrW8PIVrfIbOkN6QpEtS376UlmBgvBiSkqwuZMCTHpWPEo5CACCLPgLVUPz2A5r
DMldTvH43Rr1qSOPV8CC9JRqNVA4pI3gpNXkXg3hMjh0ofQfmlkZd9xBtbLNPZ8+N1u32oiNX5Hi
V4VSOHN0HrdyRHFnEw0NZWzNnABGBmZ6M2NQRzcYyuGKzCWr9b1PR3vcBKpklkjLlcJV3XFr7uM8
Vw4mNRHZNhGY5wmfD4V0U0MGfK08cbrRQzNp7B5gRbtvJupvt3DPPLRNBSNnbQJVyze4eDXG5dTo
SfHMu0B4FiwKo7SBChF8vh6R5TZ9IX1LskkVyQF5Hv20/KgTbJ5fYBQ9CdLUrihBjX8xcAy1aLlY
mUaQUCiNgbP1KcIDAArHJ9ClHX4bFtSlrVLA5bHzdsSH9mPG9awl8FbcAPMApD+RaxAROaMKuSB3
J9KoWSXAHxrCqvxdaHPPbuOy3RlxP9wKQoLYq+D5fLqmdZO4lXYfD78kfM/D49MKHd9ExpYu2CnX
Gg5r1QBbSW2oVzyHEqDM7V4EJajA7ixu6FFY9qSp/kU1JMCCPx586SqGuRyjy6JI11FBV06eme9v
ZGjwCdM1WneZHXtcuZtK8jhIKZaAm5hXRQisiSqaDzOb/nnIiwqO6CbOQJuQxFDwLvXm68ovWnLP
l79oIbEC4Nkrq5TP4ecqcZgWphv5luyQKj2XpMIEHnrhFWy0TdL0Gvpe5rjLMioAcu8DDR8pOYAn
sVZWaikB8OdnYWA4q95KyjtlsXIgQrcqT+Is9Sm3wp3zAXYkVCPjOtdz9+NVWGpDzKPNCh/GrG4K
JmYhk1L0aobFO0gQ4MDmDzU0FOBx0KVICwdt+IHJr7wionNuGyK5J+navAclbSF9AUCyzuOaPjx0
QPlWB2ZCmiuBxW3E4QB6ztoVGdztXNE/Z/8w2xvqII31eQcyvrTYgWYOAxH8C+0+hPCgXFH+DYun
VOUuOFAJorX98dK+n+jpeIv9NeoCxJSigHiYif0sqjpejYx7AR5DASteNm5pluW9pSX+9uOR3+9s
RkZ8RkPU2MCPav5lb85aPWq5FKrsbBySxKMPtpWLt8g/qdXyZz0xCWTbwMigiHM6CkOHilVyopVe
ao7aDH0zU+lIU75/MMBbr+yb9+cC9W3CB91jGoJ8zdPhTNXyrFRgp1YNt1lDadih4vgFco20/3j5
3p8JFZ0NAydy2j3o+87L+2b5oHJV1RByN3ilXB7IYOBiQR8OHQCesJIryrkrlutnR1QQYoIBDzVh
qV4o8cIu05YzXwRC/9MbKXRZTTRXEqsgvkWt0VzRGTm3Q7BOMCFCmMg/LdXFexwhVDq3ROOq5b1i
TUVduIVRd9l/sBWxIEITXlJVvtpiLUPA5GQUrOVUGiVY58YCczSUK6OcWz/kyiXAU7iggIk//WK9
AU43DhilASGgQy20pn0UyNVmoMZKB59a2Mdb5NxmtEQL9ABpGdFsccL0vNL80Zy3iNRZd32GMIgz
+L4hbNqEpGYlkixFiuaTZimGyCqqqEYsbUpyq03IgWEeV5KfvoQ09MCHxkBXpuLSrLPZjlhouueP
p3gmfHExIEImEStxeZZP13TyzEnRAInaaArA6JQMb1eP1FuVNNqWiWdShVDUnaoAeFyZ7pmviQgs
3WY0mQgu6iJR6eQwD8ySk157rflNhngdcRdL3R6zsnbrw4/efDzVM6dhTsiwZlEkrqRlaKl7qwFj
l9DLAh7qaihbbltBWXMkP/MVDRlFN11CpQjp58W0kKvxo2w+c54cSwOo97iOdkpdS+JWaua3hFRD
iQqkNrJW5nd2ZC4CKGyYBaKXfvopPXD/Q4MbGM2STvwK2yqmvhN74c2IM8YPQjtY1x4mp7cSSM+c
EoYTSS7QugbeNv+uN4G0gvFuQDBlXeNiONaZ2G0QghXuLAooKwHtzBRR/1PwL+GkzE7hp0OViShP
vZYyRah/rlCBLBu0Ct5tSP/orgCl/DWWrDW54jMTtGZpeOyDNAoo4uKTwpdGgrnjjIR8O1esQCPB
bPF2vghJ4dN71ALyYWGygesNGpinE4zgnFNOYoIeekCu1QBj6kttTe7t/UmYDRdEPFY1BN/0pSKg
2JmYeJTYwAjoB9zEfQycL4i6lUzszCizNB7/Q/BEQX8RPVvoKmmmWfSiDSCihZRpgHUCfWXXnxkF
O0Ok5ZFQlEXEz05XbBCDbiB7B2MBZiS9qdDWyd28EppgZZufG4iEEjF7kTuOnXA6EA0l1c8on9pT
jzBpmMqVA15xRXD4fVD84yiKXBbu8GQ/i9nI5Cv9kFHjZLrxkdgZjpuwBv5RDJD+NxCsi/HbZ7cc
Wrx4NYJQ12ZnlUXYCEF1Uz4gYVaUghdbYBbbYhwG9+NRzkzMMAmLqsjdpvPMO129HvlWv4pLXuJW
SccwCYxLvGTqrWm0gVMM/po3z/nxeAHgY0p6txTF72SxNQzKOiAQhJr2H26iNFc9H6JNJEb5XTtU
ys+Pp3hmgzBFXMy4ZJD8f/fyRh4f0goLOQZZCHE3p7mQN9Pn9zuSPNTFNGWOutZCZ9iqdSjucA7s
NhG9W3OA71RH8bhiXvk+LaASpXGTGFyVMOIXZ9fTA9SmZvVMBWc7gNqIskCa6R9A7Fs7qzeh4Mb+
QAevbtLdx8t45suRbSEXqGFVKFFKOd0pXSiGZYlfiZ3rqv8VBpD2FWaeWm+THNUOW49BFG0/HvL9
tYIvBUs5N3K4PJd3dtDLmdVjom17SjbtNEBZ3xOBhuSlIPM6v/Ug8Ep2XgaUcz8e+MyWMVH1NDmA
JudvKTWL7SX5K3KDdhc0wnWkqaldF0X/6TSW6VnIXsrwrVD8XtxfeTFA5TfBfVmJme2gNXpovAmZ
wVFIklRb2aDntg5XM8XAeUXBzJ1+v1bBEQuYKs9Scwh3SHsBrUtCAVF6z4iukCMcrzRqdjuF3Prx
88tpsIyYjZhsH23eWm8yESOkdO3rGuB/sEy3EpJPmxxJxZUn6rkNasg8iUkhNV6qi5QZyadCQXAe
YLIeG3YNXuG7MiDqCfy23EMTqfcfz+p9+kFc5iWNzi2vHkL16awm1FRyGIKwe9JAAxqp+rQkdbqz
QL0QylrZkmdnx0t/zkD4v+bivY86FdBQVBpQcfHgEeAOTNOkzq0h2cepJtb3E+yftWrYmUFnoxTe
Pqwo9/jidphkoMrFBNdmxLWNPhU0rhEsfI62jZ+m7qfXE2gCcqW8VbkalEWASfsYpi3SOtCiGghG
TjgNZfIV/pdRDrDEx15ee9n98UY5rQnPtim8rkzWlRRi8QmH1Ap8nfaEbXH20k3YNeJVP6AiZoVN
tvdM2kdSWNa7AHQkPoACLSrbHw2agik6eSv790zQsRA/Ia4rOgF+mWMGPehMHKJy8DWVv8FMFxif
j1r8x6t8fs5vhpm39ZvDGOlN0okeDjjeNA26XbWzwBZ2karmpIrV3LCbhYPY02MzE1Rri4R2NOLl
Js48kbhiOHJuf/HF/2muQHhYHNkcQTnPUJmyD37cUUGs/lKqMgYWJvrHruad9vHkzy0xBXAuFK7P
2djtdO6qPuFPgTSjbWhKifYaLCJjTPuVWZ0JDKRttEMQyFf4lvOs36ww6GA1GVoeC8jold+8yKeX
WMr+C+bba/nA2Qnx8JpVysH3iosFRCEZkIBE1lFhJO56FahAmjXBStZxdhSIJQQe6h8E8dMJwW3y
ChnrVKyC/dDcIlWkti7PLVjQH3+fcyuHhQ/3K8V3ChCLXL4iwzchtjKQ0IhbAXS6a+SdcVfAGn74
T4ZC/Nmas2t8wE/nlNZD3VgCH6kYmuLG9JqALqcJlBdEUR89/QeD4XhFGY48W1o+xZG0CVCIJuvt
aMJs27bB/BKUuNs1Sbr9eKhz34o8jVsQSWau+cW8wDGpep1SvlEULb1DzsK81s3OXIlV87+yDJwI
JRtziYgbYqnHnCWdPoYT+y6rwU7aLXjRA8Gxfw6oUm2LFsbPx9M6tzMo+AFTBLFEH2tx/SkNxPFU
p32GplbmRBMUuSrCKIzkPlj5WO/nRslEZVNw8VHOWM6tVyUrqcFVz4zqahd45V1uVkfgcvperMJu
ZWJnRjPRXsZCAd+XGXJ2ug/7VhFwHKfFrvWCfvRTS3jE3gn6jtROt8j0eStJ5/v9QXVdwjyHPEKG
7bo4y6GoA9oXcojt9Nm/FdI0UneT+/uPP9fZUXA65BhTz6DveTorQej0YUKhCVQbKqxq51fXwDjX
fJXOrN2cC9Fs4YVA4Xn+8zeBlpI9DCkTbH3Wjd2tJHkzbALm71FNe/2LXHrJ709Piy1IpUlGsZ4u
z2Jaip5UoR/wLkBljIw9lV/DzPikTzXVBR4FKmGJgM7lscwrZQHBiWzqeOPlCkq6NfoxVJjVzAGO
AUlN5JutnOb3X4u4rmHBycOSFHPZFCy7AhZOZ4HpS8r20pgi70pse6X/dHSHViEauJcbRHfZXER3
MwXzAwgkRh2jyTdpnP6aZrhZpUdrVljvJqQrEs9wQ+SdLONgvjhUqP1WQitCRpTKMfyW5kKxiZvg
0zV6RuF9SjoxGyYwodPtBxgUxLeB5HAV90ppx5mJHE4/9rFy1bUF0L2otgDSwZXn8KN2Wa72ys7N
cw4bPMuJIHQdT39BwnNnJv2CYKoS8DJhpQSXaqiln73/uU5mny0uZm5mQuPpMCIS8a061/Kghpmu
pfS/MoDG+4/P1pxrn1wplD1ny5C5H27N/3s6SBVmddXU+vcWnnCRC3d6uE9FY5tLso3rDQkOxC88
G1b25LsSwzwqhCNqu+osGrT4huAJUewd9O9De7QC8zLtNnLuOYkeudP09eMJLoeigCzSgcAoh7Ir
LOhF8AjRlpiAh8IM1gf/GsUTz2n7tLsQ0FzfmKkHoIzb1P140OUO+TMofX76mjIpxrK+F6E8pPX5
ENhoeMR3cASSzWSO5sooy9v5n6OY5LyKMpvrLc4bjWgfSWCmFkB16gGWCHM9FiUlB275GmjizGCz
YQhcNLre2GQson6V51iVaTMiMfAYqy/Mey40bsyh8T658ZnXyVCLja/pnmdMJUPBT+whMqTeDoGV
z6Zs8yiUf/DHoLhGJFnExbaVAtD3KDQSZLRdT+eYhttkbD+7E+jQwoQgTlFyokhyer5gHUyRpkNQ
9MKi4BVbB6gsJp+NvLR/TkZZnGIeJOgCDDweEQX1bLSzvomx9O3jmbzfAJQjkGc1kXahqGQsvsqQ
CI3sT8ipYVykv0oDmg4JJN1ZW8JYs0v6s3XfhiUSDAajREDLhCbT0qWuRydBHTtaWXTSUZIhZxQg
bBv1ZSWk5TUA3Hzb6G27RwBWdoYwkg8o5SYrsfHdKeaNjO+JBILLnHmcixmnJSrraWB8tUJYACVS
i86gx2vZ1NlBQHmwprRtdHE5CNIvSAn73+KxTK2NUiraMcOvztp96uvNqBiVhxB9FAbCA2URK9ok
GaxAH3obQ7wA9HJhPqGdAo1UjYKVN95iRv8ciiwXu1b62Fganm55xTPCOCO5tfUUAnjNBN02EaTP
BYk/o9D/+TMZbDCXaIQpz5GSygLYNgFWHBWs6EtFnNa6dksI3z+HocUwG/DxXNUW64Z2TkcTTQBK
32nVPhrK8RIlufZaa31tF/Bght01aJAx4XD1MUYqkKVb/6Ch3eLwSdcO+uIQ/vk5Ov2A+QiSEL+r
R5qZjIwechH5OCR2rcbJxYCkwTaE37Ziyv0HG/bmDP4ZC6iczMahgU9ufPodVTVF/nnkOwZR9dhC
8EE+S9lNXrxHtniv5dX3Nuy/txIWOqr3kGnt14E29EjWVzbxAW36tTrFHCsXP4iL3ORCt2SgdEvE
EDQLmLkmMvmiVFnKrxQN2PiY1bQ6b9HPzOJtHE6pfI8uXPhzClGkXkEsnVn82cpWBK4EaAIBvtMF
8apJbpEA7WzgYej46nnugiEu3DKIEvfj43rmDJ0MNf+UN2+sUhrlYJy3XdDowiFmQ1ySjLafP6mM
YnFGQbPNd+HpKBXUVi9LOEPt5Adb2RqEbSGjN/UfzIVnlUQfkE6EvthHFk4LCfJr7KM8ir7DjK6v
hU7Q7z8e5dzmAO7BkaA+QgN3EXVAXfhFl8KsjkMp2mHbGhiwQiR/46t+cykWKDvIbVEclS7qnj4/
NHcUyDIAH+8PCvTqTOpT6IUKxbmrQdL6F7wRhAN0b+02RVkO+TRdvyX2r+ED328TwPO8t4AskUwT
Ek4/oNDT3xGqCA0PUy2vojjL94FVr7Vc3i+tSRuQTyeaIg+8Zb0+EMtOF4t0tKHm3Yu69tKp5qM3
6ccOFRd0W5u9oVafw7YQfKhIyigGUGaVgekurkU4SD3P7myEfYpgwVerQBx8X0hKqDvIzBYBuo21
TxMGmc7o+ePPOe+U0zBjStxbgBpov4CrWQwNggZCWczQpg4oWxm8aJMXQbnB7wjCQ1OtVR7OLC/j
qbRCwCUDYF3s3FGaPNWX0cRBCDl2hizX91baCu5QxMUewucjgn/FHk3iNR/A9/Fs7guCVQJeyu5Z
VswDPAchSKOziLCR4MRiLrixWlvbAp2tlXh2dije7ZBB0TTk1j7dqMgJ9UYqoJWTJfTnnQCNg/gm
LDp00ppZ8OPjL/juWGC9B6hCV9m1c89+cWkLAxRqU4OIoQ1IeAgVMldFjH/ax6O82yczYJ0hCKCA
FXlcns7J8sCdTUhRoZeXmvVm7IMocxM90F6hiJlIohXRmt3wu2VcDLlYRiWBB2hibODA+CxcSY1/
RYbUuGmZdCuTe7eEf9D4QB1IsOhf64urIZjGQEQZCUnRsWwPSJakDhShbGVbvB+F0gbdeHqd3KpI
uJ8uIeKiXWSUkJWtuNY2ZdBNCDfp00ruO/8rbw806QsHi6PFJpdNBElPR4GgJWH9BOKl9TzxfrA6
vJP89jAqRmfjQzTcd/lah+jdkKwYb5cZvT2Dt5fPvkQylEGp4VOEdSW5AzLmmmPljXArIbB0Y5nN
LFs3NpuPd+T8+U8mytuMTG2GHzIomMvTiSZD33ZijB9Usw3t1uk3+U65kt1gZZhlM5OYcTrO4toh
YWz1MmGcwv3+nLlYcNivx9uXjyfz50ny0WyU09kMeh1AAGQUeQewwMbSYyNdo/biYoPiaBu6b/ZF
ZR9R0bfHLx+PvXx/vpvhvHHf5F+8oBO1mp21hL3q9A5YePuncWUcP3u1LldyPvBvxhmSDFmIjHHU
O29Xwq5/Btd89FY+2PKGWY6yuGFg5UeJMM9m2mIR4qAf6GROsXKW3z2VlqPMZ+LNXJSwktRo/l5X
5eZH7Dz+0nYvzw9rBpp/PH4/2haLsAueORmlkGHKDfBTBxkC+xnNzZvJMZ6Q8Tys7IR5L3803CLk
WhhXEj4Yrnd+oP1q/8zs42/n4XllmDMB4+3RXb7P0zqrDRRB51khhOVQL3KwDnJMV3dfdt9q9wnJ
oLUPthIuljyoxlQKK5jH7FzedhywcPNlsn8+XQf2be2+8Cyw0dxcuVjWvt8SY6+g1SEn8/cbnR/T
VtxhjLWpt8F1ePDsZNfaKws73/UffD95EUViFSolLMN5koGT8j+qjfCng0bbynLOR/WjgRYhQxVw
JApoXtpShsJ358GIyKv22MXG2pzW9soiaJhGVJvZfNBM7Wvr7UMkkwsZz7MsRpFkref8p9T20bwW
wSMyBVlDd+yfC5jcYNfgGlus4Jyn0A3d33DvCcSi/Xttln/Sz48GXsST3k+xFCgZWHmQj/Vzfl0e
lR/eLRVH1LeLl/ExO4Y3yq32uLJj1pZ3EWD8Zgj1fN4xCnsGAQb2Z7cny3M823CKTbbxXdMxnTXo
9rt6yyJ+yotIM8pZnNTzwaAHuQ33kvuYOpP9y7MLljffyvbqPX4uANATBMw/k+bg2ZxG7Do200yc
tyxexBuJ86G4FpmD6lgXqYOT3119i7D1rtqpl9ZhZZXPxdW3Yy9WGVmZMaFHQq7i9hv9OdkG2347
uvG2Psj7tbLZuU9KS4G+Bbg6+uKLB0GEXnU0VkVtV4jAixIkXFSq1PFXm1VuNN19PLVlICDtp/RJ
vUNRAPuDWzhdVb0JZS9I1MkRlEbZIpOEuLJUhVitjdNKzJljytsjwlAgPOn1Q0UyDeSxTodKTFkf
5A4DLQ+y+kVuZRm4YCVZiaHL1ZtHUWli8RqYSbPL0oqKWTW2kKgeNZBzb9CeNI5Vl9SOOMrpTVSk
6ROMJun206tIEYdnFUk7fVB93j9vsokcvYSqLrBsxHey2CDPSkxVm/QO1fpkbS8uX3JMkDcctRsA
+RosrMU5wJSnmixDGB0j6zLLQQKjfkIDDimlSsuV+DGRugbd19RAvpbidi3YSCSmt0k0es9akzU5
OgJd1x3KVJfvAJSUWA1VYWHahYh90sfr8i75pu1Ke0yXqDYBDaN9dbowKl4aWWMYeFlKXYf1iJD4
I9EQ6drAHWrsXlGD1roh2mJ02r1UNB9/+rXlm65Eg3DaRoWirxHdl/nl/JMU9gcdLhRfsTM6/UkC
Wk0hZvGDg9NCjN6wItt4UqTfqP2jSdAXnXkcC5lrN+yGldT2/WFT+Ggg1CgJU6RXFrcTgq5CP8IS
carG/F6C33hq0CC6QXhzDSh6ZqSZUaPTiaeqAJzndJJ+PTvfWfKEql6kg6aA8+TmY4RoKK2qXx9/
5PfnmiomZS/UA+BsiMuuvG+IQ5qjaOUYKOJsmmrA56n0Vzoo7x45fDbIlQqoTHrIXAHzjN8cMZ/+
hBJNbed4QuDZA8aidpT6is2GSo9hO+UbI/GSjSxG6hUN/eSXlo7SSgR7f/T4DUBvZtYSSLNlsW2c
ut7PS06XiaSzvvFzT3hQYxFYoNUgiXNAxRhFl0+v7hzHIPqA9pEo1p/OO9WCVMkTD759nSOEM6rx
Nk0NZf/5UcA3z/0CYAcQZk9H8fuO9tQYdai9YOuJIBJiw3hqf3r9VFFhIhKFNdqVf77xm28Yj0ps
NGBDnLAvsqtErSU3FBCh6RERddN28LafndUM2wBUSROEnaMu9ow8inWCJS0y8VPoH6NcmA4e1iwr
j4T3AcWUNaibTIqu2zvcIeRfunqjWTvYxGauKCKDk6DVvhdNTQC0ofUIxA51d/CE+l+orP/+OfyP
/yu//eftWf/jf/nPP3M0n2bk2OI//uMq/Fnx7X83/zv/tf/7Xzv9S/+46X5VTVv9+tvVS1H/bdtm
ry9NmGfLv3PyTzDSv36J+9K8nPyHTdaEzXjX/qrG+191mzR/huM3z//N/98//NuvP//K41j8+vtf
P/M2a+Z/zedn/fWvPzq8/v2vmSb132//+X/92fVLyl/bhT+wbWtequVf+fVSN3//S9D+CygZmi4G
8B20Jf5QBvpf//4jGmRAiYDCklRCgf3rb1leNcHf/1L0/5qp6vNpIA8DaE9xiuP17z8SYV6KoCPn
YqAq/fXvH3fyvf7f9/tb1qa3eYh12d//gvl+GqppPMNDoVnBL6RLyK2+OOAe3axIK/LfkmQHh+lQ
PKb30lduaatxcInCs2jzGh/TI33wSwl1YzvfYZuyx+/2YvylXXavzaG4ra+zx+Qg3CSv0avkavvk
cQo2xs/+GVuX8qXeiE52GB1c+/Y4Bx/8PYaIF9Ohe6WbZqA26PjHxC3vyqP+Etyqv8N9fqVd4lMc
0AvfI1IkP1ePzWV9FLb1BjkwF5de8u/kED/D3L3E4e4uOqBXdC878ia5HTflHZpOeL2ZjxAmMCJ2
0Ma/ye/6p/nqw3rvbro0d8Nl+9wcynvhRvkpH1WHlHrXXOq7+Frb4ojnNvt4Ix6NbeCg3n2bH/mV
18qFsfee03s0Xayf5m8BVoDpBgit7Vv8TvHn0O2kds1jefQYFGmaG2ur7cUnf7gpj4V1+6O9Co8p
/6x/HdyOR+tmfGYJL5nDb3mTbb0DrhFH3RE32kV2g3uRXWyTB+9RPmDd5wRU1njloIC5KS7Fo3IZ
uEhRUgygv3TMtvEmd1QX46od2Ddvi21J8FXb50dpa22FTbNvr7y7CpFv4cL7ju31Tn2YEne4CxK7
0WyPl4xQOxhDIvkei5ywfRtclUhU/UikC1xj+gvt0DqY22yHC4XfNVyic5Y65rfmYcxcRNR73YZt
d5nuw7viotyRDgK33uNl60TMC6skliU6BAdjm+7znX8hH7PH+rtwnV6Zt4zwxdoiui5ugoNIL4ll
j3fhDo3ge2WPOU30iieW8CW+QGZrZ/4eryo8w75Y91hKfVEumofqxtRRbN9NPFTEvcUP1ShGitfh
VtqIbrFrHSy1X0isjvi7u5a+SS+kG+GB/YmcWpDdhOne2Ep2fsXfp0KLfeVWv6AmIW4RHw93uKF+
o1Rhl3fdLSp3QWMr1yxamjm6O+yD1q5EV3rk+giyrZBuxdApLrstOnAQvX5o7uCWu8BtcI28uk0d
XowY7WzxqNsa++R12zxCCtef5cz1MSxCKvD4Pd/gMWBuAN85aAltBGcWYdyV39Or6SLbNjc5Bh5Q
AfgnXiO2kegMh8GwVelGLxEByi5pjKGU1W4l/WtrIN7R/BZkGrzW78S7gOKmz3aX+0G5auzbn/XW
cIZhgzkoD3bbq12M2JQn1FgftKc0shEiK9IL/n8Ycicj7Fun/omFrj08JViNOvsqx7kP4wRHZy8m
l/+HuvNcbhvL1vatfDcAF3L4eQAwSlQiZYU/KFl2I+eMq/8eyO5ukVab7VN1qma6pmZ6ipJAAHuv
vcIb0tLNOtKExobVVqNDaG1R3G7Gtfg6qLUTsnbFhbdCNml8KbfTA67WkbX1F6UrOVG09V7zQ3sz
kDBmCx3R4mFbblB5Ml4SuhfaofwjlPX1aOy9K4O41CzHbXaprrAQF79p9+UCU8L6ut0XLmrdEgLo
190OVyFMgnfaZ3Up0ZVIXB3TJMIRoM0lWqn4JdoJ1m3AbgQEMyLDVoKNP4uTc8M7fTqoOLp1K+UA
uv4adfB7UXYk/IvzW6RqDVzPksQ2DTva5Tc4reKOvRiWde3I2zJcBsPGSHZYte2Fjb6y5OVMml8N
fwju6Ijl4iHHEd32Iju+FRZs6k0Q2FqNovALzxcRBjRT1QcdlXUn/VYgY7OIVRdL4hG3AdxZ1qq+
kM2dkiyyL72AKvrasPB3QHwGF167fgJ+ZaeL/g4RaNeXXD24UKS1NS3wDmVFNDw+fJqkhxFX1Th/
DmIacU7cu4n36oWI2y+VfTut0+AGLfym20If/0waLz2pF4a8y+7LdJM+tA8hwpIFzm3rondo4/Ur
cVeZuvNs6CukaerPcbDU9c8Y31qIumOPtManU2yQz13UiSuiZI15rKtNABadeDNaLzzrcQ/42lz3
eySCPrOmnIzVfdXciZ0zc7Ehg22b29jdGxsU9yGFZbgELcf+K8BY37r1Bbd/qB/EW1Gzu6UoL1ph
Gdk4MwjOWmnd7F64Me/q9VfLhU6OxRuooGInqC/GThRap30sr1uYXvUSKbSd5N9lS+W69R0gS9mz
0d63iMmizLiSdWx0Onx8XrHvWEFTg0OwwZ/SQaX3rqc7hNukY+wit2QhH/g7j4kT3AaGhorrks0h
uUKwrRZtsZOtnf4FIVsbV7pFh6tpsCFuQDXDoe9BQWwRb20dfdUSMipMWNvc9SnaDtjggV7sXOFz
guvwk6Vi5mrL6S58FLNH6bpqnvEWNhqn9S/rP9DUtcviVavuLYTLL9ptal2q4sotFwgEXmut2w3O
fbdY9K9pvdAjhPIcVPNLW33wp6/dTmIuVxSyiy5xsCh20HQI7qjU2oNBYI354LZdNthLIxqi22Eo
3nBi4fT7Wps21jmf1VBd6nH6gPJsv8taN9572MYU6LEuspUAIm3bbnoXWcEv5p15hWVz6DY7JOxh
dMpf+K9ml2zHS+8a6p9bfsHrbMOleKkFPcXk0kQ4tiLUFxud00V9Djbtl4KE/qL9otz0a/VCU+2+
A35kxzf5JbrR5WOv3Uhr3W1decm99nQGcF1f8S8BVpvravaXZaHlyyxYs1aRS4R7aPRrzVwY8aos
NlG49SZk0NeN9tDLjv+13WAeNTBRERZZuvVkNx6WubHaBlsWGau520H41dCsXYfui7nGqErKl7q5
7PWt19yI+TbBELZxv+KiJqqrt2T0txL0Q57yn9NM+yhXX33L53S2Pv2h/8B0nAwWvZiZ8fTPSfnN
iwAt/DUIX4S6bt9n5n//9vf83LA+gSOdyRGAjhWoRiTa39NzPuFK9ARRY6TiN2cA3Z/ZuUJSP4MY
YBoo/MosVfhndi5/ApeCmtUMpKAaA2n5O9m5Pte9f/csBWrGmXdFF+W4HrbksUDpU4jWea6GK0+3
sAEWwHdjp1U9AxKjAyHjB6sJfbrGsElaycgBLDzIqhejnMjFJm9l9KhNM3wxMN3Zoobrf9bUXNv6
U/IY9TVsgrK+KnpDuNCy9KBXRAG0P2GUxQl/NwDAJHtF4UymUOA/FCWrJLa2QZAYdwFipkyVrUFb
5bV5LSA7fZlYTfxZi2P1sUozNXe7kV3T8eV3GKY/AyBgCDApAFy9wlvi0qq6kLn3kvYiJyk+KRJy
w0FYe8g44kco97Ur1XW0o0DKd3hFjOu88AZHqlDczNOMbzny02utRgsNw3RvD+gSv8hO8v1LFMn1
Zx9C9RZbUGNRoCrm5uKELXY9ppdNMrOkMzRskEz18m9KpObrSFfwVxEMvKjGLHudZI/0edL9A2rJ
xmejkXSQ1RycchxXW0yepXXmh8ptmY/KotZl5sSIcW4DCQd6yRjRYbRE/jX2fBx7WF8OZgPWXq/M
CU3sBplwOauJ2KrlX/V+FjsZyrgbT/NIo/uifcVWYzDJRDSD48AU8RYUq35b8jC3eSrqC82qlZWK
LmzkNkMS7boiK3ajoGc3sYdBMj41syJ1DDk10ON2pVR5tsM8Ul4XqJdAtKy6hxYTLFrFnnGnRwFF
CHB1TOTy7n7Mk2Rb5ZAigqDE4ytNk2t0AeMra0C/zNPV/BIn5MzVC6nj5Gk8D7dAM7L7PAh2bWFh
MRB1CuoGAvYPspXbgyYnIEAn0nAR71RUaKJRtMVKZEKGz5E5KPepgLR/bZnj5x5Lqi9+UBU7Lexu
zbRAE7lCXhKrRvPaqDwqtwj9eQ8b67Uih4h+jjVtNi++atUgc4xA7r+3pX4rfP67/sbHQfY/MH4S
Sf45cP5P9jXHbvN9xOTnv4dK6RPiw3TnAMCCfp1Vav8MldKnN8KhhQmxhbgFmuR/hUpV/qRDXpYA
Xv6Iln+FSj6CIkPjAamWH1H0N0LlG3rz70hJ/4SmKBB6dCZREhTlU7yzbKFwp1ZxhCxyLn4JgUrd
qEM+2Oge584kUorVVZLTIjXM+85ImjVTIOHeK4vLEqLYykqEhYWz8MDP4BrSXeOEZqJkPYSfh0ql
SkS6cOFPpYkvqgW7d+heU7F6xuWqczthvPUg060MJU0w48aGYpLzeJPoE+wi5PdwPVSr50oKn8vB
fCr6KXKxH7sYB+9e1ANlmTVjsEJr9kKCgOiUQ3Zf6FJ7BWP5m0dSWOIlYee+6opJnz6UY9ct6nI0
tlheNSt8QxhHppKxiARSrkYamldVEO/4Kumug4iMFH+1sHo8cXFcwHelGOVrfzLDZYqrAuRo5Klj
K8Rvrdc7FwMA6v++uWgIqMvRbzO4WPq0bHr0Hopc+Zqrk+eGPXse6/kVNrDdAfehO8Uvvnqx8KB2
nsyTDrU/hAGlzyEMDh72j+uYDMrK5WSNEUc5+zFP26kzs+842N/arh9vxKNs59/t6P+mnIgE5Feb
2m/DJDna1RK/8aNDqcuf4J9ojBPY1kg3zVKfPzqUuvIJmg0JDa1BxOuY0P61sSXz0xtrlXk4eE4A
iUxTf+RAfARmFXok5kYzZ9xUfysHIqy8S4H4RjpBB7EVOHszN+xtxPeuaT+lXdbWOqs/V7DOwAfp
wbcoe8cif82t5osZmrdtOUrrQI5xgO9a355FdO13T+xH3/S4T/rTt4ATBMeUGRMJGTDy44RMTTpy
PXhvbku/9qI1u62ZkVBH0WEQ6oswEqBGRpzYeZZf1lPaf8/jWZb/0Kc9HivPTwHQAU+ZYZo0K02d
jO4sBvJS3Zaqm6qmgCUX9AGnUOMSs3eNigLJdCjfiiChmDSCsyywjihnw9067pc9wDm7SftQw5PA
t1DhjRl/6iVW1GjZVOskKXBhf3tgv7UV/2XP/9/tzf/AoxRNhHeraJ48HI0GPr9k7UtzXH7Mv/Hj
ODXETzJ9/5llOx+Qf287WMyfWOkQjWctM4YGf+86QVI+gQpnygOLAU0Bevd/bTuMSz7J2swig3BD
ecKQ97f23QyH+PtABRNuMppQoR4zvoXScMpEiXrZiIvUrPY4VOsPpqfSwBcoUAU06taNySg3CBXl
sq5jGavhNrqoslh+MZjqwzHM84Ug1OVOi4zp2ldZc4qvTNfg6o1Vbao0DaOp+fLu6X6wR4+no9+/
MOzeuVzjH1092aL+JIaFFsT13hsp0JNhmhZdXohuLgPTl7A5/L7E/3FPvqHhTp8QG1Ij4XgjlPAu
3o+Eo1prTfzS6n0XWuJntbSu9RStiiHFZ6QdzAdgsTkN5yRaW0ZI56NlOJupXbKISEJmY89d3Pi1
EyU9xmuG1V4y3sUdqcHRUGSeZ+dWZCzVUTVWEXCTjcKU73t++4+3QDJ38o6hazL5mYtfeI7zqfD+
DiagyRjYpc0+QlLJhkgBQC1Cx9oCjr0YE2MvRlW9Eep2/+tXdYLLmN8VeG9I2IhvIAKDrNXxhYUh
6tIpG5p97o3tdhTkcCX7RXiRtg0sdxI5zJ0E7Il9r18XqF276WQyWDEr68zw9KNvMtf+SHQwgoNH
c/ISE3R4C7ym2z0W2/UaSK5yaQZTdxm2ZbMeNbW+ac1SWja1WG0MLWqWao11DLb25yATbzD34+UE
7RnOHiedNifE80H47qADvhNLYlZM+3jMW2f0aLdbfdvfU0FHK2NMhkM11AwCBtF0JJTkrthN8SIl
M7W9rvQ2rdiZt33cJw+cYfIuqdvusykkyZXIgXnuPPp5s6EAC7l5JsMhgnT6ApUUQ9+kieU9au7h
zgjoMAYFbqL4tNe7QOknRxkqfdV6Y7aP8ELd6l3GEhunTMIIiA6ZkpNW8nG4ykxTu8acQzzzaufF
e/w859yD9wo/SYQzRhh9/zyF1i+RXY2U/WxvsoqKccRXI1ScyMIm6cx6/uBxkD6xhQxiJQJKJxsp
saijxUGV911JeWCbaYiFs455Od3MNAllBzOS9NBljUbPESGCO1nrB2MZtmOULKyiAoQQSKGM+ZGF
GdMSFRVNvxBCS3roYDl//fW3/Tmyz99Qm5mxM013PkPeP5haq7SpCSRlj25auKo6D5lOtStWIlac
DvoV8kWZTPjH40JDuuFJZ97LG9v46MVQQmpA/qClKprG8XJ8/RZKWpuQ8O0BZWlPyagP3rZL/Vom
e1LFfeP5o4I44oArGMdOTPs6gSflGjjU4a8q1tpzaiVMHZtCsjaSV2g0owVqKUVNjFdLZKKJPKx2
EVMUAb2YDfDsQDcHMjQxMF7DSsfRqQ1801/UqdnuuLyC75fVR/Wm8nWP3nRbYjrRT7HkY3fV4VLf
0E6bnDrPZv8vb1APnVVqSBT4GnI3VdLGX8tcsr4aMnbItjemOEObZlwfMAtnK1gWfvOxoiPO6/e6
XLqFijY8bllNLK7GqMeMTCsoIJdWU1jyoumx4/Y7U6JBgoJ75iRyinPalCgGtlpdMjE9K6swdkdk
GeqlP1XRhWj0NNVFrwLQiOmiFO+iPMIgsjVqJXZDL0zxJ6mLQ6RXYcQN+rGrShW977GSZW/VNVXE
mDKeImFTaChl9WJT5ctSToPros7MxukxLmRuVveYjv16OZ5AqzgM0L2FO8VioHlAUDkJfH6m1n0U
tcZeTwdrgaU87qStHi4xtVSfc01Ob8SKe55yTduT9wZfMQVWzyzKnzYwIB3Yb3QkCMJzhn+8JqU8
R/wpbwx89cp4JU/g8/BcB9TsQxNNcW08c9M/BSeuR9KH2C+VEiquJ8HJKKJpbOQAK1DauuskSGJX
y31jaVqTfyY4fXBrKliS2YNjBtueKkIRYyNB6ydrX+XBPN/U/GUsSOQptewvU9lKlr9+nx/cGscY
iSN5EWnjKcowK5Dg8wbT2sf4lzpTqeps2vhbJibnnGI+ujN0kZFrosEEJ+4kkJRqIKleKnp7XJ5y
BCEt30XZwlt3HAhuX3nDGZ7tRysVBRT6TDSY4I5Jc5X27ohOMaU1QjpNezWR83VcV8oCU7F4L5ns
0kznRAub1rDp4EyLMinVtRVH56gTc/p/fK6R+quYckD1hYlKVXj8JTxL6nAbFbT9GGIgY5cCdeMm
LkuxchkAm56rDalKKPOwwkWWOLF6p2ER4jCfGcr91GBqMzt5etqZJf1zKoXE7FyizhBkugan6raK
klJYlp6113D1cAbL2xT4aW2kUpf2ShYbFznmx7aleJ0rYuNFdj72V50e6GcW4M+JOfkcIEmkO9Dq
wp3iZF0Q/Uo9D02wyE0qvNKHDx+13FKvy0BpvrY8DHzhxwZRwDJKhhc5J8w5YhsyJ0f8SZAerdqK
PwcNk88IqeHPkRDC+x0NwZN2cV2I9zSfW90NA8OIHEo1z7DFMeUxF4mqMCctGCP89h5mjSvQxTGb
oWg8Ffxrq6IZirr19pjYB3ah5woyBLq0rIOsXQ5KdW4P/7yzZgU0ej70VQF7Kyf5TKskeD4gqLu3
ZPoDOZOZMI7vphCV/MY8x3f+4H3RJnqTrJvnIUx1jle0LPW1HNSmsMc4NdnnShNey54fOL2nF07W
jv4mKMGRI5tQuUHV9C48856BvvxaE5l3OEMGdjh63SqRtWRtRTrtSaj9sZPillZjxFWbG6Oqp0VS
lNPFqIflozKxUX4d9z56Ziw31j0KpHB0T4MDqYPYCqFPmofqZKh7z100fa07+UuiiotfX+vnGMsT
oxulm+Rw5FDK8ROLlEwu+1oT9ko/gwVS5Tnoi8ABgvj06wt9sKm5Ei18lgKyLqgYHl+pb5FpHzXL
P+RB2TyXYz69KDhdg+ZQh15wRvTWBQe99zqk0O66yfalRn/uwc9PMDmgI5zRFfkgBvOFSBLmRIEi
8nQ0yuBLCtMi8w+JXhlrQ8j7m2acNKevDDCvUd0smhIkUqtmxcK0PJMOmV+ckc+ds4HjDHYGTdLp
N+bchWrt5KEEUYQrfRAcLD/pN0Vi9AstHM+x/z64CiI6iADTJaJ+Oe35ITZX63E5hIcJZUCX6Zbm
Ql/7XyxbWpsz9JNKjqB5spSYsDHVkcPo0NQTnFqh3mujssEpvnOl9hxWX5638vGTo/acp0GsW0wO
T62zxkyXBRxvowMntpv5YsbEdmixGNfDsZJWqANrVzRbUSnyEi+NbicZroZD83NEtqavxMXElOae
Cbd105lC/kXOCnWD8Ddj3hW2yLVCssykHLdco1r/eisct2DnNJWOxdyOm/kvuqmcpKk6JuvWJPXR
oRbrbaSHHL1GjV+qeoF56qss1ee0v3/e5PMF6ctzZcg9p8eYFgXxFNRKdOgZpJBUCP7SS1pxUXid
dSZ2fXQpeo7olszyNpT1xws6yTQ/VVopPvTFiNnxYOpuL1UI00tJcSbT/uhSaGtZLAH0dIgsx5eq
5AiRyJrDmfwXCcMy91d6FQubQAbpe+aNHc8Ovr8yrkFHEFkDCBwn1xoCKYoVZCEP6Ou3t6ZeyY+M
vowveiZKT600Kl+VrhV2URbkEA7S2HgMqhkHmMaxhLdaGwr3Xc5jj6PKCGxmYPlrHE940PpClA5O
YUSV7LajVpIHTn1zieV1NbksSWVa9HUIIzDWcpV9NOs7ZUlTPelCoX+pKk8fcZvHZtzpqmaCG4AE
R2QLotRfC01pbCKsbpNLX++GSxHpFiCMvt5T2Y2VrrhGMgEyGKIABO40yToD8kEeL0TfxFyDw9O8
rfpBxHVW9rJmWTH2x81JL8onIQXOCK4jCJ7FAskFO4nyKlmUhoz7bTNE/R9S7yscW2W7jAQ6pkA4
LB1eP1KhOByPY35VCUUdu5KOFaoz+V1XMeyPhdINI7yTlLLBmXdshuEqlsr7RvCQg0mMcbxImkJ8
/vXLfdNTPgkliBfNtlEoswBcn9sc75JxWUnUMpYqAOt+GoToH0oAqfKoiwZgB5rhubNrnkg1boJ1
rAYz/uLp1Sg5ZVJVt3lX9UQMpTQeJnL2xoUdIC5ls4wQbfSGeoPCj7LJRr/4nPidBjIrC6/iKsjB
nbVKc9WVfQvZyFS621CPrNe6H2jlymk/o81UI/5WMqmazZMTSMZ9wFh2YfRN9BgOjXCuDHrT1jt5
EpSTPAud8g7loXnLvXsSkWVFjapk1UGNZetVyxqO4apuI6wBUPPu+BYhCM8paP0EmaeiEFe60Deg
mGnyW44KYx9OjwngP7HSSrJhuXqvghErJm5IpQyqTxGfwJookWNi/bTjlrChVgtyeDuaQg3MsYDB
t9MkvqTYaqploKM1yqA61PXNr9/6z0EYuQnqH2OGbTHun5Owd7datHlkeK1VHMRBFpYSpggAb7rX
RlCKRWCOxgWijucK6J8jFq1xoApwv2h1MhA5viauIVWDDkp+kOhau2VReUs5VY0FuJxx/+vb+/nI
p6qbu4h/OgAcX6rqJFHJpag8+FIcLHRGfgtrAFv466vM9c/xeuEqc7sSFieYt9OGCw1krdGCsjxg
Ehi4tWheB61QLnyvi5ygGe+ykiJD6+Jz/MMPSlfmUhQWvLi5z30aj0dJLcLUMOpDTdrxIhqTuDNy
MdiNhsoqxXD9poibZKET/Fw0iMwreqXWtygIjHVYpefc5z78OmwZ5F/mWdpPJ3rTNWSPid4c8J4e
VmqYHuQKcJmntf0X3LxZ46I53pq5lC0r+IGrYRq7W/BG4lYuwuxMYvvBq9fedHBQt6SSUU9Wth6p
FQANsT70ZScD8O0DINLdOX25D2KFRiYJAZSFDLrxtNYqfVNq+7DrD2EYSTvR78ZXRKJJmq1ERZ8x
18fK5sgrF2Ku1tuU7wq8RLGC0CnFFlP2BBBKYuso59BPFdrK3JS+z+w58MLptU3AY7qaLsCx030c
29xplGtUF4UxRayI/+PKQVfE6yqtNJDmjeTIjZBazjRCTTmT0/w0UKEJwVLjYWKHpkKZOslsWwn1
Jz8ch4PFhG0ldzWnZlwr5aYMQLTQx1lluCteIup4P2VddJ9mcrHK4X7aAVOxZepHIy2LMt/iB9wt
c6wQt/g65+BjxOFMQfE2Znq/JefvSiNLol0G7BRhvOONb+E1FDaFNhx80Rg/J+jTOmOCEKkNv9pa
VHWE3JgprqcoiR2JtXInTIOwqc0CYpLhW9dyYDVPkdY2y1+HitPYN3+veW+wZWVFN0+d+IquDWpN
z8ZDmQXwCMuwu2jlDtJDOwb/i0uxHgGEgfggDz15Xb7QK3rWyOOhDUvLKUSUrnrFA2SkBNWZAHh6
isx3xdxjliUnBLKGj5+22IiCp6X6CJgoDGDXBPVh7D3T8aOy22VJbO4knaTm149y3sCnr9icvQBE
Rh7WT1rsklW2oW50XLSEKubLA4rh6iAsOp9+lIhF2Jnr/RTeuEtWvUHVLjPmhYF6fJfYbyRN3Tbi
Ia2tcamQnIDx9cPgEik51ZVjr1yJ8zBhGjT6IZ10D1K4vS+U1Nr1WO6dWeIfPHNeLR1+2ko89lOK
L+hQgb2ligfalbHThe1wl9NzsPs+lZZlJQ8LbejHc8/g9KibnwGy6eoMCOCf031lVqoSy4U5HTRP
EC4mS8PRWA2BBA9+s6phsC+USsgPRZUlS3GKxUPN6M2ll1RctH2zExh3XCByKN62hdBsBLGYLsn0
c7fEvPtMtfLBVmMwxhQCvAUiC6f57BQzB4mNfDpUQZh+jkBwz9mVtay6ujiz1T54KmQZ5M4KS2OW
Xj9eGbk0EIDVRDqoRjttmFKMm2T05aWWVAq6251IjZEPi8GLmzP52xzHjjcB202GhYqaPaO/05sE
SiLSe7amg96N4rap5PHGi4SXX++0n28Pfyri1kxqZaD01kJ6lySCZ04pcRPxkBVxCr8lSSGaQcKw
1DxeKjVWsxWe01ep33SLX18Z9u1P9/dWq8/ZooKi4kkQGzu/9NJQkQ8FQgduYwrqXap5ekY/skX1
OFXDuEK3fxJfstonc27ydujdBj5B63hiaiyYYYqiU5idYrExg+JergNtPTD6xzTUn/hLamRdKUYO
53DKxumPQdbSzikEc9qjwdnu+1x4Qo8juTErkAtLloEvOWhCK3+ok5ZfWGBJpi2oWE2zWw2sqp2L
vXzt1XH43PpCuKlCYA6OyrTxczPO2LKQWvE6sYxcsBXQK+WZZf/WNzlaEuZslwMihJj/psx+vBjN
pJuHcnp8H9VieRFn+G+6kZYPl8YYJv4isJJSvhYYYGCiYqjpbWpkkejkXppIjhLWY+sMU5qjPVQq
vgDCXsgap1PLFwHD9Hl+K0NEmuCL2EOWZW6UdQNiYUGf5hdC04CgGAcf+lKalt3dBIrZX1pyo21H
y/MbW9KEJnRo/dRrhipmd6VmZXSmxfo2pjp+AEzKUBUlAaATh5bk8QPIhRSMrtKU94YSBBdFkbZr
SYvyEIUQHbbC6OV5aKdBW15R4URrv0+aHvl9PR8dtRSE0s5n3RynGgPYRsqUdGt/iK1F0pW8XQCf
kuaqzDx2ZgkfxDasOAcCKPTBF5URVbMwQU0vu4k2CvYBRoWpr0S7MdUntVnCp1HP1O1zWX5yt/Qz
Sbi5JrWHeNJGY5RRdLFv5vddV1ZLn4NGsXlzwdYLLXXFKsF3RTPrtegHamNPaVyeCUE/tbQR5AdM
ipklTRVMEU9d/NQ2buvWDLt7S4v7dZyn0OtwSlk3YqO5k6+1G6GP61VuypzLiZIDodYj+HvpuPp1
tDiRdyPMo9rzfVYFGmNGYh2/+U4cQiXL8uEeh7fmyZB6E/BcE2gxHqlmlDh+oTFKGuRCfpzEiRrJ
N2L/OkO9s1smY9LcpkpnOGI8Jt9f0m/BN/8dTPq6+Jbtm+rbtwZlh/8e/hhHxj8jpi9fiiZ4Sd7T
IH4Qx/i17/BNcwZbYn4EZOE7z4tl/BdxjMnMnHeRffE/s6TVn8Qx8RMtuBmZidoueafO+/6TOCZ+
mlXFcL2aR2DAArTfAm++Sc7+vcu+E8fQcxBPehW1hXlRh87PigKwdDjrYpvO1zaLw01W9D3E/eAp
q9uVOkpPAxA9G1LrZTkUG40sw/bitHRaJX+SJP+iTocnPfcfR6Rt2nhrys8M0tRV1N7KlVHaWGb/
4aXTQZDHx2DqD40U0c20JneC8mCrTaE7DF5rp1aCq9zzN4MAOrqKAkAu1lXb19CkIFQmRYZuu4Ea
XzHWy14YX1TajkGWQ6Cq9MupqHAlauGhJX9YEfjlPLz0uvE5aaR1oQaTPUkHudYtWJxe7FC/rPVG
m0lId1nV3flS9RjU+uvQqE+jGH7jtIMeh4ZFKMsPUTetWw7RtjG/JKUw2MoYgd0ZjJXYGteRmbh1
2TmIWe8HWj52jcJAPTtOylHv5lAPc9In3+8ld9Sqb7XS3yU582EeVoaGii1YtzK+265JTukgkLcb
LbT4wqBpbT8z7F5m6j2W3ZUowTY1UwmZgdD/WjD2t1VxcgNVgmsaosdMQzWeJgFmnGCTz9sKf8Ou
pDttKDxHS2BUd3pza065Zcf6FWZO0gZNqZUgGsF9bIE9Cq2nytMQyZAlOzGqqywUzQVy2ZY7CSOn
3zg261xv1v4YQxoXm4MxNf2SeW0H+9XHxKA0pnoVtuFwGWhNuC7reCV2aeuOVttdT36lfR1MdAci
5TUYSnNdB6Ow8AdFWFuep7i0GpykEG+suhKcQm5C3H39yjHHMlsAmI+3uSeXazU2oR02sf5HEAMM
iEbre3fl/yCgfUwg+Q+En8+I7H+OYYsS8HlehS/J/1vhe/mNFPrbm9zNrGkz/+oPGDrkLcoADiLE
ZEgC597x9zimfWIUL6PXDfFjnnLOx+ifcQwqGD/NR0AR5oYoH/2IYwJ/j23Gr8GbhTEike38Bq3r
DWjwdxybpdKoEuaJFN1Crnmqhc6gH5JnNjpd5olgwyqvVFamMhW6HYCxfNSsLKrcAuXyXTGSPmP/
WWbDKs2kptolyFj3JDKkXTZ4y0mEs64FxsLr9PgRCdmaMSGtnMRuLaF9DXNReNFo2yOFIQYEwwn2
ae1Osia0+LCi4i9mo6c7ltiTGEVhUF0DTrTQTZdNGOJeNrU4ZkqYZ3oq0g9qocjZZWsIClR6gmx/
Jos5rnF4MOTKFBgcPzS2Zv7dcergq1TthWaSznn9Vgzz9lGS2nQzJFNwmUSCtIqIl4Htpbn/8G4d
3Xx/+O+5MMcl3PcrY6ipY2uFIDkozuMrB0yzFO7LHn1fd1q9aK7GQSrOGKqYx9Uwfxea4Txax6eB
jgFNk+OrjH05Vi0y9IwxJN9RjJLDK5xi7VYEuxYrmMbUWXdhNFqJfkYndrdQcAIsCAKhbdHI7ZEp
DN2hLUjvsJ4remQdiFWXqlCHRMpoTInRia+kdpvIXbFMR7UxEMEwWtUO+lptHFUrjXvJ6lA9a6oG
KZxJwFTWUQetSzg0+kZbNr7SunR01H1c5OrXsUjK3BUDcob+DvJxctf20vBUlUZwFQeB/EeVD3ro
Fr44TluSBPGFZkCOwL88MkeTpdFzy9zE+nccy+KLNdXJN07HYnLIHJWSXiz+Q64wIs+5qJJJjHaD
rnDeqjn1g1PjC4uOiiqWT3HUq+Viqs3qG6OvsXGGeDKR8Jg8xGvyqIamZPgJTu752OriWi2TGgIj
q/0GOEMwMkHPu2ihFrL0KNed5yF5B9DUDv0u/5YChB3WXV8O+4mJmbpKQayWTh1GgeBqkRRari8W
XnwRe3o4OD3VSA6qqgJvWKi5L9uTyOjS08ovquaDcIfFXtdnivDTtBqGDMBvFiZEGYtq+dR+TZjy
WZXya24G+VYrK+G2GxrQuoEpDW6fdPZUohEBkSt/6gPgxYmpXKVZAmSwjAs7kQJ//bZj/g8On/+2
bPqXR9D/wBk/ph3+dezI6iccYOY+r4YOJrGMT74fO5L0SYfhRKiHdMjPmHzy49gR1E9MajgIwKPQ
05stQN6dO+YnEalJcZaHgDsB/PB3zh39OPzQ51a4DO1HviMOfkBVjsNPHojNXLEvjUhuxBXbzUoZ
vxdt2CacP4l4k3odCEzWveZGw9SQ3lqa4MilNX71Bd1onSww05dyBGdnt3U8PFZT0F+PWic8N6Eq
567cB/1DhaOD6tRN1F/B0Q/Mi6RtKmS3rU5XbSmthP/P3nksV46kWfpVxmqPNmg4tsDFVdQiKGID
CwaDgEPDof3p+7uRbVWZNVM9VvvapjCSEI5fnPOdn7Nr5CCcjCJcqdWbpsCFxWMfEWSDNAPwQIh5
Z50UIDVhrjHeqm1OZhIQnUO6iCx8NaVBwak5tZ9brzTVnp1f+pWVZlbvyqxeWe9U0xLGsArly7YV
fZtIQ/ITAolMJ/AII4lDw/PaHXAAYE5rOk3FblbmWuxWrxRujD6qhTPU9UB6JF/eF3eR2XrulrKp
k2EAAhv1WevBQwvWZclujFJVh4DlVsvruIkOd/Ni2AVwqM4pmq9/52vFjWQC7POnI6K52A0uNrs/
L4yXrtM2SIiThMlwh3x3eU3TNfw3RS2Ei1FA4eW7CMjRaf4zgzSsmnGabetumUvH2Rmt29egsaYh
PwIclvL+f/+b/vCy/aMsuqz4eTZ5KvmBCMRQHf71r2pqXaapnD4IrFKg85yyemvCoP4hw3Boj1oa
bX4OW0SCSQChooltPw976J1aLYRQyu6qpUIn/3LMl/dCCRd5GTetH35V4ySs9i3LNtZjXWVl0Lim
yycwG4V5EOOWiitnsxhA+cOwrZHtpzx72RoyxcGpcgnmUet6dtTaWBQfFw1Jg/7uJrRyY7x3Rqt9
Fe5GYyPm0Vl22g1EonXmWnFl9Gu4I6bbq3FJSAuq3eIgV6kY4deJDrSj9qbo1M6d5KCjtRtVd2Re
TWB9IP252xldjZ+Bwdn0aV6SCDeeLbjcSiB/aTZ3zo8D0dLHSautO/bSM8TB8yrv1yhy77x4HQvX
pZygqhWlIWeCqPph1eu2s/tuZQ8Wt/ZGh1vklnengg2LsdI2rvqu1PVH2Wvt4q69tDfD6huEBDgd
rWRo1t49c8chPEtfElfsaC4BMXxl+TFmmAv2/uxLAS8gKBm6e1bax2BawDul6N1/8CkCswcxGNmK
byjpRkNupDWzH8akj1oDPYYFmwcLl6OdbgenHrxrf6wJbTHnJT0PXpoh58KfEl4pGwJ2rEN3es2d
sMYnrAJU663g9zxTrWq0zLz913rJq/pUkE78rCpPZpGRIebb66p0XvVswxhI1QT+2S6EPyZ5PQRt
XLqYJ/irREnU29Av43k0BJeC8cn61GVglmMyeBwZmayj3GhzGrEeVoscYOhMaEfjHhsZ7bHasuB8
kYpft8TOA3l0YM2c8vHiV850J7tD0ft5B3o6B7JXQGVpkslC4AQjQVovZTb3vxYa2V+5KyYdzQZI
Td5G7UNfzFR9UjZpunEphs7fcfRpRn5ecC1CmtRIKxO4nfZu7cJumnMnVWHthVOUZ92vrhkPiExf
HaHXb4shunNtLmPSEQv5aw3s6VVyFe1d4KqiizFeSdLuFjZPUaXrqY47ZBFDQqGp7n1RbiiCKt00
CY0Nk2cLNzl4QBZZd6Ol3Z8+1/i1MozMuxJdCFPFVlYpYhr12ThQw+ZG5PUTY45UZtyNypYi2NEB
KFKe7WZ52syhnvadI/DbsceWUywzBt+IkxcVV2KTJTiHQJxGX/dfFQcMpqq2YZDRj576BvBntRIi
KdWzRXH0Cy2EA5ba8YeTt1oGpAwvUF688T38xV0sEWpu2ULiTGnkCG63Gb1bv/npQ1vlTnEsdIf9
Kqw1dMkWDyP6YBbdajfbrfgQ9lTdGBvtw9WkO/G1Op5/t5hZ9yvXbacSo3c8iLaqqoCI43hCfYCX
XccIWctvuZ7UTdDp9WuqOfSwgNXpW1fPfRHxeMgL9q7jmEKxaT+F7tA9bkyYgI9LNPqRPYVy222y
C+4ys7SzHXllKthXY2A0e7F12c8mc7tXJy83xhJMRMpYGXbFzEQ44xJ7c8rzp7H5HYfL5nTfmm34
mIrGvOwopMkFm9eLWGKjHt/RuvbfUj6PZWSUbvqL3YtfRPS8SKvasDIZ41ezuB5tpxXTz2ZtyjGG
1Y18i8Lb479Z8Kld57bfPpjD2sko79deHcOqNifWdZl2iS5qcV/rq9TWo4jz6ZKErU3PmM/9ZHlt
VBl2T31+0R5BApgDaJF1GFyV1aYNkNyqe4A4tTSxwzEw7wjOlHc68BbEbmhBbtZCZqCU2Fx8LzOz
Fkdjq5pf0s8cb++Duf+meiMFwCmMxo5zoeRxbAaGgI5fkvLVsl4R6tAMTncbbvMEe3BgCFVFatss
sFJZV8dL3/rdOXeoBXYpI6Bst6AnybDpCfNlGUbrF52/+PRqj6s6bll+x87IeFsxK/KQp4b8KrLN
0VHqY+U9L2UdenEw9O4W9WLAO0eLDtSoxrX71YDfd3dsuqZ2L2rXVJG7raRPV6m9klvn9sMUCSlh
t806xUGzrP1aRFaFmxJlIGi/aA5DTn+Jl/U57zLjpypC9z3U43in/Tx4hbBj/mzSNO0jmpuOqgez
Afg+WzRAAgcLtqSlzNm7NIL4SgTXHXazSovXIjAMN/bDzIPwMM90dY5ZpGZkt7XXJxJp1Ufu1/Zl
5LAtlHCb3WP/Mce7lOO3ibNqpMZifuqaYD5b7yUzR/k08ryrON288kGVNud+V5np3YreZ9mF46Tz
yJAXoFdeVst7h9axiidD5+0ORYTOd27d1Wdv5e2KRJi7rKOKprzHK4lXfN3C1iMBIB/vAU9QT7Ln
qn7WTsO8lKGT+dXPU/NWzln6KUqzGiK/yMSbmCduvtUYpr/LU5awkR20/meVewNV5NptbuSEYwPK
t1z9Z60q/8eYTdk7uCkgXM0wlllklkM/7j2zIPiaoOV8jaVhmE4kEQOAxZ2b+a1uUv8N4rP29mFe
klgALhU1fXVVLstlHMC8ld7bm832CxJOYPERG+zblbfse9sFzk8PvaaOcr63cxT4Os92Re305a6u
ymC+7kRQKb7pS67uB4KV32aaAFipsiyOTHO3aucu/dSfgjkH8bX2REDsES6WuH1LTJ3xkJZBk+Sp
KLuYbriaIiRl2rr2nFUHh2AkQPqKCUDXvW6Zk7rxikF6fiRfCRJctizNk2c4qX27GMPaH5WhR57I
xrVXRbfRkpG4xrPnjhaLYV951keT9tlcRKadbV7DCItsck6gfiOI9lD2hQ1YbcJT5Xb8GmamX0tJ
SXnG4lpvoOYGkZV51GSLB7+ymWkXUEgrLT+kl+fuccsqh+iJNk2966qjLV+o+eyA5SslTlrfG/6G
rDw2KCPs2Kk8L2/gppaMKeKaqtVwYh+LtHG/6UmX14JpHPRklHA6/7SVVxl7kHJFcI/61vM/gXjz
94i0kdJNqo2T8WSK2cR0beVraU6xXpoQEHQoWrnvUlt1u7Zf+Ss8KTZamVLOGwyKYOrltyHUuVft
il4U04veet1+k1Ne2/tqKM30GQEtdoCodLT095QiWKGycCj6KfJqJewHmTuMICI2jcp/lJrm4wLJ
XKm9QbQGfEWNht92x/SlZMjPCdkO3zYo6RCQhtw3OR8zA0SdZWbucGPkbd5cN72al5sh6AMI3Oz0
S4CY+Urje0pd1Zt3U++yHKyxKSwP7FFT+8keOuHf1CrDXbk52/xCbgVnmlWm+C5hO1DeiEXXsZUW
rvO65Ov2NVhqwPBWqpnxoeyhMjWZs7wNVjeliHDC+ar3NykiQAcL5Ymj+Bo2YjCeDWprEBYFOL1E
4s6wKPDIOb8u/GAwOSg3za4jLJdDzYYLPo1YbFZDdtfvUCO71rHP3UonotVedwq9PLTP1tLnZtzn
Eo5w4HDxeb5SSLPdGAw0re6mJSvgtZ3u+rFy8mRMi5mdhaIk38nacLtz4dSZTIqwy75wYPPlzUUT
FjjJB/VoerXUx23wajtxU5PSHo34eL8Kh9+svULNm7l8uoOUP8SYJW3C4lIG9ymZBzsPL9rjYnnT
T7sInU9N35u9GWYv36pOZQ9Z26Ql+6i5HCPfGdQa63ldPm1ztov7tGV6mHh2zp6MR3za+NPbKal9
i693w6P9S/FI5JFlrPIolNbAeJXAqtaZW0XnLTy1nuYc5uzqOuOLx1eQ3D7dNzKqZkRkUSuHBWFq
OxSRi6TGPuATqQRc1Y4LtpiNd2cVQSl2Zphlz6by63dNueSDgg5HwlKLzqn2fW7kvEJ5pj90QKr6
ZTeIugOzH3OEy2raPdleIX72aZA9XKZ56a7odLlF2DWYtFeMpvkoFXWQ8oqAHftDo/SfodnfrAua
5l9vbq5/jLP8y7rm9//wx77GhruF/e1in/k9NxPsBf4YnIH/QSUEigM4FRWM+BOw1GM2RpY0mBNW
KRdEzj/mZh5rHsBWF/XN7yUPgqx/Y12D/ZjBwz8GEwR4MgBhwc1PD1mrMKP762CiXIOtCSBh7SA/
NF81z9t7g+hJUwVOh8oxsl9lM1NbTRkkvJSmcqJnmNYbs6daQ89fuS/kCzGGNSyDb1la+FmRbNSF
BzqJDZEL+3VUjLIMzMRqMV3hQ6wqupuwb99TiBNTUiAJ88/hOvFNV0xlehKly0DGpQdrJpo2s92T
apTaVw77xgXqdV4+c9XGEpCDXuGUt8o41Hw9UZ90goMtay1ziY1l2apYOKtEzOURyZW0vbT2Ze6a
UInXS0PAvKN44z10M/w2MxnXA5yGLnGc3PEiZzacH5WkmuQEgKQJz8BV5tFeSuOcWg7hzSwt7ucw
bb748hnnUrbUwnO/PuL3UQ+pVwbZztT2sO5rx65+1CXdwutmTQ2in8kMb0a73m6pDH8Twt2NWd7q
5eAIu/xERLOs91IJ651P/qxiv3PncN83qX5TdOb5rgyb7seKo91nC2vYCKVZPAHxdPwqjfLZUFYi
wBZ9qgWHa8zcCERP00nvJph86vS+rygNZaOmL/gC8iVz+TFJRZwtfNMhMAKa9QwwR2Uuxo2Vh4E+
kzGWfds6l8FRWC/6FSN9i0lqyj0GnQKG2g5D9oQnZRyyl9EsVgzsdRv2Bz5bUFEDSBbq4oRm2ADf
hW0G8jZ8tkS0kz2wgdKhsNJNcFo2ZnMx1Y/1OU2hc3Y6oxYR7jYYHfNcMjUhIds+9DgJJbfXoVty
l3T19p2eQRPVBKHHKp1SLkkqFze27HomHWIIPECyauzUkRURnvFR9CELRsWUw7BnANHGxre9m2oT
IF3fhjvTHqbraXZKQmABiYhoDvpsITki2D4cw2veGB7gwxpEu364ncmewnJHA0646+ZgZCZ3xWIz
pTxKaqPaiO2paa4VSmaGd3LoH1wsO6+FpU2GOpVXfi4pSEywuoH/ra4LP0+QFJkdtyorCOlbmjFa
QIC9jXPJgNbNKmjreNy59S2CyY4afFJ9wqcXquPWl/6Rui/7MkW5wDxfphqHoDPI8m41S8ryNrQb
Ol2q90POKCek3sCgFfu2yl+IGAnBXLlFqg6Z6kLotqOjXzpVFJc2yu7Bxm5UH7Gh1JLHFGBBvqdT
nqq4xrM4RlOBt26Ak1XEJX26QeUajheCsfOaCsx0O4e5SR53OHOGG0eUVLoWUT/1gcqrqMHmBo17
yrJ2UifopXWxH6rCFXFtr954qIpRFnfbYkzmcQksbcXDoLnnlpHbQ+xe+s5YoVhl5iGDbNmpHvHP
wRBVSsBhGIKV6e1Br+fVytPnYGt5k03dMkyUnZwfhMI+cpaGW/0WcbrL09qZpfVdNo5bJ4GBzBbm
qLV2u17p4U3xILCAbBkfwL51ZmgzW6F6lC3AOgXFPEwX2OcDN+iOvstLHzI4bUwECPeZd/aowuV6
YrxqHcAmuqwdnVB+jf6aI7IpQ9wkzVpl3FtZOsNh9rX5gh8hFDQlXfGzHNZgBEuOZ2gXOK2TfbjG
7H5Xrc4+52l0PlVem1UCcsBd4GPNOoxnVG0viPahM3acI4nyLcM7CNstX63WgUrv5XPBskL42WtQ
20N/PVmmDJKm88bXpk6rbTe5ijZ9nCcNOxXCThd5VB1l7Lb2WCY0OX7GcKJOWIN3TVIPvf4IZwqn
SC2OzuPVX6Zp1wlP25HTSOdZ+y5OvMm0pnZXmcFFHlnMCqYLbe95xMvjRPzY4RUR/vDhLOWYJqrt
qTbHtAWhk1ourfSAM2gj0G4SYpdS+VlJkIOU2E/azHdqqqwCLbgRfHVDv+K/LFL6hGLmFD+lTNqd
xGPxSzOQ5m3A41TOZiTcPsCPPjscMkg8gfzna4jHNPeX8YjzR7xJPgDWwXBs60OxQlUcHoVv7phZ
zsM51+mojznq4fAE1W78OSgmO9EKT/rZsNL0eYBMNRxrId6x5QEoq91CHyju/LNO1fLhTW12NSFG
dCJad1paz57jqV3bZ+WK8WYZhvoLjGYoDmbebEeICiPnJz/iZ1d43Rd8JRO7qIWq6BSyQiUFg+nh
Gi0VPlj4TNn6neM78AGL+MWbN7rWQrdgiUfoseMrALWhRfK/Tveo41hBsIpe6DGNtohTdzI5iFXp
HYKa+wJVcKtOekPvFG9mvrV71QNWYaxWrBMCtc22sZ+a6KCtcT64jKif2qlas109l22a0M+ZbdQ3
hg/ckr35+9yxC0jcMM1/lMOkRdTCwWaZX4btsBepsNx4xgvrRhxH+ou/Z1ZXqYH2BTDTLNzrtDGL
frc1+TIyF1PrXa7yLUu80lpJBIKmWUWmauY8bi3GfLEcmhIrsZFjmMqXdPP/cK78pyr+24Xo/K+L
4gNRX83wa/uziunyf/xRFRv2BTlL7RtaFLpsbYO/75P5V4ANLothqFc4QGAu/X2h7Ib/hdAEaz2l
LxZAcrb+vk/mX2HuA3/C7vdSMP97csxL1fuPqhi3KkAQtsWYqHzkOkQI/rUqhoA4MtbJSH5QeXjl
G2n5YvRTcYumPr+aHLrNUXpBnGbdeBOaw3BWHtVj68ngj6bqXwIffxOK/vk34ZlGuMNK1IYK9dff
ZEzrphB2s0ZQ8Fq5m+X31Hfkddhr60tOUOQROObfBcL/O/bEzOYmyvyDIkTufRwuuKFsG70HyELu
cZznGiyBb8lHo9v03Z9u7/9DZfTXRuL3JQMkhD4a5gh81H+2C82gHNj/ccmYIRZ7ozCcg+rPAZOh
pc77uBZp9/+jO/115//HjwSzwWYVJx49FM/Qn1fFRl8LJiruQndNdJPOj4HZ5k+GZRqR6XMQZf7G
bjed3mTpZ7vWzlh5jri4BnEpoNgaRNNSysNSeuoPG9N/3vq/ITH+03PxfzF0o0mVsvnxf/Y/hvbP
r/7v/+1/OuLLiwptGt4YriInvGBS/uiICd9jGY+RijI2oB01L33v/2hJLI+W+KLxYFeExgSN4d9f
fd78C6+eAwN1Cp+IIPh3WmKe1L++/RfBHMJulCSY33jr6I//+lxVZV5bU2/HwUJ8Fl+tXt/isXN+
jQZQCQbDhI7pJo/8JvQp20r7vcmKfc++GtOLCVNgRWQI4Zpp8ZiEQZHuFiOfohD3bWR1bHE0CRkR
kIgENxVhO1sojx17x6jdMpeqBo3zOBRt3LjflBrPKOvQjdi5TCoR9MdpCP0r5khPuaEPCzmRxCpk
6Z1sVwU2zN+biiDoLc1uOlZIibC65Q5bLdvw0DCYX8mKXl6Nj1BkMiTc6QNrylfssruCng+Sxb7O
02XvW2n2Gsq0ia2gud4sjMF1qRFcad9+q9chP7D46VDPuHKnB4bJqd/PrMCHb/VceHcLq7FT5bBc
C/z6q66CMEn7Zbg3fT7ZniG/24KBu60tNNttWZygfA6XYVt6V4STe9WIpXygzLVOde6ouAmH+ZsM
6naJphRKPTtyUydQlrxHN7vw9zPvoZPLbuv87+FcWZ9rUQUj2RNrvewaqzMftrWZs10/uOm1sPGO
81NdfdOP2rlBj9a0yZIV/j6rU/HVIxdI8txBk+iN6OCiEBzReytg70XOag/3WWkHr1WfOiKapN7u
276qbx3eijxSdcdUIAuc0+CJpb+ny2hupAq+wrFCCpByCefEHpfttKGDO6zAdTZit0bM2gc/o1eB
ddqQxzUNsyxip1n82EFNOe9Iiw/fbFqg9WMYsnQHqdkEk+QMbjzOlW0992Zm3s4qeGh8w01qbUla
EEb2Y2QUfstYfzW4dn153UqtkhYc1YWCudbn1a78uznkbuSl7JKMWNq7VHW3MIHYRvdOs96itkPW
3tfbWWekqyyNXZ6l7TYHXEy00gxIhU43jEH2d+Qju5YDO+brKV9lyp5Wt02I1Jxhpekdeu05u9QO
TnCe9B1slPy8aTvJ+E+c7KEz6SvqqblNF/eamNzrogxIHZnpPre3oC9uMl0nmZBXzWQLNIoE6uZZ
MtUlKia+O05jHHMifHPQLWx7Yp0rj1htr78JgvIO382hwncn4DGt9fDMtgMUnF0dVtNWUTmvtysc
5dE/jc7j3D71njp08xZn9k/WCcm6bVxP881ExfqIHekuvST6uPhxzXDaK+gLJvMplC+RuaU3mdPs
1rYijBNvflcACG3qOQm1OOLhT4/VZRWteu6qEV4J2TUnbtV+rtarqkMQhtruMJeeFU8rKpLFd0iw
yofzjA3wnu6M6U6BBtKo2fD2QdU98dpcW8U9dlCAa99lKb7lTBQc7R1glsb9FJ6cWkehJtFzLO6w
a8VdGcSb0ldUX0wivlxOFbYf+YlEa8QSymEzXJNLWfQHtw3cOKC1SfPgG3nJDOWG2uOcG76nfJCv
SYchAriUX0jNSAzvhkgXgaCZ69+6fvk00jBNYPYFJ9udrta13k1rddv0A3M1eaAnRNDhWB9bU67Z
TaVxHywSrwsby7R6aFnp7EqkWahQiARZmCQF5m8lkt3djitqWCx32WlotHII/k6NHauGHBcMfoaI
wR7Tqoz2LQqMcJ8RUDbm5c4wt2QbqifWY78AGH80G5fKQgbzUOuFhUB5YTXppPFdg0SfyXh0t3T4
dDSrCcNMH0FaSLImbeO2yOfWSdIqxGHCMmu+YVZZ7uzOUMel+91XTRUTjM56QTTNzLMe2jejbebY
ZkDBnkmHj01RDJJMP/2jVEN44zpyj/BmjIPR1onqBisS2NhwNLo3vm0+5YQFMUcVb5WBfJ0gofW0
hEQ3VrN5DSJWXpbx4VlkYopdu+iuU3sTKInCpOhEPHT1M7Sd+wpIGI0i4gg9Vtd92hR3IIc4+/Nv
wcab0Zrjaw9dxi1/yNaJvTx7Chj4REA/fgkyC0HmnRsEa7MsD9aIUoWZwXqFiqdLjLL/aVn2jSin
n/WKjygdXIRGLVtsy/rZG6qKL/Ek0WTJY40wJV4CO+n8MgnVhnACljauTxdFCn1jkmbMf428caNw
a5DMOH7NUWiT+ZYyDqh19zO1zBL5R3NezbD4nJcKcVjbfIZkZy2lIgeUaSEz4RiBCdJOM0+KtL7d
ankHdzMnRXILsCgwYgs2uuZu15Uz69gXa33R+n3wnLgvGdJwtVUDYh35G6qp13AmOEvxVRvdIhmn
9egZ74g1D4yuSAS19WsgykNhvPtqOE79csPk+zkzFgavqkcWQ4egWce1XnCYzOZBwQ922/UEKYrX
ASqUG8z32djdOdl0JTuQQLJoPoKAKawUw42tzdM0qNPSuHS31U3Yu6Th5G+pa5xnBp8lD3GLqCsb
i6sGg9XUsEx2MvN7qvJbv+5O7ObiOrjRAeKnzTjbhvPMhteKAmXcBmHzS89PTFXyvTWzJ1s6hGQI
5b/81Eucwjuk9g98mDuBUyEysyxm4PrEauFtG77qoDqymbvxWb+HilYFEcQtbqsjMxE/soW8LyYX
BU9+H4IHjEVeicjbLiBlBBrBMO6FyEGQXwGPKJK6+kl01wkjZcKmlAVWF08bbqvRXfYhQwsh2Eiz
uM9Xz0k227oJwUj2tWGchDmcKvIFDSI6C+TrZkEe1/CarxkCyNdtyQ+izvbrymLbtioQt0t3Nm0Q
z+jkH7HeHme9Psw5iC8dolJLw09e2h17ukNaYX5j67idvN4xY7kYn37XnfIw3HPB4ougbqvyU0sG
m9Di0KgtKWZjZ/rPnqF+qNw8OOBANMdGZoIyyEd1i7grMpvx0UY8HDB3bYz+tEHzCZjEpi7pqj1z
p9YEt1KUN2IIkH5W9Xs5/BKVf7s2w5ttbXvmPxixvL3XYeLLlyquGuwM1QFu1SkLZrHDdIA2OVch
gmiH24uAIyzhvXg5R5V7Hbj29XbZxJtW9jCxvMTVDLl/eUcDhw2nao8MNIOrdTCYwAbhdh7rT27l
qbS5Jiw71qm+4dVCb4C+uHTP/pB65ESWt2y+W3azwYM/kxYXTEuROJN30wUEbGqmiUNuP2aXhDjD
Hh57Co15nO8NJjCarE0I3Ce01yapbAOi6+FgraQSLxOatuFpdWxv144LvE7yxnZD0087113nIw3u
WxjODTBPt0kcbwivQoPHz59x6LWr4T1vjnyz2udQE0/aOU8tYmZvtveTMT7kor/ybfs6QH+2DDYV
pxvuXDWcx41Nc8aoXtmPGJCPqy2/L6a4H6d6b4TX9kJKpjYPNjmuE9eehPrrehHP8C3mvTbHz8uB
vq/dmjlbC+3UC+tYjQQE2CfYFRglO3NfdkGIPEZ8C3MGm4L4S7/GozLug+3VBW7GCo/4bInuYxBn
0vAi0csjlJc8AW1sJZvn8ah3Ai9HnRih/TNTH00OpZ9SPedRcp2EjchL49Tv1ia+2xXsdpLqmGza
HAFIWzO7eMXTnMjQP1kBxWKDFb3gXJh1w1YAmvezJUvWYUH6Y/SYQc7VrYNHh+oEWaeMkbAmqbPs
h9InSeOmdtJbN7tN5fempSBx7yqc2XNjnBALvQ8zvn1Q4L3N7gDAnJNV+5JN+UhU3JLppDRJUm6J
2tAE4MBH3re12I2pDeAvqH70PqkAyN+F5IZ4xnOw6FMjO4bshFG4jOsx92R2yMODDq7u7EPTGOlB
tnw1Che8M+yQsg3Sw4hqpnfTx6D/XtRiixvRBHvtPiLAZBDcGyybSrFPA2zuGUY26VmnAslKHATX
NHj7FAqERHeMkLd86WcyZDdoV2t4621sHozqI7RYQ1g/hsC9Jwvkw8p+Vqa/Hvy8J5Ga+FTr1Wnt
Hx7qhqlxniXKgn2tA77aLOYL4+IfdweG4EC9vueplb6LrOdD2ogCR+libweN1BdHLIrBXqkntQbp
S96mxeWfZdsNgkOMTrKjhvDH9jROTD1qhpyR7VJfOZmnOSb8K8ctPwzPeVs4n5EkoqhA28IjSXrt
kMl7e3M+6jXAkSX7J4vkg7Zd9Dlchle7zx8Xz1WvMMI/L3KuIi2vCUvAD7Uc0Bg9eNtoJoijbtPJ
/Bx646xkjWKoIW8c8Sk7pc/eJRiTRyhcxQ0b8NvKdQkYLo0YWShoZrM98OUHs2MAVFTDfRHS7tmW
Ud6wiS5uu1CFF42ITXVaqVAmc1VMIeP8ola3dLrGfm5C58Rox3uqRnvYh6LJ30Y/KL+n6OQiBKlV
jKNjuPYryvqxM/R3IxuBF82zkbC4ETezNsIj3GwSny27my8xmIu/HyttXAM1R4fnsHyyIiOQdbuz
au1+zV3eITsrmuW2LJzpLvOUgVhNC8EL1fbMw7OBfAtgu8BidtaULm0ySLuzrlvqXMiGTWlMbXgs
2nVig4FkznupzdrHeOvNmTowsDNuUj+TB5409PYNCpRVFtQdmhL8vsPHwBL1Yv3Ip1TehkjXab4h
4IxqktE8zLjUCAol4s1WOruQ//IePXwpCQtuXQshvQfN05iDDDcv4w9GHBQWrxPnKDuP0qYVdSvD
P/43e2fSHDeyZem/UlbrRhomx7CoNuuIQAycB0kktYGRIhPz6IDDgV9fXyhf1ZOiXiotY9dtvUiz
nAQGEXDH9XvP+c7iBGjVZ2Je9LpcZE76blgjxrQSd543YP69LWLO9jBZbN4UqcPey7PWvfG7trRB
YHrZYZFGilYpmZP93JPhGY5liMeXN4F0POOYHk583tpk6jmuCqYiNTOwxr+JaWcSdh+Cji75j3ss
MGql+rS+HpOFX35EmXdPC6mcA1CexpTfBoy2vG1fyAWakJsd8xe0wOrMrIBgk9DKDlXHcW3jGvH8
pasbgv08l7XUI5mh7EwQzjB/lZcEFfEC8/2Y8e8aRp5hfcNUXpiHwW8Q2Kwa9GSFg3K6MDtnJawO
c6WhnBo8eRZwow5xHdblVT5pU1PtWgvJ6/liIbPufObPN+U8dNOhXHxPP+ajKK0PDnCp/5HVIdvP
JGv3gsGhp58RR01Xw+Aue9PyKvgzWpNE3AfZ3l4az3ro3LHH/JeP1iUChZCdCfUCw98hL+OdGND5
ria3pFHRsZuwn7V1cA17O2hX3mCPAvAOSFGmbx4h8giR4DLmrsd34S25vPakKkEAFMZC/mtRiLcG
rHyyrhEojRexrkUNj2mOD71w0njtAEQTuyqJqfVoQKM8a0bTv211INqNF1rGgydL56Nuw/GNiAj7
fra0/GgGKpQyLMRm6Nt0p+tZXrSmal5ay0JKpQthLyRdzIS6j2HMGJUBlB3Voq2HXW0v3UOa5e0F
BoXkPkfPm26CbvGylaeTfoseyoYPWsq1QL72nJW5vIQ0NN+P0uwjNCH+vKJ/ThvLW2LOD0VifQxe
HAJaKMLHdhDBQ5cFzbU9jHhaXUtwdkOEf9HLduwjrxLh0zDl4r6rJ9wTDAsKfPRC9qjNOkmUTTXn
84VXVZA4zXxCa4kYI7zj/CTQiub5QVrwcrrUb9yVQGvqbrVvBk8oQobfzZ455GqKEZ5nTlo/Egvg
3NZZb2w7xmuXlZtwXrCuMhPSgERF5gLybquDt8zsdLo3nXwlysR+LNgun8PARoRnNcljzPSZ8nCS
DPhHRbdNUIzfVJkdPstx5u1dZXEegrPRyWuNTGOnKs7GuZTWt8IvQaINICW+5MUsaDMmBoPKNm1u
FsfqP6ykvuU5Kum3t/nvRh4Q162nRTU7e5C8YrjP3tYLshuTIe8QkSDMSTdP2vEh7yoL141M3BcH
ZVu/KvE1o7VHNPnE1J1qJvHlam4dZdH6sTi+La49tDxePn2LTuiFnh8uKUwf6UQm8mSqvRX2iEHw
OSype4vGne2qdNxdazokATjjWG5HLeWeNhw2ZZ2Iu94KmLguTnNwlq9p/wBImMFn4JhXdD5n39eP
PnPhi45VeOF4i7PNkH+C5kgaymfDyj6sAhXlWlvxfGGXfXKXJIH7ODk1BwRGMSub0KVPmmEp70DH
IRFmFPoatYbLsbV9WAp3vrFEF7O4nOBSkH66534P9w47DGVHjxFFf3IKOgQ2LYZ9GXY2/I7GWCdI
slH70ZLkuzD1JTI/+i8kCG9hwcLcdiqe7qk210rEdFQHsB7ptVnyOhX5jmVVbsy+eO5m8dijkZqa
naHDS10l77Vb7mTpIvJC+S7LQxXO+zEEvGzHlB1LHJnxMl5NAWE6DZjKNdZhm4cTbQCyaya/TU+o
eoPBye1nweGncN69ajCe8sRJK/KlJu9LUbI7OVak7LsYW9azJ/PLOej6N2BR6XU1a+f3icIBWaVr
Inht7eK5bOb5gwiH8gXhjXsRz8Ym0Gkf9Sg9kXjFM0hxleLJOSDPljk1YQFrgOezSg+K0fpzCZnq
3RmYnUGJdr65+I5wJvlGRnS8W342PceCqBK2N440CYpARG+8JtjDMZEb+pCmxfgJ/UmdrwIjVLcz
wvb7yR9i2u7m4L3lvVtc2BllLP/TbhSTuTe16723VunjDmmp3ie7UK/94NKemIbu1qnLah90wtxl
i+Fz5vKXHbL7leHU91rTHxrjy3l2EcYPqb1WqU6f576ydhMSHETiY41j4jbhFbiJ28w7GhOSVZxk
4cGMna1kM+1MtF+8yCvGicclqbNhmy7dtZoqBD91F6zwuF3S1oIc7CQecDPLWiuC3uhchN6XaYEx
Vzv71jbS9wHsGLlq8nLQWRFhMgVLQuL0hhQZd6MN/8oP6dgnInys8PCvm0GqvZx5B1lJyotdRT6M
+xUQls9keOY7z/Xyq8ZCfYVT0IuAZS13vmxedNZ/5Eoj5pecVbqcQxZur5FW/NpWGrinlVyoofpi
EAjsQJt49eeRxlKaG1uPEOGxG3dJUBNtEuQ0Yibvs+Xx4BOi5d+OdU6nxaj6LT2taB4HSrrAAKhT
jP2t14pH8v3g8ZgkarOvxm8YQi4ZRmwmMSw7szFeUDUv+0Zr1Bs8xiGYxjWyntXADDYK1HsuJg4X
IUneNfrteVD3ceJBl6i5L6qEHYeR7EknBSyBRNzQtMm/UH4Wu0aQGMz2voszCQ4oIRijDuYHvG0b
5kJbPP/NVqmwiVyrIWrdUQJJvWcdQpq9+7nu1QuZ8hWldU+zAs36XSmeRdDs5NhfJLR2o/l4uHG8
+d4qwmGrkvxyJAZ9PywaS04AvgaJxOCvdVUkm6Ik2VC69q3Te7SJMwupOmupCfCmYfbyaNQF07cA
GygND3PL8bo9MFdXQBFwVfmF9VCm0GpNv4rsROnIsLqIaczXOQCHhn+fimkcntyC1nkXdlsU7MzS
XDHdETvA40Edth4MVImktrACLX2QetiXLr3HHBX6PTRKk8pW3zBSwAEaePm2rMbyquqL9jGMzWsM
ttZhJMxNWvOVneh3jX2ya7vLYPGv8jb/En5v9U3DIxU8QVZNVd63lq/fEa6t7DztbyTBBV9zFKy3
UHRLehT9uGffHSOBv/oyYEBP8cEvM2HkuPdsjKIjMnJEdEjbTWdDXABqIlkkzHWSm6pPPxO6THeq
qejf21T24wHC5prk13tGhCiC/H2awhJTgebtNFF+OdUeoWckjfG2FkcTY44IcPHv525cO/1c3+ey
E6+NVsEDdI4SVxU7HdUSZJRwSCgrtO1+0pwE1mWpZDThfO29pt7CWabhxpRlp8jOuZp858KmibdW
5nQjYzl+QYaa3qJUA0o4ZA9WvdByGwK9HluN213N2G3C4LXrGCuuu2a2r6fJoqsDg+IAjZiGmLUZ
SvMrQnhrX5PNFmShTSNw2k1OggdvdD6NbCUbnej+Yqyr4U3ns08xipxYjPWDg3LVrJcrpNIPhrTe
bCfZlWyJYLywPPHqHdTKJraqZmqTZNNqmOzDHBuXSYESvqY+D5uvLX7cDPDIZFQDhXg/bNy2gTey
0E4kwo3WOht7WGrAJa35zVH1pi35bfK8eye19aHti8vGyW7LtMdIleGfbg3vqBiY915qpltll19m
mo8qtZ3P+Bov4HIfajIdV2P1vS3IQtCpLb/oOZdPJI1GRcfUJcBntu6n2d5a6SIu/b57yZP00m1y
hgVMuJd1N+hx6+suiXgvZ2vTnJ5xWDzJqnnkOFt+5tfBuSwmwrmDw4SoqXDpGOuk3QBRvHIwSKft
JRLO9G4aTXRws7jNs3cbSWaGoIy+DLHkW7+u15oD4UumbP3W91rcqmwa3rNkGr1I5o7eaMLB6KRn
XRivDZagC2yaJunqCEa8x7I1UAYHOvyScAQxLpmQG7fOHNQvTSLEq3nsuZV8SpwtwXE9Ba0JVYq6
rZeRDYdk01ZGWW3smmwJ9kUiMJmmWDtBdAqbuVS38NCDTdCmJoBfr1g2vc9AClLo8s1PKTHox1Qf
FKMJc8RcrQe/xEUc4IJPLhOH4SXN4A9zTlaSOigbmmlnU5iBTPfyF2ec5uk6dqGIbaXEPs0AUeNq
bwiV/66A+P9ikH9nH/+VGOTiFYDBt5+dEcc/8Q8NmO/9Bs3Rto9kKiwNEB/+WwjiB78B2yOzDWcb
OowfmXyklR9RlIx3UWj87I2wfJAipJQAKhG4r5GJ/C0hiHNkv/6gvSLEO+AgjTrNxYhkAcj6WQeC
nHUgucDKt4tlHs+FHOxeA+zIeEwZnWZ0TmoWnoRb+YDjoEDdQT9abZbCUNhHzblD424q7ayrSrZ6
ZRqWi1QeZSjI6tS/wsvuVJsqRBQRaYfIxtErjb2flUzJplHNn+swXCDctd2IVUyq4gmXVVJHoDIv
UixPD3OZOy07hU84iZcEZb6eRMnOTEPKZRgQIzBY2Z2fJdAYApqLWSKcL1UPK2qDmtm5wkHbPHdl
G65kS38Bt6ET3wb0mJmFFcybd4Y3hvmuE9K6k5NZhfvUqTQ1CiroNfxy4oc6HHzVEX7PwDSTs0/f
yAhuGtIQNJZxS38kVqjbVdZV+rOVg/vTVlHS3Vms4sA/4ntn7VtPSdHZb36SNQiQaWu/jtQuIFNt
DuEQsIWdMW6zdR5Zy2h+mUfDfSpkhpmbyM/wDUtcd+lOk/CjzK+Ndm3CdUJI4+RlDp8iMD5ZIh5p
HjVgxI4CtulQ57MVU9OmfDnSCfLn1pfHJJSUSKHVYpsSAQ8i3XnlQ39IKKQt42tIBjKIjCwWLhGe
Koh6p/dfG4OqcFUZ2fBsV076LcbGh2bVa+Nbe2oIpYlnu3eYEiCAZ6iDlAIJDS3XFv0haOqpyJ8N
OGprTsWB2mRWkY/rtBkEdjmFUKZ3DV7lRiWQetAvcD5UN2rs0Y7J4EqBPGDvEtkzyTEOMQwJUSWG
O3MQ1rE91VvySit71RshYR8qRgi7jUfl3iPV09Uu5ZR8QVr1NICMqCjb/tj2/lS6eKLOY/XgKuIv
wUolrio80VDmjfRMrptRPKSMF/gS0TADphhCcMU/bCv/Qnt4FPr9tFBZnqbvWy7plewbwQl7rBzh
DveWn29b0d0Z/sIhwSfrDFeewawJWvsAB/+q5W/vgE9Mf6DP/tb+/ksOFLfsW4PWI0vS4X/fqo9+
GPuPfwO/Kv8Ne+T764B95P8CEusvhX//Z/no316z/LX+UfbHH/ljsxdHkqoJNwqjGd41dv3/2utd
9zeYTcTLMBQzwQsf0Tj/0Py51m/Yv0ETmhjoCIg8ynBlAwLkP/7d4QXx/bv2j3Egx9zov7PVHwV9
/3x+fOcIOEfxZ0GuQ46BiPjnjZ5hI0KWMTUjHxLZ3uhi48UY3eovAkNOtLzffwzMaLCIIIyR8vrH
982314esTuR//Lv1v7CCWxaUBisq4DYfyFBpIwIUjtKBeXqaHfedzN52r3q7ilpZz3e479s9woji
1dPlcO0tnNQ2Q40OQzFKYSJM/Rvjd7n49Wo6LsyTu0HSO5+DnAV48+IEpZW5ppA2vJqIBq/caWzO
kldKiB1hYD9Py/g6C5Ta0BH9K6L+CQju+x0i4+a4jNkxhHBOfnSdW1MGBMiOFugGD1Mph6ehmswo
c8Z+u3CsWi/NEL8SE5mvyhSxSpMz4ndH+tPMSgBjqfnw65vxLx4NsMHHOAI+1B9w4B+/M+hBgUVj
hUFrT4scaMlRduJX1be//2NCgeL0+Pwdn/mfH41OWgMZsIOOiDXuD/lAXS/E1P+Fmvxf/TIh64XK
iB3Tdo5b9g8PIG+lGjNUp6MMPtq6TFtjG5jx269/lZ+F4N+/Q084pmmSbYVW/zvp+IcfgspwCrAv
zhHhts41dR/cFlU3D2B/k42DLWZdhm4Z/fqH/vwG4IeygyCQh8BiUvshmP/5N7MdiY4JMXg0ldNX
GJLZ3YIuni5XnXy1cX6vkDdVW1lRL0GIFF9+/dP/x309/nR2EBy+JGO7p1FA4H5TKEqhHXmqvBNh
4995sRoffv1D0B6fLkyiGGE6uKjsmcRTpv38S6Imm1iNMo86vIp0odKJ8U2SX9C75NA/J0n+Eocg
gl277q9xWyW7hdwr9pil3JSj/AhtPXzFsV4UawSjnI5c5Uxfk9ESe9KFp8uUc+vFGGT5Focho/qY
38iPF91xepvz+9pawAbT6PVe4k5N2CYLUyKqkWJAqqQYxBI8Q2uP5o9HDrc5fh4xPkb94NiXEi7E
vXa6ia5N770URYNBOA+xULhl/rvfucYnIgTmrRontZn5mud1waYc5Z2nLohYqK/LPkcOO88Ochcs
dU5XfsyJbD9GkV87R1XDmAfOHE1m3EQ2XK4bKAR0zxyd+5fmVIYXTueVFjMLZ3lf3HK8IMAegk08
5Z8l65/RrJHNct2CO1ol3CnwKW1L6KCXT1E91E/KHwh0yGBvrul+0DqqMopgDz706CdqywwRyFmb
2PE2kQiXAmibW1Lv1RPnmJm4vSrcGEvp3pD6Jwl+lmp5TSyUishM5LRWFW1s2uYZY3v6SA/YWNXz
EREQlR3xz3buC8JEPb0PvJGMhIaEwXJuu4PNIX3vD3V+8F2j2PWNMLoLh6+QfE79nNJ3jzynd3ei
1cm+ZRNHI2paByJUvEOee9ZmmQJ1GN2x3fGW9h/a2fwKzme5C3xnuyxOiJ4XDhxp7yGQN/qyg9mo
fYM6F2nOtEIG+0g5/pCMw3zoTNQsPWO0DlLPgrHqahTWq6tydCgmXTovbt19b+BFi5NivBq0i+VK
dCoq8FoO0Kwv8txAHNk18qtPN9nxYiYJI09QG0NlGK9AerhrwrCeSqvfQPy4HDP7jWbCsEpccZcV
8iE/nqWWJANX0SThndcH1aExXAZ/TXmZNsUNzXrBKNdRe9e0vwb5HhHpt8Epr2iufamTATTePFzE
Zv0sGDEd4DEmTKCYGluVwK+ZhIxF0ngGGUYEK+JNkpUSXId0a+clUlrqyILxIxYGUuQz4nW3Hxtq
471BquM+HAk8L9xl3HowweIZDPgssP6RI7MpUufWDPIbRrz2pif8BNg2g4W2QAW7svtc3rixZdPI
CAmRyhziD+3lQRrMNNNOxXdxX7zpwIP7PY/q2k5TFdVFoi8W9BCrEfHlRtUcj6pqvlbtzHgoUeZa
tMeWfONczt2071z9ItFe7AMwzbWC+trQDsqX+t6oHdRJTaPusGRi0Bu7BUFMedsx+72rK8FUckLf
iP8fmUav3pHQQIzjvGmL9s5LNNqG7D0eOcpKDMMghFq5UYbArrAknxvbvWoElJ+44KaF1leF9BE2
5vxaFvW8MergbQnavSUtpVZUK8wq7cweHgc9QV5vULOrYGJpuW71LREzyAL/Mulac41fELnX0j5B
S3o3giCJ8PguG9Bke3fylxupjW+Ec8eoYUIklk7uzLczRd+qnWbn2KJi0mTyaA1DbGy1J9/imQ5m
5aW7KUy/Gk562zT9U5Cl3bXnl8PWqCQL9LgJzgIOB02zsND5bs6Oke9+uCssiFutZ0Supu++lAcL
NfyW4yOd3vn7cirvtNkEKP4cwX7QIpQM2cAl8BtcIFOXv+VMkEd/dC5EMtLDreZX1RkoA10GMS1f
cdOOT9ABkLPL+WUM/ZsRAGnUTWHGXE/EEZGT7ptXYQxtOdFC2Ew/1zKHuwjp/9fvKmEdS4mfikjS
QqjzKTaoACzezD+/q0pZmkWX+W2E7WSZtyCI2npri+y4KEQMeCd2NBAlIxV9d5OQkuztp372xkPo
qT6LyAHqlo1q7C7e6mFIHzIypKl2tWPBfqua5m2SY/gao5oQW0uCFZzUMH0ap0b+nuDex/ZvAJja
yxKP7BpE2Px1zsL0zcjgGa9lgeRiLeoENCOz1/aaPM7q1XEtyOG69sS3eqb8ztoSCcTEQFdvaKBU
v/ulUbyObuuhumkCeNJWvsDKMenlM5JmLo30KNPVG4+ffTsYZn9niqRl91ZpIrZzamR3TcOQYF0l
zBlB0o3IuxG+VAAR1IRffUlR0AeBltXGGOPiJnF18GC2w5LvMKCo9qCnRL+mxkSswJHj8DodnbS8
gES23KeMs8fI7PrW3DQBZ61N6E6dv5r9qR/WKOCB/smq9v3tFMTNt7hCk7MNlUEDfuprNjY3Hqrb
wM11The0Ep+FrMoeNsJQ3AVox3i7kDnBzTQCzZywtMMro0jxYXu21vgcXHJJwWSZYgJMOJG+YIem
enC8xocMgTWiQ7zm08zgDMYorzJBiW2Koq+uMztXzcrwjjYKjEN6uACzPRGi50yeXldmlnOwb2vw
p1OdF08a5gFmfRQL6PmHJpg3vp2j64qTitFRwBxhvgx9VFJkQA7x3vcSvBS2CYBkBSwc93eRA/3d
l8z90bPYpS82hHzAu/IwK74LH2/wpoyTjoRyNYOBEIbIPlxZstVXCnKJ3eqSuTYQEwqFlFzRnd1V
KHsYmQPGa111dMfnSYVavvLU13EubO8yq3TXRbS1bPvGW4yquEI0FMRAA9xaWhdlgEArQ6eue0Yn
Y94UGyX1rDZGYmeHXNlq+RIGyoAAx+n0yZBN5qzjlNgcWl6ZS7p15wKuKi2sWCOjXSoltNZONFR6
/NzXJtszykf9OKmuKLD6JPTkOjHZsO54Du47O2X2n0CEcxgbpQNBEqIomEnN0opasKkJNzCBMmQ7
Ho3yGV2ktZqrADLB7Bf9I0774Tm1LOPesxb9zCWTcV3gU/k2cnB77eBIvoIsE3c88sARaGyJcT/b
PuNbM8mZnDtIYlfjUjHtssYe8m2LCfgl6ejyruAR9MVKTb5CxGHFmbnOh2XJ+TK84TIbJ83XVcjp
m6Q/lh3tnowSyDCZUmKJrJ74YEOJB3iIiIFLo6GYyhT+xC3bue9tRJvkT8YRDoG3Aqkc58tFXTGr
yF+Z5Eq8Qp7N68y1dIYZqJPGFysOuBFza2l4KVYHkqup0uPkOGnsC2RBQ3HrWzRsNc04xnyU2Vfw
URlzMnCPm3U3DaSgEN4r8WY5SXxNO3aGXTINLl4O+KBfkYnA22GtIAId/ELdNknB6MTP0EXt5FCF
oBZiOl4rRGchMUN+Xl5i7rfHizwdacOOCH8heAbMklbFaOoDRUrwKtye1KK+sb2tZZWm5J1dO8OW
bQKh4Zybaqsapoa72cgXNrCR6ZINcNSD3zf77+WMUUMb/dxdauY8N9Nsxk9LWNpwe3g6ssjiC5t4
4ZtpeaEJPCPoRScEtxSZZiOaeQ4nJoB9KDYCpDEzzNqdb/VkS7lOMZ7cw0+Ly/VgKoj5qmbNrGrl
Iz2bewwXsEUMZtI1X947+yuqgbblCLkZrM5ESRhm7qODSjKNZt+Rd8tkLdktxHGr2xXCi2+U0MBD
nLLIzJW0c/TgZk0tunJwsmL4ocvxKRSZ+6lE/Z6tVdMF2SaFlMoQ0u+mW6h7/Vs4JQz/Zsb34APm
YbnnxJE/x0nKAKBRwrl13djuNwg9kjcMWcGhWtA6ArOEVbcO4f/JlUuiCqCK42a1gspM2o9l9/0X
v/FRcXbCBUyCk6roLztzQhNtlun0Rnw1Wo2UNAux8VtbAmyskxr4mcY/1CxHZpvX4UxcQs++msq2
uw8QSH5r6Ro/qplDDKqlWr4i5TQPFcIwJnlmLYM1cj3SYnp+sxdDp4zE/CHvcB2A1vk829mQRsoq
EeTUEx/jMLcTGnUHbaLYWXKIv9kAdj9MyIsotRxD3Q1BY3yAUx8ZQ9p0qQGWJdMuYAygN3XriK9m
lTRM550xearY+YtVykClifo+MOZVTdBsc8VM0Pu6jOifxmnI0H2JJuHMgATIXUEIQUqU+OEyrfzZ
4tWE8pxGPbQ3VAgzInukQ3IBL4Ga4jOhDnLC2Kbb5ODTKLvNBk6vvZl2vAdEg6a2rk00FW0xkpKg
ADJBgqaUWQ7MUMtXJ4HYlEwmOGSb2DOSgXwPfqKfpZ8HMSSUWV5RDhF7SAOyAv9adUilobxNMbZB
uya6YUAk0DLTAiYcLlE3p9MnOzMSH1Tb0jxM7GM8WMdzDYb/T3Y8TQ+DNzJrzYOqupuGcKLe4MUK
8xUFL8MmjyMUWs6yfEtVmCGlqcx8BNHXyy+F9IJbJwcVuO591DMrhsMKSE84pVCfVFqS/VQgmCs0
mUqrEEUz55kkPurhdDq/tcoGsVv5S/E0qIFzjfYH3ugGGBmGAorwwB2Cly795CHbp/LPUzLpLUZF
SW6oy8ofS3GJH6K7KWhcPMAQt/PItmMMag37WbouR7eMt/BrRbsmkBzqfBLGwSOvC7cH65xIZ234
NMS2gDkHprXGKDE8+HG8suw2f0XfKksQUyWAZQ5JmdzEgV6WzzImq+UgMplc+CgOXoAT5wVOhCDR
65QX5BzRuRweIaHofg39fvCegmB0A+BhS71MkLEY0ElkvbQjUODK7WDZ8ZGCwpu6csrpvhwB5Uc+
BQQIk2oYoP93g+KRpojbOSrsjChr5u7F8RWBnyg75/C6nSRs3gD8gGAeZFvHA69vX8tRLAIYNhR3
tn1plluHf7FbKvo82xqE7WOfI5NdddmUfviZzYtwqshlJfIQaQDi0b5F6Wv0YxKF0i0/UvCfy8ou
ugQ6oF3mF2lSYRpj1MPwvEAVGm9+XcufxDLTW6OUZwaKyRBhBflBJ01Z5rfaR2g4RNIV9SfiKRGg
ZxDdmI41bbklHdf61IrKusrdGQxTO4DAqtqxW9vofOg8hZLM6VDpQ98aLSxsG30EghjTcqLc0NZ7
ngX6j8/8t0Yy/4/G4YW/ZBHevRaZHH4ewjC8/q8xjO//xtzhmFt3PAD8MWz5g73gHQc0uLqxF/Nw
ETdOh/UfYxiHsTp/RAAvOM7Xvkcy/GMMYzu/oU3iCQiha/LfGeH/HRrhT2dGlgTcFcQA7knzm1NU
WnhL7UWNaQd0h9N4RQ7N3+p9//PiJ2NIzytHzbzFiyyj+kLz9rPt9rtfr5Cf27//vPTJwhgaTDR5
WImIdYElN4+NVZgv3plXB5PxY7O+iK1s4rToAdLSt60bXjoZm+F5n/xkEDDPaKpThcBzJN6k0mKd
mHgizrv28W790P9PUckWjNtFRGvnEWHVq5zGM7/Lk6ZC4hqdu+jKY07HMaCYYkEXvKzO/OD2zx/c
UbhGaJ17UdzyBk/85lDN+BHOuysnWhKnFf6sGsy0fl+hYxzF71RDfzVy/7MH8WR+GVJgQqrmlifS
NdZLZWj6g8Z5N905WZ2+3Y9dMMRuFIJIvFeDGRzcin7veXf9NNxVJinKBz2KSFTjS0yug9c6n8+6
56fTRBxrcJNbLk0SLBaIobuq3O5w3rVPVmfZl3VJc05EbcspeLFxvvb98HHexU+WJw4ezVy34fu0
6ve87K6yqrs779Inq5OnJCSnhj0rmTv4BcFmkvFfcJmOn+6frb//3g6/y6l+WPiY9z1pm/TXc2cw
kN+ky22SJf0l2+9fhM39yXN+CsNKnRRGHR1V3IAmolmUntP7ebflZHkubs/ZgiS4yJo8YF7qtSVu
/rxLnyxOpdKO5LRERCERJAc4WMXlaNl/Qd/6kztinyxOjwCYGAuNjpTjXuHV2lfdEJ31ub+nYP/4
dSKoMhm2u5ELFiO17YvCnPbnXfrkxWnRvjBtIxBRZ3jBReIb8ncq0PzzeVc/WZok+SqzBSoc2TEW
6rG/8YR75j05Pvo/3BMb190MOHiODNN+XyaGQ8KwXs772Ccrk+SSWiC2ZYQZ6HkrVBtubIeu6XlX
P3l11gGNgoSeYoQN+i4OOYBk3afzLn3y3iS+femcWbtR1tqfJ+G+Z3GQb8679sm6LN0CGkY2oljo
xCVM1htVqL+Qu/zZ0jlZl9XijUaZTXNELw3E6JDflFP4ftbHPiXTzeDCVGNOblSjCSM6S+2EM76e
d+2TgtY2MZIz3MVKimJkzWjpd1R2592T06Oe7KembQY1H5vZH60hvyTOH0Hlf6oK/JO7fRpCWrna
WsKcu91b1Q0BZczBjeS8Z/v7LOqHVWnljtuGRa+jrhiqS/RR46fRbpLz9u9TaYnXz4ZdtK2OJif4
Vgr3sSrDv3hj/tlNOVmUTOu7uZjGOULvALMQe3Ydp8H6vOfkZFkqIGCORWQf1qyJtp39IOt/HLP/
9pd5siqLWMOyC1vaLIZ97wSg8KC1nvepT1YlOpSl6xMkSsofyaYT2VU6EuVy1sVh5/+0fedJH3uo
R+aI2Jfn2qNvXmXnvRnMk1WJqTwpEYzoqKiNchMqDrJBDX/svA9+8sKMgzaWMU9iFCTocsYUuU+e
q/OW5pHH+ONLzantKig6HhQ1Ggc4189JfmYNcQyr/vHSiYGM3LB4wAuE8PgydXrsw59XyprHVfXD
ss8LUXeGg2aubIdns/Ew4Jrm1Xk3/GRllt2S9q7PltL0cKExXG8WkoLOfAxPVmbX+KbFiEVH3tw+
DEn6PBbemY/hycrMLYyNKfc5cihmMU1l6ikv+/O2K/NkbaJeL2BPVzNgy/qT0N7DkpZnbVZkZfz8
Xeq8wd1Ewh/v+SPIQgUfrjjrq/RPdegu4Q2DlKWO/Mm5qEKMa6Xz6ZynxA9PliVxQoE52oWOpKjR
hgJZS4vlzGufrMqkEC1Ocu5IEyAKKwesSUzlt+d98JN1SSXoBiIsqH2gU+aa8SVa4vrMi5+sy2lQ
wBNACUaOzajDS+rXrp7vz/vgJ+syhT4zdSZ3PLWGa6ewIiGzs+pvPzxZleFoOmUaAJ/LFuNDT+E3
11zOWjg0WH9+utNGwAlzJVgwX5kbpgKghYzs4bxbcrIqlTUDp+D0EAX1/EBmACOyovgL6frxK/uf
R/qjoeqnLbb/T86urcdOm2v/IiRzsDG3sNlznmQmk0nz3qAmbTgYsAEDxr/+e3b1XWTcpCNZlXpR
pY638bKX13oO/XChqeNqADJ1OhvK9ptoALPCa+auynZK9NzxCltcA8lQ1gCznI5gfM9893dzd4Iz
FV0Qq26y4Lsa8rUPNeBC6LXd+M3dCc+OmRDdHGpKKymEArpnODH4jezEJhqKK7xTKKrKgT63O7QH
YTLhV21LQZt480GXuYeslsWiQP/taTza0zCP77wdLr/8V3vFCU0YQm+sJdNRErQ2QaUuid6/7cNw
Ctv25Lc0TogmLYAeBwBUpZmgU0jrM8TlPfeiE6IMmLS1DjD7OlJjHqj1846Kit+0nQitTVTD91Qe
Zboq4P+ENflGg7+9Br8I6f+cBcEgHNgMCeiljPVrN+//m5TXwye9iO3/PHKV9k20AY9Vxnv/F5xW
/8Zbtsv9Zu0EZwPYyQwbdlOSQX6VUfWRNN/8RnYCEzxgQ0CbxNXW6Y9LN35poHflN7QTmT2Z4TJq
cV4t9QLZ22yhp2P2q4mBxvx2tWNg+I9uR2Ta9vgEuMMnonnpN28nMtNm4luqggMuLsN1MrJPS6L8
DqvUjchBMY4TJSonHSDDqtgOgWvfeTsxuekgqOiGmJym6JZU5CU7/FLwNHVCsoGrdzZTqAFTu31B
0nzLdOK3S1wqj+wJAMkE+nt2SD91EHe1EsZmXl+SOSEJR/IDonwMYMPArHnC0jlvm+Sz3+BOTNa2
S4A2V+B9KXNnOHmy2epVuE+ZG5TtrFqSYAeCgPMSTIso63WjnovihGUn6ylRJoKys2wf4DZyDTW/
Z78lcYKSad5KMmDocIz+aBPziScgMviN7URlC64xwFIIHYiKQuQD9ccU/nB+YzthuZElZhDkw+Oh
Pb73yn4FZXvyu4RdfhccGtrFCNSpQTUCNhGSUgcePn7zdsKyJ2EyRpUE7QiiXGO1Xau4eeekuuzi
X6Qn1LknYeM+WgVJtBK6wPG3doO61hxeQ+8QHO+koPBn9Asj6sRoNB8Qm5KodELX9+seradeV395
LY/LzKx0JIi12I6AWRbMJJ8t43/4De1EaEoAN04TLA84zM8CWMRAZp5DO/FZs3UDTRzVQlDCPtQs
O/Xj5Dm0E59dAsrWAhcGFPTUXkgKqlEsvcpiKXXiEwJIy9II8ImgKQhsXn8YsIiC451s+TLDX21H
J0KhKL3xPp1xIgaH/tqZGQxWyD29s9l/N7pzc5qDQySixoNzZOF3KIJD9Gtjf/rtFCdGkwE28/qS
KatheFrN0OX7nPmdWy4SyED3w7AM7UzUOaHzKaC6Qejod+AmTmAuOuiIxIFYplv6EEGHsY5jv/st
ca7OuI9gIzdiTfa+uj82pvJ5ES9e6+2SS/ee2X3NGiS0/aeRT38OsGj1G9kJTNz3C4TAoLsMPW1+
BeeN7q6C/tM7a3IZ5Rc7PHFiE75MI4kVllvDvkKeQBw3H3pq9TNkGJrm5PUTLuIBP79ROqh2LhvF
T6CQ8FYH/xIqfuU3tLPPGxXPOMgbrM4R/hlAJL87Ir+ySuIcLQeEY1LN0YytpnCE4pH8Dg9IvyMx
cQ4WKKgOPUgGpoyIvupCfo7i9wp7v/uizmKPDSWhlbj5OWTobigFWL4xsPgJKr9D8WK7/PPXXOUM
Y3mgaUtQNT81UfDZHvwvv6/pXP+wgDFh0oxoWY0rvUnirS5gjGs894pztKykSmqwxcB5b0Czbi+o
dDv6te5TF8aUQAYBRip4XpFGXXTlxs816d4J0ksw/iJIY+faXy6caZg4Yie22dPez1eVYX5NK+CI
335NE9SjPMCeuFAAhxweUt8hbd/6Jf2xe7p0IG5xionD7qUpatOdh8UTwpi6SCa9rjKs4dlbVuBi
gsOjr6ZlSPyuoX+BmIJMb7A8xt2s961YhgEnQBz4bUQXDwRtXi3Bi0KzmhzX9TiUw7x99IogFw8E
Tsp0gDOIZjWcmqdsvd1E9+o3tHN9MviTtu12oW4HugG3GkKXNmr8iu+Rs8W1iHcTo2VdzhWoWXp5
BBXW77yKnB0OIU7ajyNWe2LdtxCJCrD/T35L4uxvIOkgljhh1qqp4FEFviIPbvyGdm6fELxqKdMd
VPUDaOhjvQPCwXNBnMuHsc1AAz/E3k7suVrEI8iIfilt5Fw+slralR+jhQczmKCohNxBF9lz2s69
E8wSoMiWHqgrb8Vgqk9LIz95LbaLBKqGJUwIRB7LCsDZa6hpNDd83f0OwX+YGz91wOURpPpiaQ2m
Y3Cljux6CurSb95OSE5KmgxWBeieJEY9Qu0juukn43eUuGCgxsZdmADkWq4H5PyX4WjycZR+8e6i
gfCACCCjzpHmT+EDrH7vKjl7LooTlKZBt3eaoTLCwVLOgZ//AQVNv2vhH2mkn74l72LW6Ql7UO30
UbfLXQZAw39/y+iyj39xy4dOWMaEQ6hEoWxImahh0rT2GrYUYZvdkiRZPm0Q1HxIreFPQQga9NHv
DyFf7Zcmifa7aa1BRKU9Y9EZWobJemW2UT1Aqmr5EBMGB+5Zk+oGxfHm6dhJIL2QramL1ZFaLyaE
QTcMweIvSVTdQeX/+r/X4zdJj4vViaqNwbhebmUX9q/RDF1Yof2YFeCqvU16jkZBExI666XNvqmJ
PWnr+Q50YTp7iP4uXM5VeQxh2R77KYJ8id+COPdYb6A5A39sVaajuFcTXHAU87vaXZBOsLXg2hpU
fvcAvkbR1EI1Jd39DldXEKlJNfbbYlVZgSwNVjTvc5Bm/Ag4KXGipm32GgqgWJWJDMPZVvWJQJrs
nUTtkn38IiSJc51FfUXCasDXNEBwP2dy+8IhPAsa5RmiC5lf49EF7ECzfJKALqrSglJLyr3S2SMK
iDP1PA+dH5Glu1C2QT+W7dV9T7fbOgvfGfqy9X6xPqFzJQPloSYIpCL8odz/OgdIWfJl4jBui0as
ms++B4vtbbBWcN4dlwjmhUrp47Tt8OnK6OGHNgSx7e3oMusWuLPNqlwqmAnCkvZK9u2L38zdY8Ye
NAQHVKHZHlwJEp3Hbvqf39BOvmy3PYRtzIJNk4Hbvi63waS86h5Q7327IkNQt+EEiErZQRS6z9M5
S+AeB1it38yd67maaSAx8QRAwzSBvWqjCxBxY68EFEzIt5Of2prpgQHTHUOtMeoMaPnQCPKbuXPU
WNCS+wWV1dKS+T5sZp5bknh+TydID1gp8pELMJXE2sHcCdacvaGegzthmkDk59DzCMtkCrkDuAc/
zFR6vVOYCz6qU/j6QXaHlvtsv8PB6iZtudfF8Y+w6M+Fpgl6b0JwCxZUECx5vy8X3z+4sXh9Te4E
ZwoK+dwuGL2NRBkc3S3cuN65Nn6dusD65u0mlG1l0w5i7iCF8i8NY/fc+BFlGXeCM4TggEkq8E2b
DCz8ps7+rlJkGn5L4oRmBzZbyOH9gvMKogw6fdhiz7jkTlzOVbiIGB4AZTxHAdyGh6JJYRvoN28n
MJN+gtXjpiCGb2HfTNro054c74lX/u5jOpEJKXoDWEaHwZV6Xbfwix03r4wOMNS3+2Sbok7tCiAy
u7cvEwuhu+DX6wBd/O3Qbcs2EkNLG7qSQwtpz+ScUFgDea23izlKYIIWDQu4W+AQ2yJexOcIgh1+
HzN14pJaKBxBkwGbEG7pfCRnGxC//Z06cbnjcqAUZmOlQRnrRsPSB8jUJvI7ZVMnNPExIYxTY+Km
2l5RI/+iZvbZb8GdwGwgVxdBzBBDQ2AJgg5z0c6p333s6h1zDj/zI+kZtDLUHeTw7/op9VxvJy73
g8M9u9tBYE/Dutxm8aT7KPTchE5c1gLKdJCeo6WwwV2bwv9RJcTrWcv+BTyCtnJvVkyccCtOBLXr
Q0Ky3utjutAjKP0PiW0NLQ+zQs5sfKSD/Og3tJPM6pWyoW43Wga7vK8sfExSPwAzlL7fHihNAPE/
CwxzCUmT6upyoEAY1Q9DxlzkEfR6+qVJsCR0n1/hSHoFx+UnvyVxopKpFV5c8U5L0HPGXAeF2WAU
5Te2E5bpSiIBRUPc8weAukNHXuHKqf7wG9y5Mat9gQd3im85m97A3bMn+ay03wZnTmTCdHPcjADp
Ppj4w3BkL7unEgFzkUcEBDw5QPatHFYJ9eD2I9zA/ZJ75tyXQZuSACjri1SAgtk2hK0z0E1lc+u1
4i74qK6bVXeXLX4k+kwN6cugDv0IiswFHJkghE/agbknwWukocCcBatfD4+5iKMQAPpW9ygYHFXy
pxEoL29D5oehZ9S5NCnXZM8uW2UNdvvStpRdEQIHI781d8MzwjrTAAoNYWge46R/sH4NFLDH3x5Y
oQEeA0HESqgy3dpjv6608svbXNDRAuP0BUJrF+e96GGL6hK4NM/1cAKToMvW8kvtByI88hqK6e15
NpPfu4Q6V6Y0EZyWbcPKPoJ/4Nq9iKP3XBInNId6bMNUt8jvKbylBGSnOlEvfjemCzgKL8THakSK
kra2vcqW+uaY59RvxV3A0SZTE0QKKz7CvwHWjKb9drRB5pdduZgjaHvjGE8g+qJUkxY0XoaP6L1V
fh/URR0pGZqmJlj1sIM8ZYVy5YdVSPrNKzYTJzYvLjQ7xPeQGao4KhZYN+fJsfjVDVzgUXUYqPGv
GFzI6ruBGGc+7NZzvzhXp4rQp2prPNkiuZt8J2IErZC+92q7/Px/Fz2Zi90xSZCijYIDEWrwzYNt
uxpk3yGO4SHHNuWXySVOqE4qgdd1C8apqJrHZppzTRav1htz8TusEwMui8spMENzd5jrrdjZYUuv
TeMKEUWRRO0avqYA2SA9FNXUF6uxiV8G4OoQqRGD65Ah6Z/pbavZixnTr34TdxJcAcviY6ZYlnhj
yWPDBvWqxd588hvduUU70KyyXmBLxpx+3UZ7BbdRv3qti+Dpgh5JywiZMHhHyqJvI2SLSnoWPV0I
T2oU7ARjLAvIs6aA5/0KqUvrueZOoM6y37QBJ7xcq5WeVASZ7ITbxu90dDE8wTxGaRugvNJ09B55
zDWDC4Xf53TCs9/bYI9hOVDSS1UlbMSCzn7o2fGInct0hxP6kinUVBlL8jaxUQ6uYeX3aHHBR0lv
KzHWSESzOqlPVRT+2Uu/PiIs0t7mXJ1hjWUGb/Lq2O5CaLNVx3vExUva9otTN3LCswno+v9bBZrh
Zot/kG179vqYLvaoN1kdVBFmLRik5tOm/T7yjnkut3OJTnWsNtrH2Cna3mQtoJhhIn/898R/cxNd
XBt/LpDT4BgGQJqhoWSa5lXZsbrH7dSe5bb56ZPAZvHtX2EiPPf5iLVZEpDnI5Hq22zWs1/WePEb
+/kH8MywFjK/WPm1ehSQfTOM++UXLhKpmUQUBxZDc5KC98a/dcPmF/z/ADh+AoGEKWBwbYo1oQt5
2FDoSysliv/+pL/Z5i4SiSRwP19TdCWC5RC3u7H8TKEX63c5u1CkBkocDQRCadkH/NWMKIRkBLrW
flN3InSs6UBB3UFDpT/6GxkBRYq3zOK3VVw0UtZVyRBdjpasjf+8aK2DwhhNnoM7QbonDYfaMQZv
uD61Or7j4j1o2W9i1BUmUu1a15BmTcpawPIrH5No+W7GAJLVsdawt/RbeydMD1NNVbTgb9nrrruf
x2ArErjReW4bJ0yl7Oapi7ApDaydinVj+6mO6DuZ7u8WyLlKIawuyDDjgNyDbXw+mu9px+C8xJJ3
xv9dRDmXaZ8qlOWry+Tr9RODGxNMZP3SFxf9BDX5YKjhCQIt0mjO5RTBLTVb/D6pi3+a6xDeQ2FN
S63Gh0xa2LryJ6/d4sKfAJcelGGYdzt2MQAbespRB/QrLboIqEkC6niMqOXCNIyUw0hux8D6gcJw
Ur29MLpw0nqX+JirlA86HD+wPvOjejIXBEXgiBbIJIAcXNY+Qsz+OvUTmmMuAsr2UDHX5HKo8+R5
pcMDH1PhuU2c2IxCOJUlCcrEplFp3q3TF3PAscZvozixCS8JOGZ1WJJtPz7BihaGXcqzaOnCnijc
D6YjwMQXY2GQOXwKpPDa39RFDIUhHAbojtMwhf8WsLH2HEBG0OuGpi5gKE6qsd7gT1zCAgimwyQo
V7VYrwWnrlZR2EyGVyN2ylw1T9uwflBN+NnnW0In/G3o4OWcSArz+BJghOeDkKXsQLY5/ffgvz7E
qYsZEmIAHAGAFRSJoy8VPB3BhbsaZut1P/+jbf5zngh0drPNMwRCWaMPaC6M+lnFu/BKFeF88XZl
9DRtqtL4ohq+3KetzgDYaqLBq9xCXcWigJFRkMvSDGJ6pnF8w4hfwwIO5m8nHozLPokKISQEzPe6
hn6sN1iv/fcn/fW9SS/y9D+veVYjgW53vJ63qb/txv7VNn7gNVhQvx0aZiZJJDJ8znXI4PRjdwVL
i80v+F29ohHuIHM4I5dTewCPK3l3jLHfp3QhQyyQeM2BQlXG0o55vMDOoqPH317r7YKG+q4CvDrG
vKNMPNTTH2MSf/Ib2bk0BSOb7S5vON7qUyqpBcxx90PEw2Dg7bckPA7SEHWKUoXBwzC+mkS9+E3b
CUucsTCvTWOMnLFv3Zz+vdv0m9/Q0dtJwzYn2WcIkpagecEzR+it3DwlymA5+3bwnsdrXMvkkoun
z+hCnZd29pPth5nu27HXbWONhBMqPGxHAmyPgHuUsl4AFupihpps2wwsbvBUoaRIRv1hXJnfAe4i
hnTUznV0hElpmQW2XM9PCxzkvD6mCxgiTTPHPMZ6t7o7YDoVw9dSDn63vQsZSvgqRt1ebh4xzU+d
iPsXfujKd3gnNINNhLpSWJduiItWRA9D5leIp65U0bzVsMcE9gHnySHhfAZLgzu+Azbodz+4uKEl
CyAFl5CkPOz+mCzNKWu43znr6hWFc2IFj2e05NZA5tI235v4ePXbLU50WpqhnxpjxYeoedwII3c8
lMxzKzrhuU3w2IQ7INIglj7qgH+C+HjpNW8XNUT7KiLzCmDzpsVGcl1P602Xmu49+tFvrntXtIiy
o4YNG6Bf6bK99tHQoAM9eO4VFzxkGaDTQwM0oqk4DMbqx2r3k22jLnQIwq/BmEzoDatpi27ZWpEi
TIbjnfC/xOG/q86UOfGpAyb0rmbgBKMmKbJOxX/D61G2eaabxvPLOjdos84QdIInCPj0O4cL7Z5v
QSrf+QG/+6zOJUqaw+KtCRQE6afkQQbQJAZhxo/uCQTi2+sItp7QGVmxPCif3R0i/pZNw+g5cydQ
l5B1bbugAzrBg7Mggt/MndxOftHkBCpB/3PIeiS3x8JOW1N1RSLY5ncyujgiCjsN3pALw0GEcLLs
lhZ8qrXe/U5HF0k0LMs2TNEEy4e1PZN6+GStHxWJukAitYXBDjUdtBIrLvK6HSQMsP30VakLJBJD
X8NHF53EIDt0wXu7nGCS7flFqROpzBAD91EYYbC0LrI5+0CYX8Oc/gtJNKE8LESIchmDGS025l+w
9vXahy6SaJh2Ieod8JChg5+q7TtR9nXg1wCl1AnPA0aYmeEpTpZkb/KYtHeBht2n39Sd+Bx7kR51
SFg5Qmj6MRnrtZxZPftFP3UCNIyWNaYmxOiRnnPSbo9ymp+9Zu7CiexoOgUlZQaU3GFuU6t53pp2
9ssBXDzRRBu4lA+XFH3+HnXZHz338x6hLpZogul1PU0XVPJR/dmzZkHprPETo6IulAhvT3h5yx41
s9oCKJu2x3wfMJN99ltzJzwzOKTCRZoy0BsBZiGaXkMVSPltRRdLpBj83cZqurQQ4isIlpbruwzQ
39yfrghQpfjYo2uGR+hKqwc76G88roTfq8hFEmkkFyJckYvGK7wqiVx/LFJbL/QD/ReCaFtqXc0C
RZY1a0t4T3dAb2R+yi7UBRGJyYg54xh9HJaTgKdkvktPejb9F4ZIN/LAPyg92VDnXRh/jZvNCy1D
XQQRrN1FxlY86JQmd2KK/uS18FtxVwIohCVQRi91xLCqPl6GZnQ/e4WPqwCU1dlI9ISTXJvsxFX3
UCfKr/rpwof6eGQB3Tme5hXchmGYXGQ9mfyOcRc9JJdhnewEns0ouo/VOD3s773jLgfHLzJzV/2n
rpeM2c4iM29jUsKejn5blwDVHNvs2Yvfqrv3p6xIEOCJVQLycFMtschb1EH9xnauz4DsMPIeGnzR
RuinXtjwCnCo8Z38lv9mdZzrcxwmGlcjHud9Zbr7Uc3VC503ACxBtAj6HJ7g6X2fJuEPo1jsWZxy
kUV6qLZu2mo8rZfh3l5qMBVUzt454y+14V98bxdaNLMYHm0trlWQh8nLMNMhKruMz+CEGuiyldNu
aJCPs11kUVVpAsHDOFj8NoILPpLHkC0tD2KoBddpAW/U10nT+J1vlfzmlzmNGdKCUrwN+FYqYl/k
rEURhpWf9DN1xY/ide6TrK7i0iy7yG2aRLD6XVO/8HYBSGisB+1xYBPTjnxIlI2u2TElfgeTCz2C
OrOpMo2pwwD9ZlPAe1ah38Xr4o6MGZMxCLtLxwcFJmzX/Ql44f4dQYffBJ8LPQKjnmeqW3hpQGwY
y5aH/DMREi3fTcPlPMeVSaZzOvYwYjbrwGe/q83FJZFFGnhFooSTrQmFWUgSZPdVOC7Eb6P+C5uE
fiSMPBAFrNtUPqpwz4NQ+J2HLjTJZouGpXiflrEaopctWbsP7TZ3nd9OdT3T4pbUImixmVLWFEvN
bb6o0LNV5mKTIqWjva6xMP2+d6ejiW9V3XhWE1ylJMaCrOcHBg+zbjqTYPhT28MPN0RddBLeWMG8
BZeDreHVVT++LrEc/dIhVytpA6xENQeugypbnqQYhg+hIKEXBg8yGjhMf8LgLZfDva172JgSuMTv
jP/vwsP576v5N6lF6FzNRoZHL0gGfF8zrd9gRNSRHIn5FJ+06o9P//2X/ObUd6VTFqEaQQKsjgjM
KxJonYdj+Ow1totLIgtoRMeGY5mwWRRDC2Dy2FPP3e4CkxgZMmkWHJ6MxnUuoSB5nqOhe2fxf7Mu
LjbJxEPLNCyskLns36JK3EMl3e/8cqWCoCgVBxzyCeVmwgLqy4+yTvwe/a5QUBqi5yxjrIm1BMXh
to4gRbT4UZSoC5XRySJT2aO21dt4zzle5uHh59abuFgZaQkZSAesTKCXF+gZfpBp0L6Ts/36WyYu
VGaAW/w8rcOlPCwCcEF52VbrewWLf86of2eEEJ1+ewTYVuuu3RKgH4aZD9drTfY0D7ImSK6Gfuk/
jqQajlxmOEEL3rTp5wAI0u0UUigh5NMgmvW0AgR3+f/hoHTeVRW9p2EQhv9civ+eHXVhcHXGLak3
tDzAQeLVfb2wRect76IgX/Vap3k7D+y5rVfRFCGTVF6PMjZSXUWbXjebq8NCDRfAqO4I8d8MWB1d
EjY37ZoeP452TLMc6Glxqutsvdmkjo5zQwOhT+oYgUY+YHG/QmZ9hVwc3YMRGjtrm+YVU8OrtB3j
Zba3Zjh1dqtEEa1j9Y1uhxpPrRD7Z0OUqB8AP0zXvOJTMxXHsa3P+7HZ9EckhqqBAFYn5ttRDvuH
A7Z+yWPXCM7uIcZl63tLYcpwJ4KxqWFja+fxFd3HdL879k7KId9Dqiub83lWBkboBIaAqdEDZCNh
AMXNGdbaVgAfK0MACOO+0tewaRXtldxRAPuyHNGRXR0H76NiXuaq/gwfx+njIPHw+2A57ftcxGxs
bzOSdORx7OYwLjKFavZ9IJth/0jnaTRx3kAWh+IAC2WGomgPt9ah6EUfb/frnJn2f3sYheqmPgRb
Q5DI2Nw+BTFcdu6byK5QXQpXksqnNVlrhbZtCJh2Hq37Fj7NKxmXG2T0Nc8HI/kCx5/+sGe4y8J0
+0Tnql/KpKkl/Z8eg31K87lbo/44LSRdOIfiuVh2OB6sg8i+72qqwh9wWpinlzgF8ule9XQfPwRJ
GmR38x5kw4eV2w0fgG+iWnO4Nm8jLUDXP+xlkmjjDUUKVkPzsnUrlR/qjvIuKZIJllsqH3Qo9T28
BBh/FdGMxtO6CFs11x3BKoMj0tZn3thKqpwB5fVcrzTcP+hhQBEiHZutK/ZhH5e/MrlX81rqaYS2
fzxPyx2QzlzHyK4pZwR0Z7N9GqsOfQWINPXhS181cXRSsuaneVGkOwV2CPHVUWuCS9+YyKYgdu8s
2jODfpzSaHqstzaBJGI9ZF+rhKv6lvF0xktvqerZ4gcFXY+335TIgvHhsjjqSmIVwlMc7vNy0oK2
X4iVcrmKsyG4RUVyDlCmbQZSHrNKPobTEN5ovsVTMQ6yi/LwGNb0LONa8DxLYCed86mHR2aW0Erm
29ajNt3D3uHr0I77kfOa12E+BOhXiYXMVxwmGWdIyKVfQf1Gz1bNVhZjo9v+lFT7fOQhH9TVrPb4
j31mB80XqpQAULnl+wlex/V6pWgS/9XqLYATasc+pXMmJVyhO1ud0PKv5bWcFLo022zrnGw0e4kP
upzGjO3mvEDupHk0dRacAzg7jDeAFy5fpymsb9u1af6MRIhZCQG5wqLf2R7f6Kxq5bMKYOFVNCE0
dU62H6YsD9WQzU/TwcVTL8GTz+e9Cj+aSvDmtHSE8BPreQfntkHeyMyqp0oFeKwdNKi2kx6X536Z
2PWRwmHrZOJ0n8/BMB7qrOfw2Etkz1TkkNpY/57rMSYPpBGyyYFAmbq7eljRQ5MgiO03YydkMVdB
P17HthqXEnfusTwAFXwz8n3+O7Q1Vmeou9MSbHWNc2aKb4QM9evYJPjj6FhMuujQJ3pqwMbneUQO
+tFsUypu4b9EgQWou4We48TwT2IKxXqXLApUoEaqXZzX1bbBvey7dbmG34y5G3vYJedcQZWp2Oo4
2j9GcQeNw3iy/XmYD2Pg/EwO+1mN3Fyl6JHct0nTjacwBsGYJihq3GeW9aQw7JBgS0qx3PdsZ+OP
ee/H9FzTNTV5Jvgc5YEcW/M0ZQ16IXVsB/w7AWMZHUDBwzLcaSVOxzBuQASZrLXPkjZ7fIKMMJh1
ZJ3tc4KOQgCLiUyJr2umIZUNR7wtPrVjsz9UQPeiwc216cv9iOKj4C2koHKxMrFetX0Pb9ucxluf
x2B634VxE5+3oZtfswNehvsx8/l6EkD03s7Hccwf92FUFXpOAPmyJyWPbn3AXVTRh0Vnx+cjU2F7
DiyI11cdD6C5UIgphi0aTGrYjzplC/jjGYkr0AFbkd32K8T5bkao8wqRd/UUq9OqoYL1oLc2a2EL
FZLuDjtqemh424LWvg81uq+w6imPqQn3p/HikvYhpp2Mi1Wo8H9JCuU5lPOGGhLzF92Uz1ylU9Pf
xTVP6QkymKRqobqhw1ObcFJqWf/oVKBfUbC3J5BRsNGbLJuKIIWWHZ4HSfrUo2f1hS1y+57Z3kx5
2K1pVlRZRW9UGyto8O/mIVnI+tx2CWeFnCEJqEQX3y3bto15ssvhDhWbutCg0RWh6slNsozZnZFW
k9POGZwMOf5Q91UtjfpfAv7uRyFVY7o8qRSTp0Ri3z8DILYk13NsyZibdCHNuetF1hXd3m/0NEUr
+xpWGUNlPdDGFojqJMhltE7hK4JqrU4mE8F0X/e2gYReZ+VZLFWbXAFm1akcW2+565MFiujEht1N
E8NAuAj4mkw5pPfSa9l0VheQopibay6y9AEuctOayzbozRVtuja5jdstVGsxm/nQez6TY4k/KNGk
SbGPMCw6ZaKvn/pJsemkFtK+1NG89Dmp9lgXS9frfFxhB5bPjIn9MeiydC3aJRM3cuyH4c6kqe2v
dCqC5TmKQrsWgOOg3RfXSEFqfrTxmXMVyOu261JUftZkyKHz89cQbuN4nintllNG6/BWGNm1Vxz+
NVMpd9KeesaXIk42pFOLoPLLBnfjLdcL7oD8CPuvPZ+zuxaM8BxauB87McHIto27CCc9KDTi1JiQ
L+cIGUduEIxVHh8hLumN8O7R9M2Qt0TsBF7g27UWeEOke5jmsQzjHH+TPM1Z9cGs7R+Hgm1wbGh8
bdqNowqjGHrescY9tiYd1D0DA1z6kybrQG+rtaF1sRm1rA/aztVWsKWGoZKamoCdYzWBXlqD4het
OZKYer8JyZhORa+HTuQmskacFWd6eoy3Zl0LrYe4vpZWQFPYtFmT3uoU+Ug+TWpbfxxRT7M8sT2s
/TYk4ftpqXben6apjkjRhsgdoL9uyPyFN1WwnKaQV+tJ1jDqxITM8oI6mWoLC/HpeyT14OzHtNr+
2lcOfRqZVKQtdoHddMfSKXtERdZWVwFFcnXVy4UeL9k89xR7OdpJMdb6/zj7suW6cSzbX+nId1Zj
IAjwRlc9kDyzpKPRlvOFIcsSOE/gAPLr7zqu7G7r2GF1KqIiKxySCBLjxt5rmMvrNhn5YyMahjUy
OzUiFD922lBBgrZEXZzVaWQMJN423IEKwZrHvkt38IIs/IgrovWtBveJXJW+WGSAcEBvy4o6DD1Q
sv5KMVwyomSaYj9sCp9+HqRjc+TeUi+vts4Al82gShG3hr5IS35VAKGQhHlqwLsZrcmPI+tRBk1c
iDgE3gKo3lb4SV4c2kTRe+TmRxli36w2klF1zOxM+ijzmtTcLrSbbvHe5CtXMUQRa4gepDuywAsl
gEitGp+XcVZsBTdv5Ols2U9zlMnUyE8gF3vd1sPo5zLsJPX116Hs4Yy6pKjSBtpW/r1Qtc0g6px4
ZOXAFDcNZ6cn1VpXUNeNhq4f5gM0poYudHXF2qgYoGQXIugnF6mu7Ijo1xTVoYTO1WcopSgS1M0A
7cm26S2ERWVjn3xWWZoAZDJN1daM2KC3puiremW6HOw4vOvow18+EwnAkTh6VwNvneKIfTy3d/UA
jtFhmRPcVZmd83JnLaD3USfh2RTFli4qoj1z3XChXutu04kp7DcjSyDZ3fdzv6WLh2vglMH9+BPG
nIsDnMTL7qWpcIRuhOcu7VPOQC8KuUe1vZ5FMtMbPjpDsoJMUKyiKiPl2nMlfawZ7a8SjrM/YrQd
BG4LZQ/+AwepOCrcNl4iv6qHYdsYm/FIuVnl7PwEaLsbBKJ8CGG0mXYPqlya5jKH2hsirrGySH0k
fbcmePJVFS8IMMsy4cVDxkQ5XGQVELyPTiHc+nFkJfGO1PaT2s5U8fuRC95gnhXNsR47kW47+PuI
CGE1zcMWev/Vyg5+xUKQH4j/wjmwhXWQ0mUC7G8enAtHenG/dxuUPcKlaIsGK6apl6DNhA8ErwTk
Tu4x6330PwR8nGNK4ti5hi8UwoEsdrCCMNhZ4hWgU2Gc1nwm84TSCcTPAur1AwFfwe3u3b7wMOnA
G7f1l6YesunZhwhl/NznMV2++SNmrnllDAuVnLwaiw5XVF95cTgUjAzBLGvLV6Y9WcSlqT8dhtx0
WVRYnF5B3mlcbnXap09u6XmPFgZep6x8o4kHu3iJFYAq0aTXQ4kzc464g/+PYQKQD5M9xO7U1vM1
hcNlMof+yPOxibAXJBUGdVCQRMlwaaojlhncXvpkZpDlQw3SX0Hm1+QRT/PZhPBBYCQAEkc32BUs
VEJGXLY/jTlI50hCg5pYyghhI4HYuydjgIEDNRaz+0hZxiUijZo6oZsUqT6OdOL6BdtsW0WTj7m0
ToZWqp0SYwO3BeHbzv/iJx0zt0OCDMFtVcumCI3wKo1bhh5gJFxwbH4S+2i8EpTq1AfAq+fLJYbV
Sw9L4vh3rPLSbENHPrZHx3DKohE7TLav63a6gwEqHFubakjcmybNR0SnyBWQl0Fwl64kAbVwC1DT
uIQdQu7xzsyGjIFYyrLYz2aKx01iKEeZa2GvQPZMJJhqbZ8ISAR3atAD6CBOYzoomw68iop6cJuD
nKb0parm2DSBYdAWQwhf55iFFBaH+XoqiMzwlQpa/6a5KhtVb7EIh8eEFLEK+DioLfMW9ZoRieuq
RwopwhnFErPieSqLyx6j0mRB3g7IUgdzX9ZFsGQTx0gMi7iG+zVIb/Pi2oBgeKPJ9O4YMdGya8/v
WXXgKNdxxD443gJdVKIDgLMYGKSHDQ49OF/6fM1aaKqu/Ibx/NlSXQ0r6IoaF/aGCfWxthBgh03T
oa7SOwTkEisKcWQ+7O2uBRyz6pAjDV2FCy7JRZQuvUkOi02Fwf5WJDwAWBok8RT3z37HIUB/OQ+D
zgK4Sk3qwrhzhzuUU/PUBHCV9T6Lwqhv3Dqk/0KoMfaYSDDx1kjqQlSW1SLGJ9hKwAkM6LQk9GBE
f4NHtOJiVI7qsQ9ROqDLoSIHPeGyzfIt8aYShumDqj0eQruCfqIEmafAQmriLqcSWRlYusS4aVqv
VjucN6ATugBL7ZBZrz0Ym+XcRz4HEgwhcdouBVQA2xyEXkaLa4DXEDdq4xo4tqHUbXzoaLXAiZzK
mIW44qnbKWl9GRB/UlXYKJM+ehBF2/V13LFQs1I9xIMCWrpt/OS+1a33OR9kLkJK8vQJ9K/lTsEm
Ai854UDHzcf1gzHh/rU3xumfkgwFjZwpr3ZoZL7mM3dW2Fjzm1xnPUOwZKcyHGJlNkLbnuzKbAaC
2lWYGmGTCxiWZCOMkNYLwgC9hph2o3HODXCfmmJsmXunm+rkTp+Av382eYMwh6ES476ClquTuxLw
epRoKE4p5GsUrg5pjETbVe73xYWZBVllgwMZnxTd0a66LsvVLURxyRRKh2HXjXFqVUOE8rmIo25A
cN9igjkUqTSn6AJhkUUKF5uUEJ1GdiQQqV3lfn3FhJwfJpYPW10oMh96XVfds7EkxmFR9r3eO7Mp
wYIkKuX+GGSg1FxbwnkR+nlbtoErueNc83ZOLnueKBLqvpG7RVkn3pnKQv+7zmOdPpQa7nnXsUpd
hhiVjjYcUq1viGRwYPLNUF4JM3IYkBRxPV9aXKp3vJ3awxwzdwhxd4LKkIhxkPa4kuXXleuqr7Qs
ijTKJSKToBapf8fhLrpHKbyBjNUwdogyx9R+Qo6mQgTtgOiKq01W9wenkx4Ks900fyb1NO1ip1t4
UPhxdtWMdflaUCnbCnkIit0inoulPJQjLnyHsVN+FgwLHWw45xb3fFEVDsShBMZso7JiNEkAGZ00
vpNCN+rgZE66L5q8mMLOza2zZ/EwNOhN2b/ARDDXgRj6RAZ0ced240Jk6sugrB1DxHHxMWUTu3Bj
/2YYEoBHIXinbIRtc7k0PG3YRYEi9wuI9PJGQYDgy6xwudhXCS3ibUcLIjbE9eZhA5uXrg/6dkpv
BeiJN24fJ23QxXL+AtqifGTVVO3znlcrUo3rOUGuRVTPE8eSCFxjpkfUD9wA6BhEa6jWY+esyZXG
/fLIkf+Gd5YBRGA1Inz6lNDF7lqcnTfg0BhnV3oWKdLCi6cb12fLfjRSpMEc+8VeN5vnZpmCfobT
mXXJFMlN70NaIvROmeCEZvqOFTp5pAqTK1VpBeySK4YNvCNBy+sAX2zCvswxFBlsiK5mXbArTy/z
U4wk30MpYnOcG7+nW7+in3wyB/PUvQo93i9FQZFY7rXeZ2LJG6T8RHIQbZLsMDBO0BiYrABHM5Vz
1JtuKgN0v3iIncWOkYfguQsHp0iBFUKO7ZUvEJjDauDIQcPJ0b/1cWk+pv6gjg7PSoNTZ9YmoJi2
WKdmLm4yMtlxvTTczVdJOiPvOhK3/QIXF8JwcnOO7Hzp3FDf6XeUkx7WLvFUPbtimV/UPDYECchZ
tDgSSvVaQQntmyvGDH/qtWMexth3Y+Q9kJpHJjJhd0wjQQ2K3TR8aVlVsmCqOMQMiq7r46j2ZdYF
TIvYIjic7cVgbZqFAvn5e6BguIUSj1NpXErN9CdShE21Hr1WvWBhsa3nLVeVw8srP6P5JV+6MQ+8
hg/H1vP1JbZr+TUvYUb+Duri18UmcS4NAF3n3jQiBSxejmwH7uoccu5/TAdHnIsDFASpDZZXQIxg
ijsjwq2COV8+Vq7lbwtZOm3SdsxOxUOabbMR2xFl08esbtxz2nc7umltYBq8svY0fxo4h6fL4HyI
i+Ce874pr+ckxjG6gtYmVdvUI8ueGVRCP4R7dP3TYP9Q5gdaPUPCG5DKafJuSXzB/OzxI52Oufr2
yfOcIdWSLEBduSZYtHfteOxDMxE719tHo7gEwkeFuaJ1/LWZyi+0U+8B+349y91zyvdQySLmCZ4t
dPzZqCXM5Mcs+Nxzwndq0kJkFtXaxKn+FCXqWHr880OdfU745thfOZQBIGhWwclBTB5HEfTlY88+
obB+mCK8bxMft0KQskv2sqDA4rfUfqyAfU74RukIhJj2RM+UzleYxPUR1YX7IRAaEr5vXxw3G1ty
AYIm1G+yKMMF+hNKaO2HEAnuuVEEd2ckEM1pEg40vqBIVTR8+ejDz5Zlgl18KvMaYMzBXHlzFrLG
fEg+BhHyWa/YBYl3D+Qpt7efkFqEg3ry+WMz5Wxdqh61MoeCOBV3M79O88QNpkUPH9tQzmnfKIt6
/pIkYNk7KOVMrbOTWfIxBSYUHN72ipgI8T3SQLiLIzeL2gWgC7hXf6hfznnfo7axXCDfBeid/2ls
UZNCgu6Dzz5bnaWFMj8y3YCXdGxbyGFVVPRjZ88573v0ljaWCq+NXO56qrI//bx++liPnC3NDvKZ
EMLGWEo+LOHE83mbGrNEH3v6CXf2w46lZgALdAx5x2zwDQzDu4jClOKdE/OEfvkZd+Ke074F8jiQ
7AUXppgGxI6axzBS7YgF7II3qAsjrZXlzbb0qP3LQus/n+3/0y/19b+fbv71X/j3c90gZwBvprN/
/uu+LvG//zr9zf/8ztu/+Nfmpb56Kl/M+S+9+Rs89692o6f+6c0/YLkLlOwNisHz7YuBC+L35+MN
T7/5f/3hf7x8f8r93Lz884/neqj609N0Wld//PWj3bd//nEiKv/nj4//62en9//nHys9N/35r788
mf6ff3DvH8pnihLFKC5N7CT5NL2cfsLcfwAA7Erlcp9zWM1i9CuguhP8Ef2HJ6kQCoUFiiuZwB+Z
Gjc8/BX9h4/CA1eSSk9Qjhf779d6My7/O07/UQ3ldY1rj/nnH6dF979zQzIXz/CgSY7cNNKU4nzl
KPi0gWOPmhFoH4GyfIuM1x71oCBrcTcuzLr9ew5of7UIe1aKVnHVOTcFaMpEJd0CZiZqsgdOUKSP
32MinSGt/rsNTwiisNXKc/qBx5Z+jH2lwybKdij6FSzyXuN9uk2Dow1e8KXB4D13wb4J/Xcg6t/R
mmc9Ch6lxJhBAYVggN4u6blAsbarYh3G3XNijojRgsRrDo2HFaidyEUBidVhOb/+MN/+GtgfB/Ln
dhWuMJhEBHUGT7rngVU6DDNgpGi36lHrj+uN01HAGtXBgz0k1/AtbG5Qktso751I7u32gs5WLqwd
OORXPInhPO/sHoecnmeWh7Vbx4EdO+jhyGZVjON9DZBUJGkswt9/7E+zFk36SjF0MYpd7JzQBlsT
VeoBTZpm/mqQBtnLDLnIZHCuRyIfYFPn35pT0fJvN+ujTd9XYP5SbM1vhxa04lYip5CE9aIzAMEo
+wqYlVnFNt9N+RRxf+9O0nn+fatv4/vv/YtWUXdyBZP+TwOLuqjT5rPOwsJxDTALtC8+z4Uq7TvH
xOkkezNxcU1X2GyYx6nAUJ7G+YezyNOF15m2AjcQBfa2pmvL8qAm1WGa39MFPR1rb5sShHLhEVi+
e9gTT8yeN02NXCJpnqHyAiTkcmUZNpu/J5x26rdTI0D2QfKFnLaBt400yN6gYOJkMEhK12kv49Ag
nbL6/eD88kugdsA43ChRSTtrpLQAvgwjz1DjqOO1g9p6YJfmCUWc5J0Q4VctIVmJk8SVwlXntAWd
+RnDGsc0SEiIfTvs6yLE4nvng36ebchoCIGjymWYB6eD58ehkXWmXIagB4ny5F6K7g4Fv3eaOIPp
/ntkAC/G2oUmFHLAZ53mTHRoiMXIjIZ2gCdydl3A+XQ7dvXdQspIV7AZQUJ/GFGH8/Nt589dyKqB
3LJuREbO9qKHfshcv/Niv+hiBhF8lzOpOPfOodulQ7kGISQLF+QeGUBBJ4Kc270nc/jz8aQETj6F
c9dXvoco7G0f96ShvUnB7uJ2+tr50q51n90TqFBEJBfOipH6xZe190WgvgHEmZd2AWvh7JkKkl+g
YpFu3cyKXes24SAH/toPvAumgifRQgby7fdT/DQaZ4uVM66Yj0mOq8U5vRIiCm7hu6irLfNdYb/J
+KoI2c3MH37fzPeD8ad2wEbyXCqVh/X0tleov4x+bnkeitHbD804rae2tFeqjjMHxTEztqgJIeEe
zMxOXsBttwW5G1IDjtab2ckBsIayyTub4s8nDWI26dNTNKYYoBVvX6psULebAYMNa0eHqAXpa+uP
T3m/HcSuLydnW7Uoyv6+J34xDZGO9DEHCYI//6fd8QSIxPmC6rwrATaCSTJKuPu47v9WPuD7MsSZ
gt1E4dO8n3YUm0KskpA2DyHJA+lnkDandVmr+Pb3n3O+o0CaFWc0tkicnBA9Og+IMkBkgB/F/Glm
7Rz9hMfRMDHzzsecn17nrZze4ocjZYF3CC+rBB8D8d0ISDSJAtbiHRggvKui7IZ3Jsb5IJ23d/r5
D+0lBMyOEZiUUHSXLj0s7Sf6Xsf9sgngLXwJbjpkRM8WhFcDq9kj7Q4W9oVXLUGp0qAGQO33w/Od
w/TjusOXuC6BLh/1XSZwvrz9EpbnQ55VBOsOkK8Lwx1vU8SN/TJKMO0J6cyTMYas0wWVwtJeG4rN
camH5T114/N95vt7UELkabnxnz7XFjMIimoGSsMkG+DWuwCAMGx/0CjvGZDWSP++M2e+n5k/fToC
EWzGPmFAX7/9dCUmLlDKykNXDnbjNmV8Uw62AjeCo+6fjtldbHwRzXmMijNHTYc7bG3z5DqnGsW5
7Gqp2i2XNxTIovu+jd9hb/5iAriup3BM4HoG2c2zOSYWF3cjd8Lrwb3q2VE8X9e+wVEYx9Z7Zxq8
19Zpff0wn1vFawGYCegiLRBehH/zZn9t0/qdTzrN2Z96/IdPOutx4pVTMi2I3CfQYi501ezzNIbp
jHuEt/ftzBIW9PXwJEGAj34/z3+xDbkIOnBzRqyG2P2s5SXNe+FwkOCE5wyB7bz80DH13p7682rC
6cV8QnEZOn3muUogzmDS6xT4HzD6USkry+2Ma18gahKKxlt3mX6oJ73142o/Dsmm8JN3NqafLoII
3Rn0MAnzpS+lOpfh1E7Z2UW5XWi1/iZ796rgxR2pQUYbyuRIu/6eDCwyKQ9YF+9+38k/zaKzts9m
bF+PPsnN2IUdf56AEGcA5Vn1Ht3wO6XzzSw6a+ZsstJmAgAJaYSwneaVlMMWRLWnHimWwGPNHsaX
q3ycT+XlHUfCMQCWN4moGTe//9jTjPnpLSQo2wJ3Df6TQnMuWwCSDYa6h6IFwKX71HFW4JLfgae0
imtUdP9+e6d9QJ0SvMjanHWukjF01azowgRgNWwZG5DXIw9zyhMovr7nZPnLTpaM4et85K5wkXq7
IyTOOBqjMZbt5G+TJt0nYrwxwNhDZO+GZv5l43UNAAnyokljBpaaYsHcvbdHnwdgp9ksXULwXwlJ
gvMADKisaZh62gIIXLnDfW8AmwL2ycijk7du96lC/aG5K1xet2tbQBvgnejlfEZLzrk49TpaB5fn
PNXQJyMkRCf0QlUenfngA6iFbPA7I3uarz/OpFMjGFIfPB0lTymNt109uiC8CeAUQpbuyjyNAOMB
yDCApuM7oeWvGvIxoBhRF4HteRG1KRiIj6cjxLUtvNTjTVbl3VUO9NFtGmfvbAa/aExgq8XoUYpL
43lAn1nHZQq8qNAdyRo5sFDytYFhccn5O/33066LDoSKHA5LpDBdbHtnHQjU36yRHOvC8dE/VvHa
6x7ictUkA2RADoVN10rsPPr3lBQlOyVJFPKwSOwidwIE09thq4x1lr7HvSRfpgusQB1Ak/dvZte+
t4GjX0gku5AqPovOwDooawaUfNjY4osQQ6ib5Fr1/q1H6sc+fk/d8qdT8vRJPzTH3n7SlCd8SXTW
hcAjDcGSt3s7Dne/38fO58X5J511m1VugkTUgnkhAZD2pi6aKrkaY+zUOC/+/oxXSmEaIpBGzvl8
EqadrzWJkWaArXAVJaYln23MprDKizqK6+zveYxKhpmIWz1S6bAZRWLyXFQq4RMDwxNL2QceEFwS
YoIBcNjf9+D5KP27Ec9DXpBiyp+z+gUppZnSqQslhQBp3+Yi4gmEt37fyvk4oRV4/iCQwE3UO8Xl
b+fCgDGCuAK6rlLHcrytpm9uctu9p3r0fXM72/zQjO96qHX4qEScHWsEMM+8yWwbsoKvhyz/ZNLp
qZA9osJiz7PsGiHjmpOiDsD9CmSntpClvGAg+gDg+cAqdLMDXGvo1/61nN4zGqW4BuA7f3xBD0k3
josR0uocGf3zF4yFA/vlMnFAMmrBzwPpmEZioE73OizeDGItLJScyHjwxV5Bpaa+q5HWEkEPbTEe
NEsM/nZQmEx4oQJr6qg0eDifEw168lWa0UrumxmYnxoAN7HcsUXaq2KizuNcEXkAc2vJ/zSmjZPI
6936ONVIiARpE4MWOWdZhuaNGrZgwnTXSs5lA7hgyo4xAST1wQcNEhQg8NQuJuvfyhPv3khHPkhF
ypuJJYAEp8yAKuCNYzoGSVnIZGsmU990BPw4SgHCBRlltJ/IxEbcdxY1H11SgmThQfyetCx+TRG1
P+oC1GdWU3mVSQGAcQ6HXTfPX4Uwi7sz4CFOATRF6RzqZNFtBKu/JOw7l+SrudDa28wMaa7wxKdp
N3HFkeXp/PypAN9xnfqU7SuUsiZgB0mCyopJxkfS+KwH37e6iJkH7KBQzdLtIavDr/M+WxesTw5g
QsZ7kDfHdZED28PazvtMnHzptmKm5ILQyr3xAb2IwJG/8/Ia5GKU0XbTkhgW5Z1aw5Z0Hbdwad1R
48swZnUC/BF4u1unBgL5qwHhqAz7oZ7W4+D2UclTeezGnl33cd4Mq1KUmNMY0ojOzjLc6bhiD6K3
ZkK+O21Aw1DCL3ejqpYDBdgXGEBWouNKsAzB0g+crrVwFyAJWJTzfnKzPlyqIWgVaTcQDZOPXl2Y
1470fDWP3SU1+gTsWqKEzKDB26YMMDWLALbhr8orkT5I8hL82qQC4awtQSme94xMDuRGXe9bU84J
QPGVDvIMgGonhb6kXGRjQuZqftWWLL+m0iE3GK/+CGQTJFz8dvkq4MQJRl4FCRDQudHPbuXVAVDD
e+5Xr3y0M67K6ro+Ja1rpw91BnrbVLssrFrifs7N8lXy1PuSQYDugpqpWcXV6QXTvIGcgdfs0lou
NPS0s2MNewUcsgNJFKjBALHSqtE2ALkycIr8Ad6IBYCF9U6NzoxykHsbJy/+bBQIinp2Hi0473ON
McbJRoN25vcL7+pwWuZmLxuwCfBLzraU87TvTrcJZ4nVocGvirgZGLCaIKOCND6Hy5DU4FMRus7o
ePQQRofGm+l2KpGfLCaEHO1qKch9wdvRAAyNUqTQp5z6OAYth6JAZXAzMkC1Q2avfQbnJlu1oOhc
+pQCNtfF+RHgeP4NgmZkCbmXuPu4+xOisAdk/ekU+nD59B+lhd5NXB6LfgGM9bGJV9NAp4ca06O6
YSqxNTiiQ7WuinTYJgY0KyzMKr+bQLFQAaEtuxvIK0wli4ioIfISCAoWyZeFsSdIaeOSjIgqkA5U
ozD0/X2OROLBZKZ4MLGbRrSFOjAKcEm+77G3tWMKQL7TrgfA554hDuWt09b4u1JjV1hpWwYkp5fg
1q80WJtzAlij9sWLHNODKQTQyHo9zc1q6Q0WEERfEuXZEsxB0YPOzpYx5BQyckDufNJj0UQeoydS
PrRypqxbpRDuQppM4e+nZeMmydYFlLVa/F0CkpFL/D/FwNZzVkQ9IoxiSdejW4UQQfhsZR6RLEVz
oArRov8GTgF042ayhbrvqneblWfB1hq2GYdfo6hB6JrA1YkjnATBWNdTvx1BzvvcTtRGVWUesY9F
Pojc457Meo9MGhgsZHn1VB+6KQDnTSE/9Y0drzIP24KGEWnQLrlt1hSFgq+UTBD99tjRwbzYu5C/
vySQsGjXaYbIAvEEsjKQ8zfPJmufgXi5WUhRbOFRqcsAXgTtsQFoezU6Ge2AsFN3XGOkjXCTI4C6
EDhT07Kshy5ub23eLxhv3hRBPTNyzUA8Cd3Zzb8ui4x34xx/U4ZmAWzNvE+k0sV2gcexC2PJPnE+
VcJ9hAY36BUwWtBKXXu8sitp+FbPS3st8rG9bR3JA1iAYXuFtkUa6tZC8FXqwac70dKuBEHcujel
jyIHtTGcMQBed8HjwvkA2uhnMABZGKshK1Zl1U52D/50tfFHvYktlne8OMOrWzYDOA9zOif3VV+B
j0Fyu3Gc0rnQXhF7m8WU8tBXeeJEs1oUyMGle1m4bI8lpy+Uqp2oA826MSimJRksontVBgD7PZvB
fiaj9Zq9HiH6OoxT/AzCB8jcsSXLZhHiuuBlg3RgmUdT3lylQMBucGeOHGsjJCMilc97XMMAoG5W
fVXhcle64TgnIVyi7Ba2kaQP/C4WKGGAKxN6CD4+Z0VVu3tSVJ17azTnLx1tESM307DCBXlFOu+S
E1hN18PGxGa1yCmE3EPcXkEKIDUoS8AhJcyKpN4VhduZcEJSF56xXnvbzd2wL5JuEgHhaYl1o7JH
UErmYm8SO9PAFa1GBAAGeTf78D9vRyxREbes23Vil2neffJtLvYC1K4AuiYM1FnQZMBJ12IJW6Q/
A0xmkoW9IXlQzUgTo9YDxYQEhnWTBkx8HGp8YNP2D0s3Qdim7NBaaJRXwYFWLttYDzJC7POsCa+e
Tb2MJqxp84id6gmFNBCiSgggRb715xvNnGm7eGV7VThjJkEuJjYNTTzzK4cX0MEAU3PusMXkUxF1
M9xRbKaAgpop9AMC69SXVs4kqgXPHpy8q6egHDO7/a6IWCNLCcIzEV26Za0cTNhpX19lS6v+bKHR
sYG4K9QeiBYATkHaZDLAAlR0iCBB0IqwAB3cr8A2yLxHIxsv4oUDKX8o91z0zNmJpr2zcJr4M5Wi
3xRgl64bzwG7GxqxUMAACfaq9Mr5OqnkiQXugzXbt5eNdLa2AukpsokoN7LJWYjf0qB6gucQwoc8
cLiTBXSMywXEraVZk6p8MCJDKbWdGhLNrZ9dgpoGQq3W+lEz8HBXcQr+RVC2W/hGJ2CJieWLO89X
lTUq23qabxPVgLio0wLooLG+Bq20v4jBaHkuZ7DySIUYHPloexO78UaO9QF6Pu1tneg0mpEJBBfS
zbcl6A8XkOXY9QkBla5UGuJY5RdI3eymCvr7qza/KWN1X8EJ++jH8nPppDqA/sd6EY1B2cEKoGlQ
+XDcfCwf9YJeORRmzDcNzocQe1p8ZXJXbt1lPPplcqdOFPlyHhAfjvlIgqbyyltOEeMGOdZSAGEr
0Df8wr3NWlYEjueQvTvX3UGBFfxYzPYWsjQ3PLafnZlvJln0elsU2HKKfiU43NjxRO095dPCR0BI
OS8D6Nll1zzFYdPHu25xx+u0B4M0yCB84ge5qrqvU1K1nyGn3902CHyPrQFRZTJLcz8szQH+d2UX
1VNzC+4qOIV9v4EZkYzquslfl4Rshrizj00jywKK3KgEtYX7KQFKG8ki9iSH9KUsFwtBIqsbGKOe
kH5yuEwzNm2oxUfU4J6ukzz9xHkN+YB8KKPJOnkQjxCyH6bioEUtjrrIwHgWcPZ2R4TjZk6vNCSZ
+o6tfNCnIx/3zrsW9l8AKVubQ24AvNQ6fYJyDqiBjXwFYQqZyL7Rx3JQey/NV1AMWCO7EXoAyrhD
7Wz6DPFA0fL6YqK82o61P649lZitR1WFc1h1ke9ICCdM2AYip1lCrMewTrzr2YKJl7P2UhZegXJ0
3mZgrJX9xs+RIJmaAgf3iYw5HrgYIRpku3jj2RNFh/avNqtRTSJz15qgBm9mk/N+1qHEpeQZIlxx
MImJhe7/5+5M1iM30iz7KvkC0Id5WDYAHzmTHpw2+MhgEIbJABhmPH0dl1SqDKpK6uyqRXdvMiOl
SDrdHTD8w73ntmJ6JXEviHHnvbvmPIZDAj+mFt19ENSvEgPbZtTTtbpsFcRZzhASDMxEFAc1GMNV
21Bkib6fbwIl09h3mrne5oE7h+6gjwVMLT1lyc8yIgwSMW4aw922NqtsO+M89Wal2mgGaPNpWkI7
qLnBSpW3uc1j00NCnFucqrhrmHq3Wb2Bv6WjN+nzjZF173KhV++T7KkIEhx4ExXVkrUc4vjIm22p
BntvemkRsyWl16uL+VHaQRFCCrlO5+IT7AexRm4vy61FQv1NlvGY3PccowIz80QdagATQEmHFzqN
uXHk2zphsjvSNifpxbiajbycpbmcyUatJas9kCVcTslZ/0WPmc7xYGBoxrGIG2uPzUjNERpm2Xpn
JNTcXxWwB1i1J3PQx6Bp+N0WIyjce8Vo2Nqyzh1BsCx6cOC2XwRwD6mqW9twZRJpggS8PYNU3wGh
1Wux8FwDQe1iLU+ZYlITpc7EL5BrpLKyHE7Dpvc94qdkAOeAnM7kyayrMcMJJ6Z2Z+AqU6E1eM1b
6yYqDfOikJRHjl5+W7rRg4wzL8s3loeFtWubJfiRmsXYxwicm8sxt8StB8HgIXDT4WXAaik3Kc73
+bKBOHTkbxra64RDt9rlQvmPogLQEC11OVvvWdYEt7QdNadyk1vWDQWJNz2KwZQb/JGBGSaZtviP
o5bK5EY0Y+eHaTN72SUsIje9BoOkOzHHU8ORVOEYywI4YbUw9tgY7ydZrwdNtg7vRf0AMDxHwkE4
GkKO4vmKsEZZwLBkGzzVchyGC3ZdpYy0xgp2ReEEu4x6rN/PEPdiJoRgzhonLTY8vBPwdkVwvdj9
dIXA520y8gvAun0M6tvE1aYhuw052Yrvk0rVt8yYxGWjlpKWy5Acg4ONIbLu7flbBrFgGndNcsKB
nhHGkLk1jXjOqbJGDXZ/niRbHnzNKK5rgVLV/pGl7YPKIXaAATPNS1pzgGD8kDiFSjzpO0O/cwhH
i+cUH+PZZOFVe7HGjgMRYKJh0zojTgReN9cZ9LgzM/+SsBO/3cre2Iy+tcqYD/q6zJILKyNOEAOs
pZ5s73VZccsqROeJtdTXaaas8k4p0032eRVNQ7SuXHfXvXDquwZWgLfe8oL182QazXYa89cip9xP
V4NW62pNnpQPbqhhOH+xnOE7IncY8eaq3YrcfmfgoUXTuNhwRJS8hMdwKVq9v+rp6lw/hGKz7dyp
H0IjwdGqQYAIi0zfjdgofnSsJIcwc9bEwwrnq9MZduwU3HgL2+5RXTCgs+4t02gfJ7P91lwwEVSX
3lCXPC0bfrqCGUS/rfX2pWnBPtWjWnZxCmamMI1rEgVSyXHuwhdrkkkY21IvsKW67hKamB9jOnbs
sBR7Qns3XRG6cu5Dt18jnUNWrkOYywajrAx7w9hMo3Q53bHBE64e6RPVIZ+QZ5WAYdA/HMBOtOUm
U26lsbPP4O8VadYypnTF3aJXlra1VS36q8rRjsI0X4FOzN+9tCzi2tQawmwmyxcRFyTNjSfdN1lo
DF1kzVBGseyTl36RAdvQwPBsTO65eAxMssf0cumu06JNGOhYCWpCqIF89PjZN7AX7FO/zBfFkAo/
9GTzMhf6wcOOSQlnD/O0qVOu+GttMZawHbCdo2BtNpNn/+hsa8c496lv6cL2FbQQj5GVcGMPLcS1
IaUF5s6pNwX3yYmaNL3vg2brlMQSbxIBUMoETRetk27d+EvXqW2ppS2sg7Ya55Pt1nbI6KsFuOMn
IHi8bqOn/Wl2ZeO+DwY+OhziHhOQzIksnswR2d6mZYPq47yTW+HJRDsMjnZVFJ2xrYU6TvV4PYID
Y/IWHAetaa4HgOWy1o14GXxgF06/jg2uFM0xUgSkk8UWptKc4pJ589rHfapxSa3SuWpaNbDLHJs3
I5lyjNJU2kcP4ynzhAI5L8OEWYvEWM43oyw4Ff0M9Mvo1Z9lKcr8TjJdfwgSls6R0a1dFuql9lQX
ubicNU+XN4XUF6q8fk4Og98qMwkVZCst9KAT4jB2Ov3SQr/pb5Kk7iTVguAqK9M1LuDK5NuC6UUd
BmshT6IIpsMqXPFUE+kiLzth1pBEi7I1NylmUMCXyZjmu9VcvOVoNOmJ8mnRNgTjrX1oz7P9qRdL
NW26gv5w1Mw8HhiYHsCu9N8T251OJB8nH6WugKPCVajuVgbgFKZjYsRFU7R0D50NIFMZFYr8FT2c
SMtd4Czp92IivSLABL1P1pGpeVL0teXiSTWtA5sRY7P4Bvurbd55cyu3DK9BMtw3vSeSmaJpDXje
AdVr6EZfpsyy6bw0e+4aOqjO44yHdJGiZDS2Iln5EYhCCk3DK+4mSGZE0zAYADghbqmh7G8MxW+t
jozvgiXfxaJ3zs1c0RgZg6XFPEOn/Jj2ZXnKR64s5hJG3UWVPvo2/VlFuoIJWNBz93OpN1NSQG0x
11Z7A6WtRZpuJ2UFjGJySvD1bbns/+V1x6+qTBcBLNpP78u+2zBtPFs1S5WuV5DwAMpwhrvBKZnv
//qFvq60uc4tFAMuqxts4iw+ft6rmHPbB/bI/ou1Qh95udlElZE/FcJ9ommdYjbdPSJI2JV//br/
ydaIvRRmFNZSuqV/TQsTuE1SrWQ1NYJg2ekqLa4rTOV/I6r6qoo4vzsHNSGLX8/hP758jGmvkYdX
8jEK240saURpZbbb1fO3snLHQz+Covvr9/Wf7ql8hKnsSD20hl9WpKKvunbgzqZHNKp9Ixmrnfm1
B4VMJ4LpE/zNhfJVw3TeApkoQj32iYiY/xRINXlWbTZ0HH6X74J0iUrfv84V6bHDsp+WHjKCeu+L
8vlffZs2cmmfCsY2WJx/zZKD44BW01Psz5tqx7cbz72InM69T3r/b/aLf/5EeSnbweXA4jT4U8j2
LNvCHM/dRMXoBrSFjuDEUJTCf3Ot/PlOQFeBNJSLMXAMvr2f7wTJSDroGuQIVpvHrFLiHuaFNAhq
VyKGOXx+iv3NxfInmbHHzQ2A6CzaIZCXXe3Pr+njOFaax91H2hL5sLOx6wWwWcoU1ln6t84oQLR2
+5TZY6tTUxZ01lZ/n+fsG/76C/3Tu7dd1ApnRxgOCPdPYoxRMzrYIFxHTsa7te7gCkaM80NLUUqV
e8i9f/16f7puz6/nsMjFR+Jx1H25M8kN5aKtTSZ7m/K2v4DgFSP3e+p3f/0yfzoAeJnzAvwscA+s
wPtyO0ogNgxZqMcYWZEe5rQerIrlvnG0Ew+KLPIhb//3XtH8+SsNpOVXJoP2yC0/VImtoNSYcTIo
1Potabp/87V9FdihH7TPug80uRzirOC/XEFoldo+9RGyACk7Gm5ybXVV3FBH0sLU6d5cg23aaFsB
DPTX9/m7u/H2t53zFxvll//5/5mr0jzD0P9rW+XDG+vWf9xmP5T68Y83+fGPq6wdfpQ/OzN//Rm/
eS01x/2Fg+vs+EGwdr7TuQd+M1ue/xUqZ/jSyH0x7KAy+N1raXu/cKcHno7OFsfQP3stbfcXbpiz
m88/C6R1Uk3/Ba+l+asu4z+UBI5lmrgCkWYaPHkwOXzFQdjaYCHlH8UOqGW396bsidfctmQkeVkP
I4ltf5ivS7phYCUiT9zToF+sMvG3/pjvRMm/GdQi9k5eCVol69WZgEUOeruxpT9whlUXdrWyKky3
eq0/0L69Tqr8tBs7WhzvYnC1I0xHPR4RYhB0mH8MuXmYAvvRF/VI3zj3G3OonwOxPgZGE0TnP+Sp
U0B2Fue2NIV84OOi9FjHUROyALO899XofoAn1zaJq82blvJ1w5CrjA3buOMNX1u2fM10MJlOoQOx
S9K4c6CPCetcInRBVMq1jnWzWK/WZV33AGqv1MytFDCFioIs/2TwDLGzUFaYOu1z2VSvQV1tpJEc
8b0wes+T4zJ6W0Pw8lVfvDO3D3CV4nkcDcky+fxrodME6NU6u3Kk06xR4QbazdxYtygaClr8+nVa
3GuRzuR79NmHYBqN7aW4WrFLxxxpMsx6/bFikHZrt6DkNFsrIzBLiAo8wgO8/COZWfDWxbuq0iqq
WhsUcjNc27XxVEGK84rplZbgsev45rKCeSBUsPdpPSOw8gZhATuipcwaNhjudbdWGwZDPWuv8lYL
1qd14nMyHb4jn/mWMwx3Q9/cFnrbRTmM/6gImENMuI525mqTSmVcqnnoj6WPmntqt5XnP/c2LXs5
oIQYXe38tAvBFLHDtF886AHepAl0LBJMc529J928XKAbaCBGmHQxLAWPooYUxsM8DdfFvnNRE+fu
CGvX0Kyj6ubykMGNvreh2m8h6qNCcKyZ7edy1XdFHXudsmMK3JmI8EqFcuZX0KoRlF4Hsw3Qb6QF
A7N1qHqnZOHTYYDYbVTP2IGbmY2tLqC928kxVzoIxdnezUmX01pbO61EKenChV+8vg8dwaVZTpoT
ipWLnXlO6DWMFCwqwTw4GHxZtiFf12acYum4W9EaR8Mu7stc3Xo6375o+9vKABKVA+or/kbM93Nd
xf3PlkrXbRMhKQUk2q2fH1Su1GubHVe689mChV7t7Jbc3TtZAUjILv+GOfPlOfX7q/EURojGq7I+
/vnVxgFkiSaSdOedp4luGuxYCeyAhz+bORF/xTUT7wj9IrjMonv+p3P69yfVT3bkn0VTv784hyq1
gHEutb48k2UFEAhHQbqri+Idl0Udu8g/zIXsinXirPn1i4AyFyTlpS/JY1i97V//Cj/XIb/9BthJ
ONLPikb/awYWhDyb7Dsj3RXjeGWb1WUq3EPbVtFil5uaOJm/ebmzbPGnw93n8jd5XiAhQ6xpntuv
f3JQQKvv1Jjw5cKQtcNeuZFYHlVx02N5D9XEtCnogpMNCZqZ6/SY2zDLm3c0SfsSKnPRz/hdsq3T
ywv8Oo8Bi+lquGjz8dGv/S1m573VtMCH2936ofUMZduyjz0UEwbT4lAO1p1cUNqvk3do2MjkU3fQ
0u4iacWG02ij++KH285+DEbhdUaxFjaWcbm0lDH84nYoRrYLLWNQZPWsbKe31gpOVcqpWeiWujAV
Q4dxsj+8Vj3nZ0GNzSNs1wzGnbCR/JSBynaMNHLEBOuj2XJ8+uZjsfgnseqPeEq4yJQPRtBHA+SL
o8yGbd1o+wZZ9G9l7v90lXSVfVd1V3/2X+ETP/Eq/h8iVHC9/deV1P8q0x8qe/tnRAV//7eqyTgT
JWjbGQxwWJyv4T+KJv8Xl+AMulw9MH+HTfx72WR551ILJz1FPt0iXcwfiArD/yVgAgCSyqcdP1dO
/0rZhJb6pzsLTS3BPADHEa57OKAxK/58ZwEfSRRSr2M9aW1anBTXq3016jMqEybniznNWew3iHzp
VMm6bPNdythujtLz29WCEKSd1lvXILX1l2qZUosheeU2Qxd7Y2el1XOdEqZKWB54d70N9Zx/pt5y
wXz0zvNSHTZ1RbDkZL46c9CO8kUofDsoBDScqDMxo46wv3lZOaFeMLJhfrA66bBfJSRvjOd1csaN
v2LzDYkQbi96YSaAkY1yFNul1teHpegKC3iASK+JAYZ5zgMJ+l4NcGGN4CaKj9Tyy3ZX57jKD3Yu
tObScDPAxSMs5Dpc0ZZqsTGvWrb3fIJVwjYAVXyF6kYrIQbb0mnzF7ufm1kgv1Sru/fMwc0f7RoW
bQepAbj8g9Yss79jjW6lV+1QTacyaIJub2s9o9c2mwKiVXuJjItv3dW3LBpcua/8RoctPfbFFoY3
v0spDB65pmxQpbQ9aUrxUHMQh7ZYmj3bTMkpV5IGxSRftcbOWGw/jRvPkuPOtsApnvcWJC5A5Z9d
ipVewXA2QuY7ZX9WU5psXo+tlo1JE+Z9Y+vHEkLpwSe3lvLONNQ76exiilom6hWKukoMehD2ZsbK
emuVbroAitUMQ3XH1LTzEg16asv5YWl0L70lp0MztknK/DP08CJLE1yxIbm4wIpW11g+kfj3jTLx
yZJcb4X2UBRoLC1j0JENJiOsJDlWox9VpubKcNIIF9jzJOShwyO6LbYUft66Ceocz2HWtSz616Vr
p2O6ut01O4FO2+nDbBe7kZ8z76eex+udUbHB2JTAKMc4Sce2jbqRsVSEPdoxosBc5DfXXdw7tgTE
QUCC9Zmq++Y3l+IVMnXhNberRhokUi7yfbREqSuCCXlWeKQgsgJCPM1yBnfaEK/44yGOl4V87H1i
4w66aNJP2O+53EGUnVkEJamtXya5WUCIzWeqY110pbt3/YXPViRVEMRd7Wo3rlajXJryKTMiTYEZ
PzpNKZ7BkEwmKpdK6RtwImcUu11nKCzl1CVbvZq778VK4gJIVq3GCyoq7dZoeCoinkxZApZSD7rt
nGsGxHKjcV+NoIJU3FLe6FHgTlKGqWbhIvX9pAU3nTt8Z16aDXroV0zwz7U/mqwJzLEKV5bHb2Br
u2fg4tpn4ec9xvIcGHase2Y5IYeaJlaUfT+pEGA4+XZtKvN7+o9hiAs/q63Lep7FC5FMnhEihu2n
CB1SlgLQGoI3cgQ8hixSWO2WKCDDDllNqh1r46TeeONQPjp14RlUwJ1kZaeV64V0u/Yt91tiB0KJ
nZpLisALN502OojCEbvk2rJ0g96Oag4SNdJAVAo5A/khgI6sB+y134Q/VsFRo4/Ag1frtcF/2dxr
E4M1MLCnYaxJaU2aqSvhrzpOP4aFl8gqDoIR5vVG+Ujt36ZxArgcpUmvDTBMrVSIj7nllODGWts1
Eh07zRSxIy2Kc0OuWjHbTPGUjghwYB/+1JXCl/sASbd9VoR36gHdnnI2IoGkfOGtQLZfRZH71hI2
c9O3D7hPPNRaY16ej1x7bKv0wP3J6c15gfYRYjuruCqeO2NBo0t5cnZxeKpjxxh5Hec30mFbQ1Ef
uEnzmOSja+/83hDBdWbIvopHk9XSEmaCHJrnakLLc+cnJbxio0coNoRa4pOmPZtG7z15mdmb+/PR
WyWbwdfOWR756PnpR6VxawFcWBcEV0s1am6oIbyxtkIhYSLl1SZOIW9yBfl9qpDA6UgmmgMaQP+N
oDrzZZxMTXsYR2cFmm4M9p2duMOEvqUy3uhbCj9epwZt8zDOowGa3EBhb1SG3m2XKRnMaAIKuoZC
01mtisGZymtCTJZpN7jWYJ8Cf1D+xq5d+qjJntIH1xwI2dKhtoY5O0KfqNlZlCGvgLnc89tZhYVp
pSimoaRckhM9ZWGZa1VKr9RUPE4ak5JdlyjXuCEp22JlI9lqbFNUO0ut07eRiCG1DWa7zQ4F8kOy
t6eRG4y9G3h5cxBzF9voHjx4vKg5qthAWGgdkrIObC4kpTdkpySN8ZKoUvqQTzVH26Utd09UZmWr
dt3C6h59QpGU2ECIQAixgyE7n/Bs19sh0RBGCFkS5soOp7wHkp87sWNnZCbY05zuJiIC0qiVKk33
JEC17cEDFX4iBtWwUTJrlot43h4IJBgb39rBrV4/K39oXRSQynjlOmZkAUrcTGOCgkR6M4zGtIaZ
VyX5MZja5oqR7fKNXJu62JZ8jsX1MvpY1+HSBaIP9UwY3UYIpD6hrmdlcKQP9rdp2xKyamY5C1UI
0QxZ5tSiQHqQhQlwnWAEXd1IjB86Yj9b8LXo4/iQu3mPdKwltBuQOUsx8nQIeGKt1S0bOTSzHeYq
9W7LfPRzpB2BU2zbGaDxUqEpjW2ZyYcxV+4r3a/CCADfbo76fEHQJUBBFOiQGiPZpFh2zHN144pN
QQ1430iFbqmEu8/55qv5fTUT6W9NLbHujLkZLLAd0q83BlWVuxlNts0X1FWzQpS38iCPkXEb9rEN
2jl7K4O264pN7xuJj0wuR3P5bc4nle8Ko06+r7Xm1BH+2vTUG8FiXKAxyeR1Pzbt8L2evenTTgy+
0lGQzAGDudAEUQyug17LbiEh6xQyQZQ7rbPPVO80u65SvRsjqZHMndLKKJEsLoV2FillHvO1mspv
la5b3xipVY3brpxmNJmdbOnJtLaLk6wySTDjM2CphPafeL2FHEWAaUioi2piAVX7bvpmVCPdLr5K
pfapqjWPLDW7eGnMdelvjLLxmntY5r160ITWqR19svoMym49D/Fw9ofZNCz6sZj8rNwSgCy9SGQK
KwbEOheVUNCV+TFDdh0wPJ1RL/UkB9W3K959eL7Qy51nSWpgeWv6ej48ODnVc5aFU4WqnpW0VjWU
AkwgfdXU87Bza94GqoFAs4bM4C7UiWVyimhcU6u7RJSdf6aaAxQ7zXVP7MzFIFlvHVnMhlqLYaZR
Okj0tkzxZ2m5h47O8M/C2z6o+StTySPxyKjPJOukybNyD9bfJqYNFxDBC22Z4LFgrb6WRXFHdZX0
PKutwQiTNPEhu3NluWHbLcRjI4q3X/wCeWCEjcNMokJ3EXMQUIVkrBsaH3S/sPqQWQebUyOttZzi
qtIYMjnOdOWNo7oZZGejlk6M8Y2qZZm3GatKB62J3b56YA5PHlJ8PQI7kd6BYjfnuHYTyBuuUa1d
rPIadazRtH04BkJnRofAYwtRnydxhRQc3VwmvOeMFIqBg8m2zx3/eRQ1WHr+ac322CBYxakQ1jnO
5RnWDaTyrJ4RvpdVYW79VGWfIqBS2A6032N4hqD5e8Px0FOs6MXfGYZNYMiHZAGGk8rloa5qRCjk
0FkfXmkiGNbTScdp6zZogAjoQ+yoM1sew1SV2CeEcNd9Wo0puxJpj+WO4GEj4xlSqOflnBsU6fgX
OnxHKLujQbT2W5/N+g/GtiWSwcwb1CYvc8pUW0MeFpa1O7phQKMh/g92Hf97LfoNlraHXv340V+9
NV+b+fPU4A/65P8dJEkkcwH797/q1k+YepV2CSXyxz937H/8P3/v203vFzaZ502Cw3WAy+jf+3a0
Cr/oNhcD3blxXlv8x7ZD839BxgUawqHPZzgGv+CPvl0Lfjk7qDHKsvZl14wb819p3PFH/tS4nzfV
5w0yUBnct2fU25dVILJLgiNJWbgY5nF58jHwM/xG+4WAZ3CpbxnQxMxLJa5AglwR9Sk9JpOn2eZU
z1HWcCU2xITyELXVYa2VeNKTlZZlHbpgK2tff56nRHxMdt+dggIvIravAq2sK1DENgiYwkaUBND0
lRC3fa5AQLoTc2xdYWqoA7leyaHmd6qCTtzWZMXtbem53908qa4HjUKrskHv26ZXbhHHRlOPlKm0
bXXnWOV8LvS/q2kYZibyQjvJwKrf0BAnn3gzWUZO6PXqCJ0zvXzmpvyTZUwStUE4v95My+p+ZJhO
f/z6u3SQ05EnWY7wN/qE8g3I23q3OPxpnsfsrvZa7dR2s34Yg5Lky9Yf8KTglzCrkIVDHTv0BVde
79WXq+chWtYVYwMdRTIryZFVdlU76bPVkBKsk7kSd4Wmc163XbuGcm2v8pF7OgIHu2zPTlyGsQz6
sY2Z92uhXCKL++rUV2bzkjl18mLMmA4if9AWJEkuUq5btq/rlW9PyRHCvxmtdNWI6xyybbAa6HGT
8iWStheczXnzMc8GlgBQOdonw6wR73Zmcupnr+pjovX0/ULxgiVoHHIiU9vi3hknJuRmNdqPyVjh
hSxMip5VWWQEeWiVnhpkv685Pfy+a/imxTx2J8NItCcSjdO9t2JDK8YUAS3O7YMeVMnR62iNGYKc
mt5dXzlV7Y9syR0zIhKwu5khauimHbwgo5mvZ+Dw22WwpxtP0jU7GKmQ3/tIj/VafODycQjKm8wX
OAjF7TwPycs0FNYQuktP3gwxZJTRKEax/e4IWiLQgXnRNeEJ/tUqx/p5Tnv9mUyJ5VuWVu6tPqJp
VT5/xS7s4nFcmakOia5tfG8ao0FnLVRjDyaLrcJAyYRhZ6PpObTEN0cLMVYbsp/Gb7OUN1nedPFC
JMqGZ4z1JnCZMp9JehFSn617tILJEQwwm5W20PvISKrmxQ1UftbRLVdOYzARQdD4uvratCOjdozM
nnvTtFbKtlUVVwNpuFdWSRoy6acs4WiH4YH0GQa8II17x8J5ggn6gtgtSf3V+VeMzVjNQ5uKJ2Lp
GSh78sElUBhZ2qDfisFTt8KEgFdlpR5LWz0HYIGibA2WK8tcCFxhgHTt9uR8JPjVPxI3W3ZuQQxK
x2xsn6GrvyqRkabhYtmPJeUZqCrNLQmG6s/2y1KRqiRSNbRxhRRiL9JuvgbgRr2QjAzHaAFhEHgp
cw74fN5tOjGuIPWzsD+C1uQSNhsunTo1YwLr9NiheIraarly156oxgkWt8Ke0ckD0ZtMLTd5J1m+
JXudRUfeUkOJuC+rXQBiaijLeGz4sahFL3z3wzNuipRMzB7R60B6got49yJf3ygfWnQwbkve2n2O
j6M6dTkVRPLNybCMIQeHCNjtSdBhsZKxTolG7VaqNzl/Q4O/mauDWZMW+L6UYp9Pmzy7GJs1xIIX
j9PdaF4E2XVPFcWxRChZcymxQvra/DaDlUnplAOFaSTd99nN0GyRU6QLktxmGK/rpo5FQYo7NTY9
X7UVZSzNC8/r7tP3xtsbw76v78G/4lliP3lYsJTot4V0QiwjWbVNgu++SaO3kt7mk48V2U1yyHhn
KfmgBtEs2VZ5SyQCb6vMC188JerdKl8Na96dI7aa8ZAaSbgmuFfcmrUF0bSDPXzMeXc653Lw+Nsi
gMUF4RzH1rooSvfNlUZoFveZ88nYip5pIKIv66L2njAgW9TDq0Ksd3CZeJqsm00t7qdJ3ze+6J8s
xgkbRdFVMtFtAutosWPFsUM4EwsUaTdWZBXaSbBKHVPks3NFPhxLY1nYccBCnOCcMJHqdFaPd617
55ithp2i+27iQ2KKc71my9PU91elch8rKnf+9vwcOASQl2vc8cgz86mNSUXC+9JgJrEosTPT+lwn
Unek+d0SfVw496TQvSDTr7FsnRqLGLvMf2yzN1wvzFCvOEEoo+02lsOAYrVDhn11/hS9icUpnJZ2
mvcmWUoYfMBwdYibK+KAKOMNyeCpvMFWGlXMvf2k2nc4soHFxg7hnx5PLYGOPtAOhuRi25ftj0ah
ZJXvJDFtZ2Fd0kMcG0ZpfgALYTZ4oh8d48BFsg7s5yrGM+9NRqpqn3xPtOKSThOuRf0hnIW1uIur
9z1j1z5nV54p93P1sKbbVV7Y9vs6GBvXuV+IhF8I2PJf8B3ujInYKONMXl4DhV9TLZfOSnbRlJ0B
Y565KAIEM9JByZkKHTZwnl9lfOa5BVTcbq/boLpTuMcSf7lGTbvNzPwqXwOk66zdhpdKz9poWLQ9
Pf9A7IaHClh6DyWAeD95z6vjIAnjjTNExYv/bnknndaXeG+faSGggPy7Us1lVt2M1knmVz4LOvlc
dVfAmzcLMfRdld60w9FPLrkK94F3qN7zDKQWwVHNrpefglFjrTWxmo6uuh8I6B6CLZlwB4BkOWbc
D6d3tpKRnZcejPyxcp5TsvUcgrGJ6gqqCy95yKzLXkNOb20NrJPppsb7YJNQCKbsNcj15aVyk5vB
wiOA0YCm7Ox7WzHSYCyMe2BMYrlFY7H6GzjYbB5YMQPft+ebVOdhtRRhP8QzNktpPGvJZv6hJZ9D
fViTz7Z/ws9PI0Nu69CeMvtxQg+NyBDAEoMbNPUhpsG6P0n92fq2kGns407rDqjwODFPPpnh1VHv
aInCvLmo9PulPPX69FpoMcvR1j6gGxndfjetP4LiQrPjqo5XNhzOD8Y0hKzhMzb2Zn4/80eeT5He
X5jkG+dWG7otZZp4MQuS+xItZOZH7CkhyTzdbJPpjD7Q9m9I7QzN4MWa9rhxKTYPzO37+ThyVK3m
dlyPrujiSVwQnHcOM8ftfV1XVytHrvIv9eFzGh5H7iCt21X1UY0vOC+R+k04SFeVYv/D9aamCH1T
pGHrnqtYqhIggYel+bpAYprlAylUR939IYB/6a1HsjyJzQt6mvTkqNsi9SOfZPOJmppNDqJqeY1C
fFOqywz/Uz8OcdYazP5I9yTgqgaMwAa5FHeEIkKzDIllgBVQNS3Pqgv0Jk1+GIx8K4NrFihcZvJM
xQVOQD0Gxi+EhfGktw+M4EOi7KORshA+BxlrcTBuQAigAWRkwRVaYL4ZbuhykZ3cucWrXO/Y+G26
bCtsrMfTZ9l8a/GnkZ5cpnvdvTLFW5u/ruchqPs36tZ/Y+9MmttW2iz9i1CBGcgtCRIcREnUbG0Q
kmUnZiSGxPTr++GtryP6q+iKit735m7sa1skkPkO5zzHcv59ofhPX0IPBo30P5ebt/bo/1zVexZb
DXACJXHaCU9s3uERduGNk6coWp4tsgEWVjn2UD907oLHTiGS+WyBCW09c/ahcVKyjL7jHZraGj+U
LcI4WAb94eXZFGfGMHJJlfZ7wVmibv14BxPhmT9Zkmm2GuGDX1rNw6Cz7jAwkjilQAUi3Gb5hsTS
JWYAzncqyhH2RLdEpnA+w+EZ6eZJVbyD661YS7MtmoL9IPz7wKp+sn5+DjO2YhTRm6Vu8Q7FWJ06
p38lHzNqgjqIdKAws1vzHQZA8vfG5JBQmGzmnmjlatkLpmnEAcal/Tfo1yGuIIGMG1uv0316MxeZ
6zEQ1DC3t/xiVPriNzt/+VzMV1v92JDpmPxchupJLtV56W6aAJtvsgBs42E05jz0iMQDKl0m1P7q
oSzri90xSCQ2u69i2U9bjUVsEXV+FNwhPv7I/Vi/DnwTwSDX3YCbPrnCh/hZM0RlxuPiflXpcORV
u5YZNe1B10fyWd+tadr3VYEWCm3c6Mcj+cvkKOLSQfQaBs9WT4YfQ6sx5QbMX5q22Ixr8slg++zM
T1b711/frDSMguYV5R3jky0xs+Z/zjcYN/zfgxf+C14P4SjAXdpvxwJ3Smdg/hc17opKrey8djzn
wfQuRrRY7Mfuuk5/Um+ul8IqUHqQH7WbegkdHZViRK1hIi11i+if4cL/V0z8D5keNoqo/14ysWlK
/GX/Jpm4/Q//W2ka/AeiJiEAskAVNe3bGfMvpakv/sNncQh7kwGMC+qbucy/tKZMWBBUcPRAc2U2
YpkWf+K/gj0M2yYpJIST54PmQ0/B//f/ojYlQuTfxy/QfC0PcTnQM8D0N/HEvx9zIdhCe3ICczdi
tcUt5q9NBR3Chlh/qXEETi+GXTBrDhDMOVCBGn+NusZyl29vGdxvKVUSfA7WkMtdLwzIPQ57Zlaw
WM8I2ARrxV0Jp6h+GhqRZntTqYJ5w5ALiph5ZS+6adalth7aEmAdqaKKjQkGU6+9MxHChdhenCCd
Xmr2uxcWxW19wIroNc6OiPt1JrCbSOp+N4ztUryV6A+Lo4teqdq7HeP/qVLDZy47m+E9nuVNtgQ+
dXaRRwk9DdGj80unq3qbpE2wy/LmwdBuvysqPfFbszdf6+a3MZHKDa6UHaJcvs0sdM4r2ZvSlMk2
DQAHpKA92QoU7UZlimlSZbnxmhtn0wrVGUNsv8VQPewtn+ZlGcXZAwj14NCA+hiQHYCH7rVfVrJH
O9ViXZ6QpJbDeL8W8IXRI/sczOk1qcCZh3l377GWg5GwdM96VP4uHGV4NLFPbK3FG/aORxRoBWXG
aoMHlI30/KNxIuL4r2UsV8cr1i27bmPfzdkrQk8dT6Nc98GSN1ertL8FsYLbDuZB5CYKiyc3Cd7N
qt6RfvdtyPAT/QbpwTaJLET3/YY5ZDyYTFh2bKeQJnfrzMIbIa7dZONzIfTHwkvwhP/Lj7oQom5Z
y+S1sJfiM+MJODC8Uzuj91ksdeHEPL4q2w0NiJ5fMmtOzZ9pbYs3ezQz9otToP3nts6Wo89wxjn1
4zg4P6AJwoAHsjGMbe9UjNbucwxqYq8yDzxCbvjmHVsVN9yJUrbpKdUc7uhHajA+G3gKZY4GucVp
HDmjFS76Eg4uFAEuasGSCrhN7YV/FXbIZbmTeA+F/Zi6uBOx++Ops7JT33mqjtw1GNu49SqHGF+5
6idpsj0+hzgeu0ganfU8KQ8EwxqEW2NY54PGKnK10E5dx6nvDpkN/cCa/XXZkIoKJyEb/A8eWweM
qQ6R+eBU3gzExGO16dpLl+Tqr4NGCdtn3bQ40Ez/NNVyudeyCPp+16gEwzKUvIQ83yAv2ISMxLdL
OWX31uw8yqBxmLs4cMlCA+KFqPwU8W2S8xSDg1LjmYWgE54A/iwqiPvWmBkGLQECbzkbZ3oa8xDi
mty4CRWyaxjk7qY2c5Msafu7XrWyY8zW5Rila6g9OGOLRXyLtE0QMo5KbydmTLgeiTw8sJhlFtP2
r2nXeJ8GycaoMEYmTmoyMHFrWJbsqZc4MAwLt6Ql9k1Ym3u3JYd2EjC2wyT0mfy5MPCb7GPFRLJJ
hro9WhOSpy5nfFmkrDBFnbE/ytf11IMAcPH4uk4ePrCvzc5dghdMyY4X1uuQH5ndxKaF2VJTLca5
GdicTs0QXsJ1yr+kxNRezDz2kkLtTMq62Lje7bfgyqPcdcs4ZDUX972VwknrguwcdmMYm82tPbON
/lii9Nnm2iPRHSv/XbGK8L6pXSdqaKwOppvlZxDYxjkk8OWVQIdh20sKEaZxJeLo/AiMp302eU8o
sPkri2Fpn90Fiacp/vlXiTfZcWJtplFkfsTXwd+LXfnjn2+w6ZV5aOaVbZt9+xMMf/rTzV198Kr0
q2iM7DxPrnHCHj0dZVrPL+HCR8LZmzwMg9NvLbAFrONVdqzHYdj3rs/P11JPTWYjYk8XK3Jq4RyJ
VAHhhvTuoQ3GaReWPD3g7FIopf6vW0T81z9/f8N08X0KfPZMPb/DbKW4/+czbGQzv5igO45h56bz
RZYes31evR/Ze+GldlKHUc5gXvsyyL/6oKyjvlvzr4Kgi4+a9f/3XI1VVAGTAoo1Lhx9c+//Kixj
Pg7SEC/Md8fnbq2Nt0xh3CoLgWDdCm02lXV4c6oXaLTC6W82GfJS9GGAhRYNvdXVQoXvwGZBkBxV
ks8m5gfVkm7Aq7425XhyQEIRAVSgA5bNxrXRZhRMzpDbU+X1Ha2CV4BYaIqXPvOc0wwyKh4m/yHB
kAGp82lBNjfXDjV5OO0QAsd22R/rQLNhWA7acb4VUCqAedKNQtnXJzNoefhV+DA5EJaoKh9Dub6D
dSAIvri5rHy32K+V1cerAffCHVFDcecse9be3UbIvti7iLsAUtNULpDBN0hZJNtkQTxwmLpn0sX7
GCSghuCSOewFGS/QzstD5/OI95NfWaxqh6+gZbI/627cJNPyRmhGxuffvLB2+QQo9ttrRRNZtfFs
dVN7z10itnpa6oNl2WxKIczsloCjWK8pSJM1LA9iKPzXufHmyE7X/mNJB0VPGhjnLhuNuAftsKs7
a479Pj0SirxwcLvh3xkRzLoEB5NddbUge9g42frUD4kmrXsGiuUw2PSdSC1W8WAXRnBR3pxG4TTI
bQ8457ygINsWBeaKykcaqtLX5B+E6JQA02v7Uzvk7+2wxgpZ1cYv6R8GABAMYYvfGfpQlkvwKkoG
Jn8H9LHo9sHjiT4ZN10Gw6m0FkZaRrvTXlDtTCa9ESOSreFOiD3c5uguow1t0i/vZKk8Mt8rdsz1
FO4Qf3AMIlc9jSaqILPTR97XPDbmxd9pC/WQuJ3VUG0GudRfEM9mLsXBuU6oNGI5jQmx5614rDz4
SxYgiC1SKmboYRk+N11gx2yLHWzZCaNPMqkhz1V9FvWI59eoDFw4PDhBr4l0jlSDsPAyMdnHonTh
U6Qqze7hqJUPosR/zlk9YhZZAEF2YdK9dwsitE03ZvoYZoGIKEhRnciGa8Rf7OEUiOQnG5mkJbY1
Xcx6KLHJuODRlKqumdk227VtmVRxSe+SqkvI9RY+3BBXOxgWCp5XF9JHYiLE6My8e4F76SK+MsAY
ab9dP2vWzzEk4S6Cjd6D3JDTcRwr/7Q4+bjP5tY4Z1VYHL26t86OnwcHIlWCn5lMRB7J3HjIm27k
MZXFnSW6dc+5aB0Zk5Ix7yPv3arUEFVE7jpCJV8wVLWHxSaXAoDbehOhLpHMDGTAcC3EXUayXRSo
QN+IKurSZE13872Xexh7Br4Xs3uupwzbpUPFiGYS8lwRLJ+jjcQtL+1MbmUXyCe6gykKvHEFMjml
fxAxerup1nnctmkJUg0H9k5j0IWIpuC5UalHyTotj2qyxVUl/a2Enve9Xxj3UwO4jj+4eBTTUO6G
lvN/NCFGwuWM/cTFGZIZpORN4uRMixv5xbJAs6n8n5CpR2z4wbZVUIMwqbiHLGdqDFQVBJqVM9Oe
/AD1QMOEUGXcSWGe/BVVle38Mgg23MkfQzH1F6vLmquLzYexVMM8uoMKlZrzCSlN+oJ+tYgCmyWC
33gEdQ8UoMPC0Cdf+IPCoP7Ljf602sTKQcDiRDPD+1HopwRSz2ay84WXaLL1oeu4TRKRVleXfPsN
VQ2nWjsH76UYXnJK+5P0+p9A6N9m6VN7EQaBSAdnXDlZXGaSaQFMJll3+9HOv/0pF5GW+VdQrtx+
6w0op9uHjncMmBf+jsXT3LTKRVGNcPkmNbc3fmGWWzMx1904BJeqru07epEqruc1385mmb6ZrmsB
DxNleEZY6GwbJQdKZXvLXqshPZ7xMLHx8Lno7dCx1mqPc+4LjRc/X27WX8PtiaCIPy3sOREdNuIA
ilNd55rRvrbK9sx8vuZrspMIjfp40ua8bjNzeV7q0D+gezMRcgY20xJGXknp3mOC+grL/jWvXZtZ
R7HumGN5W6vwjT3UYR/4Zsl2J1jVEzhHAJwSL1kx/WGzEGwy1nuPspnm3VC0f6beoNBtUeF3qi42
vTPWz3Ya6CvB8EOD58y3T6sB7cBrw5yHTSdvPTG8KqLA8vcT1dJmUWt7LLLOjUXATmguxe8R68u2
8HWNkJ3vqYfjcRy56g6lY7wUjYNIiIFo4rKqGaDIPoxFezFca41ZkMoTmTcywlAqOEVQJfZS+HtF
AO221P0aAxxNGa1YLMpo0tGaohiMqCfzaMhWE3isY7CVqfPNCOFuqfWXtarytUYM7A6ueuoNJ8cm
aNvx6HbOL/oqlMmh+dMS4HAS2Bcj8FYPJJ09rGZzD2smnkIqrVoaaqtUXh8LCH5Hq3HYUYj0u5iz
O5PP9T3BOwZxquV7tICNlpk4FT4c2S7pre3gyQWVbV/uRrssYm+wbXMjSuXeIYOonyY3HPatkbfb
JbHA0tmFuR/FOhyKck1QmElxHhNJeWZ8BnWqL4EY58hBJsWEPOzenMyqIpYhYu8aE+NNNFlclip5
Q8RfA0Ayp3j1vQS1o8EVhkYrmuawZM9EzZPwYfrmJB8n9Pw3Ybv3kAEcVlu/AfOB03e6eEORshVw
vAv+LeRIlR7ucw5nuEDMD5FrAbJkzxt3agYTYdHFbxFC/MApW6N8TsfrvJRGPN/6UIoVf7O4g0fj
3epvF2kl5Zu9YMHwGYeLKq23szF8p2NGpRRgIlwwqsV+5um7hhcbZKf1i61QtfXC3CJarXV5/hdq
ncH9WKYStWiOIHLhzH6vjaCLJzKGX8o+gH88Du5dLhTDhRl4sikEPg25yHNWF9exXY2NHHxnX9vl
e5il/gFNMUiuEc5OObTjcRpZZYVpC6tc+hn67WVOHvnpsl3bN/fuCg4dydjkPa+5+6tD5rqZ/QLl
iVaueKzret2BAeu/oeK52zoP+dAroJZsKKhENFEO1Gc+7P7pRmYZDBNJeZ5EoaaHotoQV9cpx+c+
RE2Pbiy3IwUy7CmFTwTXShZMtL2U+i/Xd7SoaA0Azx1HxKuR7qbipREVW936tjx0OWcvLULZQ0XI
w5n8oOJeJ+H4g46Uc7xq7UNQlPK5QnDEvBW239y4xsfg+POhEZoZLGrph4oYj18mSXanTBspGalF
Pu+tlsNlcL30rU/za2o2F5fmX6bmZ+mp/hV987wtbqocgmD6uBYJo9LZe83a0tsV3lJ9QHVs7wqp
4CBZuKxbFZR3GiXREbzyV2ePChVbssS689Y716v/mGJEYYrO4y5BW72xQDYdnGKGtr3qYJOGvHIi
l7hhakvuPAMUpUokMlRMqkmefI9tr+Oyq8Abww1e++ahC+b6GuDK+Jv4BLg5Uuq7gYrvanRJFgeZ
XgHrjFJ91rVX3vHRZVFQhi5bBFsgiUr7K2Bk51HTbB0AvptnxdBhS3YxECyv1T6cMF6W22fE+lYI
m11egnSXF4LNvpn6HhSZdmHbADzwaUrhzY5ZHcQT07yt8KopFnVgbEXXGh9CJe7W9NY0atqEzeqE
tAmFs+KDSduTohza94oZ4ya3p4G+x7N5CJ3Z2zChHtldLvYYN06e7vQAh7bIdXJ/E2UiYVpYX821
+9ks/KN6AEk9c47WP9iqrZ5WyupdnVrGq488d5d28xBpOyji+jYlMKU290bObbsA0hKtORz4d6VH
MTNMYtZQXlAvdrF0h+wvOOfyqw6UtZ+KoTwEJO/EWAeWX73i8DGl6HA/1NL97dutA7RhDb9CfBe7
XNXsn70hPKDybaBDp7jLTb0gknBZc2V6sH4EoFusMOCBNzi7xJOlQsida27+rkH977wROeowgPHS
jJMiFBMs8XKM8QR11nuhmdDYCQ+lSGf1xggq+dZ13twnN/12fVNrSWwPWznV0+9M6HdHurhygZkd
9NBT2Hhibj4X8FFPRICAjJ/z+VeYKQj1oxt+j7iazsowx0PBxV1hR1/8p94z8uexTziEybjfTtWt
0a4X49TMFkqClr2RC1vpoUnpmjeyqoH5YlIPAXyF2VnlOvt2QOaiFygz6W9Gu8ofh27F2UbKqUIP
nYUUD11w75B3sJzhR2UqTn18+Fnl7wx7KCJXBWxY2FBx6eTWeNaGaI9uElr0arIln2XOgyembcXF
UoX8Ku1WIWw3qmzTTXBZRtwr75WFbCxZuP87Zm4vrvSTs/C1EZULEWy2kNOpAZW41Q6e9dYwjD9a
kWtum9lj38rx0a6C+dQAxN6C9c/ixGo5G1mrCEvIGNmRvstR3MEn4EZlVyoebbwXDDh9LPMaDrtK
TMzmYVrdp4Xl7CqvnR94PZAnL3L4ERRCqpHfcF2+EUc/uwxX74y6fh+s2259pR4azTEyPUjQAY9J
mNo/FZahLdSKT1/nmLkSflqnkmeGi6ywAf5QBdmQQYNXFL5AUkKGhuYi95Y1sGp1IaFavA07Z7Ej
j0J2YygWrSmULxZy7GdzucQskzjiFeYNBc+eOBp2hkbIY9MXlzGVNsdduSI/qKdtatn2qXUgsZTD
8iZr/dGgyseXrHd9Pe4bulFwEOZ4Qa+WIZiuDrzg2B0sI7moYbCjlSH3GchacJiRtPPBT5RrDl4+
KdJga+cDagTfHw7L3C/xAueRLWZxarpkuNAm4aSxZvebhXMepZKbP9P21SHT69BCEHRHB10NfqNY
dav7xzdVRzhDb+zWAvX25NBIQQfMt05n+YcpRaxlDHmxJZbJ3tFbYa8OdHGZasHstRpwcbVeTReZ
5x/aLKooSBEi5TBCgY0YAM7zVbs7rhQBx58Rr8jGF+RnVmT1iNlx1VQYGQfELmg+98BA0ytux2Fn
EvSMMKe/kLAByb9kfKt1J4+i95sLCCOxD7qJPsqhyWZzG+sQo3PnW8bJ+ecn43F4mevlSdSUyhnA
ezRQCVVf23aIlgBrCuiwLQvEbeZBPtdo0Xu4gvdT3qDoyt9VLy+jMn4Uu2KiGuxxZy5Bdm/K/mou
JklEwYCq1kyCwyo8PzJlSPXnhd+h33d0K/UHI552O5o+TxdRAcfFQTmgklvdXtn7Zmb+u+pqR4ST
cx2VwwMwsVnG5L7taSe2+WoghjJGg5wHpwk38xQ+pLzcW9dWGcjaojqGVXA3DP2+twFeAiXdLGVA
G9yG28LN3vscfi3tA9Bw1kP71l37vVf4LduNlbyBjFTNvHmZvfwW+cJMtnb8u1oUQFk7NgY1DvVd
6wQzOh5WpHmo9j602k2bKui+yWyTbVc4L2QX/NKCMZ2NPHkrDSy4WGnOSVMg21nCKSKMvj+74fTa
33SGjATMfaXMDyxpkqOlGA++Fi8NhMpdOzgzooQMswG9aCwc5ZyUp58CH62ES/LYPUgHiUrVN+Av
N0ROeTU7dXv8HFPx7CWMRPImjznpMQ4ONgYmqpOjngvzhfIxjzPxewXgwfwOB2NhihfqyHeZzQ80
Gs1GOk36nOn6B75gfl9AXdtrM6gvrmERyBswaFKRmSHU6gYVY0OsD5OjU1RqM2LDsORM45EILMQJ
y60NgOm6L131g9nvmDb2a9IScNkU5tOauM0pl1V+11V0tsLKI1vUX+CZmW9V9D1WNrLaStz+WNxQ
xEvC9WHUYX235vmJLkmepsBUsW1Yv0tLvcgi+xqzzDoBRLIO4P8Qs4iSTRIF61kO0osdSrU7+GLQ
/4twOvTQoHeLv4qHxbF/8OGUz4Vpz8fGaJetB27w6oTYOsM6bSKZ4vqjee+uEvBiXNf6VzZzjdxN
coqy9IUjfTqWFYYJp9RLbFcsdka/kZ+YDS18yXiRV7MnUDt0j8OUY+VL8Iz03hgDLz6W0/qr0tZd
L/V+deZ5087w8wv9gGEG8oiXFHurzH8tjXvl8z7O6LG9+vZ4Io1xFjyaTF3jvsie5z6JMDbJXYtv
7TFL+U2jrs4dtpbI6NUTm7YnZ+722k6PCqxbZd9y19tkh5GIf2GrhrObDGj2YCwK682QvOpqPhaF
k/Kr+qco5yJKDOu7r8yjx9sw8mjEk84vygyPhh0+E7eKNsetTnMvT55T7ALX2awI5h+BYt+0ZKzv
BBPKCIzIqWx6QT/Z+m+4GRG0DJS/8ExBcZLqkG5dq38Gkr1sEQAeJzaRKd3ijj0vmP41vwcqeVMN
RlxR0Yymx0xJsaGK3de+c+9Yqt/h3LSPWiTLvUyaQzOgIO3QNRLhUeF9Wth1EQIWTRJ3GRiuE2aY
4jQasHSHIfnwbpWFZ1BB+SWBJRpsv9ISgdcy/6pSc9qB0bwAqKUwM81d1yacDbxHpUBPrhrxIFkg
7MM2OMkwFee2tzI6PKcO3hmIIQeUOZq1ZJgewsBEBUkd59Nq7ip/yPaMGtSH2y3D4xy4+cnIs+wi
jBWpProdpql+tykdcoyIXzqmPekng12CVmGxqN7cNp++3ZaCvZ+Zu/CQ1+VXhmyR4S37pYQzH7Wm
sYMgonYESgBcLn58f3S3FTLimz8SPZ1YkeP4PTvdyuzZ5zF6SuFN7xy+GT8Q+Q4DArc3pQnOuAji
zg6l+oyYjWHuGDxnoVkcRrwBO7fXv8lmYvLAkoqZxUbr7Mg3CKmxRiG46DpqJ2Sti/a8kz1VT9YN
3GjUIM308uaSXNoG+AC1aT76Gi24HahyWyXtW5nqx2m0X1mFFij92f8bvptHrSW7Y72iZMLh/ruT
rUVjbup4zP3mRTdjQEpG/jSs/jFMBHFJrZOQjA4oV7vr1Var2uFdu6nl1sgvydtaa+vXOISEW7SK
/GWG8z05UlePbzQICn+DspPCVQbxwmJ0EzKgdVIBZ7RMCvKWkvuikk9BzdCiD4i8GnBncvscxrRE
ASqTfaO9zz60PvVICEbHTnE3KgzqXT68yUb/FuYQtYlgleJ7u9GVEPITB+n6pPZN2bMKKs3ffpFV
B8MnScQN2M8FRRpQOthwptYW8mt57gbY1Hryj02Q/zIalhFFaVMqDvedMTno51trv/YokxOLltt7
Gvyge5AzZMsuQX/WNa6OkoHxNihPzKV+4ZxCjILBhBWEHXR6GsbM3a9W2xxEQdnO+pxhOn6Ru8DH
BtbJ8M0SeX9fq8K7pAMRPHWvd0EtD0DAHnCnKcoJLpqEBqPLi13VAO/PeDvGwumYALHBLez8YUIc
tWl6k4SRYIHinWXFXrOw36UuhUJBmgJv3ZIdy5ChNTalIDJoC4hRGO+80n0e19Hfzd50bR0UI2Zg
vvV9bm48JE78p0mP2Wh/OTNjDDSUg6yr3WLX5cWEzEUBKkpAGTQqweLQ3VQG5GDEr15DDNGUM/d0
3rAezWX12EhlOX9WtPttlLRs70k0K5vx6DQ6KM7zvEKpVm1fOjhYHKuDODUW3RG3v2XdtaoDt8Go
omUT1UnDyPdeL4gsZI4OIgR7EXP6oV/fU0Z185XUDEuBpULPF/OLk3cZ6D+bXRn6C7GNnpN0D53R
LH/XYg47hJemYl6PvvNGfva6Yp8l9UhgCw70qdlWsm1ApnmdYd2h/qAg9Jcg/dUqECb3g+fenKQs
xaimee6L7G72skY/jR05ORtD2jA1NRql+oRoU+i9YN3N8N4T2t8qpx3NuPHNjl1zsTaFcZbMXpf7
aU744QAiM9LyHLcH8x7mdAsbMY5WNm+6YZrdD9J4VvOEK3d1KGtm14Ib5/O8P2SIJ3iOJxzyIN/D
JQIDT9aAVYXiETVFeO8G1vfceo9h54EQGkd/W/p1Fg9FPz2FDvLlNlftoU+SJOdxwnxS5ZN6NApj
LDZdPayYdkzu0q1ZW+ERocfTOgYenKLiQ3bB3s9TBuBWsrUr4CGycB7DqfpxEh0R8UKXkqNLvLI4
b07SCFW45TTU65ub6RD1a9dBBNm0o38Wdf86YQzigEn3hkx+p662YrLxYpF3WDipgbvyDqE5voPc
AtRPBAarEIjyCR7l7RzYe5YX5bEf+cU6H9ajhUs46lqB7CcY5rd29Q6qm5tzMtg0b5S9Z/LdatTZ
s32uvDSNYDV7j7VXO4y+u7gznObYE3sTT476xvRzn9oCpkjWniZFjUd3NHPArYTF4RtPd4bkHPVt
LGdmyhsyDYH1mvQB5/Fs+6QfmbgSVL0gZciTozF27vsya7mBVv2uhuKnoeiIhrmL835NDoFqsc4M
osaH4+XvtRI/9hKiC270fRN0RdyM00s6ZzMREH1zbduw3HlT0O3zzPwkk4n0CEgR/cYxmEd3q5L7
nAaNlIwxb76AnNuRIJPKndmTz2l/xJ8070D8owotCdOx2uXE0s45BIJLUCy22rnWtMCaKn2qhOBD
pzmdMlmsV6wMPgT/Sm59W+SMj2G3o2gQ+B66JwCJ6gXIfbEhCMu/oukTh6mVQcRypf2dTDClp0zI
HQE+M7uZ3joAWVHnruvpJbCR055hiXP46Tfcs8ZGd2195G1n7hqG5wwxzU/L4oDh/oqkdZrWh9Be
TGJGhbchQRKpdFL8Knz6zz7jamvs/LnIx3lbhfA0WMM+r3NVXUSRsNYVLdVgoAdCSKp8fmtcB84+
7DZWmiXmcJQWfPakijWLtwEvsH4hD7O/S0Hw0BXfdf5uM9W3iH1D7f4YLk3e77F1myewkep7HQXz
QBzMrXfnguLBK1ISwpdZKE2RNb+ibPPOiB41HhIWnJpQxfV2ZGEISYqLG6qadVh9dyPyAchl5qIE
NjNYNDj2emM9UHPkb3mhUjRPKWEXfTKfOMAorCFtgH9QPAe7OummdNtpi6qrrydlnoCq8fZBZprx
L+RJ3W9H7YldOBPwSBJk1LjtdJpl4z5B+uxPocaMP6eG/yiqedmzk8jvsYXVT6mqfyMrti+8xDUh
7KVxbYrqSsapOnad4T6zFokZHf/xupy0hS6/8wmVjJvVda/QzPQYZRgHo9WXOQSEJV0H3Fny0ymb
VzaPOlpuDPrWNI55QotsZxlBaizy3IXZFPfwIWwd40/dojFoCIzslybO7brZzu06HTkhiMJB1BPy
kuwqI8cU1ZNMeaNhWNzMfnGRgfmMuZwBaGnFbL7UxnanM6Fu9tF2jH6bAOrajtm0B1vJZ49xIHuE
bDpSztfsIwkP2LQL4A4PgcCrDeX9XvqwkGgM+wH0TWfC+7CHo5Xi7YJi372uBK46oc3lrdsfGqDh
CQkeKodmek45duFpALj54wfuCwOibK/Zt7CpfyL5IYW3LQLq7+mFEhS7p8k50epi2hdava+iEoxn
y+mU9CZfDUQVTPEI5+kupm4CKAZ7WQz5nfQ8BPfGFLw6he9eSvDuRG6KLAb1AgXT+VmAR+xuo3z+
buZbYY5lrNaIzyv0tcNdkLa1u7ct41ubob9jThQe7Tkz70O9uLx1PGGJhU5l6mANoecC8Jl7/sFB
HTARQUF6j0UY5P3aDJ+F104XjfI6/l/cnceS5diVZX+FVmMiDRcagxo08PC0P3+uxQTmElprfH0v
JLOKEZ7JiI4yqwHbjINkRqTDAVxccc7ea2Nxh7jUBdqBZmRzUkcINoDL33PG46rsouRQ1chWnSwP
PowwQilUeUM7Es1XHolx2Ot2dTOQbLQuaFpss6o/mpK5EnYfbjMVQYfazoLNONCfQpUjhrqy+PSJ
G5DIOqloNDQof2i97+1ObDtacsrUpqus6VxiXTEnxuLGDtqTmZXHTEH3OidFDywiQGCr1fBaUw0j
RzDb5TGOawn5Tky6CkqlVQ3a202CQZD26GP8jCx/29Raue0ovHG/CL8ie7rPRFu4ZMFSzucpJQ1x
XG2MOa8b42upke6Bgk30t+wSox3UoRY7M0u9fiZCJzmkuU5Pi4555GfNQUqGfI0YdEurblyFgi15
UVCoVBOZ+MDEesLqDN51lN5UMd3M5Gy6LeV3L6n74wD4fy2BySmwTXA8hIzysRSfSWg1P0TcapYr
DMCFCVsFZxDzvMt5WBd+3kEx+d8DEvQfddtBLIZH0PxtTVUGSEKR/xugCcQC6/7XivhT1H3HI/j9
r/+hhyfb5TeA/5ZmQQ4zTGFBxf5DD7/8EZRAFOiWjDrKFECZ/0sPv6ACdUWXYSFDQBeETf9TDy/s
34QOvBSTNZohzYRL+Ct6+O/V8Dr7A34zUpx1A2k+9M8Fj/4Nn3PWUzJgbImahFTiQ+pB64TeqKp7
epNVSZykWZ2oRgB9y5Ck4NDtDQqNQOU2qm3Mg4Piiq56lM3BcahtzuJKnw3v8AZMBDlxeRfK1bC4
9MrmomzkkBjNLLn4daPG/59QDKH/cORdvLy9FH+7+T/X3+Iwfv9v/kBhCPU3yN4qwgoVuxdL5X+N
PsGf6Cr9fc5Q8gL35jp/DD78FgrWG3ZIeC0wXmj/HHv80WIOW6QfeBoMGqi/MvS+ZA5IXAWG+BJu
/v2QCzjklSyb/cHsoTXYJ2pId6N6QYcPefPZJ+9k8B84qQwklB4ppD9983X+BYRX5Qa+QdL+87oL
qvaboS6HHNyUpugPPVsjqpYCQXFxyoM7bE1buVLcS72tX/wlRhf5fmOONE33kux12nWFsIa/IMOO
NuYPefFzpgQwAeApjEvIFPSiLPbiBWeHp46lJA8OlGlYy19//LszN/yLX365qW9+eRRafQa0qGfp
3S3oGf01jfB9exphYXH+pI/rqnzLxac5nvo3OkAhbJzhLMeY1ceTPZ0Hu3bN9CQ9Ra/8v+VYVczb
WTkK5XjRSvsquzGTuwS6Dk4SRaVoTdCgm2OCpWH4XH0m2kS4oRPuii22+ov8GU8q69NaXqE/3Exb
mr6rctV4nTeu5pXk6Ef6Yg6CWs9awfBz41Xi5ZeS8woaykEeAFPrGB+ViVUN6vCDbmsu50MlvVWG
04gnv9r54skoTynConHPRt9U7xJ07YPsDemDPRJZ2eD5xOEy6RCuYD9eyiUC9nVPrm66f24Mp9gj
7dejS/Q31bWE7YQsRfbr5DAWVCvkte+zAbNXCbx2/oZ6lUxYclaAN4jaSYEeqXcsym29tLwoDfjr
uN5r1XHITlp7X+X7ZNridBTl1gi3QtuO/bnqSLHfi2ojU0Xp340CUSRHon6bFdRJ1wmWPR1NyYBe
eWGiOxm6d698DVfdXaNu9OQ6nC/0i1RfEzSleSnnnGvsf/RpqH6WbnsvaRdGA4tqWmk1QYpr/if2
RUhvCGHfWDnR0wAgAaFG/6K9yW9oSdrYzUkUMijZNpgniarkpzFgxPVIbPuiT6QT/Fb4lxZKofQJ
HAUPtjF2EpDNm+hxVBBN2eJhWPRuwanxN1Nz29A9Bv/pJDjvl2prwmunaUiaUXHIsF1M5F6SQR24
9SbVVzwnlhMqXDTxgEiaqzDdquYhz1fqPflxqu1x1M9WwEKi6R6aLBugk2HsW/u+6dfVGvOw1+xU
L92nd/ZW2etrew2ExLNXJN7J2iZ5zaPTjz+xxWv2l9PDslJ+84WN4KzC1rJRTN+kZ39f7cU2vFRP
+oW6z0/jiYLRhThnh59c7fu4k39ORl+MjvFYw47DMHTIj919darP403xHN4Au/DiU33Knqab3Ksv
cEn8D69oflnpCeFCtBla3UFcynsyAe/nXbUJL5ML42hd6vv0JB8RoTxYJ/X2J/fIvuWvn6n5JRSk
52DOaVvvDuplVbktr5fxxbnrAfTkftwZ+/QWhSdttOx+2otdtWXTvk62fAJ7Dvt7/t26Xqm7Zp8f
7Td13R/rc3uJ/POQn8lM4UyUNtvQv2htZxQODZIZqRSVdazTa/SRAQSChEg7pJ4O4itiwKrMCxU6
dbgcHQ7DKMpel5zFK5TfKdW8jmMiaZgunCTPcGbTpah1PBXrK7PZjBRxp51OBtVjeUQ4LvPNHdv+
SqacRFZxu+H4JADonuzh4DdHvLcmYi6UOp9TTivaae45XE6fI6l0HU1Px/g0sIVDWdpkVzJx5kAF
HOuFfPCTfbhtNoTnciSGZKsUbnLR0gJ0OB50j6RuTmcC3Hxgu/TbXMLhgh0XuOQ0AGuVxo5rrUp9
Q4dBEohDnSylFLvtgrWlbCogDNWHzexblJ/2Y9K8peVTq94r+Wcg72qTyPTt+KZcDAfpKZFcfbGK
rWI8zwietp3s1B/ya3yB0eWz0R3KzfVb8Do/DabTxxCqnOx1PMtX92AgguIwJs8kIQTZqsa1b4BX
o8SPVpMyN0b25R/KFuCt03xyAp7fotPkRdtgW92r1ZVNsDh7UJIZHHvbHKYD+87hwbiWr+WrdBfe
qo84px1M8nyS6UWxhZbLR9Su3muXINZ1sgou7TNPXyCHCdd2S8Y66Tdregklcy8IjZ26Stdoqrb6
BcwLB0/lWrkacDq4lge2z0tOWMxkl9DS9bi2L+XP8Hwg3NWpXUyLDpxcLg8jdJc+Vp592d1D7eIN
i1WMasgbLlj0dqbnryPH2nOLJNo5IadNBv+KlZvq/8N0KU7Bc5NsWvuKLrYz3Td8B8EtAXYMzYKu
gDvlr/IH3bjr8ql+YhDgCKigbsWbGjtqgxfN1TyGp+6hLCax81Ne5yCN7tKDIUlrq99Z+aa91Qlx
Dy+pFjrFnW5SZ1zxA8B1YPcU1+ifLeh8VzL1YJbSa+Lw1Gt5J11Rwj/pV9WjuJouraPkMUN76lHx
KheJ/gpJ/mp2bg032BbX0qO51o/LwyST0PX3z+3O5m/H68rNVyQlrpML0y2dJ+Ea6+6W9t8m9KZt
tX4a3bfRs9bTMXlHABc9tS/ROT35N90j0IuRW4Jgc072hK8vPw0C6X7es2at6G0jsnwhYLaNVnHu
ErqsUBwcPPG6lJVXUIANRzMOPTm55aR5LPxy5YJTRd5tTNeMu5E1OPJy1H0ML4ce7JpkZHpS73Ht
FI+y/Q/00OCyU3RFTrhq6hjr5qa8MPxVP22Q6mYraVMc+RLnTXbMQmT7VJiPukdi8FUk3RfP5ro9
ohAaOzcDeP45VG4J64eBr1xI/aZR1/LoRuqa2EDF8rDLJs+aF2y1vbqmK+kaO/EgHtSt5rU7oMzW
BiuUWHenededqpOxz+6lw3yGU/SGHJ6Q5IaaYUWHHoMTaJc1icngHeM3GE1U+AyH/j6xpnm4qaxV
QCKJTIURbQ1eFiI94Y04aC+oE+sqFMrD3J4VuuCyu8TTthRSU/CkZ9rS4+TN2BtI+N2XD/kNOoVD
e2wQL5X3ingqzVc7eTakB5MccqLCZHNbAYqJKIdBVGtug+mTWlgee/FdepWO7W2Tp69mXnj4j9DJ
oNVmphy28QUgETaoIdpey5smB7wiSc3hu/TY3/Zn+6FHVeXieX4ulOZo2mujVGhiKBk3w4tPnOoj
+7CezGvlLJ+nS6K/nY79Xur4b+1L8NRe91fBYzWc06HdyEbvETrojiXlF/aECgXMakv0oB89kyKp
g0Ua2OaXTgsdO7rT6h1p1jjuIrZQ9XUuBW57Y32074CM2TVDoknAEp3aS+3JuGGT002PmmTsTLhi
QNV2mD0w3zIkEKO+RNFl32+Cfmcr2zRYa9fFe+wf+nzL0bq8se7l/jVp3iexkx6z+/ZRu5IZcT3I
q6Jh90aarwt0p0NGD8WOsiGPEOEdLsP+fu7Wfr6OSkdUPEN2n6UPzX88lmyFAyO4sJt3HGiUwrRy
BewEABe84fCuTHuvoJjXPmgr80InbBEaNNM2k6zuVtHGsK8zKufk/LZnerCletlJG05G9YHdM91d
46htk8vqBu4n1M57HI9dvUorN+tciCu0mnuArHimY29CmoDrg41o4Gn9QU7IP/QGzRv7O+J95g3J
tk+sbtwanJ8V1qu34J26vE76xn2Zn6fsyUCzE3brlHCcaddra9wxUDzYZQ7BBmE83BRUlyg5MuKX
nLABLnc921d6ezAbl3mOdxp/9pOTnJVjezUx9sptWL+Qy5n6x0x7tTWa/ytDp9O552wnCGWuc7ek
n2wPW8ik6ehAsSKX1QfdgXMqPozpqwhR3hMK0hmZQ0pvmNxDT8cn9R75tyybJhuYdi1dTvfMjVdm
6zR89dJB7fC2n5IrVB7XyYt+WT6qxXP6CIyteIhuikv1zp+RBLb3C9lsh3LkWjyfmZO81i3vInTJ
Xkluqx7iTQW7WGxzDESsTjR6cmdqVpq9xd9HKRVq1rCaxEMX54dACBTWvSvvJla9zewl57pxSA2d
XoPiSrmhuUCx0g05ngz5bXeDnBIDkPUgLuTb6qywmM2AYT1OHYDhOFyOV8MboHIT0kBJ3RQj/w7e
GjGCawZk8lZ4OgncrvZg3lrr5gxVNt4UPp1U/AROctM+AzmOkDQrG7s8UE3HjhxpCLABtngowppt
vM1W1SvK8vQOL4916G7yq/QDNN14wQgPMIqzD4Oo8Bp9xsfxCdNprjnGXXhMHnwMxg4Eh5F2WbC1
IRa8Vw82e7LAncplY6MoW0LWU9XFSgqpFSj2Na/Zkmmmun+PJquKycPpD5FPsVdiMpI7dWtY8ZX0
aLjaXQj1H6/zhxGv7M4V8iluLiRCnP19zXGpae7RJiJDJ9Fa6pGk5J5UIWEfUG9KjiY9ieoFyYM3
dBmdx8njOG2Lx6GusQN8/r79/iWOyf9beeyE6iz/LP4dSrIGJ4l/XZK9KOaX7HVJxfuuMrb8R/+o
jGnybxaGLpVqlqKaqqz9d7iLKlP+UijOGpRWwZXY/Ml/l2Xl3yhYWThXoA8oqqby83BAteF//oek
GL8hg6YfJwh+sYSm6b9SG1tQS/9MTeLHqBTmdAIj6clSlFW+lqrMWJcCPRmcURb4ZqRCP2ZAza8q
YwkZ+ubR/EU97Pvz7j+uJUyCbGw63BbW1u/PveDn7b5ZEs0tu/d72lcW+THBqIZvTeGzNbJwjPzk
kkuF78vtWQQOUl5E8cIb+HIsJMc6w2NT8VkZQ7vqF5FXXtMw+uUbs3Q6f5imMOUo4ssRO4UzUvk6
K04Y2Hm4M0kecw3Z0rt1qOQWu3gd25D742v+xYujcCrbFOipzTMcvn+YYQrJXG/NwfG7yYa3MGU+
lo85pmxjdsHmxxf7izfHxWhNGsLmIS6D+NuKReyrlVDQh2I9QAOt5rb+rhVDta2kvtyD0bLtn7y3
5b18+97IEiZ0COAyNn6T7+dLCYEBKfdFUlAxA+YmN9PrGPpgjDv9nu6hfcxy4xDCpvnxXX4dLMtF
URZyRY1rgu75/i7DFnO2gcfDGWMkAnIGPKVJi/Qng+XPV7FkWTY13dAUPvzfKxjfVH/6qsxI/mN1
r0TZnyKzjC6qxnz98a18HR2qThPIMgx16fkoBEt9fysjMsi5rEuEVTobC3tIpnOiGKztosu2v3wp
7MFLeifha3++H4jucQjmc3LiIJFnN82KgYayOg2P6hB280/e0TLSvh8YtLeYr2SoLRqTyJeBMURF
hRgOJnyaRNomndrqKSz77kFLJONypnmcwRQb5Z98bF/HP48TYhg9KxpYxGlpy59/886wE1YVIFKu
Koz2KvLn8RBbdn5UywUrPeWo63/8UP9ikFh0PZaWncCUrC9//s0Fx9iqLDkrKG37SBXsSPW31kKy
+J9cRV/Cjy0irb9+1qkqFvD17zxa9nctsQCroVHErz88m0aOYBVDssZo/P5e/HQ2w1luKKnXCila
iS6dwMuaeyUyq88Qw+T5x3f157nDsgVoMPpGS0/za9dnqhsD7z8lfKSpVC84M1kznN+i7R4BSF1i
s21XVNt/kqX9F18cAW6EoKN6kFkIvnxxBpnlWY3T3LHayfTqTi/WBeiJLTGf3d2Pb/BPg2OZoxT6
qLpJR1U2l1/lm8FRGaXUpSrqCtPCADPMQYz4vop/dQhami0bgphlE8L9n+KxMZjIsSYylYJmNGWo
yqVxhfdI3PzizSyzFA1ARjkrtG1/uZm4sqD7tYj2J9jkjjHYsDhqSgK/eBWbjYeJD3NZoA1T/vIB
24rVmolWUnmt8OsoPRyopuA09+Or/GkM8MXSApX1ZSZUeXrfv5gJiUdvWRkvRrOg/CTzfCbdb3Rj
o4nXP77Un8bA75eyoWKyoVIU8aWHII8BODOgAU6thyiwp6yTtd1UAsXwfnyhZUL9bsK1dXQFQl/m
WhMdwJdFse6troBBbFKgMHzBnD615jbSCNV1Eb8OwP3p1k+uUZlQvyRtTGiWDVgwf/l+DTYfjHtd
yLxC88uj5XtV4yCCahGPPS6XyS9teaOQ+lH85H7//A7RQYtl9mCjynW+fMeSH2dBrSOsIkqIsqLN
wW3u5o4gqlK5/fGj/fM7NLiApsuKSoiEuuQ+fvsdG7OAfZyN6In6ubw0JSgwRWKFP5l+/+IqxFBw
yDC5CnP9csPfzBYTMLxBTak/xFYOaTihaJF3Q/iTxwYd9stAsTjDyJwhTHa27GysLyNSj+IYMTC9
XJrH7YjkGrgpNr2wejet1q+fpCaKIYOZFftT+A6lb6CVq30tgD2ahHDo68akIzxWFdMnjlKKX8oo
iZXiZ4l8jJJsfofIooIBjKek/iARpYixWmhNhjSkAeyCapQYap/VmFJ7XI3o0UUgknovjz7GKvR2
apVClbPx5vnOJHoyuR3Mzolmn5ikg8naVUpsR1dxOGqIAhorAGTEelb1V6isJkqd/LHmzTidxJVp
RoDbBY5d4ptJ/bPhFegTpgc1rsNDFzcl1alC3qhFj6Gk4u7KS18Da0V65TChom8yk4YAwei6iw7b
l7GbFq29TSJb5GdMg8W0w7w5J1cSiJFqjbhzHGGel1NG6cfsMIDnQ1zaUL7BCiDmFgpQb/DJ4Bbb
UYn066IZQbiGTWtprgpvRbtK0LjTV1D86ioWs8D6Es3MiXj6Ea4hAScltkvQn647vVGIKQ78QN4X
RLapd1DVwhlazlhj9k5DjUwq0jRVKriBSm9JyHqXkc4E+3hbaz1BOJUoCvoAxhA8J/FgBW5Uj0qy
ykYR4UqKpHln2aWE7XaK6e0SCFKgpJxC4w6zLlUiXOIpHKHahLHe9KO8StVytgMnNaEpAV+b6hol
bxYS0OF34VXQJSaCfTPERWwUCfG8acZPvwoh8EWsXfBkHDXTUxhCKVQhx+iAJpySUDbsfV4q6bmr
OtW4hXDVTLumIbITCb+WDXbm1RjngZhMchqA1R7GJpReoUV2GhAbVR6bUx1rWX0YIklXvVKK+/o9
yqZ5V6uThZGmBBVCqS7jYIY0EOPGvIBYKMlnFhlUZVvh+J4AHaqqm+eyVduerpaw4LaJQXIfYe2A
yxT8lxli6d4LqtQm5lTBRtFjgy4QYGpWlTYfXRVDfXHtpMWntNYmVZzkDJvevoEgMHp9bYhqyy9B
vKNs5TohyWZ0tjK5+gQS2dDPK6IWE8JAXBgBAE2eFdRfJdGiu2xUtX+bYz/mrXa1BGXexrPRv8oD
6ViboLMJQlbsKlEIGdQzw8mLuB3gNdSx7pBOha+1zg3AcCCqUtOdw4h0pzFVsa6I1u7ti7ENy2ZD
JljxbvFR9Zuw5Rt+yxo11FxLqvJDOwfydExHXyJKwip7a6diC5e9iY9nWKWh3p9apKXBYeysNr22
iEXS1nUWK4oXglRWPKGGAXKRkAgpUC9g5RGnJ1AoktjQbIysSWZtQlJnSpeZlBUMACGPQZpsep1G
4RuXYzKI+ykt5H5j8iM1TFwSwx5NPyEMljb2xZaUU1yrrSp3havBrPNdK+4DgNuNmXzMrYk9dMAw
TlMuKzSx1Tu8qE96olXNLuTEY28jqc7UQwl+Xjvjmh2Mh6LAGnY9yHZeAqsiXW+jFANGgZl0SgQK
eWs/VHobXeBikQJPSePiQxYdzuSwrIhHnVui5rzEL4uSmrVmpTdVbRFcSPYMJDgbKNyL1tstQpmk
CG8L3KG2m9dY2dyEz/9EACuCuk5Y0bQ1AxATrmgWLlJscODfDkkoUF00IRV3m6/xscDtuzyzNLtq
unqBvBFzfUqmpLph4jdB/qgEeG4wvTNr5HkDHS+EJXZLx6Ck+RxYGB6C0dfhy1lWXBKQoMgh7681
8DBHtZ7RyCJuxSv1GIM+UbjEdGmiBMFXjEQLPUI8I2BxLKoQt47dSvVJDDbGOuYLbVsIPY7dyVSi
/KkN8CyQ0zfbT5iWDc1VLGswPqtqCgkpFQRVUsEPF87eFA7KquqsTDoalRzVK2RAqbGfB0EPLBjk
zkakJSbZkWFidgQVde20pugN6QEGp4m+tkFt75CfRzRvIBftvA/5WpAaSLFMk6DLx3ZfkQZGu8Yo
9cwjHZIcgUqWfbxUaRord21b15TATS2w9zJLOYXwIeP4O1IUYo9iTDbBujmFG2Cy9MaY1ioZMrgZ
oCbWNdqBuChkiK0+mXKhWWjmM+mevY0DMJOT/dQFkDZ4k/gLsIpSlIAqzJ0MQQferdSmCIMf4ZJk
5sKBeES7TyltGoclpE30kA7m0sTbKg34FankKQTkzQLMMF1Io/4ogK3U+NZwTbgMKKzuE1QmBEwN
neR+CqG4FUOiB+uWNeA5murhJhaR1rrYl/gU07SWLkvJN4kNKeN+wNpnAlpT4t6OcQIrUr2abAlT
lF1odbw2w75SVn01Iuin1Bh/KplSA2G1xYARoMumV8SATe/GmgrvL6kJWfYooFsSUi/RWDhyBB48
RU4V2qdZSRJNpACeLfoSI0OnkGCJn7+3fWbk3niAeRzmuyjLJZANoSBPCYygb7hmEU1XVP2w4xlN
SeO3VqTSWhdGnB7aVJeQ9RmNdm/OMGOdrBEcTJsgleOV2hM76KJrGuaVWRbtVTjPicnvE+ogZxJS
XpzKNOg0xXhakJikJGg4zZBw4pQJwnkkC1Twyeezmjt9BXGQqmOlvodmnbMADiplrabPaaFZrASK
k2R9Jbn1zGIAPzgmbS6ak/wFgxZ5vaVaiNveskEUFeBB9rVcg9wUUgxF0shj0zODvgFB0oiZTr6N
hYYNEl04iiSBbzudrsgKLSMzidfKhDb/HJAjFVxOYVra8BOtDKZGHff9cCDCZFY9ifk9csFZFCEc
lBR8QFoN8XijzFmv07bVcJdosTb3m0RrYdPPssbYycLJEFi4EqImMMFIpFbEtoLuPYg0P9qTxRqU
Jv2WRjPp3uj+KM9IWSLc5kWF3SA4KuoU6USIsVVgfVUq0IE22UTIx3oUrlrilpKqlc9sW4jdqOem
qeBDDL6/0qSMjCAWREA3KDiJuAykiY4qSbVIQDgcIvfJuyZi7cjxGGmcBB8raQq6fZ0SZ8PFakFV
uDCnK6uLKnsF2oZQCFsKMXDWZNFOq9kKomJF4aemf4qEC6dsFSs8/opH4PFm9H0L/qLZdFqbXslS
0ROTCE7poQixbrIHrwhZCupau4Yb0O91Is6BejBDQQ3D5+cGU220rhpAkXH8oqEdNLS+3T8SHKw+
TpxtGW4K7oe1DO+XaBk5g7PdR1MbePw9fIAm5EK1Cox3av2IAYtx6hp3ktUKiLMMuUPnNwezBgcW
V0WXSye5Rp3OkCd72Y2LiRJ5T00BtLmI4kcfO1PtSJKP96VT2STSW43oT2Yi7l5qFnXwepWkQIJT
shYXU+oPD1VsoXwNAEZBBhelQTDTTKMrFwLPO2w2sqTJXESFwMa1hmqgQAreTiSPglCfq/wWVxhG
soms23bNts880/A1ZGAF6Ri4REnGj4oS1bFr6f2oOpaV0jbPS3/i6jRnnAqr1LXAIZGttAwT22qW
ATeQf1v1H2mr0JrD0slnCAGK6NUu7kz+jWq29003hW9FUlMynS1hgy+FQP2ZW1P5YEQxlEDfZy8l
J8TQ06rDsQM5I2mOk1nzreq1NC7rDfZAfI9SDA2IXAmKnhyHXghqNg9zro2ZpwQxuT0jXN/zyExX
3tlRXRnuGJoIO/GRJ+aqIrxwnemmDLM8NBJjjRMVYLuZ68OiGyN+w+2VilUvmeL5CnBSQGuaxRQv
TR8E+zDOpTtyv035rrQUf3DqOukv50pTz2PT0SAHbitdRzGRY54h98baDrvuWMm9RliJDoeEWa0s
XiFDFee+48jIFjshi6pRDMKtiSoECJuJnK4py4HvbwgzjMddbHDQwGuuAnep8pzckl7XV5nUsHqS
m6rUK1uM+csI3F1jydVqjJm530+YUpNAbzkG45Qm4Nwp65xpmuGDPe9gMtvYTxIml/oqkSUo44gx
km5am4tt/w4eBenVTqlMAU4tW62V9jLMpZSvUirlBsEhGyD+xIT3cp/V43w3mHxeYIZyvV93pUoG
3dDqBAE1cX+rcRSsXYtTKFChmRhFhlKMD6poRwudkgSyaZzZtLvmPHMM4WsFNe7KnRFOo6dobfhR
V1KjYe225pexarr3uMKcjOGNVYdxKgGmKKWqQwaGMRd1QAUrSIecE64zAk3RneTECxFJ07ADnjNF
vS8iVb7vY2ZvJttUJiHNhHgZgxlLvCod5RP87DTjPZS0nU126u9Bh0V5Y1ph8ljqqUquGhkAa3Ce
C8FYme1Hfeyk8qwkxuBz8jJUvXztIg5yt2lGk+yZZzsJL5GGavLCka33Av2mm17+7jXsaYKSjmgi
vPJhkGAlJmtaO2Rmp99qhtLhVGUriCS7p5pgQ5EawvgAUA1cvWEmkuYpfSNvKMhWb6D7NeY2I2az
YrYdiB9NEFiHX1qwIS+wOpEOU5WcFPpm1Lf6MGOVr9hvgngS43w7A4l/Dgwb7gWAFvFoTbpxkU/8
EOQqLUtFNBj9/RDVMszDWq5QyTH6NYfyqc5a25VK4dgmNTQo6nUJuqCO0fxUTbkgGtI+f8vIHmHm
o0sL7UKPB+F2rdns1bzoRm8ifw3IlpVlaIQwnb5IcJ4ArOgFEjQIOmARaX8SWsxWo7uumwzWIr5v
NMSiyVA8F5Vks8hXI7i3CF8dgYfoc4gGl6INZT+VWwXaj0ZhHoytaQ46mYA9hWcYH7KoTiC+sDlH
0APMYw8S7DGvgeGtIqMsIXHpmXIrQUFEA9Kz2UV9ZCx7tzSuAf52C3prluJ7tnwTG9CQNdSFsMTH
T9xAgmhby8nq01tBvE+CGBoJbKfVb6T7IbsTpO9S5zFFkm5G1uoSWnfKdFiMNpxEKcjIN0xJRMYA
0UXpczUwzSBK09hmz/Kc3kmVNV/6cTB+1Bl0GLam0Ljxavc93GEpUD2VZKLoc8ZnhIievbG090XU
CjyOc0h/uq9JhbLqjtxEC9Ny5FbCglzCqVeWn7NMm1F/qBBCvRpwCYb6iHmnw/l+his2FDt8m/UT
uSA1m6Y+qi2wNHMywe6SJmtUspuQNEu+r6qbIBKVbEm6k1wuTmyMB4pYFTMn1TcKB3H2LMdGL4AS
i6bdEERDmQqLPmf124RtXMXCN+D8f8RSHoU3NBVBo6AqmhO+01CX0+Y6VVMdHZYx0nCp8OmVF5Zv
IBQcE4lkqHxMmKcVn9OymXBeiUwjAplv+R961WefbG67pxI/rEKSZ9mln/HI7nuNG1VF1mkUithN
TRkXNyG8wgqSutWGt0ZLs5oqQBU/tEF7nScTjD69bwUWSIYGFm42u7GEP9zWw5Vf6gq0PWweGbSH
nLT1QvvkvJuswtJ8z1NlfIptq/EyK7A3hjnsm2XLKZViY2XwIRMxKNpbYGlTePh7yafkgznG247j
OV/1TSSdJSOHEqkrccciWWrUDGOpaZ8oS+gcZUxKsBulGfTLv1sFaQo1xz8O6HkAuKWIYci1ddxd
QssUN5zMII1ZXcj2dBqs5lyCmWKNwXJ79+O68J8qqUTX0BHBGyWErOryl7pwbuO4nAAAcwCJkUlQ
okQ76NvQwqXxF4vDHAzpu9BDor1PJJL9tWg7qmM7wyN0hER2Z8AyuNLaafzFljdXoSUi0/KmLSIM
60vxvjF0rS1CfCGdZtZ7DkH5EWGL+pOr/C6z+LZVwWVsAPyCzTmNRmXxOX5b6W6CFm5z20gI6KTU
X0OCYiPu91peeWaTTKcIw+ppMGXOFElQSXfYDlEzG/ief9Ks+KsXiH+NgvvS8NS+GiB63deEJPEC
2Shjem5NCPRyI/NNSH+0K/4XNFeX/2Y53fhOv/lsVi/ty98+8jZqp9NL9vGf/3HdNc2XdKjlP/iH
6kpikP1m2zSuyF5CbvF7N+IfdlhcrYZKMx+AI91TRDiMkj9kV5b4jSRvm+4gpleioDRaKX+orjTx
m7BoPSGVosFLZ/6XDIn69wOERACN3uqi3FEUgLC/Gym/Hak+ODn4PnDnnFLWKNXkcoTKvaOq/Dhq
LTrwfo5LDlxFlc71WWaRMa59qmIx6sIaV10txhKURqjaqoXum/plv42zGssZigiLyo1fy1dJYRf3
YcCB1yEWFwkl6Uzknxah4QPgCNk2rCW4PUB/RZ6TA+LmkL1Gim3JVIUZERjGUHtUT7trfe5hDNmK
hIA/r5uFwSQBu5eowyglXFOX7VYhu1MRGZDDg2qgPKR1+qPo1LYB32HjyZAHVA7s8v4vZ+e1Gzey
tutb2fjPCTCHH9gnHdhqSbZlOconhOXAnFlMV7+fkg9GzW40oQ2sWRjMYFxdgVVfeEOVAfsNiMbS
OOaVGsyuoRxIdqEihO9ELbIlVvqoIOvd8hP6KvNVvdfso6qR3Zm+3U4sVYakKbDpzmtCNBxeHaOH
f/fF/ykEukNIXrf/938u7Q14OEQXuEEAfCyuxFopep01cxLA7GGCIx5YSfQ65sqDdQa6end9uJdO
7X+3ljwLEjWD8PzL/9BzPL21ghjLFRR8eLhJ52b8jxEganeJHZrDMyGsjuFgF9e4QRbllP2avZbS
TDW0aGS3HAFaX7Qzrv8keU+e/CJLo9XryU42f2Mbi1/U4rSShGEhdTUTXg3KHaWOXh/a8RB1jGE+
OAkSJrjOILZJKwLp/H2BFczaz3iBsL3+Ha5JP5HeJRxirN74NE9Xxrap0XKRYwRBNRW5mTIOSv1D
WtAio2bZDRgVBQoSxbqrqQhJ0a2j/E0iro0yf0A2XZ9/GlSqvK8ceZdGYzb2qFUQbopq/q11RuA8
mh0opU/IVExYqPRjW1lbVe8A7G2vr+lpF9aEy8yHTt2LdxY4G+/66VxUtGynuLOgiMaxW/6YaXHn
ezsyMMm6PpB8S08XTbL56fY5+N4CDFwcXySLAk5HkLNozoiGUp1qk/M+KXPkzwvEOqftYOXwWK+P
uvxoKMHxyRgELCBvoFvrp9PLXbTgCiQtwg3C5sDm02ryDToneEQhA3t9rLMZAp9Ef5fPRQf9QiJ/
OlYICz3T0wyrO1QIIVVoBh3NG3pGvXs71Z2l33ViGMc1SOIp8owdtFU+CUMHTkrxT7MWw3ZB7xp5
C7cBa62ZSorWpg95QBC/QQC9/aqBO/K73K5+Xp/t2coyLAgZ+wVAbOju4mOc9XyYSt2kYmGq81xv
NWsY3yGYVUGt0Urz1/XR5Cd1cnrACViaCRaYYXnvFpN0ulTv59lB0mxWUmnqUTmHQBjGQQky76F1
dBU1RoM2Bgu8coTAPJ8NTniIM6MG4giPxuXGUvaqkdSij7dBtKgqcD7wzLZ4bJtiTn9maF+gXWOH
/O6Da80OwphpmKItrvVKVgDyrwCPBKgtd7YGkSZt7OnBGZO+eDf1BsRqtRCZ/qEeQQLzTKY6hWR4
mHM5f0TEfiwPARucfyznoul8e9Am2nsioD7xWHWqPW/0AIW1j3OA6vdfI64ra7hRW8xaNCCqjjp/
qeMeE4dQrefwy2AOVM9lgp6kSOfHuvk+LkioPxaYwaHurof0A7ZDZoTOHdrhKHJuB22gW4zvQTm9
b5FZyvejO9bN5IdzrM+CNlwR698StArRgsRUIzepMSeOl32J5gyuazSGM96EFerKCBgjgT1/F64e
Z7uwtzB9N1OMAiGiOSJCn6fKsiG560LViN4D8Clg6k1lDrU8nENv9iMFX94ez2Dyj+esABd7r4dm
k+3IOT1JgVdtxS3fRw7adPmRk+uMA0Vqa/R23dyjn0ajU1FSwASOjsgCegb5aDxgnVhP5l+EhGkr
3oCCzaDRlmCJJ31fKGiaOlthBBMqwpjcT8UxjHPF/eMpuSe+6HgfTH9T26oooo5l5FToflf4tiDn
SvUtNujKUxXXBqX9Q2TjdDtnmqPkj+dRgrtVjICYhKp7Uuv3ylhU+CXF4YyEraOpIxRLmgpQusyh
pXWrA5PJvpn6rFHRtLUSCS3INvQ7wyGHBIlgfH+MCioo7230wXl9lMKL2k8R7onFA7FL9TdPKtd7
DFGSjOytAICbfqcFEUa86ZkKtdZOx0lF2duK9cepgAJwhxVQW/qGQNeNg4tFxq3bWYRHu7iwwvHL
VDXjTeg5SN5WpQnMvKEugjB1hTifdRs5GNvHaq55+7IbClchOgqFPT+7hRLAcqvYshJzI7c00wOd
S6OATlfrkWYfqiJGPXwHPDiap40bWtoeZ5cWIiMI27vBdnvjMGLlmx2HindlRJKoQ6wvvHVDxXLI
qoDDJJ+pI+XiK2Z58yS21LfUCDVe2uMcXVfLRz/VDexRNq2KQjK2EhZGat/0TphAS/qwh8hEUw1r
1M1MtRpBWWEWAMA2YuhsyFu0WgaIvagsHo0Rwe1tV1W2HdK/TFX9AVlHVhaOcT2bz8iOaUhB2YhQ
75Fg7ZCxDptUl5gYAlJ1GMaEXk6iur5Vl7V4T2muQjh5crXpnY0vKWJ1dJh7uKc6wro3A/rr4/1U
Olp0cAdHC99pFk2Zrw7C/Kl41yPmRl1iGKJSKn0PuTkeq1jtAvc5a8Kg/RKAD4r1zdwk2Qhd0sHI
BiTqiNPMl7Y34/jGBiUwiNvcoX9y7FMnNaBOj0XX6B8abFawaVZzPAo+lq47tijvtwY3xWYOUN18
moZB774JJcdqKZ4VTf1KcVQVSMJjOHBUGqOj2BRE3aM5Dqb5a+osJ1t7EE+vazIoQL1ctuQvKK8R
Jy7CswCjklRxA6RVJ8TIyyJtj21e1jSrcTmqRspJ19+m8/EoHjiq5vI6EH+/CJa8ArIlqmFqop88
nx5pdIMCdXtTOpA+XYNLep4Na2W807dQzg9mBUUYcI8cOG+JjlYCu++7wcXvNC3dLadx9LHAoTXR
wbp3hattyjxAw842ypUYbpETvAxN9QD7AiplgOuXeHNREldk+kyCJqI2uk25KkYUb7PgDm+S+huM
0gmjSzZnWzUNnOwkH3JfNppS0E/FGrT5LHYlenVV4leguioUJhmivFp4LTQoUQ54i0VTaNwmQtOP
lhMbK1nH6fYSXzn82RZSQXScHPAui1FoKySGNQf136bMcVlJ6zaadmVGXHmojUwUvo3Vi7Oyx8tU
R6JniSBBOOswMvQlJckOprEqgQP+rfnK+m1mYgdwaNA4HX1y9KHHDCvtgm3XdDP5aTBhmBkk6vT9
LSdbTh3IqeFh3QIS2tKMRcFvtOw6cIEoEfhEAQnZoRrDRlJaM9doYIdYvPc0Ww2jXpn+8ohjXmvC
QKPKSSRNliV3/tXO6kY4AW80zRsDNycqx9E4ddioCu0RUFwZHcrWkoC1GZ3YLrZi4+b6vE9jW3nM
6Q2TpwAZVUGy28bp8MDbbGFaseNjUKNiKAbUINQHzAYLAqWV43VhLAo7cOlkHccyncUaZ3qHWC5p
qk+M7d2HRFqb0bLShwq6yP6t09KZFceJswyqV12saibUfpisWvGHKHTwvhzBfoQo6GM5ZHTV/fXB
TtOSl6tCNmoA9poAC7izTtdw0mPdsoowPLRJ4x6TRvpvmGjc65UAfYibL735RDFW2A4XRnXxrQBK
r5GGkZ+cjhq6LcGvYSp+ZmXdx1LXUde0J4FCgqp/yhQcxTR45M3KHi4qvEzWRkBOJXMAZgzbYsnQ
QmObMERHnLJ05lQ9gGccCOz1SYqsoJLue2qoBCGKkiXEIxhyeYkEqOoM4Bfou3UrP+fsSFEaMZk8
zBnSUO6QxSIInNyk/etBJJoybGmQNNnXXuCPQHs77t665C8XFQmvafAEQkg6HQ1Usdbpoq0PLjiG
xgcQjQCLqw1on6Jq6zp5+1vY9OpWrojTa5klh4dKAsqtxFtEbrYY1uzrcsRbuj0ANVI/JYY+PKL2
izq2EAJ+sabZayOe3skvI0LUoP7EA4ia3LKWAPBBMQThH66q2l5v8vBDoSTOATxC9Y1D/R2Z6AL+
dDjegzhLPl7/nJY3IttI0YvPiZIcl5Mnl+PVjThWpor3QtAdppKkM82k/lRctp9xN0EBAQtTWNaV
g6FEOq7sr3b6zMp565LUQ7hBm4QEXB63V0MHIVIPUT/2h16E6BO43YyiWu79auZ+PE5QLrbzAPbF
03B4yXox3IDZsA+pank7JwbGpou+34lAr9qVI3B2zjlG0IDYSppSXDWLc15WNo9D10wHpR577MtE
dVDa+WePP8bKzXm2+owEEY2mCcV76H2La8WK61yU7Yy8dNxgdlwg5ToDYD8Cf1OeOqBc95AQgAY4
YbdG/rw0SZgfsjTP4PC1T1e/NLEeNWckvqmqEePRsEyBAoU/wUm7v6+fsZdv5r8qCzsNa8ckdvYo
tKgwChc7bSqon6FXrx1YAZTs0IkG0dOUh0L65NaZ3W5LbMvApdYhXm6TdujaxN66IKg+IRJv+3NW
fzNznDxDEjUw32iu5mka/SkUe+3WOd0Rom1I5oSgJkRcPn4K0afL0uV5zUAYElsx2o63mTKa8w9F
yRBGEGGQfnAwG3vMexXz2K03IZp3famWw3O1eqbl6ZwGiqdcQ6fDp4M79pljzT5guf5YKFXxkc70
z1SL+gMVhGzbRhjnFkrc+dcHPn3geGPkwJKvL+UsacQu3nArb8fUHiPVd0yt+J2hopvvwFIip5Mb
ToUUhAnsI6Zd9OX6uKfXrRxXJlT0qzz41hwNeTm+ugRgWZeh04CYEDEyWhTd9V1Rjvohi0p2GtfY
4//HeOwxHzbJFVW/0/GqCWudMqCUbgUOOKjZHd4pgOLRfkqeIwxAV67XS9PTZRXc02h9ESadDqcY
VZMJt1Z928QOprAasrYuEtZGkIxTdsMQeeWRvjgi5VrN5FZnN+UJe7WgZWd4sUb07mPiFu5Ur9YP
E2XDvRFgYpqP5prqnTyR/33b/zaQfcPL3oa+S4x0Ol5mKgCJKp0FNVFtDqOpfxz4J7ventwVgb1L
QxlSuVe+VZBrFx8HbFvCZ6ys/Dkoon07TWgfliV69qjYB8qbHoF/8+J2RAOA68tW9cVgnTaEsGNi
zU+G0bpvrcgFE98AnKVa93j9TJ7PS+IE+PSIa3kIncWZzBGXnIfEUn299xy8GxHYUjF+/pK2tfOm
6FnOCqgAqrQk+iop2DLW6PDirBJkkf0UtPbeMoW5a8LE3UYD2b4KXWfP/ZL6b58fGbXcObZIsxbz
A8g3qL3bqb5bYti+6TD9+jyakPSQadIgzV0f7fwKRS0E+jWvDcAba/l6A+JNe0x4dT92FCy0tdJB
pI3WqIu11Ni0Rg2BRsc2CuC4FXxCQ7nL4pUJn1+mVBBkn1viMmjGLyYMLBNoZQ+YWJ+VlvZcPm6L
Kqv8mkLAtkoQUDfnJHv71spMj8sGCI1nL6EtzpzlOkhWza9tB0d0wvdjyGt3N8WOtq8N1FxzMTVv
/iRJ5vnwKVDxaqrG4utncQWaLaPhA+T93qvZ4GsTAnBW7rYfrm/rpTWVgRLHl36Js2wbw6YchaGU
KLwZBOP48ogjeRMxYpbOh17xpOEHtsfXB73wZbqu4SJaAVSIpH3xKsbgBxJrRlZOxBOYTxs5MFHP
6Y20Clk5tnKlTu9Rtgz+OfgN2dBcnpnYoJCLya7mY0ymbyEMGkB34uE+GJXoMdPzdGW8C1PjhBL3
OYiAWCzr6b2d2yUuZwnj6WUocbnd+GBG+e+0Hrub64soF2k5Mz5/hK35Jm3EqU9Honc0pOBfZ7/y
4u67Kgq0oNSsSFZe9vNhqDxQtaOTZhNReIthvLnNx6YINR8xdBPaUEmJCY1P3fh2fTrn9wt1FRA1
BEkUkXgbTqfjesqotCgF+GhWcya4iPyZMvBvFXbXFp0fhKYsu/cTDE9WnqTzIyKhOhaseprOFJH0
05FnV+kyOFWa35uD4he18delNwBHVn+ijmjvrs/z0mhUJmlQ2iTf+jISLsgbMFKzNX80ipqMC5Wd
fQdgfAthAGxlPDntG0eU1XXTpssN4x3mtre4NgOlDso8nDvaY1607T3tj9Cd29FGW5Q29LCymssP
gNF41imMAXoBFiXV2F8HSgV2h16pet1eKL16rIkJD0peBhm6rvCD3hiVvQxGpAu9WcPz116kFRap
ahl1DIbfRHTQIfPv0lzUt3MfojBXlfbKN3daU5CVZSbHvSwBYVSZl1R7N1Zp7/YwZ0YNB5UirKaP
8FYDazeJPLljvPZdMDfBUQer+J2/q994u8jxwXIixkPhCp7LYnHblNAJqghCtCH23tRTEx8ocL1J
8XZeOTVn+wgEA/CjxH6AxwCWcbqPI9pa4B8MKJ+tPT3B9quihwo2QHJrx1X6cP2juDQYAhE8eFTA
+BIXHz9cd6CxsUmYVBXJXeCmaNWXdEg7r63ePi/KjbIUYXE43eUWjtiImbVtQlnQIgwbMywg1I0C
d4n+31AXP948MR5qPj7eHkZzFxuWCjsACMa3B4cs8smS3K9p7SW7LirMT9eHWr7kEun7Ap7hXJBs
SyeG1x8eLDKR1YGDCWHQdbc2quikFubetl3SIuQEtlU1r6lcLCwR+CCo5shqOMVEg+OyvFtCV08C
WvT4gbb19KBYHJNNZDfdzQxX/zZINe3O0UXgg4BTEUA3jAnDJC3DwbUbi09ZgQNtnXjIZL15LWzA
lQTirsXTeFZ+g79eaA69fN20Cx85HVwGa7Oc9iH4nBs7b2K/qcwwe+uw/HFI3RAeGzJtkyYVr7eg
g+BvgBQZ9qAlJrB+gArNxjK2YLbmo9o1FB20buV9Pvt05JgSZshOkAmoy9s9HJUxSstBGiukf2ND
eH5LvHAsYRS99TDLoUzKt+w6JZ1lxGEkAlbgFA/7wbSUTZbDqUr6rD4Wk5OuhKUmK/U6uOEwEbdR
vrVUpNvAJZ2uZDzP9Vzb9rBvTcV8nzhNtYXNPKx8MpfWjqyNEEqmiMD7TkeJjKnTdeEMmDXU/S0E
zdrvMX3NNq1Sr2VrZ5+nnJHsdPBpAkxa+tZg/CgMgOJQr2rd2HnWXG9qwDofI0jVGy0dbD8TWLZe
/w4uTFAWomW5lauOgON0gnGQjhrUx3EvEvw1QM9neEx4016D0+RfH+rC/GjicBVw9untLuMavZq6
QriUcgd9Mn67hopwfGIUAZwDaCalqY6HgLT0+fqolyYoYZDgzWR57azzGKlRYzTaAGmv/2uIUrtH
D8GluGZOKyWnyyOhsqM6PFHM8XQpTbQCJU6f7yxWw5vZVrhRvNbD5xkF7uuTWobCHH6wnf8NtbhG
nCBCq6WYhr3rplh/OWlRbfoqaLcYxEq+VhA9QJ1MtkpTDisBzgI8x4UuxwaaDjKSWj3H5nSauOkh
JSjmYd913oDyrjkcPcj9D5kzwlIhX4KHW8QtsjDopsEVdifvQcUx/IPaosbNQ5EcJw9BYmztWskh
ogNOKqsqK0t04X6g2c07xwNu0+aX//5VOS4gefRMqox7rev+wu6cPvdoCa1cD8tQXa6FQXaKziIC
qqzG6SCznaWUbdhyBIHS24rb13ebwLh3+8jYa+OkrZQazqJLOZ5t2VQaSA4MZzEpIFVQv7Oe8WpT
99uOjrYhzNin+KTtXFe0PvdHuEVlB+pxNRaH68fu0hdscOuSK3MOiA1Op4v/TyqCGCBbbY/ZO63W
8JZtbXd8h1bO7G7cMhMfOquzzH92WL/G/w3/lA//bvXXSPmLy0xiCXRCtsuWiI1Zy4axVzlykMzE
jozWvWs7B2OEPGt2fequNQMunHGEUBCzlM+0QT60+L76FkTjbGs92gJ1FqC5bSd/qHRan2FDjB22
FY3pT2Bwf/fJ0O+qJg7rnaKa9R/o5hBh1ahCob0Psg4/gxGxI/DR2NgjX/Dz+oacXzkcBpJESk/s
B7CZ0w1Bzz+nFt3DMu1JSqHjVdrearRS2+LbZgQrMfj5Nsg4gt4hhSBERZdygHxshl0Bb9tLS78N
sJX5CX4GtwxWrsxW0VYu1EvjmfQoUSHkEyYeP52dVmVz1s9uv0fdph8ARk1B9qXMYjxlW5Fgouiy
T+XKoBeWFBVYknwK0EgWG/ITfHVvdCYtdaEmiG1UMTxW2mvfYOtXPwOI7sn2+vad31FoFVNVIFtk
mpy107FA0E0uck8wkyPR/tF7NN6z1Bm+XR9Fk3/Maah0OsxiHVtzaAY7RuO8BwyFC1gXfdcaNalJ
bXT9b220jvJOQ4kDTLPSi2/AQ41dAQAXDTdcnFhomuLXf9LZIhPpSBFGlplyOCXR04ln5HdGSZzg
a0Eb7XJQTzdlFKhopRlr3/LZIZL61qDriPF5tAiuTocK6xCqJhoIfhn34gFMGb4UuVpt1KkusLJJ
xbjyQF4YEBEy8kcaGIZDHfx0wGhIkddGRxmpB6u4V9l3fFfh9LhehAW7cJRx5aU7exRIwOmo8X9U
4TRW9nRAMresK6ZE98dALT/ocWg/qkZq/A1Ri8LZA1woRTkkfaZbJLTU/Aay6rzyE87iETm6CzeD
RpRs4C5OGMEejtdpr/thEdVPBU3M98h5iO9q25UT+kwJ8mJCtSFp6PXK6T4/Sqyl7pGVUU3lG1pE
XU40CDOwJ92npSI5TZYHCdewxDHMJyS3rp/bsweQeVrUOVWgQTrtsMW5rQwns8y5wsNrVPDNAHz8
yIr+zacw3lnQ6m6yQRO762NemiA9Az5NEF4ouy/W1qrUauAp0v2ympQ72N3tsEOIzbG+l6jduCtP
7YXDBAxU18GmkV2dFd5Hw1Msc+ikq7gV70x9Gu/m2oUWrxnVJ6MasBQI0+xdL8l+maqXf65P9uxG
5KCARYWCRU+DqE0uxqvbN0zmYBZVpsGAT/PbQDjBcfaSbmUbF/AulpEYgsPKNtInAtC2uBRUsJpo
6GK1gcZJ8A0Fx+HYouXzvc0zfBJRbyDDS6M2i/bZbOFUV056/4Oqs2Ou/JIL80XiU5UcFIRpKYae
zhcBe6ut6I35I6IhX2vQZsc+a+uVXPn8SpJAI24HadtKaXCxqnYzoiJFZuZnTfzX1CEXbVSPnQUx
nt8HLsj4N+8iz6dNk9+g+4Aq/ums4DmHPdmJ6RMt/IpcQ99BxV7r28gfffKqsXHEBCjTcvkRjC6u
vVbhxZi71kSDEIOQsi6rDSlYe+PpXbryXJ2tHxUGGLnSu0BCZ6WBwutT2RXoChrwFP0Y5a0e+yGg
QXbhFg9aW34MkrTfXV+/s6kxHocSnXOcbMmzluOhHtc5M/JtFG6CLyq4uB2w/wIDlKYxgpXNOrvT
GMxBddd5KasCvz6dnOLkZtkmieZPiIl9mr2u/ZJnM7BkY45uyc5oxKMTsRL5XBhU1o5NtNXB5EKA
PR00F0oDk4EZAu6s7lF+UO/QkrPwVzTtPSIoeHKh4fC2mVJ4g+bJkaQ0JUWTl8eyrRRVmUfVfqpi
vFUGEBmqCfhum0PG2zlj333NKHm/LWj+Nyhq7qbJrYrN8WKmvTahmZEL+6kfB/XGVCMdH5p5Hh+p
qpsb10pRgLh+ehZX+L8RqcBxUvku6Fudrq0XlmHWV4X1BIN6bvbF1Mx3FMoQgU0dLXgP8gVwn5FY
hNSVg5ipCutlxXFyEQ+8/ASmCm6XhiqV9MWjTB2rQxOESatFlx26rG9vibmxuHFqoDFpqm3y2Ch2
02gVK9HXy8l5dS28DE2uQLGH0wW4UX7Lr14QYUy9mwah+xSPQTq8Q7laNR6jzLQQTE8tHRc+tEia
960WGNvJFq6x7yvkF7fJoEXvS2vUoyNsJ+UGpVwx/23CQkfkS+3sIvbb1tHGXwAoOoHzVxdhwySQ
Ed9Wg+rgopoA7Li+k4t7h7kQHZvYYODpwlOlymV+NZe6KYXilBnLWOkoZVmiQ/ZrNLN2I7w0fa+J
YI09fH52GJFvkrhVMl+WzX644PCZFMt66gdFbGdT6b6PClqTXZTnt7BhtZvWUKcDbTS+1Q794esT
Xlx8LxOG40PaRX7J97KIddRS6cwhC+wnr4/EQXfLbhdG3ugjUjX714daUF+Q7qDoKW8eW6VSLQOr
08WNKhMq9ljZT/bQYG0pLDHSTdJg+5Z0f/BwcUW27VShvcMFufCQXTXQexqMwdtkcVWuOZ8sbsR/
P4emnUoLkfBneW4hf5h9hljdU02s8REeeU2ra8pQm6y0zezE6sHJYFxeX4QL682dSC9dUmEhVi0+
ltFVEEeoOvspoMh9sEt1eE4cJ9G2iAGbb+sN/JugVMogdIZTvXQKmQLbaJsktZ+0Uk++DhNZSaFP
ybEtkT+/Pq3z60furcxIgL5KZ4vTra09q1AUdv4ps3uk5PBK2qB1gIFGWh5jK1S26K6hAG6F8cr5
vTwwymCAjwyaEosPNjKaXjd7y35SBgq/Y4wBnuPlDiq0Hoqnotz3A3bclpav3LcLSLc8zATsDAo3
g/49vbbTGVu9iC0zqrMf5mg51ec+jzyUDd1Q+4JMMOKgpZW4lj/lBkFZnZu1s+Nspdh72tWQ35kg
/jnwQ6Xlh7Y3kr2hdL2x8uRf+OCoF2NeBLSP3j957+lvjMsOox0Iuj+ojv1AVT31rR61T1AN6FGF
tMMGFNVQNJ6xXQtHELcjSkxJhfTD9dNxfugposKmIO6gVW8v6/RdrLYiinr3iVp1dKt1/fjQ1r3y
cxosJV+Z9PlXDahXAl458RIYsLhkSM0rAD9x8JQWWXcXaEZzDCIr2QaTqnydNaDf7disfdXnzwZB
FV8aaTfdMYKA04VO5hDRVruPfzS6oTy2Seo9CexXWmhXpqBaKcbf11f00oDUBGWLBU+KM5CFixNP
FJpq8qNvrembHugtMr46sA4kIb6LTn2+PtzCAUCedqDzlPRNYGmYbSxpbFWW0IFwnPBHHQPE+VTm
SBJvNaAA6l0WISiqVAnWpZn+uyV+vmsMXLBR4Oq0QxW5wb632zSBaRuLzLeGLum/V0U7ryzJhY0n
myOtsyXBgsjzdA8mb5yMOGjdp6DBmLK0CLySsYMlX6XDLxPns00TJTww11fmwtGWsDlp1sFf1tIB
RwEeNxuTzajGHB/zMtXvZ2+0vqtKQq/l+ljndx1ni9gOSBSZCl3Y0xkqGa18HEGSH6qDeHNNLfqQ
N1KCHnnbOztSxeOkCZgDabtm0XE+S9nzlW53wAHogsi1fxUWVV0UtIOIsh/zXEpP5CTF8LotIvT9
cjNauS0uHDZGo7QOXImKAT2B09EUZIgFEjgpBq1wLLZFV1MQqBAVrB9gCxXdnqapNe3CLEAxMINI
4Pwc+3T8UCEJijqtHqh/VdG4zt1U9VKEMvPc5HPatZzT6xtytiy0ZijYorBGM4AmzeINiOlQQTDt
omcQYqgplgIhBaLkKdi74D0+Xx/sbPdlpELfQeKZ6X8tOdlzmjfWgOTqc64H6X1vo5+IeKR1UFie
TV8qxpcGhT+j7deAr2d3DQhA0Jo4c4G1R89zcblFxZjlOdIiPxPeh5+Fns13fV+NH6usHn8mdrpG
3L08HuhG4nAqU0taGprEVKrHVP8ZtHlxo2ee8q0fC9R/hZAOtJqardCzLg2IUCdIANAyPJWLCTpB
NsRxMJo/J7Vyf879aD8UyAvv1DYuEO821xAAy/YAXBcbnRtojsiwcMSXjvazRodcWLryy80bgfjR
UOPwreqYFzaBFxd3RhNl/XOGuo+loEhRdeVj3Npd96kwpjr04e2VXK1FCtBnJXcmHufjOsnmJEPt
heRqgN87i2taFVhQN+b9L6SEIgURKK/FmbpqszZ2tsOI52Fw73YUfEIFw4EPZkN1esO/JblTEivy
3lchVsomgsZQ6TQrH953lUDKoHBMtb1pCmcojiNsOGBexViot2TImnUzUwyMb5pJU3FnUftc+d4F
Avf2WKCwu3ep7/8yiBWQWKo6ovOh1+LiMc3y1o62iqlQjN/bldHU9QZidfLFRcVi+u5FnfMEyEOl
c2rGeCqDu0Bmy+xDsU+8IsMoKp+y56jrMKyoCsf9plQIfkiZM8wdBqQ7oodabyhVdJXBf7q1VJKR
YOe2iKwcy9C24kcnScRj0DXBeKMUQf4JtFE0bZTZNuPdlDjUkRSE0e4mvdM/I/DVaT+mfMabtkzT
PMHBORnvbCeckNunQooGOKCT/Etrjqp6RBqidIfNTLNo2FG1Se69agzcWzN0DbFxQqUBV5Y1KQTZ
uPKgr1tTVP9p80Alm6i1ZtzZs14+JumA9NigxWl278p2D9vnBV8sR7SF32IPgCSsnZrfJhdpl11c
Vml7CKZQuQ/yfPS28UCr+bMtHRSGPTC9ChygHQCniXA0CiPXH6HIfkcOVjV/pRHdWVDdaM35Xq0Y
f0389ErEOUtUYMudPSDKvoZtPbsW6Y4DBJDBHhRprqnTx0Lz0JfPK3X6xRWBMXw2CB+fgdCXWTUq
L4azg52Na248pCspwNnIqAyCC4BlD6wcSbnFo1jahmjyqTd/24OaN74uWiXcScfSj3iflF+anqJe
iDJxhpxyFyEssoa0PSsdEHhQUAf8RTcKdQX5A1+9yhOSX1aOoOlfZD3t8KPhdu53ZdBmArG8+TBE
RZLQSsCnIYlE/oXXaVp5qc9CLuQzqB28oLRJwZZrj9S6VpC4pM+E9xq01hwznQqlamPTK857pZgr
d2u1Hs4A15/C5YUtyT0yznMIuWXQvXh3M7fuxqpR7ecJKU6/nqf6WOludUDjYXz0rBq9g+sDmotL
kX4BBoAITsqivoaC6+lKiwy9m8AZvecQG7b5zpnQ+lHkG72CNlkGFBSB6HLRxsSilOB+2dVTFaWa
eWW9ZypF8cYc2/6zVYb5H70S1tu8G2kBMxZhC8VCiq3gpuUivzo9+mQGU6wPwbNalvNN0s7dbRvX
GFcH6rSt+6Zc2bRlC+jfgJL1DX0GXMkSjZa5cZbFXuk9e0jXf3R6r/8QuNLXXR2646TGTgg2iZoB
YtrmEVzeT1jhys31jTxLiV9mjTIIcRQnF1726aybXqvAPGfec14LlJ1RJ3LR4nXcL1HXT7fD5Jr7
yE7SX8MYBn/0aB4+ZFah5hsrR1zo+m9Z3h//fgrdFIRBqBm7y1NcCHWcu957rjxX2Eev79F26AX2
EKjc9vhDGVo935Z5mXzUxBR+vD76+ZGWaiT/jb5YCGsEDSBmLXiuhyLe2a074YwQuavbfv6tMg64
A25IWYNYcrUmQx8HOhwsOMp+n0yv0Xx77qwDT+NwZ8fe/LbO28sps2UaLkVHQBIt3oOyd+3J8yb3
eRws4zPyZNi/TNOAI4Vn/ujqJl451pc+WUC+RMZ8tKTJcp1ffUY9wCxglaH3nIWN9aCPTfhURO54
nM0kS1euoUtrSe+dUgM8LTpjixOTNkSEjR4zVtQ746EUdnZXGrGL7xOyqcWhyCzjy5uPCT1pmn4a
ZRvoHIvlhCE9uAoe9s9KoAlwbjYTxE2Cp3xlbhe+BgaSmwbYDs7BIumrcgoZZjUHz61alUhOBd7P
2ajwl4hFcKOjmrWty6D5nCRNe7g+xQs7KLMMC6gsLSqqN6c7iCToHJt14z1r6IV6B1Tmk3SDftS8
V8c+n1eihuWbyVcPFpcE3qImS8axiBrsWO+UTAuVZ+jEJn6N+jSBbdbt6FdQ4YGmC9woQsMLvl+f
5IWjwyUP/YfKGKf0rO6MrR8VZovlDZrwV9qV/Q2pInpiY6zsrVTUK9t5aTxo4AC7SOEYc9ErphnY
ZJo6Kc+K3Si3ythru77Up2yvuHFyb7IK6sqIl7YRjUn6CuSpdLgX20jbKfGCQFOew3oGWO3aabBF
LDYptoU0obi+nBduT8YiU5L4fpK4xS5mFiq5VdQHz4UJzWmPAF/9XcNUYs2d+tJpIe4g34dMwHFZ
fPFe3+BgNzvBs5OH4jjrw7RPsce+BTAX3Dv1nB2baQ5WHslLgwJxlMkfUK4zEjN0wtJLWxH+UsgU
tmbWAAMNCvsmijAaFJUw31V6nByur+j5oHAmZWeaBipyuksU4BD0ahyodvhLxBEyhbmF1o4A4YOB
zxjW94XeeNBY8DPYXR/3fCclV5MIiLoWVJ0llouKdTOGkcM3kXZGs6nZCEISSkZ/r49zfjy5QEHZ
sZweJ2dZl7ZFYucokke/xsHx7o0JN6RkcOxHU1fWMFOXhtLJB9A8k7o+S4JTHsZpooooZqghv5/w
Vvoc4QlGPFlmb75WcCg2uVgAnRDCLAPjECW3FoADs/KM4h1ePcoRDDafQh/duxHKl9cX8f9xdh67
cSPtGr4iAmQxb8kOUreS01ieDWHLMnNORV79eah/42YLIuYAkwADU12s9IU3vLNJQJ7xOHCHcpet
CRtGUNl5H/fxCxpV5i5GBfnZVSDX524Sn0dFFx4yhVvihOs0i49IBwUqD60LynzrOZqm2xRGUcYv
KkhcTA6TYKcbmGfHU6o/UGHu9qUixT8RhbK9myLK9fGc31tNQoulFMa2oQh3+TwFcT3ZNTJ9L1Tn
hlueSaxx7SL7jM9cfPvxUNeXNuETlWxwb5wFduvlUGbpYE9h1flLKzO93qt4zqRPAJkU8Y0KVfcp
rITlRBvze29QamEcNJJJQpvVS4FPZFoM5CAv2tiERzUs3U/UhfS7SRbRDUy5/4gWZYYWdQISZxN2
Ef9aBRqFa82NQXrzoje26ZmqiEevGttuN4Kf+pNQJt548a8XcHkFaUhR6FuUGpbI568IETBaUoS9
zF7UScwIQ4T2tyFGHKXVhllsfMx3xiKnQ8cDRMHy2q/GIoxA2nCs0hcUQvX5K27KpP/YoubKLeYA
5deP98vVaEsep8GlfCt+X31KpxFhNepx9yJR6/y3y+DWaQSoPL6KPvw/xiIzAyGxlDoohl1+RSwL
Kkud4/5FV9Ej6lQrC/a8ifpubJV4qwVxdc+QhFObXTIzaivkiZeDoeE6NXUg5Isr2/ZOD/AlgNpv
PsohucWich+LIt04e8vv/7vuiswD7SvgxBQAVHptq/mVlRMU+B6JFzVVCV86u6jVvaBWuJH3Xa8Z
5XyaSFzWcErgtlxOzU0HmDNoF7x09ChGT+Jmd4pkMHR+hoLOxnZcvtPlpJYUG3ESqB28Rmu4PV6q
SqTBxv6dmT1I+6gwv8E8SHz0gFGGVOLC16fA3YepKH5/vDWvqg1oCFooNHLcMcqALLQs8V+nTpcW
0sWo6f2hZGr9jJu8OpNZTZ/rxAhOyPiOvyu1V76ibiBPMKScf0Q+jRvfek3FpUJlLvKywODBeoIU
WNWN4kKRQTmb3Sv6+g0KzFaC9K8Z92FNXQxXxVMWq9qz4uqz8Q1P6ghQHPbON/loNik141z8RLU9
SG4zVSvVjbf0CsFAtEVeB0SVO5dnZf3j9BiwJ76l4rV2Uv3zYAT6TwWk1TMVb8xVs0X9T1I9gnok
zHOdFIONQJyiPc1aWC7BhDH808yp/K5aKmzGjeUTq52z/DiOBMzMJawAqXu5fBpuxh1mu+JVbTr3
HieM8FkzlQxHiNbRH8dkVlB+7GoXw3DK9blHdyKKdkNTjTedEY3RLkJ23NxYz/VTtfwoEmEiAbKa
RTXv8kfZA3HigFL66zxlEh8trfxjZlRVDVbts0hTa+srLPvj7/NDfZNw+A2WjWEGbIPLAaVj4oOu
Sfs1KRs1wtGw6JAEtlEVqaM2fCzbqlDv7AibYiNLemdX8lR/Dgpj8Epdy38XE/HMIRJd/t+sKBas
A6XfJVknATIBWay+BDbcC+JfC36nvflTSVFV9DBpQMLFLqqbPGleP94O6/uY4eit68QItL2BWa4u
rcDt27ovRfga8gjgA5fSEFFq5dxUKAiOejGcjNGJNr7++vJ6GxTnCyr8Noz6dbDpTpiXY1cIoQ67
Xty/I+NIy8v1Qyz6nno8hY/SbLXbNsR44+PpXu8zYAxwOxbYLFCpNV5mnKPaNDGze520ZPxRLbY/
URLrZ6OX6U460c3Hw119XWDWOIVxS/Pawc1fRWBESmocJ0mCvv7YokY8lMWL1Pup9d0hHz3qWrr0
IL1t5ZnmencvUHXCH1ZWB5a8Lghr2oyLkBOnr03G0amLhbHnYiToqxbv3u7jSV59UwajtamCXmE5
CSEuj1LV2AI7hD59BVoRT16ddaUCu5HqRxF3yn60JhTPPh7ynflRx1/Ex8AFEUus7jBsYDBCrob8
1cRy56YJHOeczwX8ihgI6/9nKAC4i6LFcmFczm42HKNK1Sp/xYY+3ueupiBoLjBBtVMKBBvzeudT
IqJE1EeGib6gs9ovVCERxVWa4hX0YuTHqdRveppRxwnD3ae8nLeKLe+OBzcN5As1kCtNTRiPqYZB
X/kaJ2bYelho192tKqR5DpuiVLyqMvQN6OTV2QfrspyG5boBH7peujSiJ6+kdv5qJYmEcFBX+6bE
ErTpUwA3aiu6u9ow08Oi+LQVNL2zbXhedEgjS9iCRtblWk6wMxN4RsVr1MsSy0La/Tctptkxne7c
2mj4v/NtGYy0hHucWH4tJYUPbIxmRFu+zkWq70vD6vdACuVxCPTQHyfcdz7eqO+Ox8u5kFUofq4/
bC5EH1W5LF/7Bj9kChLpbp6b/ImHq7hpeeY32gHXHxPDN1wM+ItUTlurjNZyca/KtfR1tkf1cx1i
nU2BeXqikL+FHb8OOQmi8PsicYZYSilrdS5gz6YawVL2GmI/6HjFLLKDlTnWd7dFzNiZ5nJXJ2oN
cmrQH60RG412mOuNFuL1B+ZH0CDg9TBUFnYVclKVnNRkKjmc9pwczRRXzNIo9N+2rBBzc8v/itZh
JISsAAguZDm0s1b3aqD3Q9Upc/HaTsbPtq+7m1Dn4apmexeTKh0+3j7Xywk0jE4sZUkM8NS1klUv
hj7VA6V/1VMjeIjVWTmkiRvfGvrw+t9HAklI2EFzH2DxKsKJ0eadOqUZXoNRVHezcKP9OITxIUeh
6PjxUMu++CvKA9aFXALoWCAMGgwkd7mM/kpVprnN7ETJxZ8Qh9RjpbVi32rO6Gu5EtxWIapBuWOG
uwgr3G+qA+rv4+HXcKT/jb+Ay7jxdELtZUv9Nf4IZHPsok77A/XBMPadU4t/OqPrj0U4wl6eKvVO
DYMfaiCcGxDcgHCseT4Ydjs/ql2+df2trt7l11AtoQdEtk98sE5Qad0CmUYP/Y9QBnvXhgEUDKsI
9M9poDvHNjAcL8rbQPOStNmigS0v8molUKfmCNMZ57pYV04tqduFCAv9D24JGa6N5fyPSGxloyC0
Tgv/N8VlgsQjqAisoXx5RxGzKDT9Twfm51bLFGwSWzfHT7FpooM6mcIrEsycpknO90mrPOgy7W9j
u7vNyrH6An66CTfCo3VjnN/0VurnvSNfJXhfvTqO7CWGTIb+xxLlzxb7k5sIhPuBN/JHjxtUgx6O
Fc07F5eszzV+d7sw7gFizQQ1H2/H1RH/3w/hhYAfQSWS/PlyN1Z1ARxZZMYfYI7xvnUT6zaO+uGg
DIay/3io9Y29jAXoi9lSoIAlsS7t9qMbQyk3otBTdAftVNfBsWnswn9lFra3cztDMm6xukM/D/Mb
JaCgDern18e/YrkhLzedvaiLqLyHQEb4+3LCWuiUowliBxu4pHVPveN+qprRGdAi6usvSYO4MUC1
Pt1a8eVDrsdlC9KPAIl4rS0yBUmppMYANVXq8UNl4wN330OF8UWtTH/aDLVhU4nDn4gi4sdeZqhK
mRIzhB4/Aoy5BrU6jS3Nto3o8p3raDGAAFhEho1QwRrm7KZmZLn4LYQemFT1PpR9dGtOiuP1qS39
qAjkScq69W3k1A+DkDYsu9Y4T3Mh9jrt6n8+Xp7r/egARCUeYy9CoViH1p1wB6tTS3zzUpjoN/hi
BY8sSuwlRrnFZrm6f970fCHRMA4lOn11CKuiHBWltYeQ3tCU+6DLMV4bqjzcUty72nMMBCGIPQfl
i+O+/PlfV7491nJqUEqBlhzkc7rH5tAQu6yL5wonO557D/RfF556MVblxvX3Bhi+2HgMTsy5VDnp
qXDRXg6Ofmc0VrPOxgugWk0H/D4icY6yKnyKc92UXubYnQqOHWDkDgMq1T1pQRA/w5iaS79OQqvw
aixTO0+g3U7GKjXiKkxdYSIYT/jexqWPY1JneKB6rXLfjG4Q/zSRSlM+WU0VFSczQQjTK/sYZCT+
jBMxvCaLpsZTGh5rLH1DD51fQzwWz1EeGVgvzXaj93vkIx0soShYzXCbGj2Lnz/ebO+sC1oANO1g
7cDmXl9+VL8xRJK6FnoW78FtgdvnvW7UuR+hwvgvSat8bjEJ2WIxXL25RDowSRYQBKUAUp7LFRnM
MguMNhfYe0J3am/HupwafxxaXTtn1WBnJ3hd4xkzqirf1zRsth79VdSK+CrqZDSdli4iPNo1SsiC
kgYVadQjrwMdhxWaMSwGp/AOVL90i/6XZYRbdParSTMmUlII7xHlLSXqy0mDapdaOyiMaZjl73Jo
cCNZvB0jge+AQFrraMJEOFhytjZOwDuzJUNAWYmnf6GOLNfAX6ePVC413VTQSpua+Mbuwjq9CYWY
w88dChfGXUnEnm/kBVc7i34+hTMK8XxmLrJVkKeFRp/0FDUT0MKG4XV2anW+1pha7uVjWPkKns/3
DWCbYOOdeasFXhx3si/wmgsLEdQL9OTL2U72ULq5rkOH6dShK06S1Ldt/Ap50ex7V2d03Uuj17ob
R6ZG3Pm2A9ToTlpx0d/bxUgocCD7nwWu70762GMcHHlaI4DM50reVzvH7YxjRGAN57Bq5wXbHedh
4kE7Du3fUZpZ/c4glFdvbZ3EOvJN+ovB2e04zQKPRxs35LTD9mRv5LkaP1gpBaFdZrZNtcsAZIYb
D9z6QQG6RWuVXcc/ACyvccMpsb5Kjia+j26/M8U3N0MzZvry8UWyDm3oXEFrhQgHz4AWnb3OlDqg
7PZcIDKgpU34pAml8Y1Yb3akyDxdkaLuy3yGOKIZ5aGnpXZqCnBkH/+I1UzffgNiFMTwQGQWiubl
yqvFGALQrVBVyCNzX6vDgLvAnNEICrY0vlcv59tQS76wFDAJYdeGTVWviKDBJfIgAje9H+UUnucE
89SPJ7Q6RP8bhah9kViFsb3m+SnSLRyrRSylLiPjEMVB4qe4Nx0UHp5zaOXGGevELYn9977im040
tlygVtfAJotXL7YdVlKy0n6fFdkJZ4gYJyr8Mz+e3+piepsfbwCvAQAcB4Da5YI5Qa66LecSlahE
3YHgV3zNTtpdXNXxnRKKLdH5974nOixLtgWIn9vncjw9wNsRtrR2aCDOPYquXFghWrAfU5gHelBK
r7fS/1hD+N8kOX0k3JwLZFMuB83FZCX15GL35BA01F3acOUDwlHxjT385+9pLAh9ahb0b+DVXA6F
VZgUQxOJg5kpU+lRIJowcwIc+AOTY2MXmnazUe9654syIsNh3oYQ41orMreSeayBUR/GMJS7sElm
TMWEfcS6t7kTU/TvxEV98/Es39mgbEvG4ppfup2rYx6BQ7N6VhnxlCz0rcFIDqPN42Yl+RZWc/Vm
L2vHvOg3LVythdl8+UErVRoidQP1oOOgfEj1qtxxy5c7vcqaxTV3PrTOXO2DYNyKmN+bJPfoUsgH
N0Jn5nJkCE1TEfc5diJxkO+aSe281iiRNnOdLaGEd07hQipfRJMWhsm6vu72TmfpKSYpSRXiJFLL
2U/6IX8UUUv/U+m2BEbfmxqo/CU6wPuBMS+ntnTvwp6a/iFcNo410V4MjCC/wVvg93/fKQvKjm4e
DxOYu8uREiR8bTUtmFQ0FeI3OU5vfdKI2zVvEuH8/PFo198RETqeHx4gKmsoF1+ORl1Z6KnLRV0B
czwohpsC3IixU5zi7KRmKIB/PN71dySn4i7jUeduAbJ5OV6HfP9MGds49JFq3hgZhgKRmOt/LSeI
Pn881Lpcw0FYxgLnw14EX7HmHcPjwqc57g3MnUCDPVRGEDUv1mhnSJWEsd3Ux0G2SXgwO4yjH6yG
7nTuy17kw9fKwan8Roy2+Z/VSvnUb5hYKjTIX6+hXBWi6jU1BSRZwyAwa49XMQ1/ScuY8505DWG+
R8kW6yR7iFPt9uMv8s5i0xoCtoMKzmIntvz5XzE1vdRKA8ZiHsKUxJVnxBGnIhLOAf/t2rcx/PI/
HvD6Knq7ZcFQ0DiBrrNa7SyeR8KQwj30bZke+mmInwNnKG7hA6v7pFba+1wPAg9ga7lxx6/rhyw+
oQCQRDpiXINIl1zONbI7PS96iYtSVKkwnkOz84ca652EeBgCqy7PeYEpdGwW1p0qpfqpHqryWM5y
/GrYtaRBOIuNHXn9/SF50JpaNM9ge6yxgwOe6yBKSkIjo4zOpmj7fTo1xTmCXfRQmc6nj7/+e8MB
36NGtMgdwf27/ATQ8njqeiR5FUR4v9QiS4WfOENagUAb5n2dGW52/HjI6+O9AE/R/KDXQTy91j1k
MR2qFaF+0NOoaD3QvDibt6DqDgMsxC2vh3UZjEUGarp0rEn6uZbXOEVIwsRnIa9q28bNznAq6Vlt
Lz7Lbi7g6wzdzpzhXtO+y39xgz5TwrH9XKJmbpZWuTH36/B6SVUovYP0W0REV4Fanjqa7Em6UDvO
O3SI3Cn1cV2Ntkhi18vKOOxqBObopFF4u1xWGqvDkEVoS8bFFH3NETo4W5mWn0H1Kp6ZOb8+XtJ3
poUuyRt5cvHkXntctKlVhJGBp1Mq+cYRknkPTlSqTx+P8s7GYTY8C4uWHU6+q71aOV1YzYWKnmSW
GF87GWW556bjeO4LSGjex4NdB4BAAHhZOYkk+nzMyy841elEjT9AnbONop+R4po/qbOG8y1irEq7
r8xOKse4MdJq4z58Z5ZogXId8q4v1kficuBOs7slYlvSork/m5HRIAtCQxCbXkX99vEk39kmjPXW
sV6AvOumo6Mh0Af+jNdvivJTxGW5S/QKcTeNNl1kp1sqWe+Otwiws4wc/vXL3jqWdHoImwcrhW2R
JU52sglYbp06NXYC3PD+/zE/cvdFWmhh964WkbC2sZpuMg56nlh7V+BdVaaB7VM7aHfoOnVbL8qy
OH/VaLhoQCCimsNH5UVB8Pty8fR0imiAOEgVNVQ6D1XR2V+UWMKnhz/c7lWntWm42Y1Bp6SC7buz
sxaq1IQQu1poGCVVm1fO1X7iJ9Gb4cJlVy1VycufNGP61Jj4nB0KUkBU7MW0LyQWCZk9bbVCrpaX
oZg1CHQkGRbtkcuhoqQBkkOD5oDuefUQVr08RrOM9t0iMDdQNd1ocV1dO4y3kNxAP4FRBfd+OZ4Z
B4FS4odw6ESDu2+bozLvzZPW/UfuwNstQJ4Ef4GWOcCu1cRSI5d2NaTiyNFMDp00kuOETtCem/z7
xzv2akrAARfgwYLoIuJeW1ija9ZaIcJLRx03yS9sGvOEN2C0odRxPQr/a+qmywWjLkaqlx8unm2B
pVprHjX0TvI9PBdBzTqQmWydjXv0avvRfaQVyvFb+tFIHl0ONeuZ0cmycxYthPQFdWfrJiimaqel
6rhF5L/afwtKGhjcwn5YIFyraWU2ddhSr51jnBqINwN5hZis6HeB3p0zVQk2ys/XX3GheHBRL2wS
2n+rXTGkPVDVpnKOhjXJPaqj8zmojS2q9Zuhz993Ckbui5vg4nVLxQzVmssvOFg2DlxIkO1GRAks
T9earGhu8RdH8sRNKhEOsJ1Ne7znhPBJBXaKwRGV8kg/YQloZV5HjdzlDWntzBsb5B38LIXF5YWy
nZqDhgHev3VvgnmrwuYLHSXnEZiT/mQGqZERD2fTN5yr+nOQWuLLKFHF8sK+cDQfoLaIvTEJzRcU
oqrex2xbvZeOKn9Go3DyXY0u67mDsGXsbDGllGcb4c4n6ljcf6lRdfTn7SnQPctu1E/hKDBLdAXG
yQ9qOXTDHTQlXe7BNlm/Xer5uS8iI/oaNNn4MxdzhFGBTYHkLmyNoPa4fADNBGYXPpQtzedDn9vK
cLDMOp53tMnz8mAbITCLMFUTe2+NItSeHJCvv8e+zIsj+uoOjalA07zBlPP4Ww/xMd6FktO4Hw09
HntaVSZCTX6TUQ3fZUYi8+rU0yoliLMAsaY3Gt0xXaf5EjZBgeZL2uePRZuF0T5sQjN41Q1kPvaE
HI3hx2qs57ddJWfHd6K81lo/NpSm5uMZPbUDAtG4PiB85+auB14lCpQDIjKJvC2LTsrXvKrNmuKb
7g5cRP00fR8CG5ajB32mcY8tivhbJL/lAF1sRaobnLGlr0rfkwrn5VZETnjWoGuG+zhMShTuEJvM
8WzIPETU5gMgVMcLS/S7CqWgXQgzYvfx7bg+4ITyhH4cCC4T6itrh91hbssJQFGyDyxZnjq7/RkM
fXGwHKU+2KLckoq6OnqI7nNn8ZwBBIOAsG4xIIEVZXNkJ6dQz6vgMLoCgZJZNsLcl4WpG7s5yuPx
1hCVMG/ttna6fQu++gyBtXeh5oOWONpGEs+HIajVYF/Xjep4lkg0zmlbtPK5bCM78kA0SPW+7NU0
+AKgGbdSvSCofZhkqJ7GTtdrLwdCWnOIjfxTTgA+fO9CWyv3oh5Ft7PslHqFqac08RsUjlTsVEct
eMyHsmx3KEgW6PDYITEQTYyi+dHiA2If4lSJ0ELH+/ZrJcYufUzxj7vTlKouveW5/aUO8WDsmzpJ
ige3iTT9OHZqpN2IRKR/NCNJzcJTa5Irj/sicZ9GW1So9g3hD1Yqt3yIWeButDYe7lFgmvfjCP3t
C9joVD3zW2X8KzXRTf4nTJRwvuvmCdOGQK/t8gjW0MbrqEhx+76xUqBb9Bjb8SmWReEcJ8UtM0zd
pX7vltoU/9ZnWPtkskG/S+nBuMbeRIha8ZIeGfjIt0y8iz1LSxpIBikcFvFc0yyU1c0Y0xC+ceps
jo9IEIUaPimha3dePFqzeRJkpQpsCLcOn/QpUeUXS5+13x0BnXamZKaFx0pWLt1/R2Q5BLEatKfR
WM7w/PHGJ2lbHT36JHShloIA7PoFRHF59NooHik1OeWJ5rEGaqOmimMf8O7mwEdKWYadB8HSbQ6O
nVtfMxnIP27ItfBUFYj5eWmJR5fXonpQeh2Fnf5mtov4l+oU0UNY8oTvc5grg482aGXsYw5EqHso
IWKS3SVyEsgeR6J4ZI+PiV/kqmi8akIGkvWCc/g0KOFYfcLYTMkPppMH5R6Spxn7RV3oDRCEUVXj
u6GxtdTrJnUue19FVkceSjSJ03slT+J4X9S5M8TISpaR892YWmP+YSmzYz6LJit/OW2k235vaH17
68QhqJY+UfXJ8bkPRPbgTsHgvMawoCouIqtNpofOykrtNPVpv8/BkCYHFwU7JCsB7+mxb+PI0/5L
Z8/2p6wKcm+IEH86JXNkVjn3mTkF3hTUdbyL56GcPS2i53lIKAA+GKJ02weQZ0Xww7LywfKQakY7
J+7tcjokoTFN90EGpW+/cOw6P4j15BS0jdLzcuYQlj6NyDD1nkC3xD6YIICAxFCD+dSMY3EzuZFM
fZROevV2KhQnOKNq7H5SzDxyUs9p5AifQIhmUvyosbvkWyps8Qz2N+gnf2w4faUPqSNqdnnW5epO
BZs/7YKsSs2dXTqm4tPXiErLbwWvnFcgEudgSAOTekbuEZz96MF+jNVHtYgC+8WedQW0zqSX+b5D
bm1UPVyWkuwTIYv5j6yLNv1K3XneKYWWOCBCnPClyTLtc9WHg3bL51enXW3L5Lnj/IQ3OgSIBfNj
27WyC8xZHHU1SaAfWSVczkqG+nPQ6rHpRUEf73g69foYt8U8/SzAwWqPLdKF08/KbXWWSRMye5Bp
hAoy/pDya9jTmPeF2o07jLxoy3ZDVtyEpSij3TRWIfs4iCMTs3QnSISXjWaRfSuUKfjXUKpOf4w7
DahanIxqdLDaKr8xR2USX0EAT/FdOzouFaNqKOOvgd7miTiOGSa3t27D7u+9Job4Xu+o/KT5fjbG
Yvo6a9J8NfhDXBmMGQEwT481HlzPTdBRBBfKM3cT1loUWPvJaFrDTxKUi37aM92b72MQGAphOYR3
eY6QDzFO0Rw59qHQUv2uUex2vJkqNLjvI7e29fMcKLkG+CipBprSUQoKZXakuxdlL7LftM8G98z/
yyRMBW5c7VW7to+9NYVZBQoxkgiKh0o8++UCQPD0tG2rfwcNIM2+bSE6qgF9gJehquJ2F+VzF35S
er35x9BqFHALMJ/TcRqFUfpuFcXnHo7NdN+ACUaZLeN12WedptxSzVAI+4aB6Nnra9dFkHxSi/6g
LgaC0rfGPHoGB5GV98mY99/qwhXKH6IvvfB0zH6rExTuUfNkomq/QzVKlI3yyzrEQIlsaffT/cZf
Y8EPXd6ziQE2Wqlb9YTeXJYdtTmA95HadOYkOuatpvld3yjKl637fX29MyxVEUIa8NhogK1S2XAC
YhDJyjylhIvFJ6eZG3fyKYk0L7qIIuvBbAYIIWkM5GCvIJgmkYTNuc0MqZjzkys7joyDRN0fc5pm
SNFlMXS9F5iLEN8M4vLXCFw+Hb1uRPMdc3vNuTNcuxZgMvt+SDfKym/N9L8jxQWAtzTAqb4uObO6
yo0McrFU0l4/OVobYpisl312K3rNbXaI+6cEzGUb/8yK0vlmFGYNGiq3K/vJMSadHADRqOBOKcJY
XZIazai9kv5z8Jn0KolmbCyE7hGz5/peUbjkv7dpl5yMstLML4WBBp9jdlrnabGL5btV9fmW18wb
DOJyeuCnlwo9yFdwZmvzSbcDBBaE+nAacSOpDlmhqve9RQ5ddU3xmExq6u47kEKx54YyQLxQbX80
U1Hqu6mIupPiTD8Mujqv+NDAxUTEYvhm9MNvB5D8lq/zVeBAPQYkmAAHyqtNSfNyQxv0Wxu7ncYT
1KypgqlctUnphUlFK9qTbKjWR0pGfbDVUZaHxXwmu/14c18fKYTYCBgJS99qAcuf/9VSMvqILmhg
qaeOauc32lfdvsb/TecF58mRYU7s+vGI2jpRQZcAzz20HiD/AIhbVx2Yalc5SmGdgHkkKuCLqgRu
OJBcnO1KT5wHPNFy1YeI4JwUQRFk8ppJ2LOv9XYaCA9JQtf+BMd7zj2YStmAYJLlJLhEmYiLybGP
hU8Emz1Y/Ff10GR0pzbmsC5A46iKsgKF7rdiN/n/5VdDK89OIQw6p7B1xtuKgOiRCrx719TwWPtm
RAse98ytEsr1qJRf33R/lvKssz63rt7D1+8p/FZwKcxjkzTueFOO9uA8hdmURV9TV++cO0eLxVab
+W0nXhwq+l2LpD/TILWEpHo5Y4hTClWhKj+3qereOaMDTLzDFjT8FNMQfVLqeqy8pNaRe9LayhSP
UVq35sEIp6DwUGhQhxsWL36YkmRoCm+qGzM7ylxkzzIU2C/qSYXnH/lN8adljvqhSoPK3WC8Xe08
SOBgIQE2sPMWgtblJMK2jXqhFsrJtvrD5IL7Hs1ueuUtMZ94C8P9pEU9jGPTfJ3MOdgo7OlXp92F
gwYmh2yB9+RKHkcMcVXMck7Pw6zX2i5yw/Eu62qLOg2hR46yf5ri6ggJt/5iUyitefnN9kkMsyn9
oEpzlF4h5oZ7YRPgBv4w50H+y4FocT/ZgVMe0pmU0y9RqmilFwFNg/3JHd1MntE7onsaMYu7m8BG
Sk8aRqDswbdjs+IV2Fb8NkzFIBOVk4UzRqdZ3T6u9Sg806tyxRnQ/Oh4U5tWCmRdUuUEPtJoOT7F
KhfatgnNHvs7NLTV48Z9sRymy63HsgHWosYLtpJ/Xa5aMc4uJTE1OY9WKGdPh7R80tp5fKB2Xh6p
AyRnl664p2rh70o62gk7z+7nxz9ivXMWLhZJPPwhdE4AL61+g1tWcRhY/XAuGnpAt1lALOJxxrXk
RDePqqauJ5a6M7Rm1A+KWarx2YhLNTv8559BLxy2tMFF4ABAuPwUcp5Hzcmi7pzaILMh9EIW6CtV
k74polzzIifu9maYKveDzDMPCc9yYxO/lVX+Xg2+BLor4Np5uBbI4+pLNG5EMS6O6vMYzKFzjDq3
m712cBrndu56YKbg0Yf6jhSr+WXUIJ33uWWUD2kn+wYNv6G2T3UWhrgEDeBRD30TD82ugVOYdmBn
xQREdlD75IDDd3tXzmohsbYA8HgaxtI5F0YQSE+xs+rUumEzkhyBaLcOyDwqRxzh+2KjS7UukTNd
+u/LRHlcwXiuUvtRE/ocwhk7K471IlVHGXZJlH6P6q4yNqLbq274Mhb1A6AFrC8dv9VYSdI5WUx+
Bz1HeZFYvhpekOWxuUfhPT5WPVVRL250uzw0RZd/GwPUIOY4739QkRvAs2+fvXV0sHDz6auw9cGb
EKKsIsWJgubYTElzVgC+xn7XwdooirTufNWkhOmLNp7djbf1DWNwucMWFSiiEvY3l8c63OY6sVRZ
d/05XkADZ8vMKv0GYb12uBnTTgyeUdb5EJ9bVQmVLxN2vdVjbajzLp2yLntGGG/Mn10KHY9x5Crh
voBocyazEzal0UbrfxuFGOXBtuYsOCbU7TtvtkI73hVpmuCohSg4b5ZexKP5gLVkOn6CMMOjS17b
PSsQYpQEt5NclP4wcFV7WYYg1haA+qqmxKcHYYVyOoyFBcC52gzVGChGEQ7lmbZm9zBFphoCNmmr
7EajLel4XZBq4a4xW8hJRd9VL3ONE/BBS2DV+E7L/jzBvlB3MSiP2K8SK/oH8kk53chZU5JdNQn9
djCDfssm5Aq1xQ9HWYgMA/XHpR+3ypa6gq5/NJbN2bbZvI9tyaN+H0cUhjVtKrNznWrmgzo3ZnBU
BCq5j5De0tbvdSuVB1mksf3940vznXMFkIVCMdgd2s3Uii9vTdGok5MCgeDW1KuztAbAkwivP2la
+djXTvQ0Qp55IrwXt41p1omnVlKvFgyr/B42oCU3dvg7pwoOKmIJAEkX2N5qaWWUB+PYZ/q5pYZM
qWe2Rs/Wivlo1DT5Z5Xe88aIV0h5cJYLYJYG6YLL50BffoKyHzItUNTurEPwhfVS2YX09S6P1R2L
mVeF1xijaD9r4PY7pB6psO4UykUAbdJMNzdW5PoDMH1+hMWikFKvf81oG0GoVlZzNlvbim+zmc7X
Tg2NwfoFkz2udnAzDeX2422wfNW/rhUiBFBGwIWXEwURZm3xgE+75LK06A5YE/p52tTPX5Wp7kwi
irjZIvu8MxpdGJu+OSk2Mcsq1MSLuDD+j7IzWY4T2cLwExHBPGyhJkklWSVZsuwN4amBhGSGBJ7+
fuhurJJDFe6I7oU7uguSzJNn+IeJESWMAGMpt0uB5Go0m8FwbclC/Pfxq50NO3k1AyYE0HIGuRy6
1wPwRxGXz+7o1Plib5d+aWkbMhZhFqlZFxrd79+JrQPyhRoEhg2I6rebqA6cyYvB1W8zBDDU7Wjg
TPBFDUyyD7Ptx/GFvst5Ib+Odyg64I2uVTwc1TWf/uO1Zh27ttgRLmw9eCZw/DEXyKkOhxiqLiO9
Ru2VlozJlTTIwdoIndlh3ARDXPzQVpzLliFPmoexYmeNW2nDdW02bZksTE7tGktWhC+aWoT+qFWm
sf/4m5zHQZ6eKf6rZoC96tS9SlP9+fQj7WvPXtxTF7hoPxAIBH1EO5BQYNPbpXLlN22AeLPEwncP
0CKLB1nX6qW2TdFdyNrWL/PH3l+fZZXKA08Aso+B+FneOMy6U1alnT6UidcZYWInbpQWk/FNtan3
mE6TR8MxKC5AQM6OOb+6kjn4ixPHYOR8LFKKnhxBjePJV2X8Kx5S+TnW/GX5oZUY+2yK0VbzBQbY
X1ad3/TR6zSQp+ASOgt0pQRSQ3deP818m+CqngBh39R2VfoyLOPC9Gn8y9zdx10iKwylJreov2pc
8stmDlTS4jbR6+MldZez8mFdiVWHbA12EDLcczZovdhxMY3ddNLzZdt7xexGbI4rZQrbiSZsf66x
ZiES0QAvrUMK+qm9lFyun/iPLUD0Q6SHexmJoFWY+VymLvcQt8zn2DiVjZFkoVmPmbtva23RXvD7
0O+XvlTlNmvHdoy6dO7SpxgUiLwu4SLo+bWV5pURgip35CaB1qtfGl+/zqffPiCBgs4uw2NKdB70
7WlvqxY3Mb13wRo0xiKuoVsE0Gdlg2FhqFJdake7nZFzps0epGVoDItnRKKlV3PSfRWMuxYEADMn
EFQ2V1xpFeWjWVpJdxPj6XK1VNy6/7VAQeA1Nxqdf1B7UGt3UiQqDtsBjw/afWVsxlNk2G3/KCcs
vpjiz3Xmb4q6Rip4YyaacTDk7KjdZMyB/BQHZZ3vtCBBUHuo/XE++U3r0gzRkJvYtiO50FYUiaNd
V3HmtBHcPvXZGSFBbosRAxgzSuUs+jsG9KZ9qnMzmeew0ITCoKebZmdTzg29LzeN6+FgTjg2anCJ
tQeeqnih58RYX/FBMW7B4YcMWc9neT000x0wfVvex1UJ8fRSOrGeorNvhfIKZTDKg3TjzyuVWqtA
xNm9cVKNGo8l2pv0G+YZGWqB21+ETPXqvoeIs8Jkc4g35qRQHkCCmIkaHtGfPw61Z30VtjakOIYu
ZHbIjRvnjK6+UjYyFnbz0C/xJ4U72yGg8xypoqPRUcb5f75dxgdjjKsL0eavP0wLkJ4YR5x48nbL
asquzbys24cpsNMDozIZeiVwOv5Y3gt/1l46igUZttiOHz5+5/OMbn1pgitFElA0tBXOoflpXbAX
cO95qJWXBpuuGUVA/xhsbAS1Jo/cPi6sz9loeNGi19mDwqv0SxGIS16E79cAWCEPYwJjpLl2jtPX
GJS2iCwMD4PHTsfo1QyNQs5HOc7tXreb7LvQMTAqeld7/ngJzi41VoAuyCtyjd45yOazQqOoTQar
Er67b8ST2BXOmM7HTLTC3uACO8MCRV0xrOoquBhMX9/q7QHgXVE/goaJmgwwvbdfXs9A47VBVzyo
dVBDs9pqirV6mXWjoC2zYh0rdPRkiFGejqZ3YJfL4zQ5lFv9HFgi3WTaJNRRaSNDBYohFZ9woUqm
/yYATLP4PcNSVLcz0BQmmUKqdN8nZoDXcaDi4jjVQ9qEfpqbc+jW05QyTWwNhtR52d5UKsHYq+g4
hdt+ZEwjfWHOkdT1CaojA37wLZmB3ILpxWN7Gy+Q/3d0a6txR0tFEyKMm3zoPpOYVfeuNS/fYiJg
fHKqpnH3E2CPcgvOegmgQeii23deZjfR0rv4TqbuoHs/lx7qAnaoRh1fI/dcEBz6VvHfWqlw72M/
kcdSMHjdzzJwuqgyNXNgqViw/rrtmw4fUZqlw8YboXlHsjNdkAGMrZpH4Ouiuy9jv5c3anKEFZkg
i5mmVs4YGyXKGTJjGjzJKd957eQ/wAzxqtBL4/ZLDqiBIrQTy/TVcaXzbS3lfcBmQ3cP5KZ090M2
SsGYs00RI1CjagGv6urgy1JTz8qe20OeTQIclWu12lEpUrzQr9Wcbl3B2JdrqhyBcUSB0dniV6uY
qm7GHIe/cp/Mjd1881XiufcrUWm5B+asGVdAAZ0ujebAS7YdGZEVkcVZS3PAskS/FURg0ewWtbT2
pkUfxY8Wb+ZIT1Vt9V9b11DVEf5nQX8DCOBvyGb+famkejarefJDEwBDuUFyqQ42pgT0oI+FWWyW
IgkO4JEokiJdMoWMgjQFswBfzL9Omyye947yq29VUDEPVv4ivlBWFgFCFSuMxy2ssomg8gN02IPV
08VLBfU92NdLXc+4kDRg6trK7wLoKk4aR+2slBi2jt0GxdVsTQXGX0Y5/mgKmeQbdBOqeiZojv5T
R+FpHYdEDh68slRrwgrTGk8emkKYiIK79nhjeNKzH3voYWAFZnp22caWgTt/YiMU8ntnkubcxZNZ
qSvNCRb0rzVN1Htv0HoJ2FDl8oYuQ+98hnqSjMel0Z0uHJES/LksMwZik6oxjlcmglQ5s9qsSdHw
wOhqi51MvZeeso3PGmiaJdm56PhfAXgqe3O3JjVkVNLTnyat9pkrGm4dw56JnWonfBAd8k5WUuH3
4aR0byMsOLrTaFeiuDeXYXbQfkEM6wLq/X2QhNLCzJwknP4d3by3gQp0LygQN+sfAL2YGwBw/lbU
qX6c9SrFLmvIr2tmFv96IXPo1roe7uraPT03LKY5DXoD1hbudQxapCyyz77wq5+B19GkrjjPxg2d
7PhT2aOFeQGH+P5CchxIrFQczBfp9pw1qKWvd9aSWs6JzbwYRjgg+2Thz8YBhfKZuegoxLMc70AN
wuLadFmeXRIb/cvljLCXARYSe4mVCLo+4x+1n9vJBdBplj2Uk05qhM5P/qljLnVlyyZ+tEbdPjjW
nB3cfvFOaFJ1W63PtAsV6Fn5xf3IocTOZoWrczef29pMop2KwKjkQ+EgDphEeZ/NyZ7zhehRAoxV
v3KM1v1HrbzXX0XRbDUooYv9f6zcH69eSHq3drHUD56up6fK8NLffVwuB1D1xSe9Y87y78koZuso
fa8kWIrbc7lFpPlWHkVZPXReUpZYFE75tAXuZYctJpLeBvN137+bG/VcJprYM1dG3jIlm7ttYfDc
f5yUvN99rs5ght4Pm4+mzHoe/3j9GkV6VHON+kG1VfGt6+vmKGfkXlFzrm9yBjhTJBOigpq04cKp
+8tRJyeB9E9bAfvad/mQxy1dTE31YA2duBsHS9/gDzV8n2guh3PhUNuKXjx8/L7vN5lDAsTS0+Uy
LGR13r5vYTRaW821eBgHcJh1JrgFNYV3cjhl9Y5REQjDj3/x9T3Oci8LKU8DIizh5d0BV25LttBV
9inPFuCtpVZZdDMwbRgRmMlzA+6zU+wwVmIU1zd2iZRKHKdB/4VooNXH2m/W+7hH4Pt6sAtL3NGj
4FKOY3N55MmBzRNc5JKGWjVbwa8ZOw4guvk8IblkxHK2unDIWnK5fw1caAsAjCBI23w/sKRvlxJy
Ceqr/igepScKVOg6pzloQB73Rj3qBy/IKnRhaREBGyy95sKqnnUo2KxrT4+oRUbBfO9ckTAXvbLk
VBePtpOqXafpbBkyJZi1RROV7ZgfSi23PlkgEq+1TBiPH3/U8x79+vtUblQRHJ+VZbPusz/OjQcX
HLRyqz9wWtRqs1oEFSn06PyegjE70beyw2ZBVGcvGrf8PNRpUYSI0HhPAAwkk0Pp/Gt5QezyuPvo
RqzUKft8ZzNub7QCDrHIs+LBgrBwwD16iYF1285B5GN8HBfkcz5eiHfnCblhji7aYVDLTfqfb9dh
AUge0wm3H5pYi/2bebTkMW4kYPKqCfKDAqj68+NfPOvqsvKrmjLLy+gRMtD5hDPVyAmGKZkfhkmT
n7tGqx68zBDYjJJdf/xT7yIUCSVCBZTq6xiG+cnbl0uwUkVvLEge67Ruv1TK/Koy370pKe9lOMRD
vnUxWf/XIp0fhZpKkQqJHN2cs+/YMt8D5dbE2AtbyQ01mx/pRlOR5sXOndt43k1TkvYhBjePFxqg
75eWX4amz2CXhhi7++37LuZUTXkxpI8VvZkDJCuwsMaqwRW3sNMu3IMMdPjfvQmM6LaxXUFXMT5e
9+7bn6vYzNRQmfdA+tG0J4ATaL5VHa7aCn6ltLvfugdV//MCpxYfgcSQtB1JwdEerYYJpPN6yaZh
1/cGvA2z1n75TZNnuy7L5L3yAxnvLHAgbYgTbgbAly5Teo2xQmcVoaF7vR92mBh3TOrTuMHdwxkz
BJmgZVwpZVTDPdm4Mfw0Mj8o7nLHb3SqrBxvik/9OvkOew1662HAcz1jJOM1z7XM5FODH3wBCi5j
xLrEY7Jsk0FvfhoEhHxTuaJNoll01hi6ROm7rh0gtpBY64CJ0rL97Xf2LMN56Or+1uk77asA4zzc
AYDsntO20l7QS+9+FothiS2cq+XedWRsR8mYOv1RtwbnwZ7k8hPAMMWnbEsjzEdayxEkn6rAVdOM
h7CYk/RWWWaGEoJezOIaL4LqYUDhq78qy25xNrjCDVEdZCDaEoZPZYgDHj5qduArudVRX0sO3jzr
EcZxU/PcTIYW7Iekq/9Tws85FQUE1X3h6yp9LKnctd+tiWL2PQBusSGtxIrYCUSl38S0WY6JsAoN
e2at/4+/ga6TZKqfgTsqC1d5VFlDmjbjk6bmxvxStXV53XbcC9fQsyx/m6l4EJs5NYavFnd6tYW7
hRIADbxuBO4MtjusQVyTOPPnWGcPrQNM2Myryr2b8ZBleqoz57r3qZamna8jsnfEq9jMnpxOyGYT
U+1N+AIlVnGYkC+jZ5CuthuOXTmHtiqlAb4e2kI4VINAni6TcrhtZnonEZ6axvjsOU0eX6MVNZrj
djHjDOMC6q2g/obw9jiGTpOUzwPUtXwzJ+OwH2c/tR6naoVTWGbRAi0hFU1D8tPZClNEj1cPvXiZ
8IWu/Bea94H7s2lByG6QFemfmsQORNSjkStu8D4rq83cG7N9lD7Mvytw+Nn3IbHw6K2STKOUH1GL
rhC0VOJnwjX1JQG2900WpWxDTa/LHSCswLkTWeLf9i1Ej20Tq9h7of1dofPWu7OHT3YNQ81j/6ND
DKkqgz02OL8I/n13Ghw13Q0a4NANKGOGBgPBbQil2zMVy/DEeCkELKP7vF/ceA69zHUf/JimP1gz
ScepHQP9QDFIFKEnkKtmCEWfNvO2y7Mmw+zcmnC2xszZe6rGyQ5QoPQwTQh5VBTdNq5khBQ5qVZa
u2lURRXGHcCoQ52x2Tg3uZy2ntfxRGBDLOdWpG3/0pZq+LmC3n4VBps7Unza6diNQfetRAErO5bx
KCps1coaxYfZdUM7E5N3lXfSkVf6FGsj2ViZvThD2clfcev3Ni2BwXQjcxDmzwYea3zI6yEoQ1Rm
q2Kj6hlEh5EyF8SKHSYTzQ0l7RNo/NqNcqtV/c+4m8f8euybZHkUg1MYh7KZkaxinqXl+yafpBOa
fQ2Tgv0I/8HntjigbjUxXqzaHHmMdMwRMMqyOtJByI8boFPWRGzwknSjj35sX2npIJJrz8OwhBU0
xRz6QpoxHbwiMzZ93Np33jJ5s9iIysmyHemqS6PQLuoXOMLYdg1ODJs0hA9gLShq2da81YSZ7koS
COept+JhuB1j2mmRNPyyBVPpDlVoJ6b7rOIGElhst+3twKoOzqaZQf7fWHVqLDtzpEkR2poh5G5y
nHorOpMxQo4sYx+BcRfuQ+ACjyggRKS2G01NjuCUgYYljp5Q/bb8D8xm78J+/Z3Pmfq9iLp8sgyj
Gw5jwAe6i/vZm6BQ6EuHTA4GcjBKne57PVomCBAr80ZyqbYwo9mqrfR67nWkeGkVFpO3gQBWmXsN
Apl/Suup/a9SgdBCr6i03xoU/RESAy7Y28aKvUuqN+cIZVIi3/PQbiIBXLnrjvX2IvXqugcwMzaP
fpKm01WnSv8qbRAW2OTIkfRF6NSd+1+SB9knml2aBgWR02iUesv4aQD+t4XOnztRkbGTtk5jy9+G
1+K9kaq47iMHr2B9L7JWHb05k5ecw99nWauYO+kjyQ5Qh3OEXuJ6oISMtH2UKIzV3FdDsJ0Kww81
Vx+1re2m4ybDybe4kIC8LyFIWEGT05RnyPhuKBS0usbC9fWjBauQqz1oK7nvBx8Q/TL1KRG375WJ
qPKsXhRurApl7TyZLjzF+wSa1NlcMXRw/JgQnH27hkZsoSqjelzgg/xAXTUF/ZQq6GlppUXQqvSr
f01qoVJT7a9q/cCLz8EstqVsVhNzJNAAybFLHVFvdNsv7ydn7h5GQInQmqtB/fN78rPAZ1xabdB+
9bOCaWmRsu0SZT3g50vqtqTpjivFv8uLRd65bvX4729JLURLGPWp90U38FYs783OegAH2X2bZuGE
OHgM0QR4aI4Gp+wOTaMX/9pNYYaPjGtAI21VOTsXpKtqYEtiTItHZ6AcCZOgQS6kkuOnLsO2NdTm
Wgt7pmvwBjv/kk7P+/0Mig3kGBgtWg3v4CeZ1PGalqP/MKgaFhUoViDaZpBFreWk3WZAyPXQLTQX
oxom0hel0FW+8JH/8gigINGCoChcdTTWjP+PqhjIQDvhBlE+9lOuhbPKEVhURml5YdIENSPypQwT
XXkvZaAFI9IBznhBR+H9cSIUrj6kiDfA2zivnujk6mPeeN0jZY61Z6ioeiSaDPvaTkT50Jlt+fTx
Rnv3g8GKOcUrAl+KgLbSWfu20TuhAec2H43Bzm4bBUNRZbZzzWSnuYYdcskO4X2vlsYheAiHps7a
vDzHHXgVoq7wL+NHp0IdmwmS23NRBQBHwkHTkmqnqsx9wgTA+2y7A1B301LVJw1A4SXJlPdNkPVR
eG+CCOcaisLbz+058BwbMcaPdjkodHHs8s73mxo1ghIajlGU2c40Sm2jEj3+WphxEWVGa31L58F4
qH38Oy5sv788EFZZ3CVchiuUxzurKGeLMZBPfPtsoJBw1BmFfB0K1AajzIErhTpWl20akEy0x8xl
vk4Sg4IkDzgNjlnrP/qxviRQ9u5EIIjkrMq0r9/qnf9MHgdB0xppwQRGb6ew8zT/e98V6pudLs6R
YPEyO511gK6vX+VZ5VzyuzrfnsgQAphl9L5uFfhzZ58owC3IKYaiPWlNVqfXUFra4t6rS787wPNC
sdarkfa/cAjPb3R+lFMBZQ/qI3OVc3XcMikzKQrfv8+R1vjV91TN+44/Nfemzh2wdSfZDjtLyaa9
EPbP29nEPwStwIyB6aVDfx6A9KEFsqbRyAfGEvyIe+ne1tVi2FthBirYOovQvhZIPNhR53ZzeuFq
PUdzoXIIzQqZLziXAAABd7w9ECD22haGdXKqymb6PpkaVNxykXVkdUX+FRZWvw/sRDsFFSq3k50P
T/UwLqFPAn6pd/UuTvAsq+IlEpvgptdW99tn0RrU48E6FCdDZvP1KpO3pYoShxg5qRvLSFo3HIIg
iREi6eQ+9pf8eWyX2Dp8HB//8hyrynSAthLXEjy6sztBZIY1KJrFp3nUS6zRZ3lntxM2vwMQpZ/o
hxvfPXvqHq3S137ToEzgGzsXgvT7beHS1wJJTMykOXeOZwtyWP6iGJ0TxkhxFbnlICp4Ebb+1Oq9
PWNMOZRDZENTckP8bnGP/3gR3h8ILkPIncgorO6e5x42A7qmYmr06YT8hjzlxiR3izcEkRmX1b6w
lHbFEl3Kq9eF/bO9RirtGwhSYh2AdYV+3p+PNcdabSqGU9cvQxC6cYlbuyoc7YrOziWr+Hdxhp9h
bUl+dPRNEFV5u9syUANtIw3j5OvFgFMCLdxXS6D/skmPdwmOddHHS3oeWNf3soF0gBizGD+cGyR2
cuqUgJp7spclOEzjUt666ZTNd8Auxiv2cf7MJNvZ0sP1OGFLkfoXPurfXpmoTqIDWh2yzdkBs6vZ
wAG00U8Lglfxjp7XON8lA3rncZkZxlXBCK+4MB5/t5F5awD8rB76HSYl39kygy+RXT7rJycZMpRZ
+qU70FoZ7Ej3Rw+D7jiXL3QEYxnZVZz++uc1X+8SQjrNFhLrszd2+4YzU7bWiTutwu/UStsv9arj
m/eIDB24vcS+TOlSQRnwohiS24UA+25LYze6Du7Q3uQUg7V++/oMG2p91kzztDD/6Td2Vmv2VW6g
19YGcZJd2GLnLglrNkdNRuAyee2VTvf257q0RHQKguapFOj9bZpmdOAZ9JWtjkAR+mo/dDlqHzJO
ews2pAsss3LySfsBmMSy6FiPIzaMJTizJAsyBGmDsSiscLRTwEtRY9edvOm7Wa899EGddMesTDhR
JRyqpNob/LA2u3QLoxs1m3BxQbQWEaUqaNyxS2mJZ3U9or0x+ZmzmZw16e8Du/+UjZPoL4wGDIt3
fRNNWAtyapR114SG8uZsLcasr5gmuadinmg5jdVJIECFaUWMIlc1xKTzaVZ4N0NWV9tu6tXert3y
++Cn8wviMeMe7Kh+6aHWD3D2UCtOmQwDBetVz+ztQ6W2OTopqjUno6TZvc+0pA2O2A7IwYgKv9T2
LHhNlxHliWBb96bU9glRLHsQRl1eUnt4F+Qh7aB/Bx6YggCrmLMQCPYtbZepWk54fKYF+ihpvMnm
aR4jz6idLTRnhT9abG0+PpR/+1mYzqs1ADmPf55zQJLy0HupjJOH0Ipzpbktnq1FldK1bpp61I4d
sKhd1/T9hUHVXw4j9xlRYL3RqDjXf/9nsdfC4QTXp58Ao+X/ua2/bNJWM0fAQ4HeXHjLcx7nehZB
L/KD1Ldk9ue3GZddGSzLqJ9iOCNfEzBCQzRQl5U0+op0A1JgETfA99UmHWrP3DaJYmBhlKK9MsAY
H/3Wm8d79HHcl9HMLTNstMX1wilp9U3r9mLeqpppxOMAQDuNUKfJvA1aRs0hg82Md3Nel8HGVlkB
eaQdV+w7XoRZiEZnIC/Rn84hA8CU2dLAU1d1NFD4544BpsiTRll1f1MqhChvk7ijM76MAn19iBlZ
fF/nNm1N5uNSRnGxuD9rGFrqiPpvehdoCzJWmJQ3zyXPlofBMKa7wRGFfq1PQaHtoRyBsa4Acqub
2irGb8JsRbHNZk3bxXNulRfqgfO8+PV9SABxnCGKwOo62yq5KKrFBI4OU7TIu8990BifROE2zGmY
MYkwj8WS4SBmj5/ashvKk0XnbQhxIxfpMwzy8gK/5Cx54M4mR4eG9AqJZda6nqk/ti4peJA2zDqP
Oavc5nCAl3yJ9NzorI3rMQnUQ45V9Wxmbqk2aoYTGAptkdaF6/ydTAEP8lqVQf6gaiF6vH2QzmmD
ZXJccRSxPTVDhNlYp14qBwxmxJQpR7Jw9lqGB1nHjBpHwtH1Nktp9McZDHl/o/y2d1IQjsj+GNwo
FelXqA2B0RpRZUnd/21nyYQ+Fxieo1e3c4HwTFKVkRuDd76QHpxFInz7TB/GDvBuCg4uzrNVTZGc
U30Sm0eaW0P3Ra+M7IqprDI2NKdrMUQwI2Jnt7RwN54+DoKvEsp/3ASvv73a2gBi4+TwAG8XUh8D
dCQHLOcQorMngP3ASWOEwTKI8IgYSiU/ixo7ep4FgTA4dF1ejFlUxKrturDJzX6KdEPEaL72bvIC
wRv+ajcmvrPLQAFzmTt9fiMHHYyuiWofOFQQ4jrdrUJqNyDGmq+mP1QPYDaRSshl0LdHLc70dd5k
zjIO7TZnqpf1sgvTAa+8yAhK61M/+Ug/F4OYkyMKRO21nyL8tkUOMukjawQyynCKXfgiu2Eud7Lw
p1ukLaka+nxskl1iGPX0BMkje+5HELWbHvG+n5oH8uRYdXYK4aSr/J9+JtEvkbIdf8mY6UVIztNR
6oCxl/sqoP7au55W32Ahj2JnL03q9Rze9AFFNZgRXizAKYeo8WX+saZfD425o7eMk64zBzc0nbRm
rxrPuMrroMp4QXuctxe+MB/w7Qem3bUasJH6rSJAZ6W1VLQ9zWFJjwjf1GrDSGQ42DqDnj0q4suh
zyfjy8e/+P5wgk3jB2kjryzMd/uZCajHnSvSY1Nl9vArGJX5DdV1f9wXgYk9Vy4Wg6uiiUvTC2mm
exECSmg5wscVDgNIt0QXLEVZeGHObujJdZ5nxrxfksqZNraoTBdZriB7nrVaZXcOnpPeYQBUZF2I
dq9cqbdrBxsREAsJHKHrnQ+AxL0UIWAtPZpt3Ysr1YuyNtCfQNI6DLpaXKWmirProBmqAIS4qFJT
Rm3rTTuFrwHM9TGPj2QBvbmt/L4SHSKTpv7FyZrgk0O/G7lv2ywAPGAMluR3SFDPn5sayZltG9jF
LrCI8tcIuuaP+ZIZ5Z4jo0Nid9x2yTdTl09zOGkCzcbIyGITckBnF68XrOf3dOoCgdjsx9/2rI4i
XEDAoGVLLcHIidD5NlwMxjQ3SR8ENx7g89+17zkATTOk7ww7vtc1vlY4MiihSZOWwaXPcZZKv/44
lDNYMAxh+DJnPx54c7Kgy+zfKAo1LuJeKFgFnSvKH16KqeUTJVXhoUgWGN9pGTnZU4eMgPvD8VWG
gQQqTGPkaqbxHfmXvm/D0vDmTxZQ/dG4NkQ+iydagcBV8GwsxgF7TqfWnjmkC1pNTiyTu7jBlXGD
EKXfqc0C52sHIyIPnhMjDT75MTaQ7GqCXEvTAH0jcrqgukN0tsKtemqbH5MxAZ+4UG29rvnbXboO
hzhu8P2YZJwvy+IITmOtOzfTUMsKeQOUEYM7w2mGLZCWpttZVPZ7R4oy36eOJl9sjVjJ7Nh3mqVG
fgpI/++mTd3sWmeKloVlr9HuC9oGUoCgCVbuPBQTzI1R04oRkWyFPjxMrd/02rZi/kkGUsJBg6on
Cy5bxxd2s4cDkMgNjLzA/eZICvtHo5n86tbPs6TbeJ3o+IKOPyPWOYnMvmot2KKPDDtL6z5H8nk8
9pBugXmk01JHyshmZ2uDxKAYkLVpAEjxl3Lf4n6nHhHNZFltb/ROrUQ74i7wcvFQgp4EnjC5c1uj
lFA38ZcKa82EC4sOw7xFytEWL25sIXbRcXK0J1CktPj6chLIOTdwJ2IbdA5yYcGMamGp1e1/WZb7
CBvWlEzPHx+t16r4/Dt6DCig7uIZAcD57dnKCt1BPGVYXSrXuaqbt/530tWk+Ll0Zln8NHxR4ilp
xMsWVeg5287pSnMdPQ7AZvCMNGnDNp4785ZEOzc+ta/IbNH21lOCCv+qRCdRzftWZc7oPSZpzlXr
6KqxuNWXdHypse5Ofzbp2G5LmEpxsA2azg6ioBfc/n6yTI8BraoMrgRQgjol9bxQrPwluvBMWKK7
oOp9ZAzergA8Ir/wZTDfuGAiOyhFwXBvabY13HLmTP3GbkfIBME4ZN2t6PUlUxce4H0mZnlwKRmo
0xBy3rEoGP5MjLxH42Zwabjf5r2e3Lb20CMjUMQ6LQWBaegNmspLu/v466+Z/NuPTwIGh4JUkDEo
+Pa3r54WFW35oRJH5CpVDsFfK0+TWWBapzu1dyGSnjPuiaQ0uBEtgNBms9/O22G9o7dWD73+xkjk
2FIK+RjdH+IiRweZ+F1WL0ODDUKkLFXnEUJSmkMg1DRjJ/Xe9LtNMcydumlmMe19PL7sUF8SMZ7K
uixMvKZNJQtEfss+ubBM7z8Qu2IVmGcojr3DuVSAbuS+SLNRu4EV6Rt7FA11uJgLNlAPFSwHLgNn
fDYG4uWFH/7L94HfwlIh38c/z8kHTImqSetFdvRTMUxAK+kdPOlDgkY32KHJGS+NhN+fBabwCBKR
RcG6JKy/3RCgjIYmFZk49iKo7B0pm7I3Iyl0fE827WeffD02akCcXfpjwD+oO328IdezdrYhVxUz
k42CKBBtvLe/T4XlCbQXgptmKMX1FK9FP2FVPw0MUG7NIl7GC7nFayvi7U/iV7EqKSCJxNk+Fwxk
TlzUUk88ql3DQ2BqYvRwgqrXdjeaXrXNS5H0WRflUwsqNUWaDohN6aT+vZHM8qubGEmMXPWIsPYj
rFQUXk19lu6lYelf0lsHEXUwQwywUck47+bqmvLqwG2TYxPE5I7hrI358nNU/XCnzSihhK3M4MHk
6/g+L9L602r6tMow97HxKS3rvkx2cIm0/uj20ARC15SpdheUhQvkYIZOd9Amy/mhxYbWZpuBb1Du
Ek+OyYXuwvuzhE8xUcVk8wKlORdyL4emXjrm28dqMoxrkQiQQqOepdohSwvA1PjIcytuYWuW9SVm
+asSxdm3drjnqHpXvAHMtbfbK63S1je0zLtRQkwvjg/cDyNstwR17NUqIXosve5j/NPHsbuB6+sj
QaejyxwiJhR30QhOZX6cEbZuub2HUn5fbBCBT4Lp6vKMk8IA0FHLgupr08zWwXHzMYkRXk3XUr5P
kNfaBj4tm2haZAnA2PP+R9l59baNrGH4FxFgL7ekuh07kpXi3BBxNmFvw85ffx763ESUISGLxe7F
LjKa4ZSvvKWq13XvSMNjpUAE+SUqqYzEc9iHdS3WodTFeeCOZVLQb+o7M7ceB40e8LnD8WCPWlyp
b+oMBT2XS3uGTmMYVrsok+Y/OaYtmQwURRMf8EH60WtyMKSb0q41bq/bx/aqQsO5mWv9M6EBcPjy
grRiqwTeV1HnMCe59xJbxYBDqFL2LQgQ4/QASqELtVFKoEyHqLDyn3Gh6FK7v/0zPthboIfmNhqN
Hjoei4ZDguD0XA8IHm1uy2wlOTWZgR1OMrjqWu+3U23aq0QYyED/88DQ4NjPQD0AiC3TXZQySUUC
LC/AF7QJITz2DaILC36CJMAVZln8CDHmXl609IHnRZ11V+iqcSvoeNrN1+lflTErzIhiO396mJHd
luWJuDPFZkTzNHWL1O5+y0MZ+26HcLxz8HV7+iSaPG/Wft3rEph2HVHlPorthzge7XVHlGfNJT3F
30wOwuxw+50M2W8Zbc5vfpIgBlbX2Vh/InBV7J1PKWJ8CJ0xNh+60eian+mI7cCTZKF/dZoqPfnZ
DRUVE6nqkYQxfBS1+zU9BiT2V7We+Hm3Qp3qnuzt+yN1ecpnZV4CWt4w+MzqYhvMjQNLy2UHQHUR
Q4Kmky9WWpPk4wnT+/wrJ5YQAWEO50xeULwidt7ZwwoS8FQDj6ZJkW/zPJb+A0aLYu3trfLBr+P6
0Shqojc9UymWRcQOzEHo2zCB03aCq4eoRR/udSUix3CmxLa2gVLUn/qwNf0vajlkBNgYhkQVqkSQ
Dc8OHGBthchVpP/sxlJE+j9vZmq/hDpQteCKcY4uN1VjUdkd4K8+dkYfH2Q7hm4hBPWVYK83bJQt
Ns3Y0urArHNxJ0a8fv/ndNIEjqfOshdLREg/NlPSoWOPF0Vt/8GFBhinhcM7wIMWjJJZRvqdEOu6
2m0iBEWzgtb0bJywpNGoVlyqsa9mj8YAz/6hTf3I3Dl+b29FlB9hlkx/EvTTXMSDx7MpemDNVe8U
RxnhwPLOBbbEBr8vOXU8gmS4ltcVZgCrdqmmdfMYT500Rh4oaLlbUWqzB9RjjEHRPxtomz23aONK
Hjr1Rnpsp6rDVYdOI6wMt4eAG2LdIANifKmKvtNNtA/8RvpSp5LuH7mFpHBfIxlW7mYN6PDzBDDN
vBcym1dfkksYvDg6wjNDigj2chelPJqZVkX1Y5DbSfwj1rQwPwEOttGapz970AEnF0iWc18iqYpU
IaSGNOq/iqBPNpEpYdvB06UgOCJRDs8Rcqb443GnWq8+HP38BcR9fpJp2aFGkU7+Dz/prMCtYNGn
q6LM7C+RRWbjVsrIdU/307e2Sp7CXkC0o4r0dIWqvt4fjCKJYASG/jDLFcSEB82qwfop2/mtn9mo
I6hG8MPET6lb6VIiG2sauwVSOH5IajupNX49hpG32VNgpJpDv9nRf/h9rEiHZlDN+iSlgznHZSZU
BzhBNqBWRY12jSEieqAJEI19y76sXKXXm8YtZbrPa2WipbI3ETT1d+GgoBpopCphHbqmFp7sDc21
n2ZC0/3daLgMShfvdvgKqZnY4OXq3k6lbyba8AgFhJpAK/n2LXb10qL2NKdwRM2AKoxlS8ZAedzA
TyZ4lMxcad9Co4P35sPyPGCWJKGSFhJ1zDCMe7fnVYLCwFztNA0sSstcEpfbqglLeiE2UOhxmmHX
hSGFu9rs1eoPXgxRfYgqpbR2Am3uwhu5St6MPjdfp7RKROPKQ+KMr4FBBkV3MKazyPUSFXm7T0wc
DQ6BrmBK6zbIXb+FPCH3TBCXiEeON4Bj2mrvUHa6hQuIgjokk5apefzoSBQ/tko8WittNGBpaMJ/
pFuDMDvewthj+2mfbjMKKKGnx4rmUguz8MRAS/1O8eH6/uM3Eb1BrubCQdRscd0jhiE3Is2yR/Z8
M+L5ousxmONCWI91AOnIw5uFdxr/EG1TB5V4yy3feYUchgenpBV9+/X21rrKeaGlImw4e1POGeiy
UR00FlEMwNFH3SwLygBxhldJWFv2XjaJnG8P9s4/vYgVGI20B9VsoFB0LBavcUqwkCZtgedAYpch
IsEVdkUYfsgJWECMFT2KlhH8zUJPRdh5Y9uzBCsbjTXQFFkgVd1nBR5G/kCgHSCIijeAg16zTqmi
d+0imLLwzhG4OgE2TWb6kNAlIWQScl+eAMRG6dK1vfFoDSi7tUlhvdhpMwpXhWf5AnUd0lsGtvg5
70LrTgdUn//wi+WyZ/WFuT9BYIXkyGK5MDZHvBsa8SMbxs6TvVQr5ddGlwvMdHo7wKGksbSQNn9e
wj1R10ZUx4bvDqPAzcaCVQeLk88Bq5Fum+yG2IC8hY09Fp/KtE/EcZb8GbcQGlOkNTDCUj2BKvKx
r7qBEjOS4Vro2ZLTTglSO0k0vsiypNu/EkUkv/UkjzB5UqMu8ZRMG0NPpYt+juBqDe6Itpy1xukb
+iEuQ43zkMtDoeLs1dUODCIA5xFgHl2tjHjFDSMpq1GW8+BVbQvx2MchCAU3BZeotV6A08Nx0BS4
vnd24/Ja5WbgVlAQ1LDoNqAtd/lttR7UZSpP+QHf+vSlYcE+l2ozYbwzWfIWVHR7gquKs5YxWyuR
dD2MRpttYPgVO7nEsIrrutmOulAOvWwMj3Gr9NwdNi5Gt3/p1Q/VZf6asw6CNKLYxTUcIg4dQx4X
B1jzxs5O0+i/gur2boSvtC5VuXhOk39U5OL2m5ErBi1FhFYZfzEmNYOi92upP6QVigXRUHaeL6u5
B7u/3ylEI26kWd2dHb+8jbgawNCBxyQoozxsLQpSZVzCvbardpfrU3Y2LFQE3ZBuQePWMiX8Oxtg
/r5/H6/30biK1HcxHZDxl9/fahyJFp7c7koMGSl85ZHstihWlatRGUL2p4Nm1b9+SmY4l0QANLDp
cAu5HDNQu76q8IzZgb03vqHJJKZVaQdJ/qQDTMPsShLpOWsIse4M/NHS8hCSnwExmRFhlwOjvODg
ca+0u6KpxcrqjWLaQPeOahcIhXXP3uJqaam+0kud/Rnm5vBSAkKYYJBykt19pg/hakjMeO1kCCvh
+f0mSuL72wfkvdZw8SkZD7IFA4KDmk1QL2fXZk4PX3QydwLR7BS3pWoMWlDLM9j+MzwyvfesdjKn
ZzMay4NIpNJ8TLEsKT9XmSDRriYl+IFXihohzSVJqKo1GmiRGAagtFLN2Hi1lVT+WXGhDWt1ROhp
ZfZFfM5jOGpr3jvH2UV2rh4REEPoMsmRC3jMhWP2OydKs/CLM07IZ23yxoepvWbD6f6vKMgM5WdI
H7hnm/dFM/VeJbdN+ktQd4LqXgUG9OMsNqoQzcqC2l2eR37jVW3W/lKRk4seZLTb0g3GL1bwLSHP
bfc1cKxVhVNasMeArqs8TR8NrnMuWfWxJwBe5zawLU9UGgBJtbe6ogLtoClkPnkIdzwfgxyYstV1
4mzFTlL8vv2xPtgb1AMdakYOgaW8dI+VFJ0cCCWA/VgEynRWw1gBQpbJv/tBTO1TOibqnYN+tffp
Y8+SERRuCGWMpfS9E3WEeUYa7ROhpE+ARxWxAaYo/5CiJirWt6e3jBiwVfl/30JDp5uoYXHCs6Jo
KByMwHsw59QoJlAvRBh/WNk+ZqagMMt1XiNs5TpSdo/R8sFEQRfNap7IjpBcL6IVI+ptP4P+zCEf
fGAXqnwIlFL7pE9q9+v2NJexCdOcaZk2iGvCExQjL09ciqUcSZowd7wjvVupRYwRCX5m8Z1v98E4
NoBmenVz5GgtBUEVp0bYuYjsXYBWgv6tk7veOGRCl9t7N+TVK4uQCUIbMPSwKuAqWdyQUaRia4FZ
zw70uP9M87U/yYGNiEaWlxNmtSnNMqfv0jtNmMV+eQdvsjUpASFxTAa/GFYhV29FN2jHMnaCdZrg
52lqFfalQtPKHZz5NHfJY6w/Uh7qu9sfcRmQvw9OKXRGjUJKwob18ivqCAEmde2rR8VBSgsauJP4
lVfbUyf2I8qv2kvdxf12sEoN4y3JyD85UHJTTIUN+SEIJ3tcB0bTGxTPMU78FNdd/5wkua2ubv/Q
xZ3x/jsd+kZkoWACKVZd/k4lwMIHk3flKEZL/qrmfhx7ST20Hpd1mq+ELaKX2yNefxbK2vR+5kd6
lqhajEj9TQbqINQjBmVT8NzmY/0lVKV0XA1WpzSwxWTlFfHgMNhrVq1/vT36/F799Z4xX3iiNAT5
51xZX5bJxqbTSnoA6rGdtc/rQTF+Wb7ReVKO3JyEgecKsqqzqVO69LVkTnf2xfVyU8ilqEwGPetX
OYvIiFnqoMUn7RiUmNB0RYkhppGpXxxkgBWvtPVmunNrLm6u9wnzD1SLSNsRvllsRBQhWweTef3o
Y84zeImld1+kIqbooEeV+vn26i5O+v8Ho+0K5YpFJq273E0Y98lqXebGsRmpDT8NViP9QRwCbWNT
k4dPuMqFxGDNvzM0UMW2Ff624L/ZyzmypLGUsdeO9CmSN0kCBuFRxLEOOgKV97oVH80RBO2szaQ4
s/7U5RxVtCf6BtzbkV4R0W08SNLR7Hz5GUlN8Hkh3K5VUbfDnYbjNaWNPTtz9meQv0lovXj+1DAy
hVr4+rEMJgebBB2QtWhbq/SMSBtWeZ7V/9WoykA5l/CinYxgDdtLfb39hT/+GXhzzXpf3OfK4hNL
BcpHg2Tpx06TFJTPtGRjovGMuliQSw9KE5oHMx7LX2MY2U/AlHxoptE9+sGy2jNvNMAXvI4Kx9Sk
l3z5EfBEb4qKl5SPULfVXhmR99mimRGAuwki9DM7IFmfp2Qwc1guCcosTt9P84USpjtYydV457H5
4GAjDcd7TVcYGdElCV8Xep4mItGPVZYABRNRuEFyW13HlpM8Nn4p7tzb18caATiiIKTLGZUezOUC
hDH8HTx3/c9TBdPArUVWfpNTUO05JQpx5w65vjSJRDhfOsLzxCXLl9Txk1Aq1TI5KkOZt8+NiCdt
O9R9t9JMKcT60o46a5WHVfVqYhj03ZE7ZK3upCLX546GENkIlzcVvisKekOBUSqMsTgWbZ298Xta
L+57TXhJkdnT1vcD9SHx8fW5veGvPiz3NLt9Fs6kYgTn/HKhFR6lLujRdAA5MeQberEuTGpUQZuy
3pQ0u+9M83o8pCNAzM6AcgCty9pqgYT/CCjUPxbJEPr7Rmvzs14CL0MTKaibdaIP0791q4CvMyQL
OtdAuEGXgXWO6D9CTLZzrI2mbPeFY0TbKrXwCi6NfOi38mTqyZ1lXdaQ3wedOdPksuysK2pNaNIs
SYssOKWKGuDtg4mZ+I4ckz2dh3rQ45WoCVEPauWknyggQCQeHUxmZ4XubNhXTSWqddeboXTnYF3t
dYSLcIAgiZqprITGl9/bCUejhE3mHDOrab8kApsslJ1sxIVI6fXnrkrIVulqpse8y3KSbyu6QzD7
YAdAYAeqJUMfpi2x+AWdklWFNo7BqcN366AGkfrqF8hq2o0IEi9R0uBeq3T+Ey+CIuaMdsaswgsQ
Fs3QyzkPPlYAqHw4R5TUJ+mh0NJsn5a2zWkesPlO7KnUV2EErcejTECD6fYRu7rLdDQC0HMg15kt
qJZ3Z6p0AOmR1TqFoHziTZ9Y6bYukyDcGjSO7pyv67niezvPcwbuGHTYL+faaU2U+32VnGJJavYl
oOvzZFTaDyh63x0E4jZoaoJQR3EISZ7b87x+O+dvimwocRiYIX05tlYgvmshEXqKUcD5iuCvvsXt
S943vSRezdAoEK4DrtD4EricPo/+DEhU3TnsHxy8WQmYahmM8Fk9cxEQ5iZGPkiwW0etxlVU0BBu
mpdoCCTjmX4AwgDIpRO9RBDoZ6PYQfJ3upQng6tUfZxjzxSqj6JXp+nOtn/PoS93IXIegAogQLwX
5xdvet4Uat7ZiUMUx9O+xmzbqFZI71mdmwp5xNYc12Ef1+hAbh9ss44qD++ceh0CJwt2Ni4tCHvF
vR97yHTESM0VQ/YNVzNbO8DhkXSK4yN6uDEdgU1rOcMfatDd5wY9+emEL2DZe7SlqnIdQld4u/Pl
5/rqcm4oxDjYqVKaxIjjctfFcTIpVtNxwkxbEljsaZZnosxLJclqIMhHAcL/io5mA/IyD+mowtiw
RPJoyd09L4qrd1Q35/IhUEFTR6thWfNueXYsE5r0EQCXQXs41YKvgakIa13LfdC5mW0D1gpMEb/c
XoQPBuZRo0IF941cZFlwMFHFL3yuoKNjCAWHFmgb3+kCJN0WgXCM1pKpO4dBKN0r8l9fL0RkMq0m
er141y+LVFwE+OamQ3BqGkPJUMNXKg+IdKXgxzrEdwrt15Hp7LeBaitlDpI8eZnh2SXQpA4l8VOb
psFvMDl1sm26WGuee6l3jPWIMNBsAWMCYczAnxYvyKhJ5UpTkkpb1XIl3TlXH906pCvzc/YOYVgm
DlIQNHrVmeEp6nPrS8lr/tQWMkQsRUPgFMHzyqV5OOyzTPchyEjdAN4ubLa3v/67ptjiCLzrYcyc
WgpkSxAwgFyUmprAOfZSm5d7PZIm28WQQcUSCKLitM6iokNHL0oE0omdZXwPjBqpw1JP43Y3FFLu
f/G1sfFdSU/xIwZeHYKfrqxnFdOsz7CiwsxNKWNVnj8O+cuIm4Lh4cduNE/ocY2R2+pZ8GkKwvS3
1RJ4UOzOtUfhoOq6CRItjl5sOWpDD8yGjUijgXAWHYQEQWmEj33zoCgiXRst8MdNWErR6PkVOIut
UTTStk1t9NINH719mLqy76yQvCmiX7ESVpTOWzx2knjUYq/u2PdYi9Q1NpSGUofujKQEr+P0sewS
3+afAYZ342MDTa5ftYUUVgdZmWTtp2ak+nioG10d1wOeXNhmhHYBMjCqpmfsPrUfpZMrcHWSOPpy
++O9Z3XLj4fyNS8H4m0wDBZRcNcWqaFWpn9s9Hz8b8z7atqGtmSaANLaSPcKPBtgi4wQBN2strP2
TeUpCzBId7J0k9SN6FzRVc2TjjRr4HZ20f5CgbKKvMQv6vJOQPHec1n83BkCoJDzky/wky+v2ygf
4HAEjnQMpzzrVrA0YRcVgT/KjG2E4UOndmn1HDS1bG8lIFUCU56eTKbO/E53SzRRSapEr3WVKw2t
rK/Z2i2tpToO3KnXlLfJl9kHWiqXP5U+Tl6sTI71Nfqe8rBSGjTH1pCPs2ejxMl9LQFxYeA6g8SG
XKhascu7ROdfiLLs04r1csuwG6t1A3jh3vmfI5rlYsD4JUcEYjm//ZeLIVOQwdvI8Y90sjX5Jw8d
RiMuhMYwoEU1lvr3nOYYJsH9mMtPEH+dgxPJUnGAACX3hud32KQWVH3u5bDXgS6IDfyxQOdxNZMJ
XP4ws7H0why1/JTQQBfPmgin1xiaSvQEztjYweOp77zD1yNSjaXsRmBPAxY2wuWI4aA1gDGc7ASN
SpWx8KHvOmZWJ9ygHmkxFfcQtR8NiAYQ1x3dSWrR83//C9kKUopiv1+Xp8zs7R0vIHYsY0ubuQTo
pGzl2i/r3e2zev3MUkoHRMs7/lHlOQ2kzJmUtjyhIl4bro4hep1qk+K1WR57WpshtShobt0Z9jpv
Ir6Z205U/VAvX4YVGQwP24is/NQ7lW89RYgvF17sDNV/mBJBQqYFPzkIJ8+d3wlfZBMsmNqK1r09
+w8WnBNP9kYLBmU8Z7GnOquLVEEEc0IEDGOaGqAb92H4auqwrIuqKO+E0x+MB8mVVg2qnvTelrlL
MwS9hI6TOBVYBG2zwv/h5MC6YCPVW3wKw9Pt6X3wmDM1WrFsG3QGrwwzcySH+nHUqpOPG4GyiccQ
Do2NFrlPkKyNG0G8Ea6JcRT1oaOezKPUFWl0ghjVJHdS5Y/mDqGH6/Ed6rS0OpURQcEnohOnwPf7
baBO5aOWKNoEgbN4xjUXJPDt2b93ty+vspnaRwzJKUZXa6nHQcdKR7qgBYEZ6Zhj+qFsvFEgG5zd
VFrU0mPRChtPhoChZXyEgBhCIH2WEQnMXeLdvgGIVdmoZMu5pKHorlgw0dGrxIhQT0ixK03HWDfI
5dyT2wl4RMs1EkLxarVXrSuSbhMKGSJhb6M4DfSyqI3PzmDdczn/4Ayzf6nwAc2CzrbEDzt6LGmD
2aSnSrTpWQ5TcwN9GSpArPWHspySPe/e/vbifpAY0g6ZOSWEiibstsWjmUGmzoU/WScdUc8TnxM0
gzpoP6peqFtTquNvdJSbTei0rHQQmOWhUhRJ9XyATBm+hcr4z2eLLpGKOQ9v1qycOa/SX5fn6DSR
VSMAeQoiJcF8ecSXOMN4awBXaquPZYKM3Z3I4XpLz+VkuDU0MMBTXzFrorJP4i6xTimUFQl5ddRb
WYTxSxQj1AGbUwx3Qqvr7IQRNZwR54LfrI57OckewxRwb4yY+NP0GkaN7qXTFJmuqPJuffsTQ6bg
T7s4QMg2o8k4v39cW8zzcjTfSCqCvNDhlram9meoN4h7QL4HUPxGGaYe6k0AnbVDsLKJVLz6+gRF
6iBsA/0LJzt1viMmJ9Wyy4mqxgdERyU8FPw6TndGYabyb85bbaJ4E3f2qkjA0v1sVB/XT8OfAKbF
OPqKHfT24DDImBCCFW2ItxBTH/bygNzCOWi0QH+aRZgTtzTgrLEQStxqPylQwYM4DGo5Eud3lO/S
FQAraTzgzaF+UoOsNloPvSYZ7X3daFUyytFRv0jkaDwEZTicyXG7CQtEHfdNI9P8DZ44OEHD52wT
V4p965vVad3THNAnOwE2ZWP0Q9isqpjK76rnPKbo/gCMdANJHsLR63EslL/A9mxkNyHk9L2yF9PR
lirHWqeG072FOtaWK9so5Oes6eUXZTCU0XSNXO/8fRwXpf9ohoENXDZSjGNm+3WOFmCqfDPypB6B
gSv+57gYYC9mEOTFqtAa9TfxqKF9zTmGxUMRGDi1wqGr3ib8Qn6KlvLZtpWV+oHzLKEgg2jE5CZJ
MUZnUdBw1XBV/44nZHWM9KAaPfpI/ilLKEghrZokXtZRplsVVVo/IKhaxF5UDdbJRL7/qx/03Tmx
Ev9XlzhK6lJ9z7N9pwbB99LJnN+UJhV/jYJ1FbxApJ80L0vIA9wU9QbNw6+nSZ9yrfP7p1juizc0
b8iiRiWm/FtpToj2f4rzCEoeKh5cI/XCchU5tdwgM5/XbxMsEfshVMK4wq3OxoII9zAn3JAkBvon
e/Ib5wgOATsASc7MB1sd+y+UO4t4AxE7fyBMsx1PmNh18CqE6LCM0VgdzSlvmjXcpKBx49gssbQn
NrdOFoZjlisja/PDsKziZ1uqffLEpMLVNHZ2u56Azh/AN2eqq/dy27+MNjy51TRhWL8WflL9Ln3U
MAn35H7yCt9q0y8t3UMVs4QCAXy9qxXrjEu3/9brpLcvsHGH7sGWE6nyrLL1w22Y4VlLQWbsxMqv
inHySjieegOlwGjY5nTbfoqGdohX0zzM1jEWkfPxCjADjqJGGVYt7XaM9YZQIRdzSjSwoxmg6MVy
hda4qXbK9y7H8eBVKStdfQ7QrG5fNJb/OxWconvTQwsvTRcPArXYh0HaP8qdIoofQQ9K90grdkKm
qheYJuIxXlu/2jqI+z91GOnmU40C5rTJ0DYY3dK0m0MhR87gzpQNjU+EVqmR1M5zqfvCeEgCIQ+w
VjpodqPAdtvrx56saeXjGPKE2KGRHfgf03WDycZgemgrUp5MiZVmyWdihZ3tk3F+zYwkxDRQLpt9
OlU9sWbTjJObgn6UXSPIJms1TnplnVDRCwq+b1LbKymT685rRNU/i2malD3pj7Q1u9hwtnBOwaQ1
gYl/S9SOUbfJnQZ3RLVKR+SHUbMI9uYECu3c6aUjnpivX3yJIWaSTaYCZTylUs3PcCICZa1nTfa7
kTCQufNUXgUMvNrAOGZQA213muCX97pGuaTEiXoEWKMaRx/p0QR+iI8WXAed4aBPELO2fuon9wAN
V88XjSrgviiGEW6D953/+19vNCC0wO5I8E5mmkv/JUVwbihZRCsVE7D6Tvh39TgbyJuTJtL9m/O3
pWOirOPABDnFRpyiKzZFOWVvIalN5fqjYZzURox3AtzraJuGhEHLnZlBlwdEcTm7icoSgmEqhjJo
PK+RBpWfoqHI/4MXojwpoh4OsllrW2UyutFDf8qv3KHTv99+tZeZFU1uICvULrnVKY0v0dQRXc4M
vlD2oo5aobpaSRdMaYvoTSrSeCPkmFRqwrluwCqlR79RZO0/t6TgMeAmRO0aZplzxaXLCsCf+Iil
L7BxK38jx+rwW0pbuhSJ4OE94EKq3sknrwupBsqCBKTMmISWfOdy7XGhQ1mLW+JUa1HhpgZmL7FV
BZ+quiI2cEqlfOpxFbdXY53Wb2Xh5y7l7hFUmU6x91/jQs7XLLZOrkMwCsXu8scglEbFUM2Hk90j
ljnGSuOhaNAg3WA01tFppHv88g/OFT1A8juwQqAKljhfENPWlLbaeDLKFP5zFRq7TEv6r2NT+PdI
+cvLY95gNPgph8w6krDyLydnxrbkB3ZQvLSGUIOVozUO6pEVdpyOFTePYSvEZxqQ2e/b+9rmj/07
FmVYHZVg2vkwoOiKLML7sC9RgxNq+WJDEvOf/TxnP3EQ62+TFgbbMuiKYJXl5FufNGyEvt0efbnA
8+izFQUHG/gbPd/lpA2/KxFffKEIhEZ8lhfWEdmxbm/WHSY1twdb3lw49lHiAjpKRI5AvLYI8q0p
iTUT6tOL2jfygI0TVHxwi3iM0kdT3/SgDMM7Q16102jlk5ZjFwj9FZn8ZQ0UlGWPToBTnTNJQ/LZ
nQW5NByQcgsVoqTKgh3oyF75WsgDsTrx/OSsAMxob0Wg0voUdqCMHjpZFoo5oSx3bjDEdrwBa6s+
Gppv8sBqgVR7YYY8HBl252zQvUKIv9Awff5PloLh2wiy/DVFec58ub2g11uWySFzQ+I0446XfIY2
9qOeXKY5N8GQnWas4qMgPzgnzTB60lCbD0OUhH9uD3oF6mRAOkgzU51qD2IU847+67HL2sAuJzsv
zviOI4uUCXStvNaKgofAaC1jH+LivcKcMoOWPQrDOthKielTLQlti952V0L9bcdySzo77JyRKGen
jlIznG7/zvmxvzxYszIqFxXRLaKIy2J9ZACISapafRlFXqKTTK2k2WpwxO5citdHiHEclpUcnFLj
UghXaYqAerOmvnRVHY+bfLL+M0CcRZ7SyTQ5/n1SXIbMhxSWw7s8r1lS6jWaai9SLuFZlQR5uLdw
yxrvvDsfTervcRYZMhD2OO1lrDXIBSobqgo4BBddlNFf0fUBSHZ7Wh8Nh7K1rAEphJmzbM5h2mSV
gz1pLxHdb0K2MnowjCj9JYdJfq82er0vKHyDLJ/vXYZcwg+iOG+sMFLJNPykf+2l0jfdjqrml3+d
ElX9mYQzn0+4CIvnpKpkhF3pIZ+DoVJwg22biWeTXpsXxUJ9uz3Y1SMyC7DMKj80dmVClMXNaiJI
qtj4L561ImnFKsxy543EDz1yu9XHR1Bi0dmI4vLPBBmrv3MArm6heXAAiDCI6fryXl/eB4AFtCmh
HnEma8Ix0IFFrUHvsx039oPU3zZlku8V35z2/z5pZAWIgAHDzWTXy3Hhw0BIhF96Dhvh08rB8Wed
W21wnjBQPhfo+FKbaGUzcnWjMv/5MQPAQBkFxBgid2BuF6NbeNxJWlnBpooplmp9AndtyKWfel2V
+zas79Xkro7IPB6hNZsWcC/6RpezBdvphxmwwjPCyrZ0CHslKzdD66egZxDDcFa3F/fqlCAlNkOv
ZsUqfDWW8l6qiQAnoRcOoCJoMionmf6fM5X3LLiutKVpxs9ouzmwhCKpLUNKXQ9T3tlsPNsR5ZEf
WIJrqOxWdoDLnejaT2ZKJW2ntqbjrzUaV9RYe7Oqqm1uOOMhtSIjdVOzr6edHxkNIqxGifgJjrt1
H5L1jmI6VGaVirNth+WukGWhYC4mtZmXdBMeq+jakNW7TU5G32xh5aMfgDmdieG9iH+GUY0yw+2V
vfqQaKjyYlhE9DNIYtkrEURyVoPewHkyJQs0xmB9V/Cd3FZme0+A43ooyPyUUzEtgtaPiPflnukn
NYCIF4ozutrNOQwTR/X6qD7h7Ge0m9vTuo603uXpISXhe0Ju9K4h8VdYAN42InVUxbmdqWhbf6jT
ndXrjuahbtKIP47cxPWMb5mMbai15QuI/4m6+TRQ7FD8OkPfIZ+mMF/JtSUdRzmrVM+q6gHQQBfo
mA7qwfQrDmw6EdhIqn8MorUdvYOx3EgNkkDIRId19VzBr8nu4Fmu7tfZ7AIBnJkwQZi8VFHhiIsk
MrP2rFh1h5IfVimo2Zft50EVxbdRtcq1jif2NqbqfGe7XAXN89eDRMxJpEJ+FaErTlYFPmaM5zKk
loeIYEnjHKNZvfVEJFf1NguD6Z79wtWVPp9GmocQhzigAKUuN05b2TySkJXPSqW0wxaRrRxMShnj
tUC41j/lWMts0jr556eEcWkfIqlANAAZZ7FhhTCCKNJEd1Y1HMVdvqp8CLVpb8PPee3IjzFFNtV7
FZWrYzJHh7C/aNfKFhHcItjpwkHEDYJG57ylpomhFzAO1+mkNNv4vZWW69sn5Sqnp2dpAR5BGI/H
g2t9MUuwRqDa8jH8MoJVf4gqWtFK2MePVPo+RaLYmnqkPM/qpk8U6oxdy5SfKtHX/7azeLoQt+L1
os8F3JmK2eVHRh4lNIySFriVEVZsrJEkdeOoiCCkNQaznonAbfFvceX7mDpdJRyaCFOAAlyOiRBh
hs6xL+GAZccNVBiQreCyRPg0Zu2P2+u8+KyMRfsfrxITIPl75nk5llUZVYrHrYPoslz/6ofMX7cI
oGOOY43y538dCxdLFnKmIjDiMrXNglSyA6sPD7ZvIPXbDQYa4ugqi1VT2uC5bo+2uBOYGSRQQh+Y
1pwTgIqXM5uFE02U0f19mTr6LnXG+rMcj9UKryF7papZ/W92E/N4PFqAkqk7vOd+l+OpSOTpiROY
e8NJna+dXCBREzX4VRktL+U/z42x6OqTUQFSMRZzU1Qo3VM7Gfu8Mr5GdqV85smuDzBOe08Yfbe9
Pdy8yf/KEv8/NVaSJ4uYioDncmpJE7QomWHekYAGWSFSpLuSIRdrrU0U15elcRdlzQR2ykm3vqNl
m9vDL++C9/G51llY+DJU1hZhZGai0iY1qb3HgTd8De0qfQjyQX6llJC92p3U0FF01MTTjNx+zHR5
3PoASw/ZpMt3fsrijfv/L6H7Sh3K/B9l57VcN3JF0S9CFXJ4BXAzkyiRlPSCUqAQG7GBBvD1Xpgn
63KKrLHLTx4bvAjdp8/Ze+2NnHl1tHQshsozPexTDZc5dsZ1+QVMw9v3gBDvafWVqLNACR9LeK6v
79+Ft18qBlwQ6Ww5ARKoa4raylhioJBzTxqG8DOaP7LFM5F/9pruI1/x9jyvnzf7KS+0DiaBkI+/
n7fAxcPBiEu1td3u1Zg3MZsdgbdkeBzcBZ3/+z/taif9567ij+O+ohnkmLD99P+rigCu9U65GLzO
xmJbtDCL4eITVhoZg97H/cJUOOKu9h9c9u3PZOpLHh+dh01Xdu3XQYoD7ySZ7ZOXZ9lXhlUidNdx
3s/WoEeQMo0PjgtvfyY4BmpaDBRUtXSY//6ZwcqoS0uVdZoqm1RrlZtxYGfyMUnqxAk7zoEP2mgy
Xnr/7r59cbgsh3lmAvxSNPN/XzatE31bb20Wwik/GGnnnPyBSpC8Q/fT+5f6t1+IysenpcS+hTTi
70txtE2GSQr7tHS9/mdgYvmSFLSEiLh31zmkObfekjvazP/1ztIO4YANhpIybIs5+vu60BW7BPJ/
cHLRUd12JsigqNYC50aKxbjRkMBGve/mH+zTb96f7aocyjYpG2a361/roRoaxDj52KBs7yH1JIAk
E3vUD9sGHhWK0vY/uOKbRwkDQudl5bqsPyz8f//OmUDixJ9N51R4i0lGSi2yY77oSZhVrf5RGUKD
jv+7v9cBuIj/9zivaj5mOSZ5LwPITNdSj8LBEHJqexcIDMYjFYRzH5RBiBS8d+6Q9bb6T09kA44r
y5MnvZ7mBMp77gAlmEwF4AOVhdtH5krXFFg+R+dwqAux7IQj+0evNpsffuvY39Ji0zNb+qJ/Yeue
h8gEPKzhfk4V89bUacYH3RKJ2K1TIroXExracqOE1vsPUwPTdudlQesc7aWr+3ixk8T8iqg/nyLb
5908r2bjVXtrGvUmnvp2nZ6R/pnWZzY4g6gVQQJEqKMgEmFdVslTgyCMYNCarJ9dYxjpc90YWhqb
Ih/vWquuOZfxg++m3DXaB8Tf3kkr5pkJcO5W3i6f7O5zRen1wzOF91nayUosnhVoR9Wn1h+T+JOf
ujMNWoSTr24QrGt5EbYV1MlQEuN+4s+0UVK1Y9ntQMjm4zkdh+xBrcJ073xXQGXoscDfe7mePmJh
Kb/VlIqgUrh9oWf3wblIHJlFFpkCTQSa0BdPhlEjvlalsr+CCu1pWhrG2u3SJZHWwR9rputi1n71
nV2ZO6V1jhGvFoiBkP/deAEC7gPrFH0QonOr2kvuLUFShVlpTbfeFCCaKGAEurd+wjw8ok2qEQjl
ZqZ7mxWK27pC+P88dn2aHMRUZrc9Ocx9qPut+lWmDqmzSF5GCCmp9qvwDPJa0H5V39KqgLqEgqDv
9E9a1QJUdipRVQ8cCm3tZ2l163kQqR/8VEEpiv2cmZ2Ip0lDXKq6dg7OWjvoN/QGUSkMy9IhRJPz
DBTHweZxX3sEyoTCbCt7b7gNO2yvG83ByRCd3WPBRwk4dRMqdDRPaXlQ8IrnKPfTXP/VGlPR3uoe
GP9dx1TH/TMEeZpFDolY430jpLXuUks4f8Cewrhj3ehvvAEKLTMWORjOfeLM6OR8d23KvQcVLIbO
kozPetXPixHZ0rJvpMf4eAzprHeKcJZl1l5FF6yfbAKW1h9MFJql3olkFD+hRBTym7kk2o9WSb6e
Dg8NsuU2WZqKuB25wrAhbJcectr0YyOZwmR6+rnLLK+OS22Zqou31A1J8qWrLyWrdl7qkUStMoT0
mkvtM18jUs7KbKazwtgCpj0beu9XKU3No7c/ef2eZCi5BCEbePZSFhqN8RKR3jbKks4vnWzv7lhJ
BWeMlC/0epjXPkt3Wq3jDPb0AXGm4Z3dQWu7qMmX6rXv8s5mXtJ22o4g1m7ibxsq+QLeUMkzscni
6JUyAwy2OI1/SZtGdcd6NXC/syGqNmzhXC+Xauzs4Tf9sHz4PWl22z5kZcsoJiLvYGqPvnQaJ7LF
2J9qchzony2TWkLAzfCjtUDpgNKk5rQ39AXs6r5Uc4Wf2rKW35BrgzmucpZtUJRLriHhBxG9486a
wwMjYduPoeYZL32v6ofc0Vx/n/b+3ISL2Tg5SXFlwYcxrOPn2iWHFQxmE/Rh1g5jejtsIUzAgCQY
RQPpu8lAnUYHQhjdu2UYi1zZnZo8OBVgBp5qwNNuqLyUfyCw1BCOnpuiQ2t4Vfawu6tzb5O7h7nB
NS9C26IPRC0rhEEMn8pdlYxzES+y058DsWp9rIhVgjuWzyNNRC8XJ9/qCY+UZKbRY1lXIMzkRJr2
oSMewL7putT9XovZvwcPw3R0sMcR3U1lT8XOm7gPP3tVzCnzizGdonlqZpivYCoBt7tzYoU93ax0
3zr9mJI02ecqShE1EYfH4f9VYwT+R1Vp8HNGmvjF7a3OibbTbYPCKZh/T2PB6mPBvLwUMs0eV7cB
HD8FioWjyrLgWdMmqzqZmV50B5hO66ngNWXWljTJy5xWHRpof8y/z6Wn33odBpRYW9vxNjNLP42y
dRmnnT9q8ykIhuZrpSE+DtVith66ak3ijQusP71mDmA63aHrdoloaUGNs5f/JmGkppPaeE2wJWxW
LEKg6LUMFIG97lcEWsGBNGTYJrKfNCPCSsJDWgdZ3mcZCZoAaczlk0miSoZOzBmr+yAr52c0kNWn
Ik/yda8Fbtfc20Wn2Z8sW2NoGFI0J8NpBqn+Ry5b5lVvlV35qZpX57JIRfCspi319zaR8zc965xy
j7U6MPeAafubbBvmEcgr7bthKV0jVKOLE27aGlCHzljdG69G1Bt6yFy+VPSAX4HyGd1pXj0FRKsb
eCo24HuO3YZfRSO8BxFZpEtV+65JtSlMZFsj3kqgdx+tiZsbliChb4Fq2TYbji1uJ0e5Typpdeyl
nROcGYynTuwOdiFOfdKp4WRx+pM70hVHfdc3gUYsUzEiTayKobux8qnC9O/m2RDnDemJkTMwpQzd
XDrq1iFe5V5xqO/iQq8HnZaq2ARzlpvfVEEazHu/qV3rxsaL+LvoE1SMGSRvggSUkEUIqmJ49IXt
oYD186rYzdo0vo6+aL9JC/bXjs6tPHKq1Rn3CJqWYZI55SeRJ+2IwFyvptDQyhFvQ8DDOmB3GB9R
wREsRQlo3C9N61FnEU/8LShNb72vK9tHgVqQuhcanFvqcB4oYdhx6gbyK5E9WmiXhvRYhgLjl2fn
tYK6r+St1Pz+h5bqqryxdDW8GoJuUrg2ZAF81kWFT2nqa//FcoZuiAwlptdCM+byNBKDWB9No03S
C/+EFUStNmReOJjZeO8zNS8ufjao396U4pPM3M6Rz0Yjy3aXDr1O67USlnHEu7olNa0LyMvcNqR5
yFdfPjrZWOT8QM6F8WAlvk/IYdInpxLZ7t0ytmjGs740ilBSB1uv0CRkfvBXMynjrnWnXdAMyHwa
dJSvE/uJ3Df+DFtcpTMKT6dULqzN1Eu/BvaA+o/xhlnEvM9TEDmpa/uhif0vO82NWIqDpvuLF/aj
3uWX0VhqmwaqldTHqlTZDsm6kxwqb7Ce86xbm50kMYhYtXGhLguCdfkM83nuDvlMGbkjW9Wl5USd
Bk5Omx3vKIKgfNRyTVn7FCWkH7Wr5z8UqYFmokYWf9sGVpOeB6NDPm0thl0exzL1X7OgxicHTX9y
92KuiyYSWZZ07K++2cdlO/LUgyar5RnfFM41B2dH9tIhEerxSo44hmrEjbG7UOChzkfXcazARVC1
t64hbhNg0MmhaxNCAvMmyYtTCRaDD1Hh/wjpOcJtrpccwZhJMlvz6NqOoc4ZLz0C5rpLvnhrpvWh
qaXGCH06aH6Td1RiHnEoBR2P3easTDjQo6r4AMoygZNX4fYgS5NWK9Zafax2Q5DirRhQDa8InVdK
uqoDsR7a5ESTJeqNvPSxm8+Tvr3UhaCzn6a72vYzHR964xkP+JfKAT+awJqqBxIs1uJk5aWc19mP
53Uo793GbPqLEKaMB3BaghybRvL9Du06yy+OHIMhZuzFX+CtjniqBZmbX/TWSFSE4UzyAZhYE/eq
1xqylK0hM06c7kejDOemlfO9iaunPJnOIoJwaCAfsIBn7T6VU6/SEI098o8N+kiV7ZkQ5MHLJMNL
4/dzT6fDn9LYmKqi2VdEKge7oRu1TyXNdeu7n/H/HLaYlJII46arxS3oPO1BtrZBacDK1cZ+33LZ
bjRFcwsHd6BMEZX22DWr+uL3QYVEoBtlCUEWIKPWS9Zvn+IUuJMm6+aG2ZJZnmx7QglvBA1PrjHU
Mt7Bd/SCCBFAq27tQVDO0GgstAcqa0ovJ+1q7zP5Mto3rNRW8n1VXX8nQcbLgzaATfvAlvhvXQVm
S/ShaB9zAr5qYDglvZhRpvYJ3fB5nRBimQhlo2TU7L0ulj+bUfbwfiPjn6bI9dEXKH9AexwUKr6L
v0/aCgxKR8yedWJC4RU3Fl5MKxYU8B5WogW9vZn5QOGMrO/Mc5KxDIWtmsxj6Wi9uSfJCiSvS03y
hCYkzXYpS7gX0s/NfzNl4Cm4Rprd6D2CuRhsh/vFDka7voGFb/yiwVbvzSVbslvPKXl4ksmnFo/T
CKBq0DhsPrZekZsXc1ZiBrAAFn232NXEzRjKIqr0pr731cSiGGqkw83fyxabQ9isvv2HYUtinwyR
+U86iL3lpulm58WVoDrCmi3kD040DoGBm2j5XtqrVnH68pGazEwquqg2B+JdFmjyuAGaCgeVhJvk
H0hmbOU590i6O4Fz0uWe9tB6WVxl1nuDHEBjly1u+bQE/pg9tVqyiJgjIYBEe8RPze4gkw+mDW9a
tYBx8AShemC0Qavk6q2hpzYokHnZWQtq+1EN1npTitxkNL5WM23q1PuFQrI/ZPP45f2X522XBscM
+iM6Uuh0kJz8/e6knOxJNWuKcyDds++J5BV6/yZ5U/lH9uU3LSgQtnieNo0ZUgT7WldFdtGs4/9w
T3PO2G+RfHsAZZeo7QWGgaT64J7+Syee69G9ZCiGwhct6N8/jVF9yywgcU5uG+RHM1+LB21VJGtX
vbs8mz35S97sdRczH0kVnRKPGnCcWvus4+F/ff82v3nA6GkIseAhA8ZH63U1FaAsNANZo6UjC3I6
9u1o4l4gIg0FKaJEwar/fRjNn0WWJN4H/cZ/uzQ8DJ4vRAgHrfnft8Fo04Zxoe6erHSr6zi+7CkV
+n3AnIRSNanHrx636eKV2rR//1f/2yNgDAApmegdhKL/JOT8X7PcstF9CG9xT4xEoOXVneWFLA3J
RiDQxoi+CEnGivaKERqSXN0QRiM4XMmueQfvuJo/WJ3/5RUEBsm/N1Yjw8Srt92yvHZKYceclnUa
Dq2qgy7WZk0/j3PV5nTSivkjc9q/3P6NPwn8Cp01je2roewQwOovG+WcQIGbMSCG9KAcIMF4SbKz
aSzzYeiJj7JWWzy+f/f/ZStCF4eck2/bslmv/37wA4yvspyZVARS+vsqSYsfdF4nYtYD7TSSSboF
ZKziv79uTN4ZvW+fHh/ddj/+/5GbIkm3/hkhJpAUflRVYGX7ycSspkxPNTHtlDSysXNBIV7W4COF
zL/d7m3yxL8MwL3Xl1+0eZUe4NFTUGL6q2GvXfx5UQ+dkl4dDVmf/ErzZjjWVPHig434bQsaTBTC
DkQxaPbQAv3902vsfhUNDvdUjnQawqJjUYo4qJOrGgyqLsICvXc0m5yY3Hxyb+FJV/95fsKXjLmA
gTVm8eB6zWvGyQqGzHdOIApN1LpdekIudFN69fqBgubtt73Bnog6gNwKhNa8JiYOnoIUubKujPR0
p71Vwy9mh/RpnInMrrqbSVTYdXrC2Lx90JVF9ymg157tUY37N2oypo9Gc2/CAgmBDAiwxFm76WpY
9P9+AC7oW4PMSf+UtZ1zMHuK+NCm6j+4VbBeZhRNBenK8/rgVZ2sLqNOSMHFrrFXXARYixiONR2L
0sj7nSYG5PP/8YNkvM9LyfLPeohe/mpUGfgDW7A/FueqnejHugW2a84CsZF65utqN7sJTFn/wUXf
fBBclLEhXh/0GWhXr5b/dbAH5g9leXaEoWVh76bmXe+V3SVL02o9DVVujPRQliI7pjpOwf+6HHB5
xj/wxgwiTMnF+PuROHpnsufaJFUpPK+yRjoeDgzeaC9VRncs8FQiGMG0gNPOnT6/f8Pf/nZ83/8U
41BC0O5eFcY8eWWuTKJPSdoTPmO2cJJMOGhROqTqjAmyOfWuVF3U6aP+5/1rv8lTZdODPQdbjcob
4dP1amBxLFpaseQnfamXJ7K8+/qgG3Lm5FUwrkbOGLQ3c92hLhkyIZNnZRJuErfjJCwaCeQ2x7Zs
pjqNVmIZqx+GP7fmhdyoVD+UoreO7ljOX9//o9/sj9tusammmNttlqCrD6itlUbvz24pmXDw0qT4
uhC7sjed/vc0B/ZHiY9vi08u53B/OL3wn2vdlDHNjGc7tz1VKZB7m8bqHwnfYi9rYyjC93/am91w
+2lMkjbKxMb8vPppekPa3Nwg5U1tBJPliGYLm6TlkvxozHm+m/ohvasToT4YM79dJ7mj6IgYvCIT
ZcW/2hU20gIr42Sc+kBM85muqrmTVj3d5pRe37qMY2sPcB+DdFCJJCwabXjtm4mGM9qG9L8Kf3D7
oQ+DZULXH1jl1V1oF41Gi+yskwGi5gX3q7q3rdQKTiKwp/q/uTd1EHQIm3mZsDaiVb3+5QRzKKdu
kOLQ3ELpSAh3bxxzXjz/pJlIFojq6DGXL1hOqw+wwm9eZJ9VFlwz9k28SfwFfy87G0Y3rznknlZ3
rszQ5Nu5tWpmU4053butd/v+y/XmRd4uh2TBIIiYI9x1nZuSAjzTU5tOPabvuJVL8YCBsTjMqvqo
vnrzHnMpxumIVlFKIOG6qicdG497vtbTycz14iBsM9kVwMYikdLqJJXHvBNGKv/zk9wUjszzt/uJ
SXX7o/6vqEMK4kkEydMpGGvlx1ntVlM0VZihQgaXdnVM1657LToxV6f37+ybJRy1OqsnaMNNQUpt
8/eVW7o1HvDE9YSELHmx19T8RLvWdHZWMunDeck9stmI5ALYAQsKtsP7l397t//RcXE8BpMLXvBq
+xqF6DVOJ/aJ1MMAg73uZWFlV81ZqtLclYN47Qzocu9f9O3bhMpxI8JQPTuUcVcrRj6XWrGwl56a
vC3PleFMVkTQnddHGv2l5Pj+1d58KkSbY9CBvb0Zzt5YMlWQMRAwvP7Sdq0SEBtaJlhpmjE/dGv1
SmeXO/yfL4nxd1PooZxFNXv1OuU1EU9+peQFiZ7BpFNVzN6qggIBXfucntu0kx/8yu2e/dUjC+gW
QdjBm7BZyq9LQ2JJ6oQXabzo5Jobh0yCwT21koHh6/u/7U2CKM0iBFMseLhJuOB1ldcz+neLAtc/
RJ6mPeXa4NZRTus2/50Os/vZd4Z5CaJ1VjkAD2w133TeX3HLPKV4YEqr8l9N7Sk3JF7c+0iP/fZh
e9vaz+mMMymh9tbfnxPsBzht6ahfWkFzMjQxQIcmOoJPPoloRzEsHzRh3ny+aOxROW3MfANxzjW3
ikxEALlzwPC2mmfvPHirfUeI25/ZMLJDmrjG+KnoLP1YTKo4vP8g3nxFgbe1PTYV6D8y/+2//781
CwG2IwV5ZxfyLCd3DIVlIVB25sQVN8SZZR/U2W9fsO2nIqelwYWw6/q0vUqLiLqkbi6W3/T2s+Y1
erUXFfaVD97kt7eUk7VFThKzNozr17gATFLMZV2tvVRUNPmyA/02bZzpsXwRzuLPJw3hVQ/nWRPT
Lzexm2/v39fr6xMjsQELMMEhKEO3vL1i/3dfpzzVe7bC7AJbV3yzStMmytEBCW9uxI6kb4of+J7X
g61NVRq/f+3r5fifa2/dBfa/zVx4dYIq504jfIRrN+yuYd4DkWQEwkTRa9evUon6ec76+eX9i15/
M9tFeYM5VCIn5hhxtePysRf+UvX5JU/47MMcTdOjrTpSoORMmmfBfD39YIG8JjSwz26QANJZMTGw
8V7jVpE8miSsrMWF3NRsB+YnOQF3lg+Wl8vYnd3qCA+/jUZSmo2olwjWPBxVH9ztf3nSWy8BGTxZ
mLzZV4tFga6lG5hWXfCtWy8Bc7p7DfjwxZ9sBGpOUsznwNNU7EBg+eBr+mdj/f/1ersBHEQQg1Ls
YFq52vcHFDwGoLLikjFNJNuACTAG85RhVliT7PPUV+i5mL31JO+u7bqe8CtqSVSmGoNzqSbCsnpz
2Y8L6ir0+lYMhsk9tgi2L4wSih/TkH2I4P6nlXr1R+P656Pg1aRauT5rjzUHTrev13OvguLOnUHj
xppCuhpC0YOGlMsaaDNZh0WErKWaH4oiTf8Mo7UFHBQlGNueDeVLbXbDK7Iu9WTNeVodtcJ0tdB0
2SxuAlSL+Tf8LNW8T4ImT26ElRJrPzFsvkFvI9LnrLOz1znXy2Dn1a56BoQ9TftkMfvjwjgX1Xeb
an+yNpkNqBMWIyImNUXb3TOgGG/wIvZrHdK9q4t4GMZx+LIwoy/3c9e14D7hNujmAWuBbfAkdEf8
EE1n7FhVtex7t3bLcNeYwdjxViKFiUiitR7GGbLJUyOddAi1xRhTuRPW4OhH26qb1wzI8b2RreP3
ejbcmhQzc3pKGT9BPFrz+Y9URquh6OzL7lS6FifFgCVvCm1b5hetSxx7N1ae2jeJQ6dpJYFpb1qZ
n5yDoCcmda4Mgh4Q1kzVlwbRS3HfG1JXRwssxB0OnU2W4I2AKJSzStC7DZOeCDSWp+3yvivFbV+V
ycmGNziHQeF246fF7WYjMhom2lSDyOGAiw1DGnceee5AsOkHxLku1JOSiajvMf+kTdTUa0pWuz+5
lwX7ahI540hTOMhXeSrboZHh0sBJkoS6TiFMJP871ldSZU2zm8u4YOI5xinptN+Ab9p6WCjJYM/x
svnnCPh8DHOkY6++gkxxN5UWsfayMs3HYFx6jrUkdi63LesEXuypE15UrjM6FbFI6+IS4QptV/f7
YZczI/iOM3P4pLK13NKLvWU4rGnuZREz/AzA0WgFe08B3DsYic0rgvR+Ac7kD+We8T/UM3C0phkR
xezr+85ae3FUotPTHZUNKXFG3cnf05J2v3S9dYrdxEy+erC9pC1vVj+xjYM2OZ1xGySdRV9mdP3n
dXTW9hRMSF0cz1Hjp3ytLOOGLmL1y5uzUQ+BTTA5ORRTO/CucSD87KcEUL6O3Zy2l1YGEk3gaInv
yDv89A+qh6z85CjhzX8cJn3lrsYrmMAiI774aKVdS2j0WNYIFOhOHRQnD06ps7U8jFYh8p1tdak8
LcGcwqZKV1Sigm+gjUHfDkOcJDMxbkPDKnma7Yk2O6oD3Xjkw9Wsz8lcId/wpgwgfmUp+xfjWFXF
6bQpnsq8ts1wHSspnxBCmS9+xrL3MKhC7oam0o0veTaiNUsMGMXxggrZ/VosieIoTQCTG5CqsNq/
DZebRFCxrfeRV67i08bdexJVmpXxmOnOE624uXwCFaxXT7XtzUNY0fkcTk2ag9qcUq3qNQjTjTJw
zKCFm+JSrUH9g+V6+MGccP1eG4X+WydMICfzG+nNdzmUoHb1fvAPMIADIy6tpJsOiaGSEWkCibDx
7KDAxrQw8Q/agUz7szHQiwkBKumPgLq39uAsnRulC2xrZHWBySf/JakvXT9ba2RPKdG+62AZUeHp
uHpxd47389DR2u70fhXfNCYpCEFJMuT7cKZORnwPfXvDDDUZd3pHIlakzy69N1Nm2Zk8PXYTi43h
B/7eNg1R4bsyhCwWXIzRnvvd2ijP2Sd16zTIjlU575piTb4O+aL6iMbm0DC2CpqvE5bVLgJM239d
gpaPNuE8+2LlafCtGMFI3XomkdZ6Br/vrPVJcggaW9OjKR1GcaRjBPAorGjintvVzMsDClOqG9ES
BjNHBckCSD6hqT8aWb3Y54bU0+xkAt09dc46Np9aRtitGcKsy4wYKWV+G9jluJxHNvazRrfdiAFg
1u5u08Q/BxV6zJhSDYhYMhhKY0VurG+ZgIxzaAPU0AdObIUX+4hT9Cibt3gQ1xhg6YQLmg4A0sFU
N58Dwfb2YueVWT+04+ANZ0LVkAkVrdkKPLtLrx2brE1fk8ExsAWzbk/2TgrDnmOApciPF6SQhGUy
h/e/BqkZvJBOm6+RvgjhEZgOLCNGhusSIJ8ioD8hZ/fVMc9sUqGQaUv0U8VI7+d+kTJp7obCndSF
1teKhlqgzECO1eT1IL8pPWvzkwJjcFP5QVneiKmfzwL8qP44BbN95rwEzY/YMG2MF1e2BtX01J0s
A7h7zPneFKd2mmQRKSJKg9jh3PJ5Ju/syQbtaB/7ZvGyl4SSVD1sYrJvLCDNT2ll2u2K+bU6Zwsu
6q8OXQ61y6AF6nD6NWHEPnC68gvqLaM7jz5gvI7kuHynF05q/ODooAEENbvmZnPFnHC4k7gpKreB
mucOremgAcJ3OuB+zNf2MI/t2vIlz3Ypb1ZQd97dKmvVv45u5r1mVdM0e7pgtjzqsON+A5NFDwyY
w0VlkNgFo2CDAXATbzoKRE2cLA6rI/r+J51S1cauX9mvQcOfEgUL3L09GnHDjmc3dYxfbeYa9U2w
gkhGd48ou3qB69cWJ3IkjexPMiamDUkyqV/mCtvbMc2BEER+JaYjEEzbP1la7jxXBr3JcScWnZ4A
HeDs4jnL7Oz6utes46J5nY3Z3TarC+H26kfu5ZOMC0fTtUvWgRW42KNXpRFBWbZ3k0y+fsjxq1b7
pgba+6TPenBYGOsA3dKJI9pD+mjqnynrRBrVTUfUl+fBZIhmNCXuoWI/Nfbb43ShBSVBHg4SIH5j
I5PDa0HX644VKs1jPU2bXTaRjnDaIo5KcMzZALegNTS9xVPui2fNKlBlttpoJ3tRW2z4XQfiDFWN
qWIzr83s4K0gCvfUiBOCRBCHRTgZ4A5v6wWtdKSptB93RlqlY+xK6bzMgVrSqOWPbOCIdl6xU01Q
/ewQu2DjDiaEizKvvL1vZxNljN8kVGhBh2rX0oInM1284adXNLlWUlPr4x+v8ZCKNbLAnjjpOf3D
KTP94ra3V8OUoSvW4ras28o5LZ6fx1UicmenrbMF29Kq3SU0lDc4Ud22VrKjBF5Qv3mla6M81bz8
O8HcFbVupub7khYqOQjIIsc4r/3Jv6MfM2T3wqtBNC5wEg+CsHZKOiZawUGTg1cjnWzSBelcR9Ak
Dp02KMELhSg5vQf8PGV72+d0TB7pIBXPoNPW+jgHPfBSKgyzixVoua9aM6FxB9hYCTOaGJm3R3iv
xHv1eeVoO/xoqPc7B5naVDvzFCmQB3PoIxNr67DqMk39MvMmVaHXNpa94+VGpOabYqExSS87YsER
7veytMt+R4CCKlmpaO3Fs+mBu+hyMuhTqQ1p1ClruM0td3DvvBYPWhDqyIXbS0NkNjx+DV1wlFGX
EWSuFQZq68oGPa0rP6hvUZq3PY3XROuKqKE4FjcK2HzBO1tpiCyQWm8VN03+T8RSjA7Fo91p3qb5
BZ1SuEIsiKj74cvc104ZGw04m13uueR3WDMJaO5aaMsvtULgi7GlqFOnlz1qOyAewW2aVCuWdYud
wHxoAzV8WvV0LG+wVwQ91oIh6NMaJxFIjptVGNl3V3Oy/pSMwcK6RWfEfNR8WQJttbbaEyfqkO4G
cDAZDC6/0rwwaEBKMgtaM2vPjjpCmC2YicRyqOo0rlNVgZoHYnWbEcT2EyF+y3hdBl520MpqOuZW
MLewssuyDCUyHP1GrUqzIrT+eR8bNKfEXuTUaxEJZMkXLk10quyWtTnnXe+qAy9R52BfKmY9SobA
Ku+Xali1gzMYgo5hm3WRCUQtuJvGnHLJzrLaeBbrphmtljorz1nSAwGYy3EYdghs26ObVrm+A4vF
Ac9AFUyiRIn4MnaaRmfSzChIS/LQ6YKuYSXrgjqatMITlCKyVD99jYIkrKTvzLs0CCo9xlzmtKGD
cW05UY+Y8rhuhuq1C9weTKDmJShgmSWSsrTR7rYjI2mgOcYDpzRK/7YOUnvdcZfxJ2ek+U2hbFf3
i3BNqs/Nh5JehkUMHW4jF2/TKGdsP5WYcxarJt2pyl+zLxBek31AlZ/W8aiC/tlLzKk4d3aTfzHy
xVt21YI3VoaywPAemv/j7Mx220ayMPxEBLgvt9Rmy3acxLaU5IbI1tzJIov7089HX1mUICEz6AFm
Oo0u1cJTp875F9Em5WaIC8RPu7qtszvZVfz9uS7sPlBoUnKSnRpYP+Da1kKVfEhBv+exbX0PphGc
Z6BPirsBG0rmjJOIGBBKbqYG1WzuDW0VpcSI0o8xEkkfh9h25JNi6+WTqw+5fhdKDOL4kuF0Yl2O
HG7v99Ggsm/5mK66rg6+2S7wH9+Gf7ZGIcdiJUGXVCvRD4WzDxGJczbIIHc/xtZsmIOhD3JDBhKw
+gCu7QMO3gJ8rN136Z4r3d2gcj4Va4TEvL81ESQNQEHYTf27Scvke4XU7XDIsxJKnhrAMSz62PgN
D6QanxwJmnXXa0X4A5WMbtyr2BaNmNeUafNFBnWzz81aK9dRnxv9Xdro+lYT6G+AFo6qeJ+XTohz
yphORbLrJi+y1iHWglxkRtyChaAaqLivOKF09b7n/fWzmkLtPxGjp+NnLmaPO6NlbwcusnzjDZY6
rYvWwNTAF0ZcVZEvJgkNiPwcGKQu4fn5IXDvL5o+pOoWQGg27QsqzM3WmUoxrHnUWP0KLEj5NuYV
oFGwFbYHh7JKiaSqNZlHB/v1YTN2gSY2GsBzbV0Zsb5qacjnR4TpJ2+bY6Nrv+hgl+VbpTSVvY4n
TH3W4WRF5nZ0Ytfxzdia3BWK5tr0I5D2MHziEu6bNZE7t+47itO8fC0VhFmF8vdAwEwcHTzOlKV7
s+HnwxUhioWrMKFWvMOS2JboJoPt9idwJpHpY4CZF0hzhlpPkmhPzYaHjlr6JIJm/9SmtfwCT0Qm
O9sudGs38wz2vQ3gyteyHNqOlUxatZs0JDBBfWBd8pTy8fysYwLF2vCCxN0mVZeMkAiqOI03gRHl
wyfPrhrnwEWrOW/IxZPu+wCK6p9aYMnkcwVZWHt0JTXXFU7U1fQE8UkD/z2OuboxnMr7RWTlHivK
IRKYbpNN+mo1AtWuJayYTdYqVbwdklA9SiCb6qpuIwDUAT7woF3HPvxrh0mj8o6zlSb0TS0OlOJG
lfG8pmtYJiqd9Alc/oc7VyE/1JNrbUo5Y2r9oCEc1T0nthYSLN0MTD98SrGrHeoRX3NO7j9ailBk
BeWAlK8FLBr80pJTbxuJdJO0zB6MUi22CNMTiBQFDqjvxEmzk4iFd3uUgmzjVnl3bj+fFgrp4KJ6
ACSAJp+nLaqbDRrNWagzMqgQUjhe2plC3Uvo9MTDUIWR5eS/wiGFwKGj4uDbtW6vWoosf7QuzG80
r88QCjT/DJqAwOZARtLGXXRKpDNYvWkp6UPuAr/gup+mPSXDrKQKIsRbBf64eRjTmqYVzI8fiRNR
EgC+Ao1Og4Vxvdp+VnQmePAXmTk5l6Ut3TeUYcwiT2/Cx7izsoOeTcm91BBaIIplkH9Sgbhk40Cs
QDN+c33os0K/AUYKlCadSXT33KVya8UH2pqgUPYO3qvf9LYOtoppwPwwje4B8uUtq/qzqXLwkdgD
j4InBlStRTcDD61wKowx3fdRVa6ivreeLaTxnyZ+I0dgrkX1zZGPMbq142ffHCPPeiyzbx8c36Um
y2DzMK5NL9vLAUT7Jh3dOvliWO04wMAExiCQoSdwQ/MRKzcaCgzVRjKcrVOgmjKqNfwge2xHb1On
XeEdE2VQp11KdDK3hlFnPCADyEX/2hWhW8zOOCQG9GLAlLx3TT6EimLIc7AmafImQzltTCisuW9G
ktgOHYtLXsDtfaQUI4DRiHTAkAALLCK7Lb0bR2WxgO+/hKb5TBkB5MKvOQ1a85MYO4QheTPQI0zX
EbJ9uz6eop0mpvqb143GBnnSW+DW97jwIW4wLBgMFNDwK+MTcZZoCNnUUxcPTvaWFrF4RpsihX+v
5sZ93ZdT4gczI9+Poq4SvslFuatdoC4utnCUbwUcTzSqMI+5/tWcmajxo6iSIydOEEXvZdmUSwJP
69WQQCHyImp8qMLt2pFGC/lOogPjR1XrkAzC6gnXohjrimpxosPezUrl1R2q5E9FcP+dw/IpfCMC
OLnSs6jdyT7rb8CCls15FtCZtcZZQMpmuv0O2vtwgsg7LDlV0fjCl1EVZIKoaeFaBvfSxyFM9j7t
TWTrwH5qOKvxCFRWuBtm/5mdkn9jb+T4MIqyPLSJpv+rL8z827AKBRlKPHY1c+4wn/w28HhG6w0v
5LnyAWy291WXVqz6VSHye4sVvYWJWwS899UAB8bFSwiy+c/piIXpya5Q2uEliwOoWWkbBY8ejxq0
BSidxb4YjOyWQOTlMV1zhoaBQFvaALdpl+udMwwvMYXPr47tjt9SqFtHbUyTNR+9+d/147kIsu9z
BEXIftMxt7nsT+c421s17OPwYk4W5PtCliBvs/FNF45SIQqukOcFnvzMC1DcgEhfGhp4w9wSREQM
verToe0BwQvywvEFPXd517qKNetRWb9Locpt2lrmvdqF7ltemM3b9UnPkzqNE7PMp4n/MI2YGdSz
GDnXgLdLRuYuT7+gKVDV+AxRUFVC3biBDbswFv14OGYoyJvgKudQ+eHYhqLyxtwcp5e01eQ3bXCb
h1kBq0UYAq3eG33hC6eHwYDU0mtAEGkpcUf7rktBGo8vWHThCdCQ+2o4fLYtqGK1RZ4jrRBQu76Y
F8eES+ABkXL47/znHybYN53iDTw4Xwgev5HS6rkTpekp2zKtTWSRGimaGznxpTW1kP0Cy26ggmQv
1lSjXGSgKsw0Edp8EXr5XMjUOGTj+Ov63M7vMb6KDwPNR/jD3KBdzkDgaXwhPM+0/QSX4Rq5nrrN
nbcAn6M7uJTW7+uDni0o8BDSfaCSkDRmWN3poFaVTW4WO8OrVce8tr2op4ISpJ5VbeMSaA5iQTA1
b+ziO73s4zeBfBZoujn0azMGaolmkJWYtMxxxBswYEP4zYTC+WbwMrKHWCT557JCAv4+1BP9roro
d2zdqdLU+0LXW28XRoas9pN2dGxRH8Nocj6bVSG3EM6nx6rXV1VjrTKng9OLqk7UrvLBHtXdWBmp
wvPdQtubYrGHwgwOSdFLaAbDXROEVb2yI1nYfigSRFiA3BifjTCiz4GrZ33oYiQwcGgf+2+JFxnB
HyoX4fSzSAbxp+xG93HQO5ju+F5GEnq07qY3Fm35NOA9xusE+hD4LSIoiLHTrTJF5wQjCO23mvcB
jJ0wgcGlN+MQ7LQaJhdYAouuSUKx4hcdPGrdmdU7yOtY1KbqscAX8t/ODmGNeos9K6WbgMbPXD+F
iKTjBs2bVvSeCaKixHA2KBTcUni2pOtc1v2Nj/Es65rHBP8zP5MAAIFHOV2EkGp71Zdl99YXWtv7
Ma/rdpWgi1FQI5p6c+NoaffHw43ZXVWuVJ9Cr+8HdDI6E4dfbSprAEqYpOY31mIZJebfZQFm5yMi
1IM2PP1dg4BSYQS9eHOaLn8Kpza4A00UTvOFRh3hnxceYqrHLYqDHIy+xWVGYcDG1ZMSjGlFxq8g
aN3fZmj04Zq+SI9+gOP2+Y3TtwxOzA/s3oz/4SGIioF+Oj9pNKASnKp9U3L6v7VXVAcweOpWyqz/
XRMRy4cMMZn+BklwjnkngQJU3fwKZnT73QXodNgc5UKabKbyaiBuKnd6YzvPRuvK75qToJqWE/QJ
V4VTPiRTUt7a1PfX9unwHGygkpTtwFo7SyBhHaBwQMnceUVSiZ6HNbjZ8H1KwtFaW7XtNG/SwPbL
zXuLI1cGb65mKNbdOEYIH+lmk/7MQyP2dr1JlN3Rw5Uv7pgg1ZLqUpObyewwh23G3izWdFj0BP+L
urB52bdufWcG1aD0vB3gqw07nKdjkNZ4uaKKo6Va364HQVEDrQPVe3PHGYA+BUUNlyfUko1idlG6
S0tOAsj+tmo3fRjoONtnsdI8DUPk9c+0Ery/PONc8bdPxtF8GXHiEF8s1A4Yt6tHWMG+itR7/WQH
quf++cdDzPkFnGUDfAXRRwJxurWx2jqVO4XeK/ITiFE4aM68YoKXPwg9FvYG94vylrTr2SHGjxe8
MceJZyuvisVVDkqgRLGCCuhQxBUQhyQyn5uxyGh0hnY4y/nQDvmqhVoZbK9P9uLIfKsUNaht6Uvi
L0ogE0Xqrnjj1uv5UihFqo3ePjuFpiL4POJhkAW3oYtzIPh4fi2IHoDT0ScB442M/iJQODiPGS63
39wHQYW4lpp1RPnC8fYVdhPOllpc32FJOuHDmCjqA94jSrlq0T6J9rhE2fHec0sKpmoXNz9zWtK3
kqvlulDleudgE1wMg1+7uNOCKFFLA2e6tza1a9MHRSN+ogZZl5tgNIefgzUGLxXkf2V9fT+W4fp9
XJj2M52B1/uSkxLVHYiVoQgPihUIQDglIg11536Ju6jcXB9qiR/FTYw5zkh0Li1Y50uD5rHXABdo
ivJWD0I+NLIRP7sAKz0l1rWV0KrY2ORu7lkribV8cs/bwL5vLEd6N/L1ZSydf8dMejZ0eEDc2YvT
n5q07XFLDt7GbnCNuwmzxG+ZzAsaqD1SN+aMAFoVYTvpj3nMVfmPlxZ3lc78342CYKu+i0Z+SG8n
zU2FA+vzMASqmkCiQOmnK4P+mNCvhpVL++3Gyp9PeB6RwM11TKVmWUMMdWKPgtrVAcWndm+mllj3
ed9/yjMI735tcDuroT2WUCFtubu+6/PBPfnymC2wS02H6ggNeVlVjsHN9A2mq4cqzNSdKnv1scza
ABRAk1iAs/pu0ySG9YwFYr2hIF7c2OzzA/5ODjJJsXkMgrw/ja5pNAYuoM/0EHZj/6BopbOzQKtv
0tZUbl2Tl9aZsz0/jsgCkXg4HUs69EgCLc4OwySKbRdZ+XfpmL2vQCnbwbabvlNvxaK+ydJbb9Dz
+DGr2dvwI2e5Dgg6p0O3Va/Qe/bSgzvZQPxrL3lRo7baVEBi9pP0qmOg0IS5vrfLNxMnmZotkBoH
R52ZK3k66DDk9GokFXFks6DQAltCATjWEFhYxXGSDj64Ku0Wp+HCTOeHPZ1xRBzIMhdVTkVDWKqO
y/wA0M/eN+3UvHKyJrJZzBN48hj2t2ZSwn8/RijoeCws1RoMbxfxOWm8YGqNqTgAr9jT3QuNVU91
ZaP3ARJX15f1widDeQatakprs1rB8shOfKzI5eaHMgi6H3kweBvNRMAGu2Rxj3i3/iCoS33HIEt7
grV9a1cvDw/S6J2iTR35dFdZ/BCNHJtdbYd8eBja2i18+CNUcfO2dL5WIyT5SAtoEUY8WNcVlhv2
jRh5aZMpa6BmrcKxA29/+huaeKBaHaTFIYBAeOCfkOvUQS+1GVTkTL1kDP1BKeU/1sbm84xSEUmu
jd87R+x0VJHHXt2LuDhMox3e2d6g2hs0ruWuFNIOV0PZVCu18KDpVDywrm/6pW+Jp9NMxAeCQya4
GNtSkpSPtTg4IyCtVQ/GFniJHP4G6E1lm3JCjPfGmT57SFOHpNnj8OlShJhpJKdjRh24cic2kqNQ
9LGltFxDD437Jto0Fio4QBUz0IOhpnwaOjKFHQm0tXdqqGRAi9Qku/HGOU8Q5t8DJZpnI0ooUJBP
f49uRbjvNlF8HIPQAN9Y9l2wQxaYyohnCmCYEe+gYeOlInY26tAkYl1jo9uuYqph7o0NOfsMiKKI
qc+Jij73UxaLM6px4Ha6EZInJs3vERjDY9Rj87prkwGBlEaq2KIUYJ+sVWvrSXJfOABCrh+Ki7+B
arDKowcvj+UGGSPW6HTq42MtrWndc3buFBFnP9O0+9mrk/MWGzmyp0UQTauwSqMb8f3sK2QJ6Ghx
bfNN0PZc3GdlL/rSQt7wWKihs+F7qRIawkG97prG+67Rp39ENy2+kZKelTZgctFLmnMGdGHpRS4C
UInn6CSTWjkgvJeuS6zo1VUseMZluhe/5ebgoG1cjTMKpnk0wRncNWOKXWio9s89B/NGLfnSJtAT
n0v1/CJunNNTOfAggT7jhEdjQB/EjwqYFMNYTiryIonqG/noPIZBWt+Vo1uu+W6nG6fgLK1gPebe
xNwm4n24fHxr1sy9tSd0gO04fAW64x1mSa7HzDGzN1sxbSR84ir7PUxpf7h+AM+iEkPjRmvzWfIE
ost5Oncgu3g/W5wAbZDlHRJIkp2oKCZV8bi3OuHuro934cTxHKVnRU3Upds9/54PubExxVoHrCM+
kmH1L62aNTzFdHVlx5a6nqzA/ByFnIbrg16YJGfbBHfI65Daxrz+HwZN3RQZ615Pjh5Kv8/QvQkr
lWajZy7xqFZuUbIuzRHXI3QAWFuumfnPPww38jSwoZKldKhDF0FRZVrpVB0gg0aIa9ohMGBDz7wb
wdXi33qSh0OP5C6f2+v4oJ3d6orooaIPbnosDCzd1CJCT62dVAgzKfWW6wt6aYaeMyeiwBY0MsTT
GZqtJKRCFTh0Dp7qA8XqF6GN6H9PiQPQzkp51KrRl+uDXvhKdB0xDXoDSBDQBD8ddIpsxVC7XDko
reIJP/SS9Gj0hbMOM6tbk60b3aoA8PngJLZz4wu9cJOSi1KFtUGIUJxeNvRQdVD1xLKDQ1ji0efr
8GxqyE61HqHtrAXATm0MEzP01pHHDYpmJfANpQwL6dpPm6zfXV+Ls82mRE5PnvctmzBn6KdrEZE4
jgKw/wEFcPXeHi2gnrHsVHedNQAPbmz32fczj8a54gEyn+uleUSt62EqWzU6uErsbYIuV3dVkO7b
AokYFLhH7+X67G6Nt7iZA70amgGu5KEN0/jv5AQy8p2q63NEfO1fcRY2+v8xQ4TSeEkCiiEzWZwt
NU8EYj1mdIgr8TNUWghJjZO+SjBqTLCIv/37BOfengUIjPL+stNGUzhJKDcmB7WR8VcgoPk+d8J6
qwR0zVckhG5yf33E8wPD81GjMDb7iGIzu4jzsR32lOFEcrDVFp8Jr9MAIqqUPjqRq7dW8yw8QBHn
4chyQuDV1GUN0EXLUaPmmhzchFingO8P9kXnNGI91Pk4rV0nMO61CIT19voszw8OA8/Nd2oShIql
Ioo26qklbSs+RANQstUovExZK2acahuA+PINbhmkvutjnoWlebK0E3FW5wMBo3v6KcJbQDY0aNND
0zTlWxDDiAEv7HmfHGVwX4MpG/8ERp3jUpBF6S3fqfOMmioXHVsKrZCOyB0W+1o2cWwqqZEeSG6C
H3ntop+dR0a4U/LA+oUIYIyiRjXocLgj3u5ylMMG5kD1z/GIn2Gj1D0n9uAlFolkgBFlDh0rOdCY
mrpNnVhpuFHTfqRJpziv11f8LF+b50y+OmeQiIstjxcM61F6QkmhuKgIDnvFIH/VI3Vbl/tyG3uU
DHxweuJHUYQA3aFqpIfrv+DCOePt/J6wzyKmywJjHkeTm07UnJAfaPUvYhLRLg1pDa2wQwi36pRl
2r8mqXM5kyuIxjjf1VnbTaOpMSiGlR6mqq3lugo96te2K8oXBVbaHTxa7zcMm6bdJa0RNtwGQXQD
x3Ths6aZTS0RqBDSscs0NcNKQrHwQziAzXQVX2hO9tTVSvdbpazsbWhG9O4RYml546uea/cnmQ1T
d4nJ3L2gB+minH5hcDxJ4OogO+RmkshNUnT6eAdoMr+xqxfmR8uVlwnlCEQXlufKboHV53lYHLxY
Gt+sxoX+BzF9JSEMvbIc4fMA7fjGzXP+GAJZxznm+YeHDqWnxWVXaQOuPUGSH3DlHcKfaWCKbIde
aEsBSjHCF1LJ2lyrXOvtL7U1EV3QEHWroeN27T2y6s20Uao+ufUounBhoJIDVYJ+KG+jZbaFJrgW
IgWWHzSjiqKNgFLk0xZxuwc0v+vhRoZ+YTRUgBGwZvlhRiybrqUJ1KEV7Cg0trb6AtocKUtqnk76
x4LGF9+I2ZeG4/FPJgMEHArkImbTE6tLtQZRB6+tg0Ju8MZaUe+S/ymYk32/HiwuHF/Wj7MLjgel
h6UllSZbLGMwnoB9YRnTLgqwD9oHSZG+XR/n4qSM2T0NKQiytMVBQq+hTAgN5WEUqfiueXCb0KKn
S15q3Y0IfOHOQ0GB+g3mzqidLQ8HsqII96A5cbDdqcU1Squ6B3hh2l024ehUSFt7RdY62WaT0d7Q
krsQerln0Mzl4Up/Z9nPKkCmG5ExFge1ynEwMO2a858Gzk7CYn1pm+SWY/aFqEC0m08J2S/N+UWq
PYyAQ43MKQ+OGupfsa/M1pJXGOJjWfoUBaIKN/SjgHJe381L80S4D6wJz3si0rzbHx6RWlM18WhU
4oCMQrXCFiHeCCMt18YoQeYjKb37x/HYTwDoOu0FwNn8n9PxshHKUjVm2sGkNfyAI4AE3GLSeYfc
CxtVQg+91S88O7CMMn/rlKAo2tA3PB1SMV3K7NhOHELkU7dRNsrnNGqwH8gHCZj6+vzOMyUagjRt
QEUiSI8u4OIWyYymBOat6YdEG+WLU1T9Z7eHvLbNcyBI6AQKq7rrNA2KbKZkuGBVzj1ogVtaWGfH
ae5LEgqogJE/kLqdTtqg7YhGgmYccDRT7+CcDke8jmAauF2B66C1w6EsueXjeIZAJleiygPXgnbo
rBC2mHyR9eUYpqZ+wDwqOyZRh0ogwrCf21Hq0KmGofqlDgY2dGozHQtRJ+shdPAnwxcRa+0KgYKx
joa/17fk7IjzoyjK0KLFkZBKyeJHlWkqVbW1jINSZPGvTsZZgJVF7+mQjoMwv6vjGvDH9THPzxxj
InSHiBToMuSMTpe/4bGelINtHEThOj8TPPk+VUgsQBqL9M31oc7i/jy9mTcAXH9WU5p/yocvGHbi
NF+g5qEberNZobFSZOu6V25Jjl06UXPtlpBIcmguq6mh26pmNYYWbmiZeKStb/4IOyxCZKjJPxZe
H5nfGsatK+DS5qEvChYKQAPmwYuFtJVxKFN+0aFp1dT2W6uDcBhLxFjorzvfhtZDz+f6gl7au1k+
juyM2H8Gw62bijZGWBsHaAjmoxI6ZrXL+gFRjLJzb4lPnu8eHRMmRpZAcGK0090rMdNV8jQxDnVs
6MonB3kMY9PUUrV/X5/V2V3KqwlwBjtIqwYlz8VXAB0VwMxk4VJsqKgSm838HvfSQP0aEcu2hYus
+bo3YHmgW+tkNw7p+eFhdOIiSv1zJrQ0DqZqKIqota2DiDVE4RWBxldfVXcIB9XrEN6l4nv2WG2v
z/n88JyOqp8ubpZWcZbpCqOqY/cSIfNyX0KCgpehW/8lkKNvXG6X1pgslnBLmu4hzHc6Xo20QY9l
oX1AqD3bZK4ebSglxn5lh/IJNZJqlQSoNOP70v4fM2WuFAeQaeWym4/ZhyCQdCEmOu1kHxCtwnYz
M9V4FRWTrDelh6JbNIZY4Pz74s6dLWp1pLdnJfZucPBWrDP7UGWpeQf1LNiYLf6VayCFNvjY1K5+
XR/x0iGiyaiSEdLd47s5naQyAlFM8eU6NMJ2j1096Pl2iPHcWSWhDmNay0uauo1EXvgWD+jy0AwL
alLj/M9//mF9B2ZUWUhbHUDjRzgkBTWGhTXdw7rW5D22TKw8GP1bNrNzdDt5kkJwoNwyF5sQNsZ3
+3TYdBzdIsFN8YiOh3pnoe8zAHMr/7q01Bo/y6D/AhV21iiUhMiw2f96ngERUoeeOXwujM7lrNuu
UWEbK+LYxqGOCpNsjlqstRv+XrASSHm/afVoPDh5Hd0Y+Wy9Z/6DAyaX1gYLvoQuGOVgSdT3qmMS
JgWyDJq5qfqu3Bl9HCO8IsJ9nGf1jUv7wmqDbAIbhP4iUNtlu6ESwoV0J+tjVMPZqcuwekQHsN6h
+eRusHDSNvjYiw1eoNVXs2+UG9/weepI93zuDs7+yea87ae7LYrQ8grkzY42shstMg+K99cGlTs9
q8Y4mTuHZAmvVNtSJKlLXBR3Ckbn9n2KxeiNeH12B/JT2HF4TDOEwFpKm4ohNdmAVB5hTOF2Gk4G
DpNj/DPReutGxUk/uwLnsWguACujrgds8XTaYZ2gTybN+pglkfBWIWnty9g7rbbB6U4+1mOrhBuS
2QCBpSQqcGyaxeYqnH0oP0Ux1EhzUBKJvWBG6Z7YB7UEu6QQu9pEcT4bkaUE21R2/b5oZE0PEFXg
4glN1hYNLdj6zioq0+klk9BE/zFgMTMqLly2QIxmX+zTmU0ZohMNhgBHHanU9VTOpmu2V69jDNvu
m1Z8Iq0TN+ivZ3ceY7oQN5Ga4RsidJyOCSISHKYTNkccRp2V18426gOtpGlCAk91xb+XhucBZ6D+
TFkAUr6IUUCLvDqwuuaIPot5FJLeI7Ff2YaOquypF4J16doq2WjJVOSryDVaFEWwSP7npWbGdEHn
XoBHo/l02h2yHeWgivYIrCl65pd+b7M43HXmkG/Uttbvgka/heU6u+4RKbfAdBCekbO2ljCfIUyg
jg1me8wq1LlXJZ80EBILUZl2VM197+TuztBx8/MpOX27Pt93ltvp1TAXe3hq8ReWZdZyn3UhoZl3
2ZHidPTWp2p+5w5166yqIixgC1dy3GIdjA5Wk0f946B59Y+oQbBKqdH7um+l1kKb65TyT4+6+3OC
R9W2RbrlDtni0DfE56jcqoru3SXQ+nZxC9L7RgJxHm6ZAe8VsONEeGLe6Zalo9rVuKhkRysdk+8N
1KzHBvk23TeRxtgomZattZa+ApTgyK8mQ7+/voQXvhSIL7RUqEiAI1+SPrwmkGWolvlRuEb0uUJJ
7VOkYJuKQSG6RaFwbpSU9AvnRUeXwWHDkBbWl1vWZmmGSb1WHOmh149Sd9I7LDA61C2nqcMhziyf
PS+MXivdyVs/6EZVWRVINX1JYa1+yhBbehmnemjRhjNhG09OdaBSP62B3nvrzLKbNXhF5QstzLT1
S5m16WqwpuCuNvT8xYAgtnLGCQ3S3OB6i/PKfEzTiIfU9WXV5yx3cTLn7h+vX8jItMgWn+KgeEi1
Cj0/esCQ8ajBVhbbALsuC7+xZP8DqJSH1n6KiA5tOiPcYJydivuZt29ssWpxm1XeifiXnITyzZsi
s97CSzMtfxCUPGaczBj7GZ/ZHrQOWlGOHtlPQs8KZXV9JkuXE9Ch2Cxw+QGxAC5DY/P0hFa0eOoS
G3CynriuN6aeIMwoEDhZ6dSM70bHK8c13HHrE62MBIMCehX3SNYGryE24F9kb/Y/DZXe2RpX6gyh
03yyt7qqZCuUW/67/mMXX9MsqmwCTsaIC0obiJfFCwAEONjSygz2YCaqLX17bU2xoET11IChJStn
3aGytUONBAHYrok314dffEzvw1PqgIWM/QjE58VSJUEmwfx7qHQaabErC+xvUi2n4OG6Eal69I8a
BRRJ6Wnz3SIZRF2PFPF0a8QUOHWhTNl+RFrIBsLV6/ZXDJdddRZLduTvHHVkSIdZcpP5vMhN34ee
qVtcs7QheW8thx7ToGzCDCX/XP2ElEUerwwQGG8KYmPJqjC7/0I1Gm8s8BIa8j4srx7edgAVNYDh
p8PmgWvTdx1p4avqaPhGn5Y7dyySr1HZF+g+QWTc2bXDYbMa3f2U5h00OUHH4bddo7B9fbsv/ho+
DJAhgIttdVmutnTMpGaI+L6RSoT9yZAHm67NjFdTQfzbx29Qn3W1vOlAezYhpvdCJiscpafkmUp3
cyO2LkLr++LQH6dARN2VVGRx/GzRt52aq/m+yfu/sS27zVTUKG+VgUHRiA6T7+jocaqRjkTW9aWY
w9mHcDcPDR99pk5SgJuT2NN9yfD0U2uE6vZKRGXXjrRy9IkOv0xul7frQ72XDZdj0SNAIIPSMsju
xTSRoirark1LvAai/N4wMlj3RSbjLxDkyvJVDnX5fewtxX1pO7t5MxSjRIoKN5ydR9SCQSAaLfym
NNSDH0zqE/oaRGBp+eCVq7+93TlvrRGl2lZF9GJ8uf7jL60TyTB1ePIl7tw5gH14QmfV1HRxKsW+
H7XxVVbhIRnr9skI7OBG3L44EikwKYXLU26ZAqN6XLlKEYp9qKj6drJDB1Fc3nSbXIR9ur0+rQsn
jxDErAgE8IGWoCUPvuYQGJrYY0QPvhiBu364x+0j/NQrtYaSdmfkL6gTmKiWTLnb3zj4F+aKKQN1
furbrn1e51eTibpaKvZNlSfPbZTbn+Uk+++a2ht3/zpTBtLId7nRwEUs8YZKWXemHItuT2aPBnKD
u6hSKNY96UX2pCh29ERV/63Vw1uV58UDEQgnqFE+Mg9CDL3iJaetKjrVCRAORV7YjR/z1sHqbX7B
31jKs7hOuRdiH2U0wussLnF6QBs3tmNdrdv95GTaZmgUHQ34etqpyqismrqWd0NYHa+v6dmtPZOA
aYi5sOMwc1s2TGze2I6wLbGvdXDiK7fJqk2JOuurOuD2iLRZ6XwuRW2hJB2ESIelddb8uf4TLkwb
NBrELl6Nsy3a4l6RSG1GOpSfezoxDjLZvcDWXp+mh8TtMXEpqUz5WVt0N07T+aba1JUcyCkaadYZ
T0Et0sTq0QPblzjcR77WKekXo0Fo/vrszi8qzg4JHGVn6s8zz+h0V5VYgJTC3HsfeRjXvPUwFZD6
AstSHurJ0wZ/jJMYpW4v1pT71NWLZtujYBb6LrbSZXMnWhx9v17/Uee7PttMzeB00Mke4gOnv6kG
ytih+Nfts5aCHqXLCntxMx3uiTKF4QfekP4NkqDf4GYj7o0GA5LrP+B88fkBM9JlZlLiF71clBZd
3tbK+r2mhsYfY1SM1lcyc/rnL4rKMLi8uZI0Y7/npPFjyLf7epTC6fYdApjfMyM7UNtxN+AuxSNk
uv5uFni9mZnMB/bkkqQBC86cnASoCxWJxeRi0SAJa+u40dEQfnC555oVm6G2vlbNupTALvtXQZ3c
XdkyHJsHLOarbYEh2bhGm4NK58BxjT9ZsRKBJ+T9wssjG6yVYfUJqV4qpbPONViXK3RR0WeE2B3g
UYCrt0kaJvEIdZwa3lyagJ0a8kZ7aDS1CLDhHNwu96MpyJ4hx0biJXVB8NEeGMFuO13TvoaeXfCv
QolMvCAsXKOpSsXTfDXtUmmf+aDcuyIeU+2HhvuD93fqNMkjTzGgEbVx19uPM+9M8+vBrm2/0yjN
87qM4MaiyNlwyJSyOSLNIQ6BaD2xr6zS+AlxRcLZzItq1H3ig1askQ6wrZWosCukzdtmOzGIpjiS
gyp/C5SsvbvZbxPJTJal9CFGIrHY5cN/UTl4j2aBjZrP2WtcdNadydt1AIrcVWhp3aM3xHrt41JS
v5nJmL6mHUV930wDD1uCToKwDpCqHHYl9r6vCqQu1guLBdOfEM3HLAa/qeg46UOgA0Azk+FvmsRR
RUWaUgj6lhgD3Jt4Tf3MpNWj8187hvKEvHf3kqAaW32n7dt9DuKoCNa8KIXud84UTs8CckDlG3rt
9J91GCKKT8UnfgmQp0tXoR1k6casROXea1WDx2WV5DjhybiPMGyx4rz+j0VCfriiyVWs2sSl0IcB
g/sjyLK2vJHdLF+lXIdEjRmcTr4BidBa1E0mZHptcs167xq9eohcbO39OEAp1U9yAGU6MvbjSkly
s3kCUDLowQrBnfmAiVZ9ziwvxL4kaNrhf5yd6W7cxtaur4gA5+Eve5LUkm3ZsrvtP0SS7XCex+LV
f09p4xy42Y0mtIEgSJwA1VWsWlVrrXfApJSi7D7vmP1jEs2I8vg2KQ2i0p5RzWuBWL6DF8dS/lr4
w3TIgFUurtfUjUMqGnH75KAvtrWxoB38XE9KhPT7HkCrM31Fqq/ELavJP7VYZ0JR0rWnLm3cX8AB
5zVEnAwDV7/H5arnAoIP4y3uvQFtnLzT7QZ1etzgk8BEilIoIzJWoSZWLrtlaV9+M3hoXHTShg4Y
wiJJgFCMgr9TtE8cbz4U9880ovoImJKG+/Al15Ceb1ySZicr86/RVEf7IAMbtbJ3bswZhQiwGQR+
cpZl6uqROPZD0GIt2Ar7gAvE8JI3bbzLjFJbGeqqIEAvg5Ec2ii8w2FSXMZ+HWA0T47RfMobvX7N
0iLHHT0URIasjGptM1RRdb5/q129ZGCmkFewyGDdqQ8sr5uqcLqx1usnU4us1zLJy0fQ4cqLXubz
b0UJkc8Ho7u2r2XOdbGPbFP6/EnQrIS8L0FqyVDohdcJ84grD6VehODtXzCMBvRwbQh/+MK34d6K
rbbZ8LgVf48JcjNbMXdKLP1N1JU792rdbXTKHCD4oABJCpY8+TnrWl5VjnVsado8ziQs+y4zla2m
98pGn4Y1EL48tovpU/ynEE7NiVrfsto3DzaYhSYyj81gWTvug/GfJNMbbT/j7FjScWiT1zBChOql
yFP0nD74yYE6suocEvmahI50uctM0UaThrPOMbA4xD26amgPNOOxsSwE2JHZzb+YXqmo+/vD3lhk
V0pCIqND0g/T9nJYq54Md+hd/Yg7hrfJNTdufmQ8FP/JorBQfyQ28ob3R7x6Mkq1C3B60Bxkh3KJ
7hQRprqKF2hHJxb6D7eyir02a/oB0RHjH6wsPUx8sP5B3NnUDyalvmoFlX3jO0PFogcNkZP4vaQC
hWMLjEo3tGMDE+GcT73xTUEMdYtDn/KQ5pP6mNlh/VKpktx8f+5XUQs8Gd8XKVJYM9TcFuda77uc
P/S0Yyo60frYpM5veuMhBh6i6rrSjrwO1YwGugkBBMYDd7p4PtKfHEuo6tqRwyrleRU0HqCm637E
G3dbENce4IUVv2u08b9hsamPj5M+JR9e7stfsZizOQCsR9FDO9ZNEJ6s0iZkVs5s4FMTTPNPpInN
TZWHYQNBrQjLlfvq1oqj/gAIHiU7wMSLNRA58vvFxIpPfUBHCYl/bGd0gIS0NZx45fNe7yyUMkEO
gvaXSfASlB3mdq7ata0fI3VMjWOvuriYlHn4iOWhHWMyYXb/BEo6xy9ZUPbFyve+PsrU7CwdxA4f
mxatPHh/5ChGEokSL1L7qMwBzlAhculiK/pYfHYqJ97SyLBW1AFujihhLBANJNdiETxca+y9ktrp
0Sjyapdhgt76qlpor5XX2LtB0fWPf03ye0pM3MhSilzem39M0ezRWEBu1jnWGnRQYx6NfJcDZlYx
TerqlcFufE345VAbeOJRtFkqntuKauF47+jHFJLj58lI7W8o0c9P+jDXfqoWI+qEVhpvyypwVlK/
q10rm03AfHnX4FN4VcAZB8Tum3xGuqwMzXavppPKyzidqxLaJoKGK/v26jtS+WbHEhDQ2gW4sSjG
qvhQ8bRRa2aaVtJKKX5EJyg9xiDHHzPEkD66ssAcCYM0fSGQ09xfjGc3CfJ3WJEdLStR9lXNyay8
uNtE9DZ3Wplqp1SJ4u9aNhivHwzAjMxLwoA4IX2bzcUG8gbFGixdNMcu6fRX1Z6NzymoxU2C1UXl
3x/r6hHHWICNLCIvwCMy9MvNGuVEdi82m2Nv4p1khV361HCb46ozAGLQyAV9PanXqrg3viWwe/YP
BWNgR8Zi1DCGkVOEk35s884KN+0YK29NbXnfBiwWdug89Sub5/qaAVyD/Au9E0IBlPhFiJ2j2LUV
8DtHJTCzr/hCBM0/tpo4GlvWLijz+XZsJj8CS4r/5MCQHtELCiKPulRcrgogXh8dgxQItRKyFFrx
y1+D7xRHK3LFsdFLZ6/m0g01FP/wbFuLt9cFOfjNNGioJRN3JTb98gOXXd5HjaPNx5AaQv6ozzbJ
+aAG9UEfCyq7CKG743YyUIqoUbBp3tSZ5wxGMqUpBEikpEq+399yVyGLX4RYCKRVKYUJxfHyF1Vm
Biwb265jNXUhkkO21mabICZFOuIShqIgst1uvAmjIu4OBZm3+3b/B1zveQIlUYs2JiiaKwi3yF0R
0jybjiYuHWDngchs6GJk9sNcx7q5j3GaHn/BFDNWiwmLrJxLD74cDXcytfdunnE5dwJWZ5EvhJ97
FGrnY+bwCZxj2rfg9n0Fx0bUYvKxDNO/pr5I+10YzmWCol+Wet/0xEQ+lk5AjXi3nJqjrUT05Wbh
k0i5CqlWCU4DmczF7TxpSeMiKjt+Djvhme3zVCgkjsC+utZ5cEsF0UXVyCOT0vwU2tpuDijwZv5c
O3X5qHRRB4yOmDGvHd/FlmG12DI8kIgYPBqugJnBXHhIgHkYdVLIE/5ICbt9iIB3NNvGRpBwEJZ4
sTR8XffVIPT8g0mnHJ/i5nsWz3P8SomtpbuqsS76c+0a1SF3e8/mMgB2/M9QOOFBr4Yp23siS9Pc
z7SxqB5R8lIFes7BtEEHJ8hW4pk8I3+kge8/iOwEtQCuQ51jfbmPiixVgkhJjOcMQ7qHDt6L8CO8
xtauB/nBL8eBqUSnBH8AosjVpZt1nrDbDGyOkym4G+KKN6U+ShCOs8kKfKx3Q16U9qaI5y73QbuA
y6qnFtjk/RO7iJdMl58hexdUHG4Yovc0tmujVNzn1MLyys8VfrTf1GgjwBOGaLky3PV2Yzh6F6Ax
aTHCGr1cXS+zIKZOtvvcm/q0d1OhlY+mEmAcW0bpps7iaesomr1VW7SYVr7srbFh4dLfpJiDOJu8
Ov94PcZ9nVfTkLnPCpk+6kSUruhDBaP+CAI6VB4S8j7Pj2JRfIPkiaTT/ZVexEa50uAMEGCnjcCj
btk2hhqWDIKE9FlpUaAzoZxsiVjWflYwMWiEUB7aKF57DtyYM5waFNGlzCRvgsVzQCPgW6naec+k
40m9zYwER04aSWJrm3FyDNsRQyTg4K9GM2r6yuG+NWOyXdxqQFZSmVwMHuK8BBSbGXNMq50zeNmD
SALjxVa1U1tEw44Kuru/v8pLZAF0hXdLdp4jsnHO1778yjgDhdM8C/GipqGRbEVitu7fQAu1t9Iy
0ekOrcGTmnzDYL8VairC89RUdCjpw8RfcjezvuHZmmVfQbKZ0yazQmE5vpicIjx1dh80lT+rs9Zv
PLUSB/xT5jUi4/JEys40EUFq4byz/WSA+mObNoOrlG6nGc+Y65U74SVasjG8xnvp1VgoK+dx+Yko
xNBqIb2BD8ViLZuKqp7PekFJ7BjiALnT2gSLdq0cn+xkmLFUTrSv/WCtlUGuQh8T48UE9MPEUQeY
y+UMp2jOKlMB69Y7iRb6eqW1zhu9W61XN06CTs5bl4M2oykVTDS7sjFC5W7TSlLWCsZ4eTyYtGQ1
y74qpigc0MtfUnoT7ojU+V9E53g4d3vKPG+rUhsHe68oYjxUtTO2D6LA5+wX4sMepnb39+t7Y/zP
e0Dy0NDD5tVGpiD5IJc/Ab2TAmvoWn32kBoNt3zkKkSBFfCzn/S1o2yDcE6PiVDV8JG6rfa9GWH/
0e01WihsY4lDnLFBlX9MPjUBIaCm/1U68wY1Ni8IkO2Pp/6hCGq9+Iy5mz1tGNBu36owiuxdphn4
8FI/iozXPBhn6zBNw3S2Kq2fHp2gV9VN0jb9cAitvBx2oRkZ0abT1fBzyxM/2oOk7viDzEMqwzVm
kOdIrw26WtOgy93t0PRF55M/KDgO5Ygn8nPaiZYl7reVT0MxTbcK8HzMOwcAyO3OHMdMewVUPT02
oRdOnzWj1VFBhcFsbkf8HJ2fyTjPb2oEcs3XohzCzv3vcXUgoOgRp99TKKqxzuKSwDHUiVBujZ7R
yla1vaUP9eewNpRPLVaKWyvP6/KBx+RaVXSRtnH6iFVyC5qwyiD2y436x6E35nDMW6vynl2jnjel
kraPbSFh9oWY7NcU08QPdlAYkQcflQsZgKUaymLrFx5CIwhdec99YbnbALnp176zxi0vTgyK7y/q
1euXwZD0xjWHyaEnuQwz6UR7rG2q6AXc26w9pFYMmg0Qt2r4M61NQU1OLd1tnYhOOmQ6OG07nVDT
bWxF0VGe4mzl5F8vOL8IpBNtZLkGS0ZQG7i0v+GSvRRuY/0tsLf/Too+0U+SLl9a56y1F67CulwC
wh7UbZqGMEEvvzCvvSmGVxi+lJbRHXWG3dPSjJ/scbJW7t2roVBsg1sGPVFq75KtXA7VR0NAnmXr
zw2Yxk+9Hk+flLqJcVGFAXP/yy5DOWJmlOLoG5AG04xbvpYH0YQ9gCb7mHlxrey6tvZ2QxdYti9s
jrevVJ33iBIvospmNP30CuF8uf8L5LpdxE+eVFJgmIorR8de8iWmsemrusn6FzVy7HKbobufPYe1
yMVf9wd6F3dcjoSAm4cMn6wJWosvWIcQAVOs6kmHQLtv2tlwnqcRw49tlQfGF1GiZePXQqsikjjU
QDbhqOfKnnuXGrgPW9tW3rQeBPgL3koauUXWj3g5miUm4W5i0aPHUNb2fnTk61hsAWj5EYSeMTgr
D9Grrc+KIeiKwBtFP5DOi3loTdNTmoXISXWke+pbR/uM7JH2FKCH+m/fKGsYnRvjcblJMguRhibq
YjtqQ6s1GgYqL/0wl5vMDPK/uKl04adG/iWvSnslhF9tfyrR0CAkJAkaOQ/fy+3fKok18BztXtwZ
Tcw2tgPuGjud/yIV7d/ub4qr60KOxXUBoo+zTef0cixwMF6C+lj3otaN/qIlk7L33CQ4amGt79ve
mv7Vo0msfMCrQWlHQ0sA6kPYZsxFEjU6oTviwozopDPPMKOQD7T1MT1ofQW+DoiPsxnSMv11f6pX
B02OyqsNsRRKSzSnL6caiFLH87tTXyptBlGoWLH4Ccowerw/zNXXAznFm4jdIj2NCNCXw1T0yEys
MrQXp3FxsdULMz/yfrVf9dHRdvfHutqZjCU3JKeZWVHDuxwLJt6kxpgTv0yxWTxxBvQ99jDzkxUj
3IRFUFH9uD/grcnJmiHOIaDISMwuB6zUmDpYMuCNjSKX6rN7EZqfAVo9osYyru2Td3zwRcQipecm
4IpngUBELk46nFtIgcJKP81BaLrbpKE8vJ28pKfdq0H/neva8BCPtpofZWWnZwBAiByH6FdYfunh
G4KIsIdfSTh1Xw2QStUmt6FYqbDRR586m6P8wpfAaaHG4Aj1TzvlbEXRONnwi4dbkBf7rK/waB6y
Pv8xpqP7tZkM3ohqLsD/Y8cdVydAsQomE/fX+V166nLmumS8QH7ldMIqW8SAAPEN8Ayh9mKnttp6
5BCNO2NZRbomdqERufHRwpnoM7W2EH/MMDS/JEaFDX1i8vanQ9rm/RO87Ep/TOPJpdSUWM7k53na
wkpHKszDG0PX0x/liHxcsWvooo/PeYZ0RbsRKA83kKtjvey/li3L95OXsBZvg7ablJVotwgG79Qe
ni+8KDg0RDz9cksNSIkhWNpUJzvTlLMo8+ETKqo4wANE2kVBmz5UVpCvrO+y6P/fUYkBVDRhgdHw
vBx10lOEASOrPNGyyR4nHsgPA+7VRykb8KwaxfwjpRCKLZlqPU1hlm9igan2/Y98Y+byUoG+AuqI
zGkRe7spV0sVSuSpAVHno1KJXOLoZj+Nvpo+GYbotlxHwUrPUz7E/9hYcuIky/xF2Y769hIwoZkZ
SW1ttKehtJvdSA8bSlQpHqNI/x6Jfn608Mv0i1wMK0FfhobLgRkQeiTcKMgzzPtyxT18sXutLccT
izs+dq0RPhK9lN1UqX/llduuhOHrecrqnOyi6DRSvGUfBew7UamYhpM3Am91bJgvtXCnbelExjY0
suS1xfT4dfT6tTLdMllgiXmbMDjHlwoBZcnLmUIE0LIp7sSpCrzhqcdFnJqg6dGky7TvaqCm+ypL
c5g4Nc/MRHHFtoU09TAp+lresgjX//0lPJJQhqAaQ9X/8pdE01zn5dhNp2AS+u+OB8eDZTTJqa1r
a+XzLl+X72NJkQKSTlRHeUpcjpUOsWJnVitO3jB55OTxPMN9HBBJ3KSz40Z+VoFypGlWxJ4fW9X8
dz9oeEx0Aw2Ox6j0ou+8srx80wdJ/dmokGHcxtVkKE9pPua/LAuJRT/RtcL0+aRduBn7wPp+/0Te
Wi9EfOjQy8I2oPjLObiuqCkIWNOJNaWzJyowJ7i0iuqASFaz8h65PhAOxRs6B1zh9Pne2Zt/pMzR
UJdzB23z5DhxgPZLE6S7OZ+xtBycDuecWnfHNQKHPGSXh5A0hwuFJ8o7CmFxCK1wyMCE9topx1xw
oxvKsCVVDIWvCtU9Rk2kHYoaCc0u1eeQukg6rWQ7NyYN0IIKtlxhtOsWN3qGip2N2K1+Gkkudolu
l895LlR/rFT73zguh6/3v+h1jKW9SZ6ACAwf9IqBpAdNPUdIiZyUzg12tpPmm5ZBd7bWeHslrMKt
G6H+fn/Qm5N8RwcA/LNpGFxuI1IFdJOBQJwqyKqHoNCyx7zPu0/W3FW7gu20cvauty0ACNmyZOfi
LXB1kXSeks0QeE8hfaYzrKOu9Y2w117FNFjaxzJmzjkbVrZI5baV+MbF5ObZaIq0NU5O0WgRrAyP
UtiI9EDjE/epk5cdaWRojkm9w+nA+ZLHivNhyxiPagSvIxQWwQlwii5/BL3KChEhwz6B+9Bi30TU
/SCAY26ssFSF37c5kg7WqqTD1aXCsC6cKohJUh9kmULkCoqnFhyRUzHDM7DJi+mA4pm4TRLFOjlo
YR2dVhcHFxvGhw/uKU+OSmkdlCPP4WXOxIlWlMiYrRPi1MkvvO6SJ08EzqtZ6cVujHEn+h/GA72D
XB8VduoFlyvsiskVXOLWyUzMgrDt0P4B75HEn9yhjA4N7qorM7w6qsyQRwkPcuqHIBsXzyHUdaB/
cFZPk6KM34uqhJ+KdcBe0RoaP1ExfG+Aoa1Ry2+MiuqB5EFiUkL1RZ7lP6Jwms9jBgxYOYnY+e5F
YbApNa3f5jLBl95Dv3O1a9egylcHlhBM3kbXGhMK4rH8738MSpk+w8VQV07wIfK/qs7mHjTq6vsw
OM73+9/xesvKoaiRypIdgXARi9xUNcmaRuUU2LF6rMaoOhhTZJ4bA0Op0TRJbrqBJA7lvzVc/82h
aQ2DdJMiPkvSfjlUvTbFUXg2kCIUX7O4Nb96Vo61bAYJp0ZfRrH2mpdDeSlGmD8rgeoqCssq+Dtu
lGAlb5vLRRZ1Inm1TXQ2k6r81y1E/zRNTv0K6VW1eHy5azYnNwcErwqJUJbAl4KT5uQpo1fp0XmK
wjzyBx01ENg6P9G2LHxFzayVA3NjF0llS0aigAybY/FaybrGyOfQ8E6iisOWdxOPiY3SYwbn5yYh
aGU9bw2HWwlyku+gwmWhcrBxcRSGE9D6NNKdVdO/9FU9UB/0Zszqj16heCdSa6O+x+m8RjFklYtl
ZzDT3ESOWHvop8Hcdx2aohsLLRRra7dV/Xj/pNyYH0OSGPEUkzhY/XK/VKld8YCNw3Nl9XDojWhQ
vjVZOU0gkOr/3B/rxlZBlBK6AhZ21KKW9I+IhrfhII9wblKv2tJETD+DNEsPneiSPRjr3//DcKwj
ZVOThHPZK1Eg+1uCsH2u+zlBKDLpzCc9abp9qFmzAg8ODsz/MqJ0lwWaQZ1ocfjQUewbLcmic6aX
abdpwjwentqkcPRtMxdJivVLitXO/UFvfUHqtDLdYXW5LS+/4BCZypzScjwpSaaoLzVmm8UG+y/R
7WH+WmtX8o2rg+D2jjpC8eAKmwDks41yL4/OeOnSRaQ/ohT7xuuVw5xMdfWCAtNLikHJCq/kepY6
p4JrmbNPL2p5M2t5E5M95/HZbXSsB8C4WpuymbipNbF2DG+ORewGx0vZ76r0rZdaigVRHZ/DItIf
ASkbe+Do/QtiFuXKib89FHwGlcEQJlhEs6ZzTWFUDdNCXLvcTqWq73BZsF89NWg/HstYQ0L1/xtM
Xl1/XMDqWLlKrbrRuUrGsfZLZxCdH+p2ojy4SbFW0L/eKIxG91BaJfC4WfLZG0XrPcVgapU3mGLT
hy4CQDnG3jiYu+WnGTGRY0G4ePvocXiHURJlJGDnilen1WEkW7bxmYpt/KBlvXcG0QgTKFLKNcP0
G1+PggeZFsx5qjvLy6GyIfCNkR6fe6b13asMoCeBI2UYysz8aLrDnUAtmOBJZJG1/MuPV+tiyptx
js4iN8xnfKWUl6wb9c0o2rVM7ta0QP84pBnSdWcpko2iTYaSkBKd52jKOWtta+KV3Y9tuOFicKKV
AHZ9LUgFLvgX6M8iVbfcKAn7stftNDk36C98scfy+xjZClyPXnuLx77/en+DXD/QLodbvPGFXUYW
WgbRuRhnEEQgCnMun3H0frmtXX/2QjhEb+1YweVK+UG7+6OvTHaZ0SgxJnteGyZne4gH6gH64Ae8
nr4oYzNjdmDmK9vm1niETW54Tj7FW/nf/zjzRRBAguT+O3uNOx5TL1G+ha4zYD4orL8aSv9r1beb
A0LbgZAnGyZLAmDZ6WXB9RGfB+EF39RJL15KO6w2nTtnj4Ct+48xldD4ggwOL42+EwokoMgvJ+iZ
vVEPQPLOJgVlw2/hoasvvYjqcVf0ejE/eH2tOscxnuZkQ39uTUH51nzR3pF6zYDJAYZejj8oThcG
9OnPbmWONC8r3k/CqU95oZb/YTXWOge3DieKUxKTrDHskvCYZUpsRG0Qn7OqGb5mY0+twwAV+GiH
c7GmO3tzMOyiWGOq2FC+LydHn3SAfKVG51IJ2v5z0w31o15Wovo0AUpcKdJfl5CBNMOAgmbHpUFJ
bLFXsTzQRqCtyTmnLxXQc0afbzNNsQUYyZs7H/2T7JcLmGejR2PLn+Zj7Pe6lj5PJGIrD+Mb15ek
ZUE/A2d9rTBVFEU2DFnFwdFK2/pshN5Eky0KvP0YsLNRDOmj+IHSGjCo+yHi2iuFdZAsaaBtuhRA
lV/ljzMbdHlsZH2XnpNCD5JtHXTiu2kHzcZuU8/0TeI+f9cE5eU2LqtTMdYFb4fO8j6JuR9eOr1a
A+rLD31RQuUngZ7l4PKCkA2Gy59kVLkDYypIzkVu5WIzJJTBfJODfbg/9xunCY9QhxYPuTelgsU4
4YRCggXS8Kyb1USCrqIjP89thh6KgEXd163zen/EG9cBUZHEg66QiZzb4s2up1zvyMfn5yzMg6MQ
tErxZ50Rfgj0+T9x7Slf20BrIXKh5nF/6BuTlSBCgjNnWTbpLxc1taMinWa0OY2hONet2omNZsc1
Tn9KgaSWvRqbb3xFpAQpQ0v9K3p8iy79oA40SAH0nvUk78ddWUMk9RHhsLuVLXxjZkiSURJAFJWE
b5mkT5kWgk6s8nOVmmrop6ARt2YTS5ijVWMuardrfP9bwQMCNiUmMCRgAZfEvz4xrAaRr/zcxIG+
bxz6waKd9d9UF8OnziziB4pv3YZOsmltZF8O+OWc7BNNEd/vf9YbkcOlxs/7iawawMDi+A61Hs6C
b3uOGt1TKJUmySZGpw/kQOucY9XBQtFI1d39UZdLDhwWyiGRk1xXhc26ODlIj/cO1VJxis2wPQj+
n8ck7omd1Tj8dlIv/KgAuxwQJQl6bMQoHkKLAedm4C5ipvTVDPc4JWH3WI5zM/n0W/pnbfLiD77s
5YBk8rJ/IvPApYIHwLQwx/5HPxlobxcPESIMv5ERUtptm85rnT35kf4MeHIw+nq8/ihAg3WVy/1H
DM6oDDb43amnYE6zZEshNW+/Kp4TRlujLrJ5JQrd+nrSpEmmeXSMl0/uXnc7IwNEeqpE02kv+Cbm
2TMCGcaPOQnFrhaiWXk3yc+znCBXLTUfFLS42Refrx4izZsKfFDg881+ZNPVaFSrOI4DGeKmnMng
keHLf1K1mQ997KF2fX/DLo+JXGE0DKg+y3cTz4vLFa6tqqqGKtFOkD+s3Nd73fiaW/TilNAz/x6U
PvkymF727f6oyxD431FJS2GTyF7K4nCGc28Ncye0k1rXWuFXBamWj4+Kub0/zo0PaiIZIJNQnjNX
hCSRQ2CIq1g9zc5otgcL6e9h2yOmHh/iRFffBn20P+o3wdxk70JKYlK1QBbjckWVLsc72iv1U65j
u7DHFJEuvI/lT5w89QEFPp+qXKn8vD/TK1QJw7KeAA7w1mZNjUVZwZjRMjf60Tgl7Vx+iVQz36ro
OxWozNYj/xgBEDch7Q3CjHbNNELz0xt75fF447zSG3+v9kumznI3JUar9Wndm5SFnazZtK4dPKoR
/Szfyuw16vXyzSBnDPrapQ8IjBZPn8uFxs1oqrGtNU5pIGbvSdWUelvB3u28tEG6z/Io3bSGUz7X
nrNWY7yxgYkPnBjQHYCzl7pBcZV7FX1q8zQIo8+3APATc+d14ZqQ2Y0NzNUNy/BdPB5Pgss5Fple
k7wYJlghq/HwO0iiAw61gXkexZz8pD1Wew/3d9LNZZXMNjrXBPolnL5JFVrhccDUxjEUhzasAGF2
sGpMPzAM5bmbvUzbDpMZnLNxXkOw3AiISFpJSDKFOLoLi3gE/6ig6TBxvaAJ+lcFaqs5TEWup3tU
/senSRkL8dgO3vjV6kJygcRCd2flEr8RExEMJeGg6EhIXOZbMGeqAWCodoJMkaRHocCy8Z1MaNOn
JrJTDXHwUj1qTaTG+/trf3P21OvQZ0BbDS7X5eeOQzgzyJPqp6qJ9PSTEkz5tlVxtt0Z2TA6mzCO
Z/kILkpra/E/S65IpJ3v/4hbe47mx///Efrlj1B0JM1mrdJPtap1n0FV5T9zSiQ7u7BavBJy4/H+
eLeWG4ox+gkIN/BsXFwGtYMWXogT10lXQGNwM2cD2nNCf0s6GoW7qstmxMrMOPxoJ18GEC4VnsgU
7oH6L17+ncg6VxtS4xSVTftXhGJy8BLlqqLsY8CY+T4QiftLl0Su+xO+tcBc9ST0BvA/nomLBR5b
8OqVaZyoM7c7+LLePgDimPm6Pce72ZrWLIlurbDDXpZp/btLweWA6KjTpmta8+SWWvuceuPwUjpl
AnWlTl1Mk4siAnFP7WrNC+7mwEg5gDKUkqrL91uKK3HhNKVxUsZSw15K/WcMm+GTjuaJ6ldxUGIt
KvQoW7n2bw6LLyLgAUpgHOTL+ebmNGhm2Bgnzmn1xema8NuQD/R8gtoY/g1Sy0DkDnneNUbHresP
JIxMIolgYEovx60BVCLkoBl4txj01ioxWNM+C6tRwUuhcv6XOCWF9CjV0M6np385nNVl4QjgxzzZ
fZSd0kqZv0DedAO/0OeKo9pExq6M6EQdPr5/ufjgARMkJX7sctxZT6MSqKZ5qnA/PihJl4Qb02t7
249jr0C2IaOcs7k/5q1PijoC7ymudHCcMnL+mQkUppisJjdPamx+6qpQP3V1bxxIKS3Z3waVbSji
5/0xb13yZLMUoJCu432+GFMBjmZEPIhPoimScA9ELdsHHb4LK1H/1rYhVwUIQtIoiQKXc0MWEB/e
wQHWVCvOb3yk9GwzjwNgUVOo3bQymvzVi5RDpjigw6g+AAFcHI4wwDZcs1v7BHc1OOpVX+bbcipf
6qY5K1WSHTRiovuE+q/u50FQrQx/40MShwDXc8FRCV+KHQMhwtLIKe1TK6bJPihDYIdIIZrjqSmm
uXlA7APumpnHYs2w/cbE2bP4H4PFQ3Np2ScKktGxobAzsmWOUv3X2AaJHnd+VwX/8tCwEz8MdYpc
41RiUzGVsal+PDBJSVoKmWAgyUgWOypB/r40c9U5lVBAD0Ou4VuoTLQ3Is+aUYydUCyik7qmy3Dj
wqFZJbUneVjQ3lkMq7n0+hD4dE71aKjxrraMdEAH1/tXScJe9yt7NFa+8q21lgAuGfaxKljS6IQx
q3zm2Dn1yhj2/Sabkujvqk/yaKsOfaDsjUK0ysEz5xLv5cbR3xr+ZE0n4ta8KWZLrKDEJi7vgUnX
hSpQTDolTd74czfavlJPUeNbSfAVh+RojZG8NuDi6YRzTqdkIrBPc+V4zU7Fhsh+CsCabF0ETQtf
S0Kl3t2PUjeiB/k7bUIwhmBrvUU5sdHbacqKmo9bRFWFb3aLal0P0GFjhl2/Qv28ERKBztJQBu0p
6SGLUGXoE2rVZmCdwrQxAx+v6dj0C3eYVsoStyZFfgVsDDlMwCOLIIX0MaIv8LhP2H7WM7ILKB++
RlOFJ1A8GaI5fXwNJXIDPS0p37/cKKaawbiZDetUCnRon+LIddpNUNm0PZO6cFfU5m5kWLLSAhWC
ywz41GIRHTNMVKK8dbILmEKbOAbTVOOG+bXJcfmzvF797Lph8hQNaNHdn+jNocHaQ9qi3nMlGWMX
GeWB0TZPEzctOHZDbR/N1CySRx24UfOkI7AFoTwS8X8U/v2D+gyAnXmnIM/AR+UKMpfUFxwmhjbt
OudkRIhSYzuU/FKH2tyI2mlW0N7X9wxQKqw42D7cNDwGLy9VHUuO0Yw1/RSoYTNulLKt/oMWjS32
WWZY/c5VY5jSal3Qi72/xtdBQKf0wwpDw+OeXX5eRZ+nyLNT66QiP3FAEi7Mt0iLmfo3aQ7xMIaZ
pv6+P+T1cWFI1IhYXqlXsixcakZeh6M1gNCt8/45VMw439SksBtViaO13vJ1DAB/jRU7gq9gSq6e
Rao3Q4rPYvukD2X8j+YIrd2HmVevySvdWkdELtA+kWg13riXX3DSO80OEXE/We7cFPs0deJ5mwhH
sQ62UTrb1A6mNQmUG7sGsAu1UACc3F/L6rbbO3ZrpY13ot9q1Pu2LmlJJXViS5xOGxwrd3B/w/qt
1yqV1xcm+S/VFhJhaSaz1LhiEQUdXRCjQVla3gYl83Af09uM924bGn/lrTtvxajN8UZRo97cor2a
rjVbbyz4n79h2Ziq9RY57DCMz4Wlpp/DtouTXVrhp7p1exTMTTF3wYdDoUz7QbbLsjvOE4tv7I5u
1w9oj525cuboiCnQYGzq2EsN38akHCW+pGr8ROTdjyDp+pWwfx0N5egIbZiIOVB6kAvyR1IRC1Lm
ktrGWQ8s7U1QAQg2vCTst6YzQdxMRfKF12mJCH9urLwEb5xYTiuPI2r/ZFH2IjwZdWtnmWkrp4k6
zNFUYFvnqaN860ADHe4Hh1ufVVpk8UKA7X8lGZNBu5yLKQ3PaLM0Pqon4RcvCcS2n7Nv+uRZb/eH
u3GEbNlPkKIcMGiXHtOgYFRcp1LllBURtq3o/Uxil7P48c7EEH0K/UaARAudyV7p5N4ITJKzzrBI
KZIWL15fbR+i0WgH0Zkyu7D36TCGzqFzYut/WFBqvwhUkgBTV5G/449tMxhVUtaRFZ817G8PXDIT
mpQQtTJ3HtpDbClU2O+v6a1PyJVCJ4zeqpS7uRyxyYfYSyYjPndQFsd9DDygOHiisaIHOARO85ij
Dfx6f8xb35HWEG93urlkLIvDkacBevQmOGG9Q6xhnNVpkyvYXVhl573avdXsWjNfMxu+dSz+j7Tz
2o1bydbwExFgDrfspGCpJSe1fUPY297MLOb09OcrzQGOm91ownMwgOdCg6kmWbVqhT/Q+qUtxttl
Kr9YVJkhl+iVG54iOLCjnxAN7/XYyF+bGsLi7Qe8uhb+7pT4wOtos5+/1ITGnAKmCMx8NlQvaqqW
mwAlGW8rukEtVvbMtb1J2sXXg/EBZn7RGioc1BIdBIVOqd7mP1QtFeGhzeKq2P79Q4ERIUfn7cE9
kCHvj73ZRHPdGGnuvWWx0+/xA3OCjdG2oXFvTXPjfP771dgaTAqwtiVtXuxLw0I0QVNU7613BxWp
zkZa85qtWsS7JjGiX7dXu/YOqWMZr/NowEHk3/94tjEonSgj03izGO4/o8oEAAhIVJ3ubq9z7Vrg
In6HWxE2l6Ibkrzlpl0WvDH0sPI7L3TiJ+Yk7tOsAWJFAM0tenBQCA3+CEdPrVeWv5YK0BihYqVd
i8j74qWqau9Ci6mUt3T23NxXDIzsoNeLR9H00NJHr9rziuMDZidps8uLpvhy+/mvnXwptcc+laoj
F+2CMErLICGCR10ZPAWw2p5SapYPhTVnjB0wkmvq3Fg5jVcGmADKAUkiKQHRA2Gh869rFho+rEHs
vWnhVKdPQtSB32DraRywcTFxEyyCPHR9xNV0/ZFxWf4cWDhGnwpEIH7ffgGaPI3nPTK6Y2CKqR8o
B2n+nf+WkI5rX3oieMszzFP8mtd9B2W+DJBj0NoHtffCQ6ilLYark3VQQATnG8pSbRcwNJs2mVOl
28oq1lg3164BrJo4bXi8gcxaBJGw0a2ZEWAAoUrk5nZssmq4L1M1huA9hd2dgj3s/e1XcXVJjjhG
0uwEJoLnbwJ13i7Uhem8je2MrJpiVO0TP29wd4Y5GqRmUW59vb3ke9RYvH1AO+/AO8Cr1FLna5ZI
ZBT50Nm00UtXe4tUDxtjdoai7Wkt140Pw0I3fJEoeb2J4ia1dtasD83ODhsmdek8Bq+Bp6LTm4qo
uPeqYCxOhtJh63L7l14JFPw8SW+jlicXWNxWsSO8wLDCgEFOmVS+N+Wdt5mop9/aXlcSnBZ1K99Z
RuZaL1bZGOPfrQ8jk/67TCH5LgjQLg8qSjYNuALkDac0qj6ZiV2pfqqo2l3lAUPdZxWl713gSPVi
iBv2vL/9+DIQ/fGd5PIMwdG9RWsRBZglqhnDKDck1QqeUGcS+MPpXTBsemm3wRgXF5Tbqy1eNqsR
ieQcXMID5XDyfFdUmiMNcoT+VIq42ExdFu0cM8r3npLEd5abinuPw7qFylSvFCnL0CSXlj0LMhKD
pZHYOV/a7qYm7KJZf7LbMHmsxyqmXRLZmzbxDMcHX5Fvy7LVn9pKNe7syW19LCGatebJ4ijyK2S7
iP8wQYJktAxKRaQmZpf05ocA14tj06EjEcSkYUEqpo2Ok9ca3XpxD0DepG8qAaAgStjcy3DTe9S8
Ymq5/PJ0/l3VybdBWuumI2VSnrXmJpkT9+72V77YU4Ad4OczMwR8Cm9kEeLi1lVCgNXJ0yCU+DHs
Rvun19nfY8/LV1qZF69Twirkg8Fo4tUupzuTEZhqPajp05yKBHdkLSirrVEMk436TNh9h6nZroGK
rz2dIckcJJ3ybpF//yOD6cq+qRnApE9Z0hb3c9gp+PIMIL/wVAs///2blGQt6OJQDsDqna/VR27T
RImdPo0BWlBuqGk/DNATP40i7tcypmvPBQcHBV56J3y7xdkUrJ6HppZyNkskgWqL0YqrdvfgOpOV
Iu/aZyOFRkiO6CMhiOePZUY9ITnIM4JOKbd9pz7FQ5IcrAQHlF0Sau2a6fLlMSDaEHFYk6aetvT2
NYyEBLDho8V0T79aceJ+dQO3CTCwS1pOv5jRHADwtCZBdRl22KEcQVD4dKWBw8hX8cdumdSMVqXr
8AW9PvpRWKm567MGrDAWd+2+nCbnu614WrzJE3P+zghg/KpjS727vY8W6ShRgF8BEoahGY0a4F3n
v6LLLKuf5pgX3qnji8qbt6LqVxqOvXpfu6L2qWhmY4srTbhBvXRNhfniewNlo1sum3F4ml+MN2YH
arObDdPRbDPRPyJ7arY7IGZJZaHjqmYhEb+3Anflal0a7Mmal2khEnGsCkDkHen8x8tv27gya1AT
RyeNK9f2i0pJPxlGhWrRpqrLXvTkPhEmKi29u4+aNE97FIEFV8JWclvbTIGb/ML9UbR+34vBs3zA
kM7w4ORWNn1wglg3fdoY3c/bX2uZuvK73+sW6K8gSwAvLRpLg1Oi3dxX3XOMredWTFOHl0HUC59U
yHA3osHM0GmU4DHyNOVTnArvkHh62W4GXEzUjWqK6HMbtOHKLnqnFZ8lC2xi6BTgFVBZkCzu8200
W60XCKXvn/t46jDTLLIs2mStYh/DMm7bHb4t9RfUxaJm8t0RL862tM2GHLd2k40Wl+X4mloQJzdq
rHvJURsTRVuJmBc7XTYDIZqAfQI4DsP1/CfGojOF2ibpszqNpbuJDB0Fys5KnvMGd+etSIbG3HtB
5+Kx7gZ1c7BR8VrDkFxEG5scB19H9CgA0lPtnv8I1xID6gF1+2znqOd38Bp/WkmlNjvXK+hRirTf
FqYzv93eNpePTj8LeU7mX6ACLiwWWqur616x22eQUN1+rIL+3p6S0fZblPWdWN8IK0+2ylS6r6Xt
9Csx/crqTC7gs4BcJblZsipFYA9jp3rdc+ipaMm2g9rtLcca9AOdLjX8AX28faFeK5lY9dko5awQ
u13pd10EmndAJ5hViRFwLkZjIqQ3zg3QPuuKHexdJSKh19zpl9towabSlfrb7Vd+ZT1pOQUeAJke
4GeLA1E79F9pSiXHhgo79McJiNvGK9LyRcsz8dtGqyc93F7yMjhwQzOQ4gySQfKUi/xjchOBxHtX
HEPSXNefRDCFik9SqRgIr3UBHte2EdUcuzI31V0+Kna3J/WtS+F3AK2+WjpcyQ9G2hkxTqdmFanj
SqCQP+E8TsD/IZWQuupov1ykZWKIPL0a4qPeTHn+PDZTCKCp7oKvKUpia2Dty52HnhBvmYuF/UcX
cHHaNAQcx6Eqj55TTNg/K0PEv4y3oVZ9qlr3G6rDho8eg/0wVbG6phrwbgy/eFomPlRuHDtoZstZ
YZ3kdQIlNDoKjFePaT8axgYmuIhfRjuogCOO5tR9jYBYFFunS5PyOepTM/Mrgvu3pk6nAH05y/1K
QKvDTTcHXohvGeXYPlNzKpBmmizAum7JBKscE7xuLUfo48FNdcEUwCrIQmeG/X6jCsN8LtjnT8he
Jq+5B3Xc7+K4eIUzqnuHyhq6euuM8TxumwptgV0gjCwPGc03WFnCVWae3QTKp0TEevIahU77M8CU
Yv5sGwnY4TD02Dkzog/EkSrVP2eKE3zF4cozHux5nJKdkzlB9hu0SFM+pvTTjS9FrMLG8oysNrZW
ZIbBFi5RXz3krZkNDARl4QMEoSr30LKt8QGET20+VvANvo1GU8Yba3Tm5l7Bnte475Nkqo9sIZCI
Yz/TxxuElwG6UcLGgcKplpGyv33eruwuylWkJZl1A/a8SItVbCijIomPVtsOD1Mtxs86tnofAtqL
nD6zqX4raWVNqItqcc42y9YatJe/AB4LyBdKOH4B0Lnz/U1Tu+N0k8UgHtp9rJUs+hxFebutHRVu
Z5PhhxYrqvlsxmWwByq7Bni6XJ9TDNQB6QF2kbckWme1M6NIrgf06gAi7hPhgSrzULLKNrqbSp6S
V8+2eUrcrnrqUEnKth6jznTlZl+2lJBxoeAixvI7JFlgOdrMLHuahafHx7iYZ8fHLDRWP7m10XwY
hr5xfU3P8w/cy86pwJP1AeWM7ATnNnQ/zlz+9luWlGXyWQuYs3yzMhTOH5OsUaw1S4nLO8GlWJPy
y2SdzAUX4aipEEtBMaE6atgdPUx6At00yrmafCXqidRcW+Kf23t0SdmTr4ZJJJMCOs3QupZrxjlm
QZ7XF8e+mbVhp6hD8Tl2m6LeiV7SarPIwu3bT7UmTr7MkWfkG71QhqdBSyqcKBUjTK1vt3/T+4V/
FhZlmsg7oBssafPLXo81FygrDLn2Uos6857LIOral4kiXv8QqkkzbPsGiIWfFaYXvU7WaClPTlpO
+Dypoo98vU6i7DMqeGLYqG2PCYheKW266+upSL/iRDGUhzafBu/zWHZTuBMonj/XaDONH5Ehzcd9
GRihupLkvIsqLh6Kbj7ybdxr/LO88I2qS92uMI0XPMvne3UK53/cThTGJ0cPwoPRVl7yFlcV59KL
hth78JAFyO7NtmvfDLsS2TbCXfCDbWam+VZnUfXBGWhXHHCJ65QPWpH2+RfPiuPpY+7QfdzUhZO/
ZYEe9ystmiUzWsKx4EVwoGgNcUEvWQqRPRSJk2fdUW2QnIPBaQiUXFUhwo/90Dixn8+KF93lsTXg
m551ld8Civs0h2Zo7FImC/yvR7stV0q2i1jzXp/TrWd8ACp6OZaNo6Tvirwfj0UuHO0OybrweY4r
8RDAddikRZZ/A9Abw351+vHzPLjxSupycXr5AawNJJq27GWQ6YNE6IPjjUezwyfRxxbF/JXbdWxt
Bg0UgdpGw8ojX7YIGIbJZhlAOdATqPKcx3cjYghs4lJ0VGGr/1SH/mGaw2QvTUL8hLLc80c3Re9M
cwLx0lDoPtE6WQPWXtbK8lcw9JetQmZGnnn+K8ZRr4yWouQIJQqx266qzHarFKP+oEAWCje9Umjj
vdqjES0QgyoejdFN4tnvq9wYpb4HTMBRmY3kybLb3twqQwMBW/MyWuiD1cDesiZtzYH1MvDxq+mj
QlClYiYALpJhDRYG4JOJVmpT4t2Z6f1P7o983olOn5+Ddv7H4UemAFZrZ6c0CmpcyVC8KsJW/hKg
y4kCD4zwEFk3SDXkUc9foAlbuCtT+QJL09lHifvLRLTis4qr73OaNaX3t7101nuX+IaAAqty2dOZ
Y0mxat3pSDivkdlv5peycc2DG+vhp6ibLX8ePc6H09XW6XZsv6hvJaJeck7BBdNVe9/Rf/RVaNnX
tLF7+zg3ffu1D9ImRvQ71JxdwCj5xWiyf2N4k19vr3p5NKm06PMyOmB1yF3nLxhHzdErG8sBWJnn
vQ8qLt33jj1/y9smeeqq+N/b611UMbQPyOgli05K5C/xq43T182gRNZxnsFo5JU+fu7auttIo/iV
GHAZ9s6XWjzabKe14orEOtpFjtGdG9WYsKigNLZRFQ17lPniQ+rl2W40xuQIQX+Nh3mZXOEHS5uQ
vj24ORKYRcsiFEhKJwzcjiPKhum9mZdlc1cH9Zz6nVfVd8gug4ixEzf/x+u08lsLMyU5ZG1lPvcM
jn4ac5+8VvhDdRvMUON9kUbT2vDkctsZEleHkjn1Ly4ycoP8se2UXitHclD9WCoD4ubq2G1Vux4+
IyOCppiuzNkhYL4q/nbIgKuUlL6TQk6045YjFNszxjohQT/iQqxuAtcpN01kOq+CRusdfYbw/va+
e2dOnyUZyACgEgvWC7t0/k8Wz+k18WiWkEmOE2FVO6RkFYYfpJmt+aUKBOUhalVknl3VHu+1bgAO
24aNp3Ahw8vY9LDqlU0SW0F/wLpZO1JEjcMHY+4UDKYmU/1d6rE7HZy2aO86TZ0CcFyiSv3KHR2R
bwJdTbZCNzJvB5JnsA5dq+GJpcdpD4MyNt3U1/NiksQSZw63ja5Y6avVWeYBnn+HGJSqDJ/oB9bF
d1Cl+lfTmBUCg+QF+X1cDvdR20/BQw0M7JSjt/Iad00XfBiokoVfY96NnHQxtNbv22/18jSjBQAQ
iu4gcwdgNeebx2oa0Ylac44t47JoG+RWoOwKOOAMPbsuWOM6vesYLz8iowa6IDShpe/R+XqgdRRg
/Kp11DqcVjeGMEn+UiYTfq1a6sGpnGY+aFPc5T7Vfy92Rk+0vgeWptxFsaO33weRk4EkYoZ0IEe/
2w64jObHHgZyyHKkGl29Jidtu/2irv1yclsJmsAujXtl8abyEhJPOKTtMQjB3jlVrkdbfW7Mo0PD
1Pocmp2yAZqt6P/maZfuUqZX7otWtUXl2wVq2LsY7MehLukVAHTtRJ/6KqCG7ofiCbFpdLfIPvHG
w3ltunwZRSXDGsdFhDuw4V0qoodp3NkVXhtHjgQSYLGIfLVwjIdGiNKvPcXbFmP13etR0OcK+etJ
K0Upm8sB6wyx7iI6YYfkFunQtceJi/NV84LouwCcirhybB7mqau/1k3fr5HY5TZabDNwRiAIQGqS
Ay2vYqXNlBnVX3FsRowwtkiwBVundI27cmyC7ejWTXtPeMzv8lDgOXZ7q1zeyFQQTAS4G+k3u8vF
hSms2LWy+phDcr9TK+hWG9UNSFvpQp6KUE1/3F7wyg0A+5U7ykIXFCDsYmsirSTsfEr6o6hAVG3H
QIwwubs8ROo/GjZRX4ZUCnn65fayV14ybQ9JIcTxA9Kb/Fl/XDxtWs2zG3XD0aVOyk78AIw0HQc/
vu0QNmXzq6btYj0Vs1WIT04wtSux6+r6sGh0HpD5xjLLhZFakIWJ7uji8ZCCA8EGuTMmQLGTVwcZ
O86Gda1MCGUchGKpa4Ofa69dIlT4wkwyuX3Pn98Y8KTMtLQ/JvieVIADk9jdm24fvBoFsntofyo0
v0clXulrXNlfMsekiUAwgkSw+NzMuby+nDyeewYkpQ8xNMMI05OfehATTYfAW0sxrgQ/2DwgCuTI
lGt4qWpS2KlRsXuH4+g68fhQjEbxLzE+M7apY6fNIzr86a9UThAPWuYF/wy10yvbuhr7YKMrvW0+
GoOeKgelqBXcS0M7LWmPOXbuI3nagRc13QQh8j62d7f36HtWcB4JJA+JPhCNcOrXZZtu0BNdiKmY
j4kWD686DERjW6L3xSjfCMoPY5gmL1FId3ozo+4c7RSb/HY7931bPzZRFAtmoQi0+QJXFZBvWI5W
/uQxEt6gNlV6dyUsgsanO1saj4Um9PRUdnY6bEQ2Ov+qc6u9wXrn/MW0ob2DIQZEQoc5xMP59oNe
bgqIK6h2SO9GCVla1Flj5mil4SioGhhqcldzKX0JKT6fcnigW05Fv5KOXU496WJx+KR0v2Sc2ovh
eathie2pdX/U3CrNZr8rxoRJsF01vW+4Xd7dEwbNFM8xdza/R108PHKWIm9noXqbbPXCwnXUiitJ
Zde6+FWzZ/vn374T6fZEPKT3J9ukiwOq5Cjrj405H3Uv0gy/w6gUTyovfugpj/coJWO0d3vFy5DA
ilJfiUIXKMeyEVaPpTcPyjAfW7NO/MHM9IdwVD4HbkmAEmqn/lMQiQ63F7389PRJpJQKtyud6CXt
Wbh97tbIeB+FLqZtUaSmn47wbdxMvRtGp/58e7nLlPF8uUX4wSUGn75gUI/9hB477Jf2O2LJpzyZ
9JUL5jJzkSBV2i7UtRT1y+Q0dc1Ry+pSPZb51OydfgicPa0nK/vZNNJeJdWbkaGWYaLVKObUTTfx
mI7eXzI2qXLoIyB9JMUIsOlcVthdnHvOFAXW0dGmevYZ1evAAEN11+CAtnKsrnxLmYkT2kHmEXLl
y//jTjUjtxIFihLHps/mA4iKCSVGK8Mvt27se2qeXNvf/pzXVuQCdcAFsIEoAs5XjILaxMd41I5a
pRQfEyeNDt5ojtkmzLtwOw/NWrZyZf/IzpTUPwMBBBDgfME6bLQGtJZ+LPp5nHdmbvXui5qZHn45
uh6YK3WqDHznFwBpoGSfSf0VwLeLN4rlmu71tacdRUyAyRWEVw64Gdb6ShP8MhuRYEKGGyQissJZ
oFOUqJzBDKX6cWhFt9EakzlQZg37HOvmDVWVeo8mUbLF/5Q28l9/Qk4IBZW0IUJ/e/EJ+9AwxorO
7DHNqhRubRzcGwHAE6ztuy0KQ6uoUfksy3cKLwK+K0kMm3XxCeOK3iIugjoeyIW5GaNkPAhUMj4U
WRh90ILE23i4CL/iPaI/IZPvbeK6m3aocq3aJ1wJuFJZhyYN2BboJzKE/HFeKLKrwsBe7siVnH2a
ay39VZD935mE3cEvtNyct5qiu8rKOb22iWlOo78o224XbcZuKKdYKrwdGfoaB29w+9hXZASyjcBZ
ucaurmVBmEBgmTbtsmam/2SmMCfVoyWq/nuVKPUnfAfBQ/eaFa5cYFfXkjAKal2gact+t0A2IdJH
nqs08vFXH4RY2lLT9uYP0bkYwt/euNe+npTvxMJOldS2xT7SEtObaxqpRxRrvDuU6pFyS4pm7zXq
/I1ZP0zFeo6/3F702iMCEAEO9L6Fl40rUZpd19WzdoxRcX/FJEJ9yPUKM0LmLgxQ/4vF5BADRQH6
pcv92TZuOQXMOY4inZPyUUULcme4Ckq/sZJZK6/zSiinMwM8Dr8fYFYXhefgdsOQJoRy20q8bYoW
k0qh7enfq2pQth2K4H8pNCXvRot8kxBA+sEnXISeOcojUyiZcXQUt9pCGzAK+MRuspV6EL5WG86e
La2twNavfEJQZHSuuCCZLCznYZNTd0M3m8SfuNS/cW1n2g96Kc0dl5xp/i16ClwRNn9MgMDJgnSQ
P+aPEONSHXjzZNNfjevsfij632UD36LNaJCzP1NjzeHnyqlgQSnFz5EggV2cCsctyjGmp3W0jVLt
/umlJtwdPUirO7CnA7rfOvah2xaV+XlFtPPa0uQeDh674Pt5s+fPGmdWgghGYhwVRylfAG/l6cEx
ptw9gFlLv1MhDfBe8+G/yXts5GvQS6RpQsN98ZLtMG2LiBh+nBU73daNk3c7LZ6Dpzl0q6PaZaJe
aehd20PScE3qy0qRkcWjhtgrqUZj6EfaxspLjAWPs61En6T71J7zdOXFXhnJ2Y48khKsAVBjOQcb
tRIyF/zhl7mmGnQjL7e3Tt7SNiiU+YEELd73Wlr4Q5u3D4rhhPFzVCrhA/0U7ePtmHSJlcOxisSL
Ol7SEOAinH9l18jCFL5y9hKHNt9a9K1h+nExxh9FPY+P3CrtfZNMJTL39gBv3BqRrSvH+hewSXrW
2MCIDbT3NX32ywyKHjONDamfxJlbTpa0GiycY7X1SwAVJPXjoCStAKv1AQAQ/WB9UD6lQKv8eMLH
feXee4+N5ykNm49qVjJ+OHVLlxtAbCl8K7Nl05e/0WwGgB9Z1geUZ5xDpKX5x6Iu+l2rx6Zvd2H9
MFhJvxJoLg+fq0MtZ+Qkud4XksC0xrEWLtzxhYQm6TZjDARupD3yilpE4vmuDjOxqVR9zbbl8tpg
P9KcBc3EhAvywfl2KJAh7BOvHF6mwOh/z67X3kMJapQvoPe5gi0zdMK/vqkAmNK9IinHVOGiY2lO
Od5FbeQe81A7RHWq637TJgJCWe5+zOcq+HF7y18edllG4iCGfB13wPvp/COGR3M8tIgtOzgMtOJ3
3/cW/VE7eBvw+v50e6nL04XVL/ge8idp2cpWPn+dZh5y2RZp/Yzh1XzfmWNx31XCSXfekAcPZhYM
xz7q1F3Upka9qdCf/GIZbSSQLtfiU2RM4p841US7ssMv6iAIF0BPDYa2QFzArZ3/LL0OqhbES/2c
d3r1G3LvCNWJWYa4u/38F7tJejZRR6JvIpXtlxTj1osLUwu66RlShzsczCLixJgtJbrVhMXvcLbt
/f9vxcULDxK7NSekXJ87iBrNRnHN7C4I2+ZDDBzmEMf64fZ6y80kvSOYAIEvAFPOLl7cVZXdKHCa
4vypLMz0nmvZeBJGcNSi9K+Zge9LIQOMdAr/0MY8/2hZlU9FWOb5U+wEzLhMfIdB+GXiBIYWK3G3
tX9oKLpNm1RDSuX2Yy7DkVyb0Qn0dxrcQD2187W7xhr1oXOzp3FkJhVnlQ0LMHf90GbSjVaVa/wu
UIT+dnvVxfaRXFPAjDJZliNeotH5quM8pW6jZOFpGhvrCdXFbmvXbrExE7RjOG3TGnFNXnZ/BP7/
LAimgUuEGToQxfMFnUZrVX1Ug7cO24j8p1mU/Ql0XXBXTZXqPSV4x+UfsR607Bct0QdvU83hmrTB
4lW//wY5RyC/lDImF+11hmd9MM/KG4raQbStCk+l9KkApP8aaJ+WQLzsKgAqFNbl7vb7Xl58/1mb
F82BZazOzOz8+TXm2nqP9P0pGft+53ZhsinVwNqLKFC8O8dKnX8rssXnxizqg1q0UbKb7VpZ+RlX
38Afv2Kx0fumGZq+wQZxMkQz3GVGOYKmjY25frXjePw9zGaCSkdSm2uGlvL5lt+fyRlnS07rLlhY
WZBjrpUayhsEM+zDy8k0XuFaJ2x5fH9XQscixXl/2cD42N7wImBhydfwxz1kxZZa1eEQnQAu1+pH
VS90xR81PGe3pDzho9m0bvqbJHk4FGXRrEWua4cL9VZAgdI2ggB9vrwzWyWJdBWeghpHRK/Mk+Nc
FNW31IMTQFpX2CtJ9rXDBQ2Ea4fppMnJPl/QUCYvHIQTYpoxuMN2ZpqwA0GXGNuWGMoA2FSccdsn
7pRsWgHBa0P7WqlWku9rnxhzIYaEErHE3Xf+K+aq7DQxl+HJQff0bjC8YGtMjbWtbEDit4/T9aUk
QIqinjpK/v2PD6xYGevPVnjSxiH9WutSMEf3YBtpbe+sFYrXFuOyJZmHzEeHcxGhDY0Yabe47GLm
OT7R2TSzfZlVJRbvWmzpf1d0v+9d3NuBcJM8UC8t3iLJwzA3bhW8RVWtAatJjWjaD0oTzjuov4Oz
v/0mr+1VUPEU+O+EtaVGmt60Yyik2JJVoXA5OHq6TcvSfZmiIfTDYFqT/r32MmU1JN0/EC5csgvp
5oVZr5bKm0li6Jeeg4Ze1ofFZ8+MsjU3mSvnwqXE96S8AY+3nEyZNfKdCm6Jb0BVog3POT9ogNvu
u7m8a6be+1wYsbM3UmVIfVfgN75yLq88LLkpgUgWXPzX4luWjNxAbDXhqdWm5K7ppvaxi8B+wHsi
r7j9IZelr9w4LEbznXkGsMGl3ZRFE4iitlO4YUVdPDuh4vyia1rEW9ftq10+JHW8mVOVFmo3z6rY
VK4E9RWAgfpt1ZR/7VknfxCoVMhwck4HPuX8kAbhmI9ZprG1Sm04wOSgaZVHyLWWY9s9aLyDNTzK
te/Nt6afCuHAuXjfeRordRNZ+cnU+39DJ5/zLV1dz9g0xL47Z1biYwBFaBcEhntXG2vLX/vcUn1P
NuvoQbyXLH9EpVDPTS2LA3yZrMT4nrkDctrRbP4oCPy/bn/tq0vRzkUJQJUymPLvfyxlO2HXGF6d
nLo4UoKNipRP4aPWOpT+qGbVSh155T6lxmDorXF5MzhbXGimPiZjCyXilM2dUX8UpZWrL3Zil8MX
GseOt5m9vs//CTStOdQWPZ/X2097JUi53ONcqLK3yyj8/GlLgNZBmLnJqQzNCRQGUsf/Utyanx2j
sfp9bo/RGqD66guWyDk5fKFrvshXEcLjA6dKcjILexo39mg5GRkb48JjkIza99sPeG012ZWz6StL
APxitaAda2OMqxT7sDHImQVU4ewc89zN9Z/xMJh/f8eg/kOtrgIYk/Iv5+8z63IAS6qTnISJZ5k/
ECWLbduI+a5yRLQGa7n+cP+3mvy6f+zVQIe3rYVxcjJaZEBep2qug0cg2tYvt43WtBauLQZKS/rO
oe5AenC+mAXg3uwVDIaLMg3aj2OSJe5m7nCofdUhkFsrUffayZCwZajHxJwLEBqdRaFM9RSfdMXo
c98qKZz0AriUnxt0/Q7h4HrCALPaN7/QCB7a/+JkMItky0jQH9K4549bAhMQYemkp6apnR+NMzkH
LRnSnVAa4zUGDbt2zVx9v6hdSmE/TAOW6hmtaXexDkj7NGi1Om+9FK0CX4+iftjkarU6c726HMME
NE/A33OFnj9fX0Z9WyJPfbIjA2ZtU2tzumlUJ9+07lCvmA/Jl7WoURh1yFYDjF66WItEbwrapmiz
JDt53eBWj+oUz8bjAJVkJXu9Es48mGmMUqWy+AXSwXC8sK8rIz8F+Whney02rWT046Ge9lalzPOD
cDJzTWHl6qLow6L+qCPqsEy8BiNyql66UXZjUKCCNgIS8pVuHJptK1LD3mto5K75TV75fNi5MlJF
DY0pwLIwCdEztPRKTU+KVUeo1Gh0XM2amjsoYwi5BVyf24H06lNyV71rLZF9LG6qSa/HcG5EerKq
afjmFePdFOpGuSkrLW/pqQ/tWrEn757lpmE+RzeFLwoyaHE3aaDfkwlBnNOci+KjORNt6SnPdrex
KqLsEyN6YPSq2jn539/KiAwjzIpmO1fjcog8w4BzsVfITvTS82pvlQjXOGmTG0/ZjJX8Jhp1I+78
sAxUd1Mree9+vf2yr31dABGyfPCkSr/8+x+BHe24HvkUOz/peSp+ub2nPNm9YQcbCPHj4e/XQoqI
gkFmIEAyz9fyFNR746DGYDOsrA+xVhRfKI2CwE/U9sftpa6FASmhwWyQ8Qrp5PlSitmSiqB/fyqC
UBu3+dQ64Q4O2Zq5wLXXB6IM6BbJsUHIOV9H1LY+mK1TnMLItX4yLHdxluwKZEIKDHFvP9PVtSQs
nZ4IfT9zcU8gtmXjzu3lJ7exsjvUfsQL9s6O47PD1th8V9ciegIKZ8JzUS+HHdJ70FSzU5XigXWf
pkNzaAtCxAHHq+Lz7Qe7dvx08jRyYY9tuGzdoj0QecLCojTtExvvD9XyXWgqx3RA5MTvxvF3bRrj
/e1Frz4hOBhAnuT76HCdfznoD7PoMjZ+nTbmh6zNul+TVffT1moBQG9vL3YtpNEcRhhL6vvgkH2+
WC5RYprKzk+yInMOdWHkkx9rNZARddZDPMALOPr724tee0KKdAZlKM5KHsr5oh7Sy0psYsPqqrWI
/dEDTyuMyX0sQ2cNT3F1LckfR8SCnoC5WIv2n60Hc5CfPGtg7m3DRdsJa8BWSjOitQnktbf5rjrI
owGtXR7u2HRi185s5BzpvOd7hI6yHOxxXe+0vI7cB2rivxz8ycIcWjxo1f9dcrFbXBDdJZ5sxSlv
UEP5EGdG/x3LqrrauJXafRwqplS3v97Vh5S6UwRlxkNLhEpStX0zZK042Sq+XDDdx+dAibXE7zF1
v5+0pPj0XyxIoUQQkyJN5mLqZc3NXGpeLk6RE+WHgc/p23asbrq8bh65nuaVcHb1Af9Yb7FlBut/
ODuvHbmNrmtfEQHmcNpxRpyRNIptnxCyX5nFnOPVf0/Nf/BPs4kmRoZhAzag3cWq2rXD2muFWWqG
eXEZKp49VsgmUno0fxN7579SrXQ3apvyki1fecr2VBuB4gCpXPjqqeG4hE1dXBw1q7NDbY86g3iF
W22Ehmt3gQhBco9D68O/r+9dOXZeF1LAQXS4q/5KNUN5aMKseGkn732AzddTKeG+BBDI7PDeXVua
WzlWk/fFBWHAWD+mAEN+VanYDAHXtkryFUpqPwS/btreYR7HEf7jEjt1+JIVVfA1npvugbG+L3lV
GxtB0Za5xUYNwIbBqMbFpXalAl+f5d6uyDWloP6vh+XBdpo/SDkZvQLTIE8/e7cITYibvbnTzfxS
k5aaByd2jJMdZHX11ar1ZItXbu0kUpOApY1ReSnCcr1vAlGxJBRDAUe95XyOlS6CQK8qrY0nbiWx
JTQnuJQapYykLMwMY58EzWTllw4m/MB3daF257S0q3NJ5vLUWohZ7OtAFCqTR+UWl/PaLr61vnjz
VKeR4YpLaDQb6ktYJGFzyjKt8HYJ9AjqwSvRYLrvwta+q/ygEt0qm4MLF5bXNoRHsZZfxi6Lh7Ou
aEN1ynt1C6q4bofMj2FB2FGXjcCqzSjokypcIKNVyn+9SBvKzx7ln3dSwbxecMkEAwGyJGJdqtvG
zjgVc9RxE6ooU84iqz+YI7ROae58FEUR5H/w6HD4ZShLGkSL9fpg1uUcKGSBxcUcg77apUNQHKYw
nR/qqu3svbC8LWzZ6hkFbcHgAiBF2nXXFvPKSMqqUYqLogz1B7eYm30OMOy/mbbgmdvavCAYlj6O
Oi/f/cOyFnVabywvrnzd5oMxpEl5mZvYPSrjMD2kSpPtkiYX5xnByp9eGSiHPzAK5lTi7KltL/0M
JD5lKNKmuMC5Bu+RUgfurhyYiI4JZQ4qbrzbu4O59SStHlgHeXEEVoDaWIsEt0yGkk55iMNx6Z2c
lS5x3KME2W08favf9I2dxW56s0pFIrYJWobqyCht9C8CgppkuaIpf4ygKn9OwrZ9uv9R1x5c2Ml5
n2zCTzCD12cogh0NyKDMH+ZMGc8x3HbqqTLG0niCndWaNtzqqjkDWk5ZuSdlWQQuZA1NN9ZecoFz
RVf+QcyqS57Vzirtfie7xfFf95e3tnkwiKn0XxgBAZd1vbzWHHl7RZszpVRTqNO0lICwqj17SyF2
zWPTH5AjYBRdYSS8NmRrlVUgYZ1enKSI/mkLPZwfCmYW81PJVBZzgJbRPdxf26pJmflR7KXrbS7W
NuuToU5em11Q5srEJ88CTP9fX2ht8yFs0ZPYp7C21RvxxRJ39upWWSFYDKZyb3VE6aFXjho5CpKA
c2j9amZgwieiqUz7rZl9MR8yM031c9dDr/opHVLNgX20bg0Lzj1zEN3OKRgWO9dVI6KniWDv+/2v
snbCyEtBe0tBYorg1xvRtHbYVZANX8wynL/mDFH2uylOp8cw87yv922tXVn6QmCX2AXqJYvTTPbb
5pGhpJeO4c/6oApRDl/11oyDnUolfu8l8d+uO2f2ht21Uw34jSvEAm8BFnA4tEQhXNq+7lLvB1PT
rRLtNXWst2CGa2dMhkBQF8vZ1mWJKx/rVonLKbs0MG0FBz0Kpv8QWlahEQ7yv61Gm873P+na0iTH
DDUNCJluCt5OWgBXniIOtZK144to5zo914WbD/v7htbOibw8hi0RuTeYEV4wa05ystI2SQ2x67U6
6h5cdeqaUyOmwd14MVc/JDSVXFVQKoA2r49lVvaIwttA6vJ2HM8R1GC+O6POtovayHH2sRjH4E8+
pU1YIIs0yFsubkKdACxTdSW/aDESaMe5COiGmGDcf9//kqtLQ9RLBnScyWVtLclKuIhbkl9baSPa
P51AfzWCjHXY6+0o7EMMgG9LQ09GGMuEVH5MSeovx1AWVy9LjCKZoG+7jA4qIpYa590usOfm4Mzu
xDgw/b8n4HbBQxYn5WfqquU/91e9dvdJQyjGkqySqS42FHElvDsdg4uKmny0C1pVKxn2bUNGp0rg
VmpjVxB1Ro79477htc8NpJmFgwDGzS1ir3hCLjom+b+4haIeCdbhwbb71rMPNIOb7w0ItnkjSFhd
KwEXkpOSimcZs6tlafROq2SXNneG+JR4jMd+UJSyq38p8SygWKxbhKZ2UNolW0Huum08gcSy4REW
37lKS2uQ4NPLbFARCK04c3wESSQ6x03zv0ZXNMauN0DSbXTD1hwETQV6/kye3w6pqPbU2JPSUHGP
obhEBzxpRt+1cXxfGNSJxVaJeg3AAqKLIS6AT1zb5RBX2UDv7CYxdfd60H5Yo3g0B52qu9qN4ZNw
6uTvOu7Fh1h16h96kodPPEzZV62brJf7J+z2k/N+Uj3jo9P554G59lVaNBbODGjwogRNdUoNxfHd
NosFY0jwae5KMCWMCHhj8/m+3duTjd1XEmmeG8YjFgFND/oi6h1XXAynL896agbxkYtrtfs06ma5
1WWyEY+u4FKlTYZmaAzKIZWFH1HnEWYriCPJtNvE2fXOnD7oFEWH755i1PWO1pLtfBgjr0lPU5D8
jzSh8cKdHo/l1pjirUvjp5AAoO1N0+BmANNxGK63Oie6xBWZzcykzO9yiOboQ1aBVT4Goz22ZwXB
ejIEJXP3VpuYzvn+FqwcQn4EXAuMh1CyvaVwpzSQWxkNfScmgoW0u2j/zY3O2pVJYx+dCBkDRDYB
rXGIp0tkD/zHNITanCyl2SQVuo0GJM+npH2BJxPQsLyjbzpspT63EJiO4jKPrg0jhllq2YlaHrSG
99e9akji7WnsUxZf3r1iUsEtaaG4VIK5XoiNk2g4pU5ab+FqNgwtn41ar22riisMGV71EFGkgLcZ
CotyYyPX7hKoHZjzJLYeh3L95dxaVZPEHaNLk8Apt6PSpapnEzKw4VTZTPrDiqhWW+KvMlm8fpQ5
NQyhMrHDUB9MntdGK1q1Sh7q0SWEgET4oO/GfzwtDT+ORT6mZ1AVYtwZw9yf86myk409XD27LISA
QE5R2kvSWz2yOs2oKkQe+6744RhieOpFG1qnMaQ+tEsbAUN3WMT2fIyp1po7bewHO2fUwdV+56Xa
Vof7p+r2CeF7EBEZsvPI39LRvjm+ranGQeCV8SUerPxHqs41vRak6Y52xj26b2vtYEH6DmsqRSZc
2uKqiKbUGm2Ok0vLDNL4DB2MDjV5XY/eVvFn3ZIUx5AipbdAywjOyVY0rCo07elQgpxt/0OIotzq
qqx9PmJl6ndAC/jnojYRp3pTOUoCuEdPP6qjKP5S+vbfaZ6ccOPorC1J0iQTw3IRqIRcb1QawHyX
Ifd84WcM6RFW2A5ec/oCzQbybM3HwyqICAwPDrCQxXOT2eDgczjgL5EQzvTFK4Y0+gWBVRTv0GYs
o4+JK/qAIUS16s690oaf2sEOtlh81h74t79i8cCrRo8URFbFl7Zt1IfeTWEkzAicD+1Qmx+s1NJ9
kBVdv5FyrZmVzkEKHIErXAI2Ypq4VleK+OKIIU8OYRiaj/DzqN/AWSFKN3fwVzwxLTtv0civHSQo
3MEcSYKem55B1A2IxVd6fInAx/uAKYlfdAehKslvb29ByletUUd/LUEAx11ErJ6YmIsfxvgCUVl6
rKbR++pF5UQJb4y+3r/0a8cJ7w5mS+Lz6S9dn9uizyvTKpOYQS0BkyTCBGW7Y+o0jvdhE1r6vnEM
QLhlkqTRLmTuda9qwnS/3P8VawuGlUQmJKQk4Pavf0Wtdd3cM4F3cQNYl/bqGGnlS5FFg7Mz+gLt
2/vm1p42KKLpXb/Ori9fGZ2ZtHZIeUJLCj2/e0v9MXSoLsSwNH4H0x1vmFtf3f83J33HGyceVuak
zVmGyq1tJPUR7TrHeynnGXgFyW209YqtXZLXkpJEjcuY59pc1rSuXmtFeLER00mfMl0NGrgm0dWJ
znXsKX87QTVYR6HUdnm6/2FXV0qJAkAH78dN6YxncBoZiwKub9nDF0SXpIKLUqYHN4dk8r6t1U1k
DJqBQzmdcFOYnQawtzW2RKUNe8TVLL8qO3UHTF8chDM6725gy3ELFew2w8DQqSw8vGJGE/RySniZ
TTMfDyKzQ++gzF244eDXviHBO+V0ChO8JwsH7wwteHuliy9NW0Wf4rrOZNFFSbJq3+p6p28sa+0z
UnoBWQgCF8DW4up5WZ8FXUW4PtJ/QhRqNq1fylQYR9cd4h/zaGy+HasLfAU0ujzJRObX59NIKIba
gEQueRb2p7QXXrlXkqKFjxQ2oMP9U7JqjMay7KrxYC4H2ZAtCAuYHsVF6EadHSFaLKadDqdJC1Me
bFX3ra1+TCBUCMVJHaUlWtNukK+vI0dcBloUz0g4lM8aiM0DKJzY2kdqRKz4fouUH0E2Sc57st7r
j6kxnTPFHfkNHMA5JD/tf1YdJC951Q1HbejFxudcW+Abc8uXqbZtpSugkr4UiGQd8nkkjYMT40h+
HP03U034/SfLk7NwFhDtmwZlNzLYjzAS2wd/4/8Awj1bk43cXt7Z0y4orf4PXDXtQarGBItS/PL6
c1Z2EFUajYVLb+fatC+VavrWJG3gnYn0jcf7i1tLdrgClpzCh0lkWTnQoaIaBioWl1Sr1KNOze+h
BGbv20L1lJ1rNAVE3qq3m5EE+nXf9No+UvxkkJgZe+LWxbFBDC9VURtLLlNr/JUqoxrvUO5NfFMb
0VAN1fTnfXtrbxK1Tj4sHoZa68JekmSNlSsj4xmOXf2mtNrmh6xI8mNvF8YD4az34AW1Ph/vm127
/ZS8+Ety+97MTMPOwmSb0wGk7Eb9cRwoRO1rmyGmPC6VbONurBojzZBSzQzdL/niWqeImlAVKSi1
vrkwAc0NsZy+O9aO2Y2nP1gZWFQyAUAzQIivD2qqRnkbWykSOSGjEjCtZi+uktIwaizxJwHFK/4O
yAzo/uWEYzaG2dzDWHYZla6aHxxUg37Zpcg/Q2pk7doJ1YSd3of61sTz4pBKKCM3kKoaZ5RUZwl8
SghNvVIR1IvaWfX1wv2pmY1AymJ+GrIy2YiEF0f0/1lzeOElQRsQ6cVDmMQKOBCrzZ5tdUB1NoSQ
Wd9N6O8Ex1IL633D6NSHubKNbuPc3Bpm1o0tpFTKwWeo6HorKxGkUWKO2XMciOlDGBffOz5zw8hL
oD1EyUgQUKbj+1q/rJY6IV1tQBxgW6BjujaaMUEaWHmYP4euOwH9Sw2vOaWROeLVrcBA+29oio23
am2hwOVgpoJtAyDuYqF9FQZ6zMF9xvdqJyNtvAfVQHQrRHjtczPZ6R7u+S2ji1v5ulCoYpjtJsUh
eFsYDUU/McRT5s/VZDTHPpo18xiG3fwcg/7Ymqo2+WpvyldUXWlvGCYdXS4KWgeLW9lUUQC0xPKO
oQa+RfKmBwznZuq4lX8vrwaGPHDTFPqpDPG4LlZVGVqQ9lnjHUUAYUswmeYXlMj7nZT4+tS6bbHx
Lq7aI1qTPM4WWeLC3hDrmjKUjneMi9I5NTknMycvOwLiGfcMdG+YW27a6/Lkqy8zfSpEi9Op4c9c
oejeMXXL6u9Iaatj2drRmbLx1sz9ypaBVmNdaKEQtC3LqVpjMRxZm6glZIV1KEK93ed6+85JEw4G
jVKajLKoCO5w2eG0qiEOjHz0jiPy5bvQLOyjKVBU0LU8O9kKZF4FU+tnOHj04/2H4nZ9WJbvBNQR
vL1Lzk20CjM9sHvv2MeGd7K1oUPBL9yaGtqysjj4euiBmeha74gf03z6bfZJ2AgN3F/L7SmUa5Hn
j4wPSIE8Nm8S6WTQjDI3au8IEayUWhxMKhYM97tW2x2jtvF29+2trUpijKhKyHbaklmGCbeqNhHM
OzazE5+imWyW4p5+um9lbVUS32vRPkJ7YGlFDdSybrPQPdazaz8kDNaJXa3nDv12YyKyBovy3nUh
AASkHiyaJrXulqgT1ZmDbmy15DT3bvHc2lP1zAx0fLi/rptLTKSAFgZsNLgqjvxit8JEs1sjQQqr
mvVqr9q8oWOdx0fwP1u8NDd6aFLvC3fLawZfCMRoi/On2KWiNDqKQk1Yxd9TuqRny+uUeZ9puvO3
mXXtZ/x/dDQaV4hdW1jBp9Zu7N9h1nRoEcG8am6c1eVjJ38R0xEgufjGcLovVl/OKWoDwZCcPNFk
j5nR5B9GYqYD7Q8o5e1Z+zBB8b2RzK998rdG5VF7e0GisKhL+GFOkNnWp1arg0OgAO/vYxS737+7
VO7JqKEQkeTl16asmq+rCEyZoojgoEH2FFXudsqpBsf5FvvP2sIsHjwpAUNzc0k12QVJpxhdivJH
EzFeTabg2lQi3cY+AZqvtlgQb64kmyfTMslUTz9kSY/eozgytVmenBhOjj6qEIUxKQQHSwz7wimL
nXdCiTR5WAD1sDJYF3lipSN6s29gEoLe1HkFJrPSYScdxiO8GvmhConK7u/bIumUphgkYLCFEEyC
lxY3RRemHuZeHxzN3And7z2zs9mDlYiifjRT2rr7FOURvUMq3UL3p68GlMju/4KVvSRBknBRzg+N
xUWgrWqtETpxpxz1YLD+F9R2rB3GzCg/B1ZUFBtOaGUnKaSxTBVwKgC0RUKvhjPTQa1KJJEUIwCX
PEJxp3Uk+j3uhsGDq6yeyw2I4+035mKQBxLAADRm6Ox6O/M0gSPIlf3+IXP2eja3h3LQu9PMaMxn
zmx3aMNaQCVShhvLXVqWRCmvt0R2DZmoX8RpbWAjFAXOxc/QdpjPUlTi78gzmo/MbDFdh+pl4+1t
Pav9OBFwJr5vZ2X7W45H09ZjchEsxPW669gJnQChUF/NXLfeI0FZ/YuoiXHsaatu+Ff5Z70NtV9t
AQJGo53mBbKj17YgXGsoKojeD5teF8e6hzoEJuGpekyNSG8PXpXE8RfXDofHNs5D54mQwQvP9xe8
dPL8CNBMYNZwgKSqyzjVEEqaJF48+Ew5FA+Bp4cvXjy5X+Ky8V4AhrQnK9O9L/eNLo80lph6J3+T
h0tOzVyvvOXXzE4JlEhU4DV/M6tNMefkMerUHpVYm9tfOW5EvK/cTkXs2qr8VW9clJsIQ4eoefCH
Op6TH9rspNZhAOxo/TRtZnv3pNXDt/srXXoKaRMICbwFsktMonptU1UKq9ebdPJzpZndI1xDfX9A
Gi3Rdm7UDFv6CSsfFugK0d6rzhjZ/rW5vqSmmQ/e5CPBZp97qw2/Jybvdj/potx3UxxthUi35wcI
NK0EWARtorGlM1Y01atcEc2+NuMpdpbWgtaqmlZ7VENVsR96noOPLdQAGz2GJdBB7iYBGWhLkh5w
UsteP5IJtRVE0+C3oaZ8d+ug63ZRFjnaoZ7zz7pbOYyXAQz8HDSBHZ9qU2jfAwUGl0eAg+2WIOWt
1yJyw3NoMKtTBl2OEHi92RZ5L0a/irvwL4aDww9Jof7uhkL5yqVyPkF6HH/hudqqMN06ERkyyo4j
PC5SIeZ6x+e4y5pKqQY/GPPxpEdGeAjBMf8AMaY95ULELwO97WczmJtPimbD73X/gK8uHHgtVHe4
Mrglru0HPaBhy2EbqGv1X6GY92qYc3u4LOC3sOe9CKP0R2VU6W+whMWP+8ZXDh9tOloGROjg3Jd0
VwK2zC4YWXwqZuWI/kzyXHujzsz31LeHwWobdADVeiO1X7VKEifJeiTiffFGjHAUQffgDL4oRHSc
TGfyHfQIDrqalDVF7zY/4zO3JMCWKD154KHrltTWpnyibgrQmiqsFiFFYAlQ9k9yBA4UVVRA1Sm8
z1kwRse+GMOTlVifFBn5aSjRnf/gg4Md4MkijyUxut5tWmF4TajvfUUE/S8PhishVEHlnRbfl0BE
1ZdWEd7pvlEZOl6/kywcULXMQ6TwzsIoFCztrLXuyINf22cFIo5yBzlm8L/7Zta2lbCSNiw0BHze
xbYyly55p1NIuZuxxns5E4RwqqKW+1GPnHBvNIn2aUJhuNyIA1beCFlOdKU/gzB4eYXNKR2DJMo4
xU5ZnoKsDT4PVf0tb7J84+SuXVbs2HDpUK4FVXi9faSIaqc3/eiXCKh8a6pp+q4XifughKk+nBxn
6j6Feu2RezEyvOGwV1bJW8/IGrx0uMrlLgYzEpfUbCdfh5F9xwUafL2Pi/qDMWvalrr4ilekOotD
YLKBmpWzeOoNkbpzGDWTr9W9Tg5SGgdhtvojKTaQoij7n666xn/2GH8zjbj8990H6bUIDq84NHQw
kF5/ZZskfu41Z/bNPpiCEzEl82S7qKyCcD9OnSee8j7q1IMDsHWLT2Rlh2HWBQhDp0qqYy0iq86I
GUZMRp5jRGqUHUpyYn4y5ykCvexSW6hjZKfVVkFaLY76fGve9FU0aXFXcYsMYpJVI3K6/PCdmQRD
Wivssuf2WMo9SzmEBpPCz7kezfl+UKa0EPsKoGC+h+AsVB/zWYvLAwUIW4d2NhbV0ZTk83+reRpV
fhKlxaHTB0ftN56uFb8CGTEwBZS7AWwuI4hZch9Ghj76aj1MF9cMzL2jVvE7+9vSb9OPZW7I4N4R
By6OQ2+lraWJbPIpLcTOUZvV7GgazPgzq5HF+Xm0OnUje1s5/gyESPF4mnkk5vKUvIl0oRgu41if
Zt+jLIQuY933H+fYUT/m0Fp/alstzHdgpprqMVHT9ldUq8iI3L8EK9edjiXEIYAyqEAs+wgmM/dK
a8UqP6FnmkhNuuhbgCZgBXNfn6bvrBrJb4znJO4Fg4VY3uKJiBkBBO2bqX5qF9NzaXSoRk+SmPIx
D7NsC3y18lKQr0mWkldrS+UwNBmiNIBYzXeNcDjHrjl+ieAU/qEanfowumO/67xk2she1vYUYkBC
bFCDtGYXLo0Xcyy0TKh+jGTGvqk980NTTmKnlXp2BPoGYSDA4xfFjcpPgVGFG4/w2pqh2JHSV6/F
64V5MTgCIK+m+RQhnX+zbnae6AyJD2mpacWeCFsUB3uSUhv3z5H8c5cOhVCDy0Mx4rbQ6yq6CJO6
13y7NIYggsdhTruPNS81bACBq7TmXi+dKPjvvtk1PwqnFa8HjoGXcnFpR0PNI13hYgolMQ5w0Bhf
3Umt95rCLBf04vGxHukuGumYbozcrMV5tN64tDQYKdgvu7iWSrcjHprZ7ylfRftOXp2GukCtOd9S
L+niXdwzGv5XC8eSeKJ3DqAxYb4dtsFAe7f+mLzDNAJp+SBRBQPRovpk5iYXqC9nX+Q1cpoJImQM
HondpJbDYRrqdjeofX2Gn9J77GJoUYLCVHeNIbZwO2sJH7A8SXMo69EA2K6dGtT7Yexa/JJc6atf
U2eXv8ZkVPZNE0YP0TQaB0exC1AnXU0VfY6m4oPXUkbRhpAbef94rNwGUHsk2oAKIFxcYk4FL2Ds
Djp7BDPYg0Vl7oi3mYcDDJDlRz1RmZHPc1FtXMKVUwkEBS/3iuG7hWgLu8jprk/+5CmNykhxMfX7
hMpOeCxsN7fg9G7QM3SDsTzEpkbVcGPdK16dGiQ9HprRkPwss31DoXLXQYnoi0k1T2UwV7vaZX7U
zRzt/bGqFC6h3Q09GnqQixtoFmPd0/rjDUPb15+amMEzbmS5G3B4z3qDkumumeIkg+DBMKrz/Q1e
vYVgCriGBHG0tRZPqJIXZqOoGjus9dG+Nyfro6YlSbFzUZb/MCpFdWAQofxkZSYp9khtfWdVBZNh
93/H2geXwqrke2C6QFhdH/pULSrNauShNzVE9vIpOoTlpKNPHykbS14JhyjlUEyRNOBERfq1KQMh
mo6pKNUn2dJfKjttjnqkaS/3F7TyjF1ZWfiTsKqBZbRYae1U+9mOaXDJHd09abULN6PWuV+dPEgf
wVjVBwNNjp/3zS8vLlPAHFH+wFcSJxz19SKJBCNrdOfJT+rAe3adtLok1Rj/VKcsinlJdC/fwaps
bsQny1Wjb4XeD50R0grEL5bNn4yeT63DvukDo5zBpYPU8XZGVE3nJGvL7jDZUUmhtay+Vq3b14c0
ofq1MRyzPEryN8jwk4ELsukbn+VpQ+NNieb4kxv3jDnQMzUPWh2D8kiTxnkn5IrYk26mC2kQqAEq
+ctcM/UgjGaGz/FDIv7vWRZX+6wJMt+eveFlQtiVQTp3i+x9GS28GqXKy7dmm+2lXw7dLi7NPHf9
BPzR3ivdCXRX2zpfCzOpP8LL6TTH9x4oRp9h/QVRzfYS7F8fqKps2DpRuv4UMHKtdm33Ika19q1O
aaJDrTTFV9j883njJbg9x5h9Hdak5IY46MJs0lmFZabC9cNYtx41o0NVmxjUe+lEpx+yfHL2U+CM
W+5o6SP4vhJsJdvCUp1gCaIpjNSGO97jDJV2B+mMIzzvkNkmWjn3P+vKYcUQ7QGg8agELPNYs+6C
NoTu288cCjCQp3enKrD0x4yx4w2XsGoKcAROAbGOG9KnpqjMyBti17fmTjw3taUzn1aV+0EPi43D
smaK94zEmO6hy5jl9WFpGPJymHv0/LKzqmdNTYcTMCjr59A7WwpvKzeBtcj+r8RH0OC5NkVS6EF1
n3l+p4T9p3p2uH6QcPtDEIrPTTl6j/c3bO1kwAECcpzqskSBXNsbtQKON6fW/DhKWoD/c/JvoIt+
4wOuHXtglDR9KUBJPOy1FeZ2gJkQ1fmuU6AoPmVNA9LEaa3HkmHe4GxYQX7ujcjdgmfInXmbhsiD
L6n4JN7ktUx3bdgJGtChXWL4pd5q8w79xOmDidTZQ2MpWrAHgKifM1udnjqUupV9YGWbGNZl8Pf6
E5AtYm4MJp8byEuRc3a80Nb9oatMJsVMpzjUaZGe6mzsYX2y05IoIY7S3ayn9Jfu7+/al3ck9SEF
UkDQy+HgAXdQmWZo+I5okAkcy/qhz7kgkSLqr1OkuLsGIeCN5G/tUEnPKhfNNP7yvoC9UShnCc03
oI0/RLTt/onaovrr/tJuYj2+LJJflJYtiZol6LveXDUvXAFsXvfz3Is/5DRpjnbbIKimtPqRHrsD
tE0pP1YhIuxpO83FoYm8LSLllQ+MGKLJJ+aMwQ4lfcebmo1uQVs2Z57mj5bZm+ER+ezG3ENgkmn7
bDTGpD329K9Cfc/EG3dkf/8jrJwuFMKpC9P8tuybkavI6LveblTT74YwfI4yV/sWFq1zEtBVtftp
HrPfhpMrB9fttqrSK66KmoIs7uMV5UZcr5z3pGimpDL9KGJg4AG6us7aN8zYXIxmtEpxrNpB1cMN
V7Lii6GDYc/BxmDWXaB/grDy1AGeIn+EpusYWHPzhTkHl0Fow364/21XnAd5DLmMHPyUxffrBUKn
EJZDWeq+YsR5cWprfbAPfR2WpgXAFnrKvSChsD4NppJHXyuEoB/zofTK998m+EPYXD41G738zghJ
1ERHno40spd6uzYy06PrlOa8cZRW9hPCDHYS1VOI5pfXyZ0G3W3MyPDbyAv/KyhI1bvZqppj2LjD
rhP91kDxytWR4H5KnrTjWMDiAM0u/EiFnht+P6jzr3RIaAM280vUl+4ZdPHwNMdetlGOW1sk90Xl
GZeGl3gnU+87RIGF4acNetru0JvgjcDEalZnHkmMt0Dgq/Zo8HKCSMCpf1yfIVjViF57qFKj2IwO
TmCODGPV+R4izvRMANM93j+zK/6A4gbjwpijkuzJ3/PGHSW8BHE3l7afBr0OrQ01Y2/8S4jJ7Y6I
Tmtj+BA0Hs1eyOeFMp4GmDO3QJ4rjpmqP/gqj6laSWQmN/7Nj4CMpChFm9q+W5luWe61TBPl9yHr
HEKMOqrUJyuO+14/tl6cx98AjsDkt2/0Yup2aTAmW+Hv7UchbUICjOSGyu8NveXoobIxFZXt51TY
02NYNN2HJLb6fWiYyUsCC9OL2yTeD9fI/+D5xzbwbhpKVEQAzF9/i7GbGRHicPlDOvfjnrcE1sew
KxJnr6hF2T8Nbhv1e8pvWrhrwLr/vn8gbv0lhx0yHF4m+t6weF3bn/W20CIlMH2kzQtzN+fZcO6z
2Y53lWqkG67q1mNKY5JrEiAseAr5Y95ufKzzEpq55Tt5NB3dWOSnpBLOgzE0XwlAgh8e6kqfckPk
57nr43zDg62a5xtT7jRlCWrxraMuKi3ElUwfe9MTiDQ6aZkVfBmEBtfDFJQfRQcc9jA4aTnuzIYM
eCPcWv3akBTLr4CnXvamPJjDHGd2eI6tLPs2qemXRh+Kx2gcty76miWGS4l8gK4QvS8uej0XcWUL
1/SVSjyg5BD8G0amejL7Ubyzogc+RCImIKBEfISdXbgwntsqh0/IAqriNeVnWJdg0jqBGsjGz5no
0Go8IE/sXcBzqqE/w8H74/1HWGr08PghyXgjDRYZSZxalW35yTwYfp024xdVVN1OVOg63Td1G7nK
hh+IbnomUnZO/v83BziZEqMres/ylRAOtD1z3kC3Q9vIf963c/ssQHxJRYe6OK/6zZs+I1RRmmXl
+OTL4qS54wuczL3YJYFq7Ipg3ipkrZ0WameQDuD+qPAsLmZY8hZWHfYCs5/GXdMYZEPtkOcPdp+X
GwdGXrPrpIvFMRQsiwA8QsvOqVKVTkWa4/iFm9o/GFYfat9DVSX73+SOZv1LH+At39VBW5gbr9/a
Z8XBQMAoG+mU+q+3z227wVKTwPZrlZb5zrUUd18WlrVXsjROdlqR/PP+fSRUwr/SKuWOyJfnzXmp
jUp3i9C1fYiKyvbBTY203pltGn7q68wbjoxLbdXK1r4uwBqOD2E3cKbFVvZV7xr9pNhE/GX1uerz
/kE4lf3JKrv0YY5CtdmnbpRv1QXX3lD8GfGwQVRxIxiD30ygQuQEObVZ7ltQkSSsdZI+xVEZHzSr
nabjABfN17FT3yn8wLNNRQRsJKodhG48ptdfWS9Q6IpE5Pp5oHR7MafKMcpEdBoqFf08tAk3jtHK
bWF8woWVQLLi3gT+na4WjaZij6Ku9QhAz32ClSn7ezBcbaO6u3JiOT2SIVB+2ZvqrjOSxJrVRGXO
Lo0jGnXQIgaMhMyp1jNd5GwNFq3ao/JIeAbXGC2p608Z92lgOwEFyLztK+aSFe/jbGflP7M6NR+z
pN+Cha99SmrJMJMZTOQw6nZtL3J6ZLmVyQZgmeeHZmx5jWOAn6MxKVvw/ptWI+GdpDuUsT3jdHBe
XxuL86xsUi/0fEjMrVObRcq3zI0RX82r6RRbdb03FSPByzpTf9Dg/Qx3TmBpPynKGhuwqdvrwk+R
HT/JzET7ZeEY7IgYmz6Ix3MFvS3DR+JnPllaf5yjNn20tcn4YZpVWJzgTMh/3XdKS55jGeYy1AUK
H4EIMKbG4hXTazfUkZ31/HTWVUZs87zZDY7X/GrUqE93o5n1j6aXdUclKJRuZxUOSoKW15rpYTJ7
92eO1s8nR3G37jFuauG9YFgjGCY1kXeLntUyHwqrskyKWoGTUtMBCBVWkhh7ymNtuxdJmBk7OwvU
9NBPk/NSWyT6u7aeRrqHHbJ4sEoN/8fRdSzHjWvRL2IVc9gydFK05JFlb1iOAEiCCARIAF//Tr/N
1FTZM2qxCdxwkl77ImrsfwgWLrLBUvAAuiazmKuyRRS6LxPYQI3w8yiGAGuqrHMuRyAv7KhcD92J
Dx93nOeSyCWKuqMYp8x3cCVNnemmqYFxTcfzdEls52AiRWx7BJ5Modu3nY3PU4jX+RvQLr3/JHGq
2Gkt0SNcoF+Z6NbKqSzGj8im2qTtyLPKwR5miTxBCk+t9fF3F/eHfCn9fkQlfFf5cXzNc03Yk0P6
sz1RxD/H37FaEP5FMrGyaybzqPksDlrVlzH2ABHbDSUg2dtG7eN2FtAGInwqDaThN6mXHSbVEynJ
tYxljvyYvR6T16JWYLzO0u6yo4y4MrQFdFkSjoExnlCY5/DXstgvtk3yMMmr1ym0W42vNTtv5FD8
0ddyz18ogaH/AzKVc3ZO822pYROdwn2rhdSZX5Rs4uW6QnHq/gM1w/FuTRY9DmnjyxxmftrPF1Zj
1TtkCMDwLdweiuIU6W2sB0QrJLwD/EMUElpIun05bJKGPzAQSrOn6CgQ3wwZ8IJ0rabwXD9HDtK6
dq+BR77asqThTxHpmZ1qRJbQJ2ORm3BycxSbLxVZl3CeS/gz95Dy39VUCYeI4AHstp24K+ivoen0
srj6E4mMwv0FrO0SOK6XmAxvSwkH4N8ISFiF7A9zeFYMB/TWeScUwmG3NsmCWpa2piuhvK0yldm0
c8DY7g7JApqt/1ILWzskNI+REU/N4uXYIzfMMNMumSDRBKciOFs9hnIFvBYJZ45LCtEQ/lpYmJCs
AyJUUvY0BlPpJxZBgoZA09JnS9IztSbh4oBnIYJZgw8aPZPsDrh3jYG6nXZoFpj6BiWZ4rcEJjvR
Cetyq5ahWaI9P1d+SmHaLzPYOMOHO29qc7SJVwc9oBEOYNb1XOOQ8nbdRlne1qaCmDgAJBFXGOBv
zWsiWTaVXWIRoPu8j4Rsf8gYZtbB22PakoGW3G5bh2hskH7yRpUz3JbHCBdTcxx4xB1wCQrD5URQ
4HW9LUKyDsUUXBjWCIzU1tmoqX5GcCO68xMT8aR3P4l2TGbTtHe5Ef+Yt8jZwUgJ35sGcy4W3FzL
+QM7mTqCffpo5CkogHtpl6W0TJ8rQJyhH/ctTx9tUari6usKo1S/CBBIzqkfufoxcoAEt5WXdXg/
ll052kV+s0k7HWEmfyTTFrSeOBlZg352UnGIuzSKy+0M+f0K1lNUCaTXhBDiEXdVbYm8TLGq7BXS
sGl5cvGW+tet8Nt2gO1KxubBaVKEloupyv/MIkV0eBtPxz61LGuiOx11r+Lxz5jzyP/MpJD6A86f
Tt40bA3nN8II/FwgxSHw2sLWKcfeHfZfrWpC3ryOOrbxjUJRGR6mqNzS9EqFr0bZbgLgQZ8SA4eN
Ey9K8CVgXszLHzRTEfnN7K4LMIQAXQ40tZM9z1LG6pTaPSU3fLla/pawmtBPyNqNfNyW+RzjLMAD
iR6/LFnncII0rJ6WNrHFvl/IAUMKlJnaJL+x348JaWH2GPu3aNT4S1nNxvmiUw9/uxnbOvIiN2X3
54SqaL/GcuPuAy9IVXbZ4ZTtSp1v8ryXiVMXmu4xvXgjk+U2rdrtv7yoqik8aEMAPZX7kkxXY8SB
HFvP5I5LSkYAhFKiWfJzB4Fhu061Wu3JmXh0P1eJgtLVICPBW7UU9d0CMyP6blR9yHrbPkIjctj8
jiqHciMmNI9/QBYqi9tKvffmtDiYTX3CAwr2D0eNopCcUHa4PTeybOSGsC3oIQcKwYWpOhmmSXTT
eBzyghqo1FcYY4jtE0y52IuhtHA1/uE8Xh8UC7etFYYc8JfkS4o4e3+da1DQnquSYrcJ+T0sxIH7
urXpYCVaiiuPLYuu+NlV+R4Of7D/KMGpvsaYUN1FRikDxbwohGftkjfscTflaDCZbvXysyij8niw
wEHuhrlm9sUHEIB5+fSLPMoUabI4MxdegKogUDTnLTnPqvD2aD122uXZgvJj3rBjzkWPjl1gN6ll
IUvZgqaGaaVRIAq+euy112GdahAPWl5wUSN3VDCEJUl00U9qQi74MO91lJkWjGXCeg7JddStUV1u
tjUObWhrYSwiLtRbjWKhQN/t8N2msODgLC8vBEkiob0noTQPzRoLOsxwHaPfi1I0/paVTufH4DJe
HTcQ3+vmu932iL2RvUktzE83q7OL1tXYtG4zUBS1iyplqvoY5xTR7ciJ+M/GYAw/2pCP0XkPK2N0
AGOYVRI+kSULP+ftkMu/TasYn1Bg0928IhZGhQ8x0XyeOomJOXQ+50h+61xu8J0iw6xxL8E0mT8h
hwTo0q8sCrvKO9RJN76PsC04IQZFGdDLNkfPK3SJ6TNhnooHYGcQuPbQfIzw6UnuT2QBg/IPbqXV
DUbwpYevAUSZPg3wjV5DWNTrpCJ8Vf5AcmEHek1ctJFsin8Lndl7pTXdUbkRh3Szdt/QnxFnH2bn
x9+KbUDhI6TmqcHTKpIdsoiL78VU1+xZyrWez8tW6/Vs1xkNeAwPDOic4eFzgrATsX5Wjin2oQhg
bfBZbbI+H3osKvw00J3PXmxj0srd7H9YbeHtXNeE/dDZSD505mPQGkm1JyfG7fKeZWQsXtwSjmkA
CcTCVWc2sWjOELvk88n6StlHN3NNLklkwdxUDGX0xpf1eHdZNrpXpeqo+T6uc8JaaIbLtxwL5Ogt
gpfk8VtxhGMkItmzDm3f+OpDga/TZXuRPMQxt39mCODmbsll/r4Zkb0iADnkbbOmjXqAh+Dc+7sQ
6BqLGM4csnJm6nliSnTCcMZEa4eASNd54hNxxm1LiotMN5cjFDbb3iVQAIaigMf0V4tc6a5K4C7b
1+VoSS9ySd/HHS9kl1QRf2dCyT9zXZvxnDZW+B+BV9nyxwe4fHa+mku8zVQmseth/4nEHnoAufyB
BtM2X6JZiePDpHCYA3OXOH4JsM2BVSaPJv6IPklik73NaGY0irlCvz6q6gvKG4tvB8DJvG9qn9sW
dr51fGJ4XQNvMzJV/0ZwtzCcNRgPzwTcFXlWE7rl7vBinMEJ2HP7mmpAiI82kcfxmUeArVop7LEO
iJ8gzWUWAA3QRAVCzpMtSVb0iqclXp8ic9VgclohOMsjoKdJcA0+7ruN2TnJSVQytHdNKVq7F/Hb
Mi/u7xSvfO8LfJKvcxY1ZkAJy9O2rPfdv4TRJw2mqBxtAlLXg29YH2BuILtiUWruZ7/D3x7wMqf9
pBLkTkc1qeRFQF/efEf55MUwoUpFZ4BpLoxtiGMd9YeAIAxYdc3X85zV2/hM9ZyRb3Olq3U4ZLxl
5+nIY9F5WhT6BNcadjxtXlsgSnLdxE9sTewyRNWMEkcyXGff1RREer1zABlECodrLiQ7MvEty/fy
jPRmDeoPz7zlLZ/dTIfmKNnxismiOvrMzPUEqqZKwjWVEI5iWoRl8jw+xKKeCI51NlU33CCguraF
rnXZTbOyJwIq/96XR8MlnmhqgH2njo898nSOqoPUjqpzgFDLtHlNZv5N6DjbTzzOZOgr66zv51qM
SLtB7Ex8dUiOK4d00fDvnOQMOWI2F8R/DYeuYqTaLcJ3q4ATeIwjhBaLXDBXeWe+BmxRQaQAQ7s5
QO3dEsNtG00lWdhDMboqUa/RnqHUHh3SEpMUi/kSeMSy1/GtMkuS96NSW+0wElNSoYGF7PxRhT2B
HxeuIrj/5U7+ZWbOFASDqfdPJYcd/TNm5zX/RfGN8t7C6x/v254YzHAkx4/amhU008TZ8t2PYJ/2
k7UYghzstz5rkORx9nSUffo8Y+6aqHEBWJPSI7smxBp9kyni6Dta+3ltWbw173A8LP5D7Lf/UaCX
jVundphKrtbLGtqUxC8DTnGmu7n0pP6JzLh46iILzAWK1CXAS1zO2TULS/6FY97ComRLGnX1a4SI
MJWsWdnCOMTXvdRiMy1zEexGx7pxvI+cd3UnpNhf7JyAJpRQB2bDMo2peZhF7nEfQCLWTthPTr1P
Mk1bcQ/2vTg2k6yjQuaf2Hg07CRYbbKOcLmqTsFaRw5TkOBwZTWtcoTWznRt15qXHnF+HGUucOhk
t22NyzZPTf2v2TfyfaWwE2+rnJb/Yt2QX2WoAu+OCVZUWaNlgj8a/VMR3ZkJ8VLsFXqOZooG2eRk
aVNJis8DgPA/6na+dxQpHb4rm53/mJHiTjvJcA30II0LTD9yWsdrmGKL7FcBBnGaLawA4xMbld7k
DN0+suHzpM3gtfCrcNGh2hkgs2sVHC6+lhrDSctSV06Dm5cqAkOuWubugHoUmtvDzrKPIrNFuEsr
+2U9uG66EVuMx2iH+V27c5tsg8o9gTM6msyozTZ/N/rO/Wg7kWrOWh7smnQMwwntDqGbqoW/In1Z
Xex1W8KIMJx3zCAv5UzvlPOxcPsJ4nrEVqMvMI9Iu4L61uU2fEIIjLnvGFXAdkA5GFwT2IR8tekk
RHdU+fwb45mASjjSXl/c/ew97kjYSLpEMYY4tL2BkrjxW/JaZ2GGPULc7K9Rns+2Z94jYH0FXerx
gBvNE2QTC4ZVXJAwLSSb/JduUxkPI+KhJKyVInE2HHd0D7bUtHUVvP9RLB3cVduFYCxuI9cAOQ3N
Ck/VrdTpv4ghZrlLNtiodHjLFt3t8Hh9y/HJkgFcL0IHE3sXeso8LPVmLC2qdmaWf5Vr6o62dhLV
gW5o6HtSsuQ3z2K391YkydRPWDzis5CpRGkGkerVZg5pWWsZ0Z8iNesMWe8cRy0GWrDdC7scPTpK
Q04Bw8kTqFbYgsLetsBA56B4GGBeVe5waZ0hGakrU347BIZsUxNHMPeW5gM4+Vq0WRGyFLdzyBy8
8mLwK48J1MDRbbAqazaDL3jaajQ4daCYCZJssiOe8b2DS5EgQHthyj9VdJeo8tSzLp0rhYQOj3MT
Jx8z3er7ZFv8kmxKfri5PvpGe9jqxOM6PdsdyxbcJmP9VRGv2UlnJQouBeNHtQq8G+xARMg+YVaa
LJBSFBJjOXYHFxyzNcNFqRLebsfmsnbKVF71axo8wf/74APMmSRU/hmc6loQl+jRJ4GIBU8HZaLd
XJKM0MHxHJre1ZfoQSskTtwJ9eXRjmreoUMlya7aSk4pgYGg4LxP1jp+LtlmYhTnGOaQoEw3aUfK
qfmTZ4JBy4aL75OltGBtOVbwXKz0Lr6g/zGwq86Q7tn6EpnEbYpu4PgC8uIIgoDHx1I4uarLTLbA
RdT4CE2PlOroKra4/KUcwejFE0nSE9T92HAlPC7GvmAr+4WOIYXyRtnozyG2uRjcosv3FUWZd8JS
ifk6rum/eDLCDFg/+R88FVb03GJqaw2FMq0LyD7Z3kFcJvyFVsZtzyLO1K3aS/bOJl3bVtBkerIo
0usp1KD53haj8CFXWyUC6IId5UBWPiJm8zBTNzm5FGjuMyCPOfr4y4xlYtXBcB06PAjCy7HFuxVE
x7GQoCfQ2RZxyrF38ifsDzG0CASvtsjxDKjrYh9pl8Mu2nSkgIZ3QHOhp4cFe2Y2xEBUmq/xHkbs
NctjwaAIG2Z/RKweFPwuMfNLw+chtfH0pWRRHl9TnJijgzB2tb+XKAYzWiw6t4+Jwor/OlpoEC4j
CwgJbdALyB6Rt/pdZmHC2gUuTSBZrKnCVhhTsumU3yrM6DLNnzzQ9KR1KzwewLUui/RM3IYsCL9b
ir9iqpxc0Yu4uKt5FFwbZ3DI6ACYAmtKVoQnXaSDQ1xXswI6HUNz/Olij10ibejw/CmKwmr6Pc9x
glNEXMWXeAIJkGlZzmdYoU8TYBBwjjpIHuOmw0S+sxYAO93OXNkV41ejj+KzKqZqP1Ub9kHdYuzE
W6xDjfktmSsAKESYPbuJ1BXv17qAh2Yb6pXVeAFikdzXwf9vmmz4GjDTzF/qkB4foK8x2UlZ4ket
BjEYT3TCdv28Ehu9G2x401ZprhkQqF1UottDlECMJcbyX55KFLgV7i+8VazBCLwi6RrnHtSeaDgw
FbkupFt6lY1R6ryCdvFBwLnk3U4g51ZpIcJpLKz+0HMzm9bjTZv6BfMeh/cIAJ0BlR4rw0xstBry
ilcvHHkvOMD0MPFpLhfcdrju5VA1LJo7QAv+LVVR/RmTqJ5uNQk2eU2V4uhvUjRvA9TJm25RVVT2
dN/aKgQA+hCuFQhZbwyaja0/NgrK6MxxKE9J2GE3jiNtj66hmH2vEKGMryo2RA1WFskbam5D+pHH
6+d22EK14W7b8sCQAJoP2K5i9GmOLHtbsC1lrURC8K+5QmIG8mtwCUBAbSXWEYzgD4mkadbZMldX
5C0G25Gc23/47qO/1jarbGf0A//gd4nhZhVTWNpY5w5YhCLs7hsFDOHUTAuZBjPvDRmm9RB1t1Tb
8ltkQW6DhOMJ6m/w+7MwRfYrvw8+7RYwPpwxDHACoHgRt7XGrN37mqZjf8jdfmdclD9L4IH/xoSJ
n6SJ4Ag4jpFO2jjkqRtQXNBVTRvHMmzjMGR5nJG4NCAicBP9jH0AfmdMda0sZv+y7JvmnZl88QXf
beVxmPP1I1eVmOF4Qu/OtnQvPjiGnaSrZbA52teysh0+GxcnMq879oZbjfI1wqRjbUUeqBssbuin
+6n8DwZYo+5qqM34MALKCKcSi5535aq7S0Jx/KeRIuR6NvOgLj519h08lpX2uTbhVW2ocEO9Chse
GJbCfsCYha+LwcCh6fgeAQpKkY9H8Nj3fOpKOCHozowqOzqJFck6aGT5mLaxYJK1hVsoRjUYFOM5
07VkXTB5eOb2Tvfi6H0dvtSpUVgVbKzqK63qflp2mO6UMGA8YZeQklMeb+53gppeDsRzct1hEzb3
qwM4AmBugyfOMVJsP6Zc0JPNVzzBFb61ohWK0XcrSuzU8e6unyJxDr3SUR5zx2HyKFtjxfoaFFOq
h6f39B+g9ph1QLnD33HHYNSTZdFFJ2dWvzuhVHVWQY0/GhEttyPSxj6SMqdXVtCtRHufHP9NxWHS
bgKzwgFaMqvvoStC+rZhdLrOQVXNqR5h0NwVQI4iTHaG3rBrOUxbALq9qRwc8TbVQR/dHm/0ASyk
WXdLmY6yn1FobpiGFRwHKp2Znm/IfOm0B+GkU1rS+9atETE0BNhrYoW6C0C5M7mHhKhA/ttg1KSG
ArgT+jF0YlM/k8i8o58We7tnyLNsDzqnEHxDcv4vG2tIhOdUhCf84oE+FUVEjxvzO0b9lBfkZw0f
pqjVO5bQ3T2W9wmB1RPubkRmf5e+xga9Zg7BZ5Na7GfQPhpbz2s1dha7CX8iEM99xA4azxio3PeR
ltF/OYnHn8gN2Gr0PTN21T40EOpi/Tq3UAiL+KYzIhBDmdDiIUNPundZ7tf/gibjP4cb2LcYoueX
HDrSrMXeX9jWwWg16UicRN8nF8HjfG4wAnagUYdpiJCOBnwvEy5t+bjWS8dtdCfozSnWT7Ns4HG0
l3gR+2OHinDITWBo9bwsyra0Eu48oiEV6yEht1tfZzXARIzGOB9u0geQkahYeQvJk9r7QxeYBWJN
fXYrrIqSbrcbNkQy39fXCilaUNw6g2wv2IjxP5NrVnCSRu4+q10e5OSLJtp77Iv28RoRvabPEcij
y4mUWPaiXLPqEcbYR4oVDmefiYWHIRrfVHBsCzAnIl9B+f2U5EsCaVcZo1LKPcHZqJRX6Du9Y98y
idfvVFFqVCvCSv/Wqg4wE08Mw/+WVDTvI8Cl+O95etQXhommPtmCYoPmEpadm5wu9BwtABfOWq5y
fzZQk1Ztuh5YAgL32DEna3SyA5RDqu7QzU4M8xvu6BN4X+NxGRNjFfqQNPk6uYqGM3bXaGQ3To+5
r+Bd414YBME4OQvH2vb+or9B6aThXL8cOkGRQKL4ggOP2DdsAptwHC0py0OemdnSgdNcmZOQFqHi
3tZybrFBaOJLmS/FN9ypeDkREjHj7VsO4tustEWEAo+mBLJ07R/krA02lEdkfBthY8VaA5QPe3oy
uQkugqZuuiMumerSiaJ/bDAsL+24NjDdE9hMf0txWsfe6RTJE8JZRHnh1cM/FUnmG5+25j2ICMcZ
lDdsH/c13AVcuZt+ekA46GpW0BYGSnyaXKZE+4Curhh/ZryBKW3mFhv6uIrorYL7zjdDKVjMSa0x
J4Bd0izDVB5Goq0H5QI8txgG3PO+s6gDslB8QJw77R3sC+bQW5vmn6siDuY2KqufYNCIxj1ODv0I
/EKQM0DDhN/qqhjnp4j7jXyFykxFF5BNUPKTkO8A/mXivzfMKmBiHJYLD4Vik/mGN2JLW10YGGdM
6Bywmx/TY0LSfbkD8Mt4Ng2MygrXfcX2+kSOESBXVGRvjR5pOji3Rvjbc8liWEMTgQY9hhr16U6w
888HFjD8A8eQ8rkdmyP1T8uaTPz9QM3/GEnK/TvsA/HIYYlV8wEIr/iV62zjJ3wsRHQiomDMXjYD
Rd/32SVGPY2gddvzkdJtqHd09xexcpREGWCV0uY6L384kRnYSHMcuouA43p2iQ+5xu856Auh957n
27DVpcalDN8Yj2vQhC8x49wjMHAHbtSGRNPivGJxlbRqBaDz6CU2D22OltUgesnhnzM23wFDOWyf
imsKRL36XCoQUqBYanb3Kp3BF+pUnRrsS6dCvE8bjXgX9kxND4g+a7KTROJC8xr2co9OphS7HOCi
yMUDrRFl12YpINRLEdZ4B9ScMdOJNT/EI2ULVK/3h3Q8rE0oyq8HrOrdc4I3jKCXAZhXvIdiQ3jG
AOqjVtOQMwzGaCaRs/Q0O+l/r56jbu0oOxddp+PHgb0TpEe7AxaWLbauWmW13vtxJvqX3QH7DcDG
5h8BBCE6IE9tafq99Cv0xoYuz3tRen4lkbUd1kF7p2L6BQO1xp02v6DefIxlPXZNqfWv5bD6ihut
+ER0b46JEhmcPwI0d9FzcuQYdjcoAHBi6p+IapUf1VF8m+HSAeuxRf5H9pq1eEVUm3GLi6vPZ7Ge
mSbLR2JcXp5iuRisCqj7UeWuaVCrltH+WbJkfi5jpKSDvSFK2+ZKhehmG1aLDrwc7EInrWFcY/ai
+RusAVQBNTm7EFU0SDR0WFyNI6l+qywn+QnVv8nfROVleqLo1lzPJzLDejGey7bYWZlekA0WzgDN
swfsu7DXywV/S0FFPWG/Ua9txOj+O0/hbr6BGoH7Jp/MoGs57adjFcadMtak4WXi8A2iBSxCBiD+
6xAXFJZskI8VfY2pBEBONRU/p5ViDVDb+/VCiB9/AcaWP+vJv4Bo3qz9XCEoorW6WVE8U8jr2i1a
wTCLVFoNmhgsRzfkjts+HGY/I984111pYm4QEYsa1VJkpsY9Xp1GtLhd9YJGEqOFcWGPcWxzDAsI
nLBf9vHYrhuDwhdDUzP/QIPAn8F0jTGClbq4aLyTGaYxm4GbKclcn5aF0X9w6yqx6sY09z2Dn1KC
8az2vwWBWqE7Rsn+VhRfSlEEar5Ab1q1oM/NFOCbXZ+nwlXLCUlaOvtUvl7/HtLNWDbHBpvpylD/
Dc65BONBuC+AiiSOHmfe6ObTgwGUPU/Zun/SoO2KTSN30WVc7DKBmKObA9cK2CttKKKj6rmKcPpr
kwIv1GATn7MxVONJxRXTTypajhJwHy3+0lrEf0CJJVsLNX4cv3l0RZDvZOyY3v0SQzrJ673+izhE
nJzRTfOwrm6j5+KogLxqNGGPoFTNN3CsEvidELA5cnxXEXAMtw2mmIV8wyuIAVByNyen2MTb0bFy
Uno40PyqHqIkYf4aSe0OLk6KYhPh/k8uCXRMWGkqLNn6DGjJ/ui1Uwl+nGpAH0eBJmc21Yhqx9Ri
KHr0tdhONCnI0YEgtDZrt4ACMvdjlSBTYWkcWngdSnyqcsT0t1SgnZ1s43PM2pg55F1UvW19oLOM
umRK5LdyAYmmPVhu4S+iwlS3uyUjyA1Nhu1oBqOLBs1NjmJQR7TaWg2uP8hgRzmzG9FJ41onZfE3
Mvu6PftoR3OXB7hEgoqCHKAZtqS/EQ1mRLfl2hmkjxHQZ44apNXer2aJ2tFP0t6WEHx6uk8GWH7F
eIvKAxv3FlU3HwfjUb3axlUIniMyqAGwA5gfjZkaUI5yy9A4Rlik3DOWwHiZwC7CIO0VoAyJAFR9
KwUN5aWC5s/0ptDEXxcy53Rg+GWK0+7yegfoU6y0LdepeKJuWr5I6vQ3DDQjBu4oXt/ImBRX1BoT
902wCpNoWO+rertEV80D4S2U1mIaRqbXNw8Y99fkfPOcy0we6GM0+2fQUmLhDARWdMQC0MeiO+zp
pfIZei/Q216m2O9/44jNe+tAnstarhr+MInJXBUWjXBgAdZ170wThDTzJf2LoZ2DeJil/Kuo+Dz1
WiWA3uaNLEk7lySuuqQ27vtCubui3ocHBHzGwDZzSpYet9MXEmL8G6CTA5LqKKn7pV48bJgPigdf
jTHobGUijqIF/OGbwdS5vqXTcnzkcIkvOjGOwg3s8MvNAZkTNziOLjkcuSNbQNSopteUHPP+sCMu
8R9bQaNsocqHN20KACxDuHGiP3wqytMGlQ/YBCmcNU8rOuq70RWbMJpEaquwMpnHpTWhQTOeOib/
K+qJ/8V9CALITBb6GtcxHe6lPvS1zerxbw1K4KmuRwCtU1IsYIuoUX+McMEAGIvGuD4XzVgs/cxX
3AWo5DApTCkIRDg0S46C5jxqhMv1YRHbAHUsyBjkOO3g7D82waG+YFu9bB3cjgMbQPEAbByJ3Sxv
85Ss33OODUV35AnP/u+5tjxWgnCgWqmV0veMphQgGviVA7Afs5w3/J6gnJqi4C22TesK/B6v8VBo
ymS/lCoHvpBNGBpcgAv2WWGMWJ9NY+PjOmJZBJAU4alK+eltA1w+D4aSaXlfxhl6pgkfF70Dx6+I
cCIAIAghjfOLYaOZ8UXA7fKGLBphuiLMOfaLEVgK/+PoPJYjx5Uo+kWIoDfb8kYqeXWrNwy1GdCC
AAnar3+n3nqiNVIVCWTmPffmQy9plXbcf9I9rsTO0W2HkwBZaJTHvC8StXOqgO7p/RcSa7bWIy5n
Y8taDbs6tvbvXFUy45dOWAjKmB9cd6D5+R3Fbe7tkIjDfAtJ6Dvb2sni7zCcCWOYEa53szSY7dsq
zQ8xi8gf6mDq/vCpin+OXrTeG5pQ5+SrOEY6A6FEncokRWhcet0AYVi2/W8Qazp2AHLvkb3u63vP
69Rui0yM14VafN67qnR+k2s+PSzkbeXHSTjJ64TZJNh4dT10p2hYqWbDxlbelhelrDHtkla49ZuR
YCwLRcoky2QthUJLTBMNQhZ/ruHC2MZ6o5+eAp3p7LmvA1mcF4COaBsH49SQWhX7A+sDi9A7FEI7
XAAD20R3ZiVXF9W8Tp3jEkVofJ1b97eVuCCzrdysb3lCofPDTebEE3JBl6bjMcjmOTtNXgfxZEsW
UIc6oSCpyqT0zzRBWNkG3vZwy1k5CYzsjP8Oa136N3JDAURcTxfuzulXhqsMY4d4I8PZ0dTias5/
5EWRiF8rDZQ8tgzF6i1PaDu6rF7TajpzQYbjDkaVed4MehTvWDoLkR2QTRUfhpiZ53aawmg6TeT9
NNuo8laubCg5yTOtuU7aqHG+U6DWf2VovZpfIevDo0sTEt//JXdzufA6vqGllsO2E1nCvzSSkxrQ
xnktZDQBKGOBKjeBQFuZ4775WWawZY/E5sr84E9q/lFVtiu2U1FG/iGgN0OmYSfxcByGbuYISOPK
PfeC+/pYFSTuPrDDTosD/VfMZlnkrPhIjcUUs2SI55zwsAixM9PYXX07sNRBZZwDSVLx8Qph/o51
FA3HpLBZQAVSVCsHjgi6h2jmy9s2phhfbAPNyVwo7PxN2t0xe4Gsqw5htpbyaa19m+6iwQ+GQ8Qd
Ef/nxTr+xBKbzYcZDTO+lGnS//Z5r5l/NB4TOR2xHGvjMLAlJ6+R0Cprp5otxVP36GqnvJZuHxwq
MU6Pqc5dwgW4Em4tmww+QCRZc7/WWBqAApPefxxAHyb6Zt9/0XGwym1nyC69sIQ1eA87kz41gVmq
HVp/w87GMVRvmAD95irBP0Zmy7mDPpZk4jSkhrFKNLees4+RHOlpgvJzGaRdP5qyjarTyl98wxJa
EeQWAcQcReXpB/xAoC5mxCFx50RKw7WNU5dLPZLRDspzkptgsgG17hrSGMd+j91cBERzQCYGDUpS
mlmmaEShbglFlf+REJkuxxjP0bIr07X7AxULC5wz27ZIG8F6mPBi790izy7E4Vq9H/25+Fj6iGft
rma+Loukb0dUvePjMrfO1o5F8TULxr6biHsY0DX7VTd9/IBQPb+Aoix/8UTF+AwYczOhAXIlvSSv
mvZhLAK4FzWNwX4owvJz0C5jmImbcOcA3S4bjbLzCicz/JlHyEkagzJ+9qP7omyVE1F2n+nr6yDn
5NLnbfreIhnf2AxT/+vTgW6qJzrlUpoqfC68cXxqO3f46Wg/pehIx+nJ8Msx6Ndh/aM0FPWrDYd5
Y3UX/GtW3lSwLbLeKhk218asDnUXNrxdkDrzo2kcpETukiaM2SrbrU20/nEHBu96vMP5Nmx+2oTu
Zylr6poaycuTkbM1STDv74PjfTFE5lDNSh9XN1b/9Fz7Z5uF0bkfHPXRu717lUEvkFEDWqJQ6XyX
tkh9Ye89AlAOe/ro6QX09G+uRsnnwS+jSpKJRO1SWZDMBMnSZOupztNv/HdEfJR3/UmboxNr+wQH
F33cX+hj5SHpiZlfe1qD4qR8aY+JSh6kZgDuBUuwIcoXgTk09Rcgb3pD+z2kaf2i6sRD3uSu3bZp
cCjHpb9Ksh6UM/yCUPjXDBMoglquLYjihv/K2lE/mh963bfvWUdw5rbQkDjTR6EF7RVpn8PWJnps
d5By0Udy34G1D+Pe3yp6zccwj2IYcW27v1G0etGhcuv4ce1rc576qJeMfjsDCZ+0wCPFeMO3ztPN
zADaO1FDf1jbsR32eVkthNloN95GSRX+tN4qXlYMoJ9dgikkb2X31Aol/07w4pRWpDh8R03g/Bho
KH6JTgTvSjTuE2p2++z0dXMxUkz9zskr/yC5Kx7cdmz2KYPoK6o+VfKweM1/LZgloE0755sk0NF+
gBxCf/fS22LDO2k02j1z1vqXW8FGberULS81evExgZFGMCNt/TNSS/JtufUvHnLpf2kDcRTfXHQS
A8s/MLOmzjEHSIn5kdRK9SFdSxWfGHNlVIZtvZGrfvMy63yHOE/2lAGIt6NhXpeu3pfoAlDRtfL2
Q98FHwnvyqmaxgI5Y2SQWVRvknv72Y19fpToYu93kd5NF3Mo4f3C5cKZW6MeeqoHdU8L94C4Fn+m
cm0eKJFZ4cvZFT+7VVD/4HKOke4y7+IIQj+BIJasZSdd4RznKamvjoLMBhwSCnnFbebffiDylznC
l1MXpbjFqppf17Lz5o3fG+8waq/4JcbM/yqmzswYLrrlTLEmRqwjQfZGdkDzNRPnAzTsBsW/Ls98
fr7MCkYjZvR+MRCwrxiSNLTKEvHMzW3NzykRyJ8hwFkiQI0t07PbBIJZZIqBiWOE0JolkdgGxon3
Tbb4Y7Rqiv3UGv8RmFJfLXjk1QPg2NhYrU8zuWH5FjzPFbtwUoCQSc5RV9NH7hkVts+prhYUfSaI
H5nsi5cK0Ru01BEz42bZyl/DkqkBvxUIkV1F+zcfernrQeOSTWTDlKYhLNhK4Zb5YiAGg/AxpYy8
aWGxJUX4v/6gq0Ag+kGyfrQqxdOf4vDCOBbdnVgXsNB+/HbWGSF8M6xebk5UIm7w4lun8C60YIyH
1lSI4V/bmMnZMFhzPv3c9BGsODb2r2yEgD9VRk7Nny7Xqnzi6PL9h6peGocuL8m6Pc3KGm6TQVTv
4I9hDZFSKbfZA5ewedn0tV7poFTkEj+06k7m23lVVdjyF02Vd8HjUS1nGgwLvXdfxYnRZ26Tiesg
aOHoaTFFk7x2Zqnth4hyILstsn2xHorYZPGzZem59ygbiOh9GMrkjBFm/UsmdtFs86UZ8lNOA9A+
q4ZK4QAMNM/OIe/cJllvrYhMrA89zUUpj33MgK7YJGbUIw68VC/FmzHAuCOXnV2TL4XeENEXob1j
aPD1smBSCMGU+6PfAXEUmOZWFoe2C1LDHi42gVqwa2YwCQvICeehboEWWTSHAkMz2zql12uQbrQk
s50h62a586cod28KYSk5eU1vMz5JtBvzhzPNY3Y6rcYd7dnL2NDxo+nXURwhzwo7bJIRdNenXs8G
tmQ5SZ8sPZvHaJGdQ5wUk3wfRMw9nAykTN6gYLqBEUbvOxW7QHEMfERuPajziLEuRgOhzL4EEAIp
Hew8TdtAehlx5zUc5r4A8qse8iC22Y6/u+gdRDMvmX/yXeRQ99E0fw/4a533peNg/NXHTjPTDrAq
mzZH9rJxvsjD9giaWSlUq5dosG530wi43hnndOsdCczoAOODDi2GZ6DS+KDmuilukUbCg4HsHX8f
oNTEx7rNlP0vilTVI8wAHL9hYsjUj9YfXGTnyfMYiPizoTwdC+0Wt7nB9MqcnJUy3rbAd5Qd1zma
EdXoybgpfEdY6twG2HQnE9KNrg6gRrZi70j84iA8v/B/5raIxSMC58LX2/WiX24ZilbyjpEFP4Gj
8pZ427VNy+caUjgGe1R+dsI8GWcbwuSX9dws+PGe+rToM8T92KedWAX/03zDp5XIk0iGZQZ4cnpr
vd3oayBkJo1tWD6xvYMDeE0cEAoV6ZCZDxvLuu5J5COjj40UppLp1qJThOGRvzCNT64TV5DJOJGH
+ox1fUAtjjuk8000tVIS5ETHHP506mRwv4MyyjCFTBaPyh4nsc6QODE/3aOCsi4djq2k6NlrfkXP
3dW2D+zRX9ip6Z85yxOq6qHomA0pT/v+L+0InpG4r4Qn2AAd02tvBF4tM5KVlVGv4qsJ54dsZFK7
4WQT7S7j+4wHaL/78GPrC6XhLxjBZ+5n6bS+eQ4hhMqnzE3QwU1t6+6/IQ5DdaHOjDvcSTmoNjxQ
UMqLawlyPyJOWPENZJJ1/3WmDfuz8hjQ7qF684yHVi7mOMTD1DyQrCBSputlqk/WzGq8CpVl2c6N
AUC36RT4wS9cpkG5JzZ/mp5L+CVx6JkA4mFV2K43S5wwEsN9jGKdK5pwpn/SrHshPR3xlHqk7Oyc
Kp+8nVvWPPyHhAm3/EGNaI1C7xaz71zC1BTDdOA68RAMuiIuxJXFtmPCMcDqB4TsilR1rotIwbNT
5MxTTS+nhu4aBGOqEVl7WwY7EwdisUxH7OK+iRm5AVWJJvwtWvGFANu6/vgoqkXFx7BGA/qY5oYN
bRgZ+O93ORiOYO7weV0nsKDxjiEv5ZalgMZ84S4up7NsXT/kmMPF2pJEF5aYGVJty/3ChzIspywk
t/atNS1ygue3QXltM+3ABfvSYeK/T5gCmycbl2X5S7ul5F2lt/fWetfGWGOzAwVP49nDULqt1meF
rajpjjUfyaI/I8t8/svBq+ItDGV575/bJOzr6MPLfPzMm5xlDNHOLYakoIOSpk4uSkv138hRkm5F
PZbpIZR2xLAMi++sx2z2q+mBSHKsrysd1PgcLy33dkEOzUs8jS4NkF8183aqifHhzeh9r//dkrTu
4k4MERWiQ9GyM+RpSNuuarZMQEX5EIeVCL7itWX3J0uNBnVQOmSBw0ZzFucO9nQsd2cTBWn20MSR
ywyiZoVecBF4reu9z4HJSQvHmF4XBv7tGVRhQLA2nmofjaer6hJzxSLeTIgb7QZsYEp5mNbJPUSK
Seyp9mc2K+KH8Tv5wxeVbE/MJFPhnUZ30b770bERfvmTx36b/1AVyV0+/Gk5R3aDzrj20EvsqlKb
sa8iaKDSwgTNbGTI9+HIPMGjbZx6e+n9lMHUfmJ7k35Q1sVgQyZSFffbnkzU4kUlCNNqUydzC2SM
BFhvFtEV6XdHSGAvGcaLvMgJCyQj+xB0ZTB5ewL6I398SsJBrWcc1Vr9xg+BwMFf4YsXrZlyPrgJ
8HS+00LSnzXTPGSvGLUtCwYmphTZBm8wQHPrsQv7yvPlV0hEqwwl5tBMzMeOivVvuEbGXgKbET4h
xmhAIYlNqt9WJ0+7n7kAIwg416pUXxCArGAEiSDWdrg9goy+puJzynd5MiFvUuuYaDvLpKqONOca
20MdNvWfmuCw/Dki5KL5D0rS5P/5032HJ6vkiSOHaAdeWyjRCsdg1DIhnk08g/5OeLIJGb8Wo/zE
01CX5wEstX2K4A/yl9rFZ3VYyyBW52kpLTXQSuJTffYLaql5E+MixNKZrKGDZAxa9z0qy6VEtJ6l
5hmnXjfjodZWlHjFbbqMxzx0XNnuyhFt4IRtExE+u29puzpDFam9aTr336LqunoByw/7ESaVd+/S
wG9dSo/BKKU59t+f7ZAm2R+o9GESm3qAoN4ZKLA42UWZjvVvZ66ydTktUsbDZ6jIr1Cb3CPIaSNJ
KSHTBQ2HwX0yyiokujdM6K9mb47inWnkOB40Uqv5ajqG67ghHXf+AWIxKswV3D/uuw9Sw80kgqLt
dioAN7tpb0lQuRbXkUeHMDDol0BPgtmRW2UHbn8O1pFhOepUYgSS4mhROw+1V95BMSRRHwHdmb2z
681decwomIZTG1Pel5SAZSW+VkYbkKxF4aQ/gqElsGHLODKz82aIg7L+S0kvAXWJm6VLCdFfs4fF
t7EhlYPh6iuSz+BvS1htKi40U/UsAa6WTwnzRUaF4LretYmIgj/cL8Y5TnjKiFbNCgbYY04AQLHx
TZiZQ5EWnrlhsxTFPrGLDv5msROP/TZwmmA6lKR1ldQk8Mozv6CMum+GVSwJDki6KreuCJgAbXDa
4b1dwtqD65aFID9gSFAwhDNaguR6NWqWTmeqD+/lstQfIh5nIPtwKMrmYDsb5//ZjOMMQlTO9fSO
3TpZjpzx5JjT8MySgHEKRPfuGcPICBxIS+K52le/l1Vlk7PT9UgtMXQjL0ikxiV+J+d+Kh+Aa3Bx
l+OdB+jioWhORTs4MCfs1iCdwfaVv7wHNsXojzQR6Ss2YlooEZdLOVNE4tv6RZZI1x1NiO/sZNO5
bi1PshbzG5ESKHYHvfQMYpZwxFV0VFQ9+Y4tqp67HMQEUXysEkmDy1c9hccmHCLoScAlz8dH1s8Z
QHy7SIx1U+bV4QOf+7rchjn39SGw45j+xoPKibVzEmvZhSILb3nXbLv9gv4KvnTgztxiGpioeCiH
kOHfHqyUJIbQG9z86npKYPjiOS87eBHLzGnHoqJ6fbB55/U/KD9788ObsF+zI5iranqoHYHhk0Is
7nbLgFm8PvO8qz7ZLVRVuGjHmAtU0EKNNnl3KrwVydGIapDQolm5soiqVmSEJzqd+4Op+sW+eX5j
pwmYdMpVgNigoTXPVQ5b1J96XGGlJaZoHdonN+bNVoz1+5VHWHeELrzB3Iv8eaVdXn5VECniOyRZ
bv5dSRY0nlsO1mKFLHXc9JuPtV2OSxfBP2GWnEu5cxptZ/A6k9BCOyw8WP+QV4a1iWJtDDze1DiF
CUf8ygvhb0Jrafh5Ds0ozIbMi0CkqI1Q2dzeXLiReViJLO67PePFuFXwDP0Y+bsgnFGqTwGlePnB
LoUWkhy6IZz/pqvslj+MABz7B6Eu8l4HHKvxf/lQTd4/Zzb9WG0QQYPae6whp6d+nzlqVEfjFD3v
dz+lY5xwScnJhjt3bkmQ2MZAnrhZascW9bFmvk8Mg4eH/YS6XgTHeZQqeWnl6I5XIk2Nfa2UTsJb
Z0SmXjsk1fKnaUG5Dvm0pvrmoL5FG18EJTt3aO2L75Bhf3YOwaW5R7hF3d3I0uxi6+QBqxhdJJ/g
Y2XeH706CzUraSe+uv8ENO2HeVwSv7sjkwsLujquEATO1h+D5ppJZ61/hGEdpq942PDr0ydXntq5
mhP5lGZl5J4ME61gH7ecQFfLc2GOhD35kD3aITQ4ydlHsVtmPOYXkjuc6R4qsNKDhMQwzBxKiwn8
ZzicNThFLhFPBR+KPwz22CUpnAwy97Ti3AmXuLiMPGBRtMM0EDdnZCjjreROB0xyBrkWYt8g1oSW
Oxd6zOzY1pGDe7VhIrrf5MM09bCdMEuSxr8YMQdXPblqFrsV3er/rdqM/Ri+t8R3ift3DctlA53p
i3+TTzmi2SUZZfMRbHIqbqHBasNa69XPD7LuZXiyAaOqnNgJeotLP6+YuvClt8MdR40wXj/yrTkL
XbHbaBCASRrvjPNaBQe1isZSfDQrpv8Wx1rySA2m3OcRl9zS7bHfO/gDOFmHR1uaSB1yMw+hhhxJ
neibUj0nRwzXLy1Z30Rqi6TNokx60GEQXzQQ4cwTDaw0b4MAlL3fgVpK0roLjBtj+ZDOeaFozlVl
/S/BbCp4MRUH1jmfkTSuCvYXUyB31kgySeW6u15FSc7ssJSqvAwooyUZRSuHGZvXDDNt4mFMflj5
h+nLmEdLd+yJuOrfO4CR+/nW+nH02Sy07/8ISkj0xxCpGvNW5s0xdjuFZPqJgcYhuSSCnf0c29Tv
DqZQafsFIrDQPVPcO8WfSTujfgF0FBRyWBJ5jaEtvPFFLCQXo5u5+boDr6ybl6QZ7siKa1zK/y4Z
cEiOUT2JeJO2JjPRQ97WwPSdBOM4rLYch+NCrEuxDwi5CMlk6OAtHioZ4/pNg3lu3tog0OmTrlbU
xskO/K1TQvXm7ljiNkw/p5yPV1P7hJy9x6ZkznSpmYVX+5DPPk231SzT4CjjpPvq7+Z/PJ3pAjoy
+u70nQyW9MYLYz4EJno5Ulyop1ka+BBrnH+/siQomMXT42lqfg+dofxcSSOYqNiAZSsK+wiCE04t
wzgIG6HFV02WqX1HirLqA40YPXTTDn0+PUIeTOv9f8zItJ1SnCaeskywCzdVS/fk5p2s4v2Sti5D
58z6rAYBX8XDMirHx8NuPLvcuDdbRChh8XOAV7ZVP+aI63lAT1BWYd/AC/tgAyWDreKWpYERWwyg
tvuel37VJzjtttjKIiLwIKHcgSwq5EQAKLtmhjBMNjOzeIQVkyZz9xjkfp1+zLpNoXgDnTjBhuMr
N/QfHtk8G2Zjc4j3JTH8ygmu0l2B5y35WBXOeqyVRcaxti/cks1JXdha7OOtiQWGslC6at21TlYn
wU26HpXHuQoMu5oj03qLfoa5GfLwlcbKZ1c1W1jj4L1MHX86z11N4PTE59vjBV7SmEFTWfgHQvEc
76VuVGFfwoWJ94clK8H96SSInoeMYJL6ineY/NbRGdsk20R5mEVEKcQ6uU2DrZpLVfQtllBZBGxx
OeZLMLE8sfNJ2i9Bcpccsra9byhFC/fKhtY+VHVpf7XpoPkwcte9TEkqiicccJpWsGspZXYKE4g6
ilEjCG+AETH17SKZI/yj1OXkEjRQFzmmjqqLaVuxEWTdukfxZXyawOzTh4kiCro9GU5j+sRQtylO
nDYoUAz8hJd8tZqq9+fSGY+xIZ8enD/GQ0ZiuH7d4GMQC+XyBts6KBfxi8yVkYBih1+Z1qs8j5hN
g13JPWXKbSEVA82YpUvea51BJtltrEq5flmiLwiCYydUC58A5J3xaPmBGsZ9amBKAQHz0vX2hANB
yTXOmPTPKyoU834glRTkTAzkXMaLBC4niaIuTl5hbZM/3mNuun3drQvkUk8bpp4qhgJOcR7udVlB
IYEJUO2G0bYwSbCa0ZDISzSN9H43PaXYEyDsQzv8RyeMO3KLynMnrVRU1vNbN7lEgB3YwO6qK13/
4vxbe5Man9V9Xe6JgxfM1cCCoKHlE11XNIcd/txseal17jSvBLok0XSOVz/Q9QWXiS1vGHLKQ0vz
Xf1jgM6ECZkK6M5iOyU8xHOHd3eKBtpXbac/M4Yw7ku5Tq/MJZL46LRt8TeX8KebdQ4HP2bs6vSi
2awcX/5BDOn6I+Cl+JuNRDSxMYg4sQ0tpX+tgrmb/qO8d59loAoEzCFP3V04YE/C8GS8p7lnRnWo
RZZXZ5F46tDUS+7jzJz7l9G9YxyAymP8y2Wm2pIsMhEhAykESDlhUC7fOhIG1S3nFq5+j/g4HZeu
PM1Hhk5e708fnLNx4m+cqI2Wz25cqDA2tEpufWgZzd0xVG9Yb73Gj4hDce3Grdu5PY1PMN47AlQK
tjXj/4GezQ2wkjfjKYezBpM/9FzxRGHEso9fuHic33WdQ3xj8vEvUxjn7RG6mcZ8JArM4xlt6Wi3
Q+XheM/xfGUMewqkdL9ZVm+HRqf+jZ4i8z4Gi3oH1PEBG4g99X72TcJajbqFMzuFgzbVpUyU75J2
njbeXvV9OTwUkIvmJWQFmv8D4NYGP2QTDN5TljDMuAp2mnbXAsiAVJg6arzuByPMIDyTh1VfdG9m
5u2RSlNYG2Jdj2mWE5zLHyuqc1lnmQVClW3k/4bMU52z7UqC4M4wOHF5yP0Vr1bkOqm49UU9Mu1u
FjqeDRJvsn7mVdhMj4BDhEBM/0+HJ1c7fw5AQ0mYqG26XtJGRPZLcFsmlnKRoSZTFZXz/2DfjTuA
uJGvNYKcIM2hKYxG8gTyrrxUDrPWldrBFoViCJs28bzni5vTBksElARyXls3abUNg7UC9yJ+jQkp
WG6mxh8+A9MA2ixhfu9WvQiulFGRc5Wwd8NVYH8K4EKrthp+BGFoxMVJofIZv4ezB/WW9mN38hji
h98iNcS/sTAhnM62qnCZ6rStnoBMZ0XF5cfV3g07CgbqmolTJZnWiEwXQmMqGPco5ZwqXH4yXQ1A
ctnMgd4ntZqjQ82UOnjzCD3ENFhiaNU7uBD7TdM8T7uELhwDaTktb7MoSyao3uQTriRBI2+emdb2
bsqInlk9Po77upFy2vdIjuXzlE2pv3O40fPbUi9388FU/irw59wkKCIOPBfceR/V4fJqSpjqB18Q
wHWdOSIRtarOu9R4lyiRKToYla8xFqkXhnS4N0locvyj8XBKA5ozMX/u/Co71xx5WJEGqPgn7p6i
3yQcZMnpjrsEG+IltMuTkGAUC4YowtAUF5N9Apat/D8TeRISp2jAeh8Bybp0mLhG0wMZE42WG4KJ
gxqYpCMS0KqQmZim6mUhSV92y7RnWy8LCaRDu8/JOAWE0G7LzrEjyRVCpNTXrfsf52kNjGQwzTXq
Igvg1eCIcSwfdi7TsHXfz4sMGGt6ze9kXjzdb+fEtF9keGIcLuKhSe67Da1IeUiZYOAOw9iqARl1
Pl5YuljzpWceUSnHNVRxRHJ7m4v2tM5OvbwQ2oF7it66Xz6WHKSYJBpVBstT21b+f8b32394QJ3w
mIaJvPkZJea+LAaqKkfRo9Aq0xKCg/dsVMYFVtifIdjqeJAUW+dYFiRG20zUBE6shc/vRorCfWbd
RLY6ZAi/r2DwJWYtXMMPRAa2uMVhtN0Df4f/irVLfbuuVxWnki+nOdRdFzJTIJFx2cQUKeLCD58P
pYjX4k2H8/8tXJRjl8xhAeyOiAMkX5pWXlzmShFixZT/8etofI854f4IL0iWh8LYuLvZ1jEf/EV9
8CWbqh9+hzkjIIbatlIntxi79pzXHcqoabXM9ujH5KHItMeH4C6Y31FF2mqvSZcAOc+LZnjxQNiX
k2A0TXSJW1fygUdL/Wb9cR0d1q7IXgdGgf5OB1TX+wYQauQpwGrJuCDMkx3xp6DUko0i0Ctd7zjq
e6lsKLc83FRFBa2h2XusX6h+V6omRIrBVtbXGKJV6JXezkFVBkpP4ShxmJl6jE5EEUsCN5KSshD3
gOZFWvZsFmv1FiXGNLt5ZEb+SxSBns+eISLk2XFkttxToVioCrqt65iQBuNSYK4GgHVTOj0K3CbF
Z1fuh6oQEGfEwIU3icL4j3mdCP8OJJn+7Hq3KN/QgSE/YuTmG/ogQbHJOnlntDJueWmcRZyYciZ/
GT3Vl1SQ0IULI8g1xvU4fpH04uUh6ifCWPB7umQtEwfcEBjA8uht3RFbRzAL5mm4WfwZTz6uVsaA
mSkIG6hWFHbuVe1tR1R+84FXtDtmDL0XSqyKOA1CCbVzy8jJKc9tGgIUZ75cw4tJef3R4d3kSTqj
ard2Rl+5MDEcayoqTSzf2LpgjZqLZoet02rCB5bp5kFjjtuWyC8XTCqJ3ybaMX3oeGD+E4Sn3pMH
2oUeFRbVOaRV1mTHvE+cc6NrEzwwssRP2Vf3mBdaq/y9YuRDxh/dgrcldDU5LgiMjPfD2sXxLVhZ
+GhUbJ4cFiLXW9Z/qb8TDw6a7MjS8IgpHosiENgFS0oahNuNWyg3YiIC/LGrVFyxt3hM+/hEJYAw
Ok6VA2KGfMQuq2ntXjkNgHfXIu/nHdlFK2wlyrOfHhdr1puKQ/1ssymoj9FdEY8QbeJjNOuehNYU
L0BxbVnRFfgHxRdVnZBBJE0yvZa7N6IP4+6SaMYu7qerRWjNHjNhDguAs6T5NQ2RWz5UPXbdI1Vb
Y1m4GmV/FxS2aza4iT7aqSTdzsdo8DOHA0copWf+jMjxoPWjfGInRsQ9IU4zIcL2e6yxzhypNFe1
k2XIUchYHgu4rCKPV4zaObhKcgud/cqga/km+gRR//diWoV12smavCZgUGcOa1Cx4SYSSMIkV4d/
GTfvKG+amyY2HBmgIZzgxYs7LA1yppsXroQdavNsXha4ZSmbz7pP11Pbu4P8WTtrRoyiRyDSeCi6
RXU4KyBzd8MUEUDRe67rbzx/TG8k6g6oSQZM5AB2i2YkhCBGKHF536CuO7Yn4TCtMEdzfa3g9LMd
fhazW8+kArVztfMJCEv36P6k9HaTR1wOT8jFwX7ZnUZ2Vd6SpYj/x9F5LbmNQ0H0i1hFggHkq/Jo
NDn7hTX22MwJJAiCX79H+7bl2i2vJAbc292nl51s7EyBTD7rwnumemSufpZhGFAQ0rgH2gNcxvM/
ME1RebAXjEbdjVAStNTUdsnXgPKS7FnJsQUv6l7oU99MxMLjNNNngmdh/Ce2YB4+ecbb/AJkQu2W
BJ84aopebgq+ShYjTQwfGn9G8SOqiKJp3qKhRX8YzAMz/NK+1jDm/o2avB855L4GNyDoL9wUYztW
zW4oDB5iEkE2uwRYP1nnlAbEh2jw59wIIPJwTorG1kdTJUt4sJ2q7UshKAhFSE3i/jzAMc0xCIl0
OMaqCUnW9qx1N+WKhZZdMLzXipUkisapN/mC/yoGJpFhnS8PGHaYNqVZ6qcISbzfFZOo+sOSCw0A
pa54d2ZxYvTd0pf9uedaJ1smV+fY9NfyPN0O7lM6lE68L/1QX9Zh9fB9r9zZtzVOUhLS3aBvSp/o
/S4TusLwbwtsoGnqIYFu6PrqMRZOcrwshM6ZoFZHXdpsIDPXzhzYXhUI0vwoZgaZjbRhGf5qJhJW
m4qF/w+v2OwxHkncH4mKlU+OcQK4B1exiL2zWhRmJjR4ZwO3A23KeEv4S0bXhArXCpM7qULoKgPJ
0p31hvxRASTgv5/n7GOkPM7syFF49S/27NrfYARc76EYTdmW7ZHEX8rmDg5XHWIZT6QIMPFORIoO
HgHsfhvb2fkVjc60YK3wGOF0CcKNmP30e7EzAa0rngFHUkRnG41xhMmbglnZoxXwbenkBPTD8/Fa
QS02vyI2q8VDXbqZJqLsADPkkdmo6bFTShByJ2dUHnM34hyrnZn4AUVeLTrCSrWIWkZiA0sCOJp4
XVMcVef3+m7gpKtPQ2Wy33PJQ5jNqru8ZnY2/l7bFXxTgXo37FgIcaaBnu0O25oGmBOg8JltfV7q
1yQrwujQ+MbogynN8CdPOGhfh+LpuS2dsCcN6hCuY37wIelgmzVkh9fgo8bUX++ryvrVZslLLuKg
5sW/YZI3n0nWy3ZXt61f7oA8zGhdvYiP7doVBAD74tJktn6bQExgimzb6hfGwqy+7WHfvnsCbs4t
uCL/CZ2/fgeps6LmiWw8x/GsSZRjxMH3tlpDeDJdVr++x58W/0VRzeRNAObNnPHXdcN9EoXtjR57
PKQAIpI3gtZA1OeaGDXOq7K390GTEakvKiS4fJ5Lf4+ooPdYCi15sEHXrHQofeqvmK4UMy/gouRv
NM+NNYeAeX4+lH2I8pAK+NuHnoKCdAt0IjlXKUaWHbnEypyq2Y9uACJOR5CFE2EDkyc4tQ2Hk3uy
lI27LzrrkOLu6a4g/IYJXWCvPRZ+TlPOhNeOyW+1Fc+eSrrRARDZ+ualpXDu8g6x6oo8V2QQIQNw
A6fgsc1UfKG/ulyytp8TeV9HZeo8I02hHsVLqKazGw3+eLMMWa0OBcZvZ1M6SfJrGVLQEzUnPmC7
iyB+FY1L5p5IQzL9Ji2CyOtQxSGiu7PI8JNweRnz9hgxTLgVlObdqKWXdljGLT6myLcS3XCVbdvs
+hSSNpDxbNJfnkgYNzbpmE9vMx1g7H69Se305Mjiub6agzdTmzjDQ6XojDpONeWEN0RAHXucSleC
BZsHjDvrUDHPjiO7i+2K0Y7BkX4rddFz3LZ/RggHD2Zi6r6kCkQsllN8+SxiArDgm2kso/bChh+Q
GFy7ecA14fLwN5bE465b1/KpCmT9J+Uzvowlww6Zfr5Ilpbz/AoOdFIsHOsV/VdaIPswzpEH+hD/
t9+3klV41lftrpBr3J8ii2eLx1qVeGclE3leRuu/h3HR3FNXDEjHw9L2nrsCAlcgBWRSlpjLi+X4
BO+FQPl4h2sSzTxbcHASQtdet/Nyp5Xfq6Ed40zbYJwfi5GZnCmT3fCuh1dHaNiBgggGhcdNORHF
2IoAlutGgr95Q7vlBy5tm/JcyOdlOnC6rONdFc4+IOPOKT/HMDJvYMvZIfYg3t7xSqTVhSo7Z/yK
Mkk5njvn6sDOonbvAS6Hd62P3IBSWZR/rJu1l1zVqvw7Ct9VdLKwluagH0M3pdQB0YrzMLDKebYT
CpcJ1uHTEIUjutLwu52w6pdvEyUJ1ds0rcNdjPrbfMdhEA6P+KHMvwlKX7mtvdX7xWmqb88wqVWD
F8JUv/vQqR6b0a0w6EUCkpyt3ASjujdZcydCl+wQEw2bkylxlXpK8hCxUfJrX+xcFn+0n7rOb5do
LAFFqaw8cFmkzDKMX/XOE5IcEBJhcFpGVgE30G3m4GlFIB4+mTSW7h9UpnC5rd1cxE+SmLy/w8C/
VGeva6af2Uvc/qhNUne39EPWKDlFiDrZGmxnmyEelpndnR3dnRERy6XNFDrr8FL3QZM84r8VC39j
6/7tqiIJziKMhctfO+vnbqpTcx6LZpYkIDxvBO+KN/eR0aROX3viCOl2xqa+7BU02OcFN2CH4qDH
m6Rk5f7SweOlWsPX4bFqR/DfHO8BLJFGKDFGfOFSi8K7GNBusZlj/J6UiNGxcKoSjJcE7cqkOoxu
jCcsQZ3ZBmCh9zDGaeDUReD4j8pQKnhJrcAfCghQL1tEMLaKjUmWp9xmdHhxcp/mrfWL8KtalNdl
2y7zGrNp+rTBmR2CucOiMuQEezgTQEBUqf836NgY3LkYrz4A7JXuMUWXkECDxPQcGt5RuyjvxEqX
SF9OPyEsNJS+hMUMKFq+7H3Dz4y3Ziw8Nivr2IW7okRlvuQDez0RNjr4lNOg/d8xh8+bkT4EtoCU
0lR//MD645ZzTkeqgBsCN0Q6JWc2DR5T/dr0l2KiYXJHCi4Fq9oxVG1zeh1QNctRfbWBlyPXdyoM
CQ7L4XdStTAh1BqoAkFqwusPvXf9cVKfAQIKdPCzNoQz7jKjLRpXXKVIAB0TzTBqwaTGJNxtKPDg
tAZ4F9PArGqHobWdgdFB3ZRcS3VQjw9Uq7CvQbfN5DasjAVcOlLrqLCdK8BIFbUiTFndlTGIF+qE
GyJlJ6YxTHgFuD2Upz4at1TVtgMLHE+8cWCPAO/7LSCxqgLE4ueh3gjeSv88i6kcGK7q/tAPkNFR
wUTBkzhlTbdx53R6JOSpeXnzfszhRMbm1eAy+QPhHThDUszGMjm44MBcf8bpHNpwOXmcjZcNaxjC
nQOYpqcR9ypWwRpkymbAMOTvQEDqr7xaQYhWLK5oVgmaqLwrVgkpQxJMwNUbzt3nOqK3X91FEpaU
aZ7r1eojVwz8HRAHztOAZSblvFYOZz9JXFKUoSOAA1c6+OcnLlsNx/frQ2Er5zf2ekxeoUrKB730
PONSyF09y99avWO0gAcrS6rHWIWKcVv115WxR8zhmg4BF7pL/EW89yJ3X8Zm7to9ejT+60o3gl9i
npcf9iTNW0juL4TAhVKzEY2vKdxhcQKDCtBeA/UtCkmlNutXVw317zUSOfBQNBq68ZqAEFs6TSmL
uyqKWKCzWt14ftw850ZiQqoNfls+2hz9sSBUT/xokd3mQDsGYm9F4RzcPOqpA7dXr21T5f3j0PQi
I89ZsG/A6TZRX2ITuLsUxK711mM6e9VtNDzy5qzhEYY80IkvtvTYR5iu3xvX4Jlf8m790E2EB5A7
s8m3co7ih8KbOScwaGtykMKx9UZ7Ao8oYM0OvE5Kpu6QEnSJt1Q4Nx4DQskCHO9//z6PYv0GGVBK
8pmYpzP0Qljy4Zz/u47HEOpXd3mRsgqht+G14hTH982RLWP1aVtaPYJOO8TaLLFklwKNh0HIBbQu
eN54c3VbHmmZaRMitYose8kypNiW3M834Ozi4Wxr1OBNDsaCeGweY281xFy+jKgMHniIr09zJZCV
6jaN/9RkZ0GWROR8D7KP4nfPNuzNa46wz6w4+UeMrNe+mmLkxnQm3cv92knQHiOQvXUv4rR+KjIv
/+71FTRIwM45tLx28q3qR64u4DfpfeQ1xIc5PKAV8kXwMrZpwllaZsnSbZfiOok0bcshqRZRl+27
2R/Z+ZXFgJeCqrA3zKWI7URgrslrm6ib2cMZspvwGfx1Vif7S/GPEgj5sbhJo2b9mHkO6m0y1vJz
WRyVozkVxRtZYPNZN6GISX0F+iGGjeRuO9+A2ptd3lqbgkn2JRm9lP1tpEEFoWAz8/sljnX2ELgQ
iVFV4bmUY/eRWJZa55Qv7w8uQrAhsOOY8Ncql2eJi7U41B0wBDwAk963OpUPUWgdvR/DJr+IZuGR
7C9pmYPmCPuHeWzjP7bgdjkQyEicDZVJotnDikRfnFEpWEMj/tI+EDGGrv2C5qTDxfi7MFQwVdGi
vB8vlx6GvmAJx1Ohx/SpanwoGLOP7XK3gCrutl03GSBUqnCDemN8IbhYXBOcCZg53wnbp4Qj+FLd
810iW480QN6gfPEJyP9k+tBS3sSINS79bVey7t7FiW/5Ezb9L36KljZsUHg8joxw+cm2k5smn8L+
p/Eufu6kcBN6EFsfJeYoeYhH2PxEgViZqMda4YzdUKDE3duuA4wJROYsvs3CIv7tCoXn2+/U8M/M
GA9oBOnMRM/nBMfzz+oBQgk2jder+P4KA8CMxmXV4XljQ+1j5MfQ0YqjAeWtP2siAIrsMYUKCyAi
jEvUyaTFCWt1zyoBD8M8UfzqctL9lKFlRX+wDJHhCToqiiaCGrhhhGxeOUMeLyfkZuJW3azsqaQH
gaOhrHK6uhIi2GHuD9+FilS8j3Ovhqk8RPnvngfTt4QajGw/dUnOgJ2ztVvaiYCqYj35kyR9tKbb
Jh/k1J1X5fvxDXvgnnhtgquWr1+FSgeXmRdR85c2HstQO42ivTZAqeskA7WtYaLoE538kh5+sR07
2SwkXoYicxR9m1/8Btfx9nqYA9BfLwTRLBkAApy1GsvtWrBy0HXuEfH3U/ONJB3gPPD6drlYeOYJ
pHhBlTxfbtcYXEMgWufhOSRkMUQkeyTVHgUnd3LLGSuaG70q9Va5Jf8d7RO2fygW9iEbWTvxd5IC
seJURsRg02K5rh5NVo0UsFRp9VuycU1OWk7xm6NiY7EbRqRp/KbT/wYbkBFrgEXywziQeCmFZqjf
g+WL1TEZh+4V16IKN5pjL5SKVjZU42RqkW8ThYavBlQ3XgI/Ge3JW3ww1hkdOvaYkKPu92HXus1u
kpN/j+SjJx4FrF3jDXmtarg1niqm3xkqq/vXwa4ueEuMNXgdct5H4y/RY2ZYuH70hUF1Ln23Nzdd
FTfkvyGldfWWXVZRf2vkzmnctTnxYs4UNiN9u/HI+zkXZhtuLkzS8mfWE8Q/PopTX4p29RM4LGOI
mpyWQ3g7xjgw6VAq0nIzBWFPkxQQp1E8UHXPMbCH97/C38wjjHB+VZU4QIyxW1S3HBYXzpBm2fdu
nSog3aLyzQOPlrz5G6Jzq1PA3paeD81SfwM0KGtfiLN39tkrI/tscbCyqVrmmBu8i4AVcq0WBgj8
WoqXleV7zms8mfM3UM7J8pGP5dxdXG8S4i6n+ZvHXVkGsBOIC6S3GisfbUYNcbi9jEgnETau/tef
SvXAIqEEcNSXldr1NHdzVA0RWDas2tPxIdbK2tNQd+qW1zuvGvJ2Zv5hI0abUYj9CM+BTfGX6Vao
t8yWrbwzVZiEO1fzf/xR67ILPgmRevJJgnLl28aRzNYVMBbeIYqw9AMP8Y6jNRFPvKE0XbgHo3V2
5DReyG1tBDo7l5/uNg1G3vEbSzh7ULBGWB5Ta9jdweiBGZnVyzy8EZaCe5HFKtX3KAJduO80K/Yv
vXKP1PxmYHsPWBrq4gm8GAJJEOn6Hc/kEG2mwZqHfDQAjdp1XnGIgm+VJ78O++UWTXcQ793Yr/PO
CVVEMQmyNxFuk7pe+Q+tYPFvFJGL6XGk765/7/yIy4RVCluPEEM2F/2PQdbFTiQb3BirN0rgoRqr
Pa2YBrcOQ0lLmwLs+YDkDOpRf8tAytjVYPQJniijUPGbD5uLzCtOjPQrFlHuPoMynKF9MeSeYdAo
ea8xoIyXGrX2yOqjbTHh4124IVkCs2f1WEr+hr0ZIubgexbOTTE7UfnKgRGfPBz+WrnztinJsbzG
UrXBKxkwH3ogazgSfPggne0Ir4LAIAlkF7Q5yIDXAitEdOS4755wRtTxK9ofFVwetspi10dWPJqm
yO0phHVwMSbzXtOkIoDoEBbYV7otzmHrsnpDssigqRQNh6Vk4tLfLv5cX5bhGiiJNNLZU+MgpZ8n
4jfkeUmLEDWYLTAeXIWTc7NiicxJMbqgCB/8MaMo0l9HY+9RkXBqUuhd+L8qD9H2i3uqDPf4PHF8
MKmEvMJ1jYXzF0Xx+C4lGwWq22qp5oaOesvCgkOuJBSxkQHv5rNgxzXctR3iPcGwdLobEifBEOjC
3JME0hLiqQr1ngACFOk8QQ6e8Erd+X4yvOJxar+ZYWX6nfAxv7UcWWhWQlQIKcXa/iPmpmLWZbVA
QlqWJc9vli7LnzBhr9lugnYwbjVUV2AlqAd3LHsVuhy/UlFvB1FeH0chYa7t4DRiF5bB0Dynth+9
Q7A2zKnTgnUVWopZLXVfrnwI4yaMD1XSsigI4xwhop0X6B1pMyS7AE2Jq64oTLebeR877yEb3ehz
mpy3jMANWYrOOQaSV0XQ8g1v6IEQ8R2FLuvM5sbveK0r8kWCI2vSO+V9FywrIeOpKlAn1YCgFlu5
XCZBKzXHNMjldG4kje5X0gtxd9fVrnqzg+qv9LbVcx9LlsXOnYKIHjwCyq+Co+ZuV8fYcse9d4Lj
1WbywMvBmEvm6lhOYfKV57H8G+Mg5kCwJvNP1UQN3Q6j7iEQwG9/UVPU0LVJ1U6LG6dd3plrsXTY
YvYuQYtTikIvk3MYGUhqnVIWmCSvaSfJb7w+hCWEQYIU6VpQtnAsSGB8S3wL9uWKNLAPCZ5TyKYD
mu6+sUVWbCOMheWxdoeCZs9m+FMntdsxZzs9vkknMf4p47DW7UM8/pchQdXfsVh3DTvFXhiIqqS9
sTlX9cNshxABCTCK+w4ABwgdcGpGwFk2Yr0sawmb1/OTXp+aaOyHg3XZuePNGUS9peTVc04V2W0G
dL8EyQV0YIq2NDG6LAQlIaddigr2FHKOBCAK6ngc8a7qguvQOq39CP4vlymHpSBpK2h5u8Nhv9xw
EgryOyG6/pPJtBmPwotCGAijhseeiXzckdLqCeUATDv4UWsOjqQTZEN1rl0OzZio4qYpsLwDPvES
Fp7cNCz5IiOXY4q81Nx7nBDW2zCM5nA/pVJcaz2KuexOIsyDx1TPQf8VFrRG0xViR31EzJXvKZ1h
wNdq5E5S2TEMNjjytBMUwpkM45IQIA0kJ6ogGiKO20meRf1TYL36JojqwoFq64/rwWM51j9G8zr+
TbC9omBYG3vN7dhldqfFFX3NdmndzQ67+luWtagbTke+4XGGxk/PDXmLx1rEfXHwOHBci0u6Mvgc
8MwTPl8K59vzXeJtCD1Bs8eMp/1iO8OaqE+oD+vzKrIhWY6CNFLAAZuIvuDnMD7CvL86zi2OJuwh
TZNy1MwiBxkWhB6pT1WVBx4nziMGxt7bdhNJ64Qyvypq9nEUyHnb5igKmKuVz2SqW/3LjnF1Gy74
tLYJq/fkGGk/GoAlgfKJOEpKTrhb20SKNzhpAHnDMO0tWPsjXgSmhU6MIrKCHViRM6M8wfraRkvl
fORYEG+VruWyjcDj2APFgfSeDg62AU6UnIThGK3Tx0omqDngxIOIPGmIRNiHuycecO4LjSDp+qQG
yQEPabNrOSstRM7q/opcDsPGAYRQT5/01OHp8LARYYht07cUI9wvtERR8hsuLDDwRgn/1DVx8+AN
QffdtVdYyDqASB6SxPqX0hl5+U+rWMAolZ172/Se1b8bt0j6J5f84oEDc89Mb8OoffX6JszOEp27
Prssyo5B4SscFUsr3Kce9RDLhxeJ78C7XilFLAw1f13YgT3xY1KeFtah2Uc0kaScTLTH7tvzsn63
9hlQb3oh6QpCQvDzF7vMabBrcEPI3cKvUO2v6NSARzzNnQcmKNvypp9U+aysO7vHQNO3uYGAwZIF
WQ2ExixccjqszLWTHtGSI3TDMUtleEznXl+1kNFfn4NcLT8UW0R/B45EFyCQOf4EQVn1cVRyXt/w
knPaCL0l/VG6z6Y75TnpIw8cgFj4licoYj6k1o0/ccq/+b8S5NM1lhckFniVij+TzKh6dgfyJHvA
5Dw5mz5vnW9nJNgrhKrihyovwneyHp37hbbaxs+m5TmJk5JXoUtv8tqHWy901+nLX2bXQTS6Oh92
eT7EKWYQkssbwwSAQb7Je3VTwOGVr1h0AkhYaKLO17gGwS1kK6vgBZYeaamk0kDHdeiDS3f5A+ip
IVkdoFXt2XgyMzuC/vUFp9+Y3fET1V8kOis6NsZezrQ7dOOdHiF4grTt5/l28nI65Da532Tc0Pzk
7XfGXij6DPpxFAwObUUjFytXrOrMRPwsmt+XEx4ErYBnT0PtdgxO4EL2D0rMRI7lF6iDJOYZ4Kbz
jVLx0p5qiV33EMDlVOecE154cv0wvauZJNfHoF/xfIxyXTL6QXKR3TAFY8beuOiU6Xm4Vm8/YilY
16NbhL37oH2Y4w1sNJwAXgPGStWD5pTa8mmJP1aJCJ9av1Lna0Z23XdXgQBYhv8Ywa36Kyy7tN2M
SQqzMDXiOwKA3plUcIQG18VZNr5WsxnnP5PTjO2E70tJ+9zFee3slVmuF7oQEaMDJ6nXTFQUQW8M
F9I3gpwjvq4GB38P/DD1Hz1T6OQm6RnW7ppGRueVJovwgrmSrWDMLT59sMTU9TGpfWfZ5mMywYGx
atyBTqmn/cjSgrdpfE3BbusoiJZvm6YjOGIu32Vat4lczZsDt9t/CKF4oT5TJ826f9dbhwz8dWa7
w9Suhnt2idF46BgqMGHkNYM7fsZq+Z5sq1ksqt78KU2f2sdwXgay29Oc0JPD85ZkW2jC+YlNiudh
v7vaq3jl5PcgL2XDBo6FGlo+HVpbEVrTPtHPOdbHfEZP3BoqQ85uM0XUW5iJp2hVlH23g9YnH66J
XMYl6hiDTbR4jfPYUkFmN6E/0qwyDeAWD64hDQ7wi/73nQmd7IXKD+GdMfhKPobO5uagoAi8LgM8
/S3AdEldyjLnqG/LLDN5aArPOVOchGVFlPB49iihnKb6KfaGbUmTJyGcEmcTfRxl6TUWaHDmqt0K
QCc6+GzdfrtJaVPkiGS8Zx109WYCn91lhLFXvo0FPB+5D04gJtfQwFhYNO2BBQwKO1DxK+hMUBu5
lRNocX/oF0XxjN+bHUvd7jEriWNvh3RkUsDgrqhBuBYCWw++3DaenNlF1ZvCP7JvdPc2EfwWDyi+
rtgOUebh/IRPeIftsLpVwBXX7VqSK6MUrSnNmV698q8HFCg7ZJDObn2pigzsgT8sb205OLibp8S5
LSlRii6F66/JuSjCroaPFSx/E9Hr4oNH2fzUJIXszki1RGU3EoHsqUy85Qomdg2bxHjGQurTYUlv
+dIzXBgUUxZRHsccT08EaKmtnvZpl3efZBDX+oFfs23PROjoZbMF9LMbNEQyBVzmvv0pOfLwztDR
2GyJ9QmKCQQr7B0vGuR5p08NrdwtDUQcqNM6pGykwtbeE7+PN54mWhXDyXXx2BbduYYdDcKHbdhJ
DjROgA5kmbXTWKGq/Ypg+rxiDJQnVMJoeasnSQZlBNxwUoGqsi1O9mvlJL033fOUYd+JEtM4L/FC
spLHG2LfI+uD4Mnp2As8ZnxDtKPnKSuegPzqUTolHtUexeu7a2gY3vRGaawFMliOjm2KO2R7ERxL
niBn4y4mxxkCe/M+CUJNUQoP4NIn+hrG7QO5WfcYUWIDobJr1XiwOX7+F+TK7JXe1LY/tVXsHE0z
UT7iDrE6VzH7xqcFubP8JiWvwdrF0Vr8qNKh/xQMKBc+Aqk/fMw4Ns7SGVwqMhdC6/PgZM3FrIRy
N4uqfLDGklz9Nib03J+tBoaNCpaE9UFqZwG0Y2lr4E8MYB2Pz7lzqHRgKzGjplGjEmYPM8S75QzJ
B/56DtzzH6xDjZUJXe+Z3z/n88WykPvKh0SAnWCq9Uddpx1xaolmKKgkZgOJ3tLueR2q4Djx1iGY
Q4+Tt1G2hjtK0kJfmhat6tFVhKDYXRAfpgC16PZmKMEMIoCsHH/deqLE0ozpuk+NgZQbspKRlwB4
6WM+U1m37fO8+piauPQPMS3zBWXqa/hgW29K98SUhpCw4pW5vSLlPOGhQeBgp+vjhii95BcZJHg3
cESm4b5jKS432Gr6XyDocjZP6RVsWHKUQxibCdA4UV3Sz1cy4m1CCyXhKTEuVkLhlv1Tx6nMPTEo
iI9w1B7ycBmbE3Wj7fq4uJizsKBhxSZMvbq3ZQ94m36NPk6ec9nEar+KUrEWnsQ/NqKG8Y4r74cj
tTnjE8WA7PIshowyK/ff1ftM4SQtiv55iHr9FIMzCreOY3D/YE4jNmrp+brCsAcqiXRV/3hjgYF9
y8kuPkBsCdJXHY/52YNoWf8lvuSDmyP9KjDyFeMAf9Cwmaef21/c+ajBTyzvAcOs+5N6/lCcYuxO
LAXJL0PI99rXOQ2xz6xBkRH/zQaqP3fIZfN0Cw8jBiRPmmi/At8nqdAG9mWEA8JJK8lt8kX1nwSw
I+AAAjZp83s6FSy3tPXxHuWOFAWUyqWgeLHASnqbxkX5b5QRFrMI8NnEUiYuPTIK12pNsusciuSs
spdFrfPFWMTibUcHbbp1p8bSkEjO7EHwrhlfwzZOu804TG1xbGcngAiRLNk9khofXChNl17rdeI2
mUAAblS6EhkwGFh5TuF1+c0JW2f8xQF7943SVB6eZA3s46RHZzh2ASH9I60E15Ohg9B+MzRDdVoU
Bv+treVKpi/z1C0c2eU35p6mpi+Ck9a9LXSQ7vKxi0EVa+zvO9iHIWnUCNYBHnsaG06uim1G+0CQ
UsXnNVX6j3URjwxQITrZMTE739iimR7zzoXcmAaBbt4rm67ITCHJ9RfmekipjmRk3OKQwDomSilO
NOZpe4jWLurPps7D7sJRb+FfFE74D7reBLBqFPKYJnEM3itqsN9mpOmHG+oDCc1ZWGMpq3S+sPd4
KvxXKOsxCnFErAosTSbAbZT4BFdCGOrEdqOfPrO4lzK69Tkm2692XZRzs9C8eTdGDUkkNo3Be4SJ
JdoWY0CzFgiDlc4F43QjDsAo7/EEUn0JB8BNVHTk/smDo0kqqH0lnp3XUdFGdoJ4nsOjU6UW1yaD
AACsO7LQQ6hjaBdzxWjoJbpyyDos+poacuN9oAb7AElIBJhjk/E6d5Gm3ovST+cDiANqYTDgg+Hu
ZjdWG7pkQZDywtUX2iuvPCvMucwmdnFgNPnlukNG0GqXGKs+ZkOFE2cY/Gh7NliED2Ip9Bvo3Ima
ScaAL606xOQeLzGPdUhrLj5+Wqo2KeNMQqPyOD1DtKKKgpnUIbXmiv6sRhOpi8swfIUrTtIcPbcd
7rlN8/XWVnPwq3QqpnZKOcb1UpXW/R7pIeq36drLt9FULVM5UX6KSHmS5lvi041F4Gcc2INsjN4Y
jjNqE0rfGSgUcZP7pXKn+G6sDS9oqBneW26G5J5NdVXwzstr9uStMZdWdHRBgU2ZD2qFjHZXmaJ4
WDwTZ9uhU1TrOaVu8zMvnuqhYWyl+dGTSXy3sGYlqe1P/r8S+MbRk7bCrg8y8sAWxInOADAXHhYi
zR95mblmg5AdeXuzFlgw8w7WnMAJw+U0DM4naX7xJ64H2jQJKg9H2n/qv71wut/tRFcaJqSURTyT
bFm2QGYz7zGkrhLAUCAcnJjw9RiGhWVLsR29CRt66o3Iuqk/UdTasb29zHS3iS03NRCoqV9x820k
F6/dZasN9bYPgPbsPONUh45Fnr9t+sIPnlDRK71faG66SvCzSvfrCtkbs6rT9HccGij528wUGL5w
wbQUHbK9ZIry0+k9qjqOYm5JixSJ7wTTqDdzU+zbGE/6DvgBQfGRkO/fQMzxW8WxljLmJe9/w5XE
LSIWY/VdbzoxfPgofnupah2yMnQQTkC2Tx80eMBnirAyPrh9jmmdamYcO5C1Phqqn5ItyQvAEQVP
+xClap7OYRMv7q4SPgJJRW3zow1Ydp/GclqmGzMW8TNEA/YGAVuLhP91TcFwwXdOvRI0nQ19FEz5
bZJSmUggNI9P8RBKrDyC0OUNzeB4kWGQCZr9aIx895khnN9YjFOwXEapuyU0WfbkzxJLNXu7T4w+
GH7CkFTlns1Tjsie1UE7foRdmqw3TGt6hizaJZDU43R1T4pvmv035X/uFZoU1s8Ub9gHqyVjSk7e
7IaIW9Ycegoyu3ukrvgW8G7IRReR2YG40IGZXqmpqW8byGzeMVX/49iXOAZM2sG+n6jE2idrGqhj
EUD1+IVJXzyYhUPhzqMBQ2+FAtzF6cvC2thiAMnpJllML2u16QEOVEdigjM5yNDxBC+vwKupHfDX
p1n4ku1vZcan5j+Ozmw5UlyLol9EhAAh4DXnwVPZLpftF8IuVzMPAoSAr78r71tHR1eXnQnSGfZe
G3wbE+MxwML1FghiAL5qCBXqGoOVhSUWh6lxu6cok0iqd/xtzeJwXZcuowtmnj7LUC5ECwIpqkg6
XsEM8GDnE7N9F3HNC0QF2x7sbKNfFJay3Y/r3Fy7oRLTLnAl1vV2pSB5py3K0iNbg4lReOkNl9gH
mrej2PDjfTWq4XezGNqDLhMW6NCSB6c2ZOa893pP/eARNhyOhutj0zWN96eYvOgKerJ4j1oyLTYk
shji8Xqlv9pe0FHrlnQFkm9RzGwCFmR0OO4YPKHlTAjHC9sh2o/90LR4Htvy7COyMaelbWd5ZDxD
UBAlJIvbuURofSSgof1Yiex03oVYiFZ3gOJV9DPJdCKsdH6K8fgisHB02X45DirdbQz1gBpWtUgJ
ydxzGH1kfe1/QrFdy/NIfsD9AF9l3njJMv4H1KJQu1X6uGVXhaH7ROyEVXumZ219mex6cy7AX0K1
SuhbzHoPHztat2D4G7pp8J11Gqd35IzViruOtOdsarBKYFKtsnPWuM4vzO09nrQIycUdcQyJuFKf
JyihF0/b4NiSmZWeyeStdvAlkWtsAR8l9SmO4ZFcrb9AoQFHgJBNMtDe0tHU2ZXN7fIryXlIT7g5
F+5mlRHw2QdcoUj6wOgcqOyRx62h1cELrjhSOuvUZP4e9xEuAoSq1kLGkAQvAVajc8kH5ucA0H2T
5ftwrBRhGWCKlvnWQmAvgVLSr+/xZGxwdkQ15H/LssSh6NS9R9YK9H20fBvqx5XKnj8HZu/AhrXs
3V2Bn8PfkwpF3J5qJQ1tTTu3woHAHUhQFP/jHb4qFPvwIcY91X78zyAjHVEfaxZBraRd2AS0/cxx
+ir9k/oNI81HxRomeSEeDpsljMYY3yYvCUKY61INnf+PKmQtDhMX1L+W6JuPbiQz+xxHGpiVZUGz
Imzw2JrwBDbxBXdFfyGEIE0unR7clzFWNa8l2wr3UGGnsheiIub/CGEWfxumQNXthamiPd4bxRJ0
jLp11wuA3GgJneEBWpt1fnsTTqhkyZkyMG8sfRrlNEeyxXSsNK81fBlxn6TMsn+6knSA44Ikkc8U
ipV85wHEe7EdAD0lp4wv3/vu1Sjc85Kj5mO+1c1OdQpDX5R4Vz35H020Rr8/8xVdklkRHLtzXDmi
j5RM4X6coKAAj3j3yEZIhl6cAWDhJ3aQ8iYnd+GhvCSYXXF0eIhHOZE84PNJIGQXEtyK2nqrEka5
ZufNwGIhp4A5YRPnOwHXmPG5hESSOeq+A8nsXLnzsnWfxrDW91A3lHp2Xc3eGbfLlB/ExE/8gDoa
cZYdgv6sHEf55zUMKmZyUuHUmgB1+fQyTqAPqQ6rB57ThECziSk90OMS/kw41mqfA8eSfKQsk+eL
yBDhMSMOovB3jcUBTlzVhz4L4ta8i7zzvjTamfh1wJwIB58F4SW2gyFcVxXhM+e8Q6DZYhm1giZo
7qZOkrup1xqpPgCb+DSwpCLG3h39qwEbPB8pMWm2OyeKmC5ia6l3QTTL4IDEIKz++AWrj3NmKclf
4wyCycaMaabuSZZABA1RWuWoC4paZS+MZAOa95JBgTqOGmg3o936xqWIA/CskNJDdje7NXXoWTeh
JsT0BYGVrB9WMFX5gUla8t20MEqxLCJHO9QjkZjb2rUspGiRiO2bw25+d9Zpfs9Cq5xTF3ShvGem
hpUPKWW562GU/DSmk8gZVeGDcx1c19nUWLst2kLFoGlFq1BulklgmS+Mme2+JucmJsZKds1Jtmsc
7UF0ks8CmqvDGD4RhXRJTRm9klbbPTBQY2ES39T4OwDqQ0UWEEpr7p3O/wgLUts3FNELoNAkQMC4
Yj8gmUwKMncikQSflBScM0NDfXb0FsYYmwSZA4LbikyjYx1LsuZxfcI/9cbAPqHIjqrfIcO8W46w
8a78WovPeYmIZFcmMdhN3wfcG1fdUn3EuNcXsANdPjnPamgQv+QG8grWX1Qcb1B8FXxB7Dzo8C2i
AbXvTTHk14RgZ6S5jszK69JZ2XysivC+L36oPvnqAk+H7lczsFE9YVFP40PrD/7DGNHV4APPUmc7
lZAuLtxCK0hKCkP+Tlc1znMBwIqhzdrpdXyxrWhLNOEGDMHFAC1TBxMwGLuwrzDLV+aV0/sNbwp/
xq4T08gkETvYDZlkkOPWaXbGWh06YIG7EG3omE7i6vRCRduZCMLuTlUT8YoxgznGyrlMG0sCGicq
bAtwdNnWLfvo4baLQctU5DW4SQPla4PcN7wWXpISJA7mBjE8EeJ0ykikoL7eepp2WsPiOEd1IfdE
4PBKqQHyCzjFVk0vTJ8jgENLzIkP08Sx2zlFyYYCNpbcbe2YJn/xtUzxr67nPr4r51Xx+Sj+bPxY
KLMMrwTi9cUvhWrnptkxbkItQVgOlmZWnOcGGBZ8PnB9GO6LJVdgrnAqH8I59mgiINl3iP3yJDm2
KoPYv3FnPieMFTlo1XVXz37vkRIeyuYP7e/8Syi/caHT5rgTGJupi2C95NDaOxK5fFh6L0RwrwR2
2Qqaxx4/Y83DzmGLzSbv2qNRWoe/ZZzTa7KiXA94s/E+aEBAI2Jw9jfspCy7/Tz0wt8cumjEsRMr
3rI+NGQigt/6HKbQ+8lgzKE24gAFThozREJ8IcSfjHEsuZToCMknF13wOecl0dUUKMTD03uSNpl0
pPEAPOESfUIbRJyX7zb+o15UQKwaDHKqyHYIOd02OgHrgxe9BwLhlXEu9gtip1vyiQrEcYXa+sr6
me1Kg9K6PCoGHYjD0v/nIkPywytiek9c5OzFBUx6RURzX1PfsDYciSkd+1l+ok0BYcIeDePhEjGt
B7+qg+oa131w8BldkO2iKzXvKCg9zlsC6dCbq2JmFWcM8i9OpQ5aO54JRtJc2skW1Eb6Lx+FJnWx
neBNx6v/Y3Ki+NIqyb/pjGBdoEz8ASlLwIOLcfzs1wzQNqSQF843pzMC/2TgIdxTOpL/WTluiNCs
Akl417YSSJ30jW5O+YxWFmkc9PKHjCb8s2aCVezCPixeRScfZzPH1WNfzN5dGJpy3i594BMUs4Sw
HePFEf5Jq1nC/2BJyKQcFkTOEYGC84XufVQHNq5rDmXdUPxU1VJQn9YDVRfov9U2eDJrukrQRcgC
4do35a+w86b83nhr+dddW+nu6xrDg+E3c2iGtnT163e5oCw81qvfzVs0q+Rvp4ZO8eIyEBy2TegW
3cYpVYsQoqnFn34q7R/t6lAf6si68b4vXMe/tmmcvPNMTPoI3DRI/0wVlO5t6AyMzcNwUff1Qqex
i1ABkhU9dylZTzrxFu7dxHuNI0tCXReP6/TWawuX08aBuGuJOal30EuIB2Uc5s+71pXZW7MI/Fh+
CTsDAxJbx3g3x6jwtmIehvoex0lLnds0aHkWdxFXsQQkVnfYUSFmRKkRaOCKmorwVWAHFM8Txqz8
Skpa13wyTB+BRfcZBqqFJ3FOqmf64fQdJh8jNwxaTLpMmKRyG6TCwaCY1miA691A+ADSu1YBl9v2
WeuMd2sTmm670A3lL1Ogew6xOQziXYzwDHfhxPAP1hlOlRnxca+TSnKoG4FhbnAMP+NNeYJVhbEr
fCge8Mkd0mPTDlhiu6ruYkDqAJs6lhs6LZioFR2uHt1ZRpZNrgzyX+tELqJxvHm0GtXgu604ZqSa
2PUeK3LGmlY7ePD7J6/LtXugH+vat6URK/Fdvt+N8aHMkwFzucowLg8K4/Nz3UnDBwtuDhIF0mOD
BZMVd7xc+hVx42EmM6e+11Gj1F2Rj5yPVzeVLfEq6LejCcYd55wEhtAF5siy3phvtlNz8J6wNy3e
+qxG4UwOCgCFrTuQbLsr+m5t7gQjfDRmNXNd2GFRMsKQ0iGW+YnBenV0G/74S1bhgoK7xgID+W5n
AudSGKbXx1XUWf6kKxScG8YAmv+otjaDbJcSIoASfurvRneu5o8ibT1S2JxFEt4gqmYbd3K4Ekgj
1xcBfM6/dFMFMcpxlyk8G9rjeZNTmJIhSkoFk4dGLRTBUsNmOlqWCn/piiyOgTJ0kZ5RWqKv4pJu
QAOlsITor0CKXnoWrWabGN9b6ZrhbO9csJ/gEZSwzW5sURbvYs8x1bMoCP7rN1qRoHvfL1xciMBG
KE73LCWUeS48f2juERwsw1tg6YmZeJZpugucGS+hjzwXoIlqx79j4K/ZA1Z6765xTf+K+FvUJ197
IMMUFhHBGKEl02bxqQ+rxmNC1LqNYD+U6/GumA1w5MomMwoUPd0wYS30qI+mQDOLOaiMvkveL7uH
NqoqIlooRDdjBl0MgaqIwaLzxcjw6OsYrXcOn1edlngdWMJRK1ZbdFwkosJvxqMU5zGZi9yDFG1s
ZWx3P7cezXujIUyTtzujKCwJYYnP5ShN9O4yzP3TogdGCYM05z6rinx9cKZJ1J9wR/r8iRgETgL2
/nZFJN5Xcfhi6N70DgCD/WoHh0K+DahMTqjkk3cUw90ZhBlafNRygpeeJutuqjXaxvFWqJHtyBzq
lTWEDq9QdnEbCCSZ7tbq2Z1PBrWBt9e1O6qnjIcXm1gF9uPBMQQ97Gauve+oR2R/9FRgMnyRjBw3
vRupYuc2XRVfeKL1UwD27xbaYLsP9iVVvwsUHQJ4kWG5zHzfYmsDxs13GrUBWg6AtOO177p0NafA
rG79swbR4lz4G8L6JXf1/ET86yzuHE8Ef6gMZV0R4TwXMDhBNqA42XbFELl/5lrOS3nkuyhT1tOY
CgPmjeScfnaZbxLCbMLiLWfBStZaycuHme9GVX9hjRlnLMXjZvydFGna47v3eqyV8PEq9xBQoVX3
LKWT5JOXd/Uh5LLmR9Ggs1Ts6DtvZv6xtmQm43rqwxo2gFcUX2MJxfN2VtIXFYHn3QAoZRB6Oy+q
GPeZKhlQVpo8l/rF8o/VuQw4hTlDmUfL13Yd50sWF3AZNHcLmTdFi2+5U4DkIQcHt0etLNQXzZkc
/tTYTS88YRZt/RTh1/I6RXtIrLoE/ZtCJv7GnRXIUxgVBNVn4O67PxX7lI7YKb51HP6Li/xMwx08
eGjH/wRkxj8gcCAvEADWYA/EjXkj0oukmxmQhPXI4CqSb3AjFblt1eT4v1Huy/ZokSO55/KGBaKc
ItPoWQW4fIwdp+pUQUTP9kXgdrhBkcxdbdalMdFKeC/2vosfkNLFSc6im3EeDWtRfvOS958W7zuI
WSX8d7ZKhNMtoBLjY6Y8kpvZrXXvTZi45NhOQ/q26to8wZ5int3igUD0Rro0vo9WTs03VVls/5WO
z/3SBWRj7lLT5/MFy0n93MQm+i+DSWIJZvdshEQ2ApdVZGNTbhGMz+tbOEvvPBCS5m8dn85vOzKn
7VjscBUdWbMmCIQbAzolbwL50kb9UuLBAlPVu9WtYurc2medcctVR4lezAwRyRo9R+OE2Kbupro+
5OOs+p2lMiMPEkw7scLIjwn9nTuWyVmctghn+pyJJsxKJI7UZm5PbInxDoascmdfBkFw75WOQQmy
+sUj1wv7+Sn2PADzfRiwzm9npcNt7nA6HYhWmaNjMoc3YDjE7WL8k5Q3BFHVR2mPmkdgzxxSO3yV
bg6LLYIqhA2YiIQJV8LANNXz69cGuQ7vOYWc3FjsK6BkMU17w7M1MSKBDQr81bufMBj/t+bww7e9
lU65rRcmPGASCMipQb2lLy4Id1R5Il7e2PdRQQMGdKBEAmsHWpq7LcLe0Dr/hkLnV1m3cXlp17TL
To5Km/umJD0bK6CeJm8z56tPgLdk1rObsJl9zPjm0kuuwPS9UTkUVyP6prgZa+P23hInIf4ugUce
Fe7dBA6P4/XvPDbAulOsC3rLVDmAeaSK9M13sdwcde2hvzxD+67njwnHAKLWOYiro2Ge9gw2MPqZ
EPehzp9qV37YZDTzPdk/5HmimoXiDKC/JRRsxJq/iTKvY//oNn/xXkT35OUia/DxfryE1iOEGCWF
FI+RwyhMn91VrGw9obKYh8YNRsJkRF+7T8E65/4x4DaKEYg7suy7g5nKymqk6UQpGIhiyAqp4Jsg
Ess1pvIL4ZS5oZw2YKJLh2aFxT5LRC2iH7xSkeSHIAT6hEpnCsk8RrC7qfOB8QMuRwsjRwwLJurc
HaDbN4sCLSXplvDh1XhgqDznu7gjnvsgrYgu4CaS7ymEs7kzlet379SRU0GwPWfFlwc54w22iSEr
JG3+hf1kj42c/TeMGuG/jBuZ/AuXjgDnOHldpJ0/xCgOLAMaAHnYVaAo0F9Py2kWBQy/jlSQN5Ta
HPrY7LiNdSLYj4TaY0qTWRUkV9jB6ydalfULs6b/CeuYX8aLWPYw18NodwgRFt3ydbDi5SS8rKfV
UDJscZlgaIopBd/JiXZXPvk4nk/Ec5ibf5Dm/JFpcqGe0FQ1AvELFZe+D3JPrXcgDJ1lh4cwxGVO
rgpAQPcG4+obuiTe7RBaYI/aqv7WnbLDuYPaBPEg9IvqmgC5cqA0k5XyHAj+VLFJ0GoyIkaBz/HZ
Ibe9h+paYjac+vB57UaiNxDv58RYG9xuvA3EIudcob/9Tjg/2ONd/xQCLRO/5mxMuL3RGJCkglut
3fV+XRcPN837b94SQmaGolq2sHEKjwXtUp48V5dwrMuEzK6/OFyQhI6JJ0+GrBTWpoWc71RcDPJc
kMwJqI2aH8Q9RiQiV/KYZX775lRFTSOW0zUTaItNfu9PNQk80kzeCIwts93n3Ht9uPO1O65H1rnl
comYa7GRB8Pc/KAujvkgCt7v9qNW0AWPuA18e7glBi1vQelM47Yob0BQkBdEjLDs0kn87Be851Su
UuEkw/QPeYlwtW1fdkTWbgoULBvROjp+TFPKqYuK60FD50WJnhxu1zmEmIp4LU+ON82r73qvDUu0
jN3oMjRbn7R1b7uS0jm9VFTy2QG4lnhuU3icG3H7lhl31mN+xPRTxow4Wk7UKh0t+iJbizshovpE
9iQBFrRIqz5B80E+UFDafxRLiMUh5qQ9TWhf+X0RpT1BqVHJN0CyHEdNqjQlT9KTD8jSablnq0Gc
RZIFDkDMKQDfFXHk/rbeghTPSJct6qz8Hnzj6Cx74fnaf8qWaeW2wd+PRAhV9euYeQv+xDXX95Pg
eo69zsaHTLpMpljTNiv630oSeosSpH+mn+ix9uIu+hfV2tdXggcsAQZzbu547+sQta7oXpFrkP6N
yoP+pXdKm0ApXEy2N20QPBZsD1egmthI816v3y3ve0p3ZYAdM6wPXLycrP/AowC6TWAp4IclvyA8
4cRhMw5dBhCfpv1DiOXHXnH0OXWa80AXNu178MuNObBSyb0936uLBT6zERunyvjrXjPfiYdd37J/
UUe0HiPno8jhVLrPXlnQ5ek+cJzj2PpLfwy8gU/By9kw8CimqEYKZxG/jQxsRbPloE/oBDOnncjz
JPw3r1WXEA1FlAfyMw1NrwGOjfLKzgOvGJPV6hk547I8FB2mK55l2LatmTouU+IT7lmRGgaihtPt
CDYh+GL1wVB6pq8ej7qBQ39GSInuKi/hLGwD/BuvN3tYxv3saMwTzTTcFw4F7qth1HzqndkbmQ2n
I1XjWHlIAEk+SPEPoXIYL9bhwthhjeHoJIStSS+KEFwI9kOUPjJrBwxkce/YfRjJdf49FSNBKpQN
Gcy6lJTK96gU1X2cQjcglhk/DTZuBOKjL7cMSznOE0dH3xKZCZg8jbJ3NzAvZ8TQZObXmg7EnjB5
iC7EcZDJ2JVJenVLJ4rftDDmVBEMUm5UNCGYIB5sQWMWkx1FP2j7VYrmCMjTs3fsZLPwGSISWF+m
9NFD7QrSq1oca//WnK57h6zSyq24mRdOqs5mQEdBTBfuIGi1qK18eeqyBbSrCYggoABqouhA/WLs
Y0dU0r6iQQ/3KXgO/26I4l7ve9JN5GYyQAoOZeFRcU2ErBXnGVbaP53O6O4wKULfJCzwv34lVO6U
qRDWNxwXYlZOrKTy9awnC6UwLyjYeZMl6eqws/r0OLLPYdEbaq7ohw6VSejzbQzddCrLYfgcinkM
0DkR+nyL+gbywL3dmyHv7nDU6mg6KSL6hkspvMpF3cN1+u7qDk9CbSERIdTSNV+N9Wb2nRon4xb5
O1THnjbmS4ddOaFDWPQyIdcE+vKRiKo9whirxZtEIl4+Q/VI+ocZOhYRrbD7wQ4CYlS34NQ8wXzn
sZBmtrjCX0DFhpN4oxm0FS+qDtEkhIRrR6zzMyrigtod91KZDuoBJwXhQGwAbuSWlcShZdt6A1uG
spyGm5ulLgm6y0sGinr1IGsMSeOcdc7LyiyoYnZOvN1I/g3aXY5/9uXVwsI22csqamijeCplUhy8
jOhLqC0GBvFzWQs3vmFZnGF+jhHuI77QQVePm5JgyyU90GBUUu/WpY0/A6cqs512nXX43RHnVu4q
dMoPGNHml9xJCrvBBcugZ6aLj7YDOOP7hoHkc91TKLOxHOzFj3y0mwF2/ufUSXO6GUtS+4EozeIc
IqVejh34Wvnh0K0XBLegCSq2k1OkMP/WvAJWOUzD+rFKizx3y8tdQdcVnu3Q1AIn+x5zU99CsWKr
9IPPeIv7kAEoyvYoKKuEJSpC02Xc1EmHykWEOZA2mTEifjAhopNrBFqOPWGdoJrccdcF8kBQtxMR
cUFGefvAAZhIpJ5pwFYSez20LXTjoFGOkiFbFJzAVYEI3dG/tcbbeKwhwbmjbsurv5GPNo3TknMZ
dT4BXFDVSvIcESpSB2TOnaNnb7k3TRp0PwwDZ6Y3iSsUlvbWy91jAxQJ7V6FzR3bPDjoNRr3iPLL
9Kt1o9jbyzmb06sHgMUQd+nOWbK+z1xXPxkauZkyahDVLxJfcCnsOnQjM8XuULkPRR7fHFU0v299
jXvvmW2kL987f3RAe3hycvO7Vqx9sJ9nIC97RMSl+SfpIWTCqjWDmNFPXL7BA9vcoEbh2CbAbal0
/OwxIiPdReeUFz0WvGqZ+gc8nlO55xysmkewURKFIdy79C4PEHQ89S4N9ncyD9Cg9u4g54SVMmLP
DAc9Sxr1N6Cc8G6C4KR697nZcH4YpliXWABifl8w7CGMr4dO5OzdWnZF1rLa63YeVu54T5EPEYf/
Iwzir3g2q0pfJaYHloqsWPLw2LJwnr4HGbk9ft2scw627ZV7jPRIzbzCCszgE4UEb+wGdGIxiVhR
YgVW6poSa+s5BKuw/c7C9g5teJySuJavkoULWpcpPQ9uHwhoXlrZ5bslTDg8TlKxIgXTi1/5oyyo
m5Fjelm6m2TbLUgubVzfzaX2WsLTMzroKYEM8u3aALqNZRQ1IofgEkgeIYFwO+Dkc1llxZlwTsx+
3XmXAR4PD+HUgXqB1hx13nEt1n5+AEwbSiZucHOQAYk5/j0z8qj2Qx0v4dHgvBkOHYrtYt7WwVgT
ew//RrwQKETcJsMprz8LvxtIG85lWXHmYfTxwZq0ycTgGf6kExIfPtObYbFYvRy6IBIhlPox9Q2I
XCgNB1CDuilPNegH2WLL4DAkUm0KXd5a8oQKsVnYmHcf5TiO6lVp5LOEMPWKrCIbEoW5bQub+QMG
czpa9sdMwuJuFxYYTviXbCu+G7OUzRYP3mA3c5oI+VFGWV9kV96b0McsXaLWxznQcKL+5Vmr6bBX
4mfuU9EnoMwUK/VNVGgFGbOXZDiwDZuhPgExwnBAw9zxu/Tc2+8zow//jnVFKf6pBrk9+tzZAWmM
glpGBEyUDEMhGZNorgRaelCOoTz5XWp8dIcLG4VLrRi0nqyM8psFUvgc6sSHkIOFowZh3sjIfxug
7/isKOOmH0QPTP2INfIiQ0KKBp0iwbYM3HjWOs8jwRg0VdLyzEtXK6UwhbNWvw/BkcunyAerY+Ds
QnnCHtpm5tlQfen4wjB7gB63xQqaw+Rp8ABX+UMIRsgWDwALWxsdWshrWu8xA3s12MVGhCLagtLH
PL2Qh2CRtEfFOh3Kpgirj4QyYLpGPHjj0TY9eRV1GueWLXozxKdpdkd77IRLKp8zSBhGTC1wv1p3
WUhcupFHz0z7xwltcIa4sx9qD2aYjSJS1VMQYPvaqPlc0VohEeVDqnc1Ijb2yIgVmJcVVf6MfFYz
5g+mkrQjTdewXTBHdLumoeTfOTYeqYwYX9CsZQ2Jdcipvc3gL2N2Yl4TLKeQxZ/YsdES6CmKLD4J
gpa/OeSZMdaFknetPxJsi9bij66EZ/aiLhuLV3zA0iVxkDBSChJEBFgQGIt2czadiY1K/g2tT8Ry
FyTR8A/NSBB80dm4HV8JsritQtsSnAhc1vYXkjqicMzsg1xoi6EOD4z14CKXenC2LXFrbPv8yZnY
5XEgDbsOo5/FfUKk8ncZ2faKYKSAsleuNFEuRTv1UBXMOD9SD4dbBKYUF7ku8+sw9G18hcQwtVic
K8RtKUH23p7NFJVamKbEmIRFzoMVOm2BpLOdg5UzEZwj+t4oe3fGNl9PNRzHgWfbbZIrhwDaqXGK
xr8ZS8dXUYmZjS82NOTzbks53EjUH4ymKBOYidOvbaIyaoPNjIcO0sSieAccMKhELsUq/nQhBwRP
i08dsqe4UehP6E+yC4kz4fSIfrzIz0McjOIaztUS7EmLyH4Pk4wiJMG0gPcwzfVbEaG4/FJNylCu
CWBs7ZC/+OmhK13nM42C6t+Izbzh23CH38ZZF3xW5ADWW4v86xuCDL5/snnZIHTJLZNzUkI/41Ou
vfNKmtvfKlVdC98J6jgiv27NSRFMrceWr7DXASLnv3FCGAahNI7XX2RpZY8tGKjlmNR1oLcseG+B
Nq0I231IwjPBM33YnJAeZ3Lndm2sGYGifPw1eqyaDmNPVNXjOjLYf2FZRTIHn0/WctoSmbRhXxAc
6ZBA6GVD+QZXwf8vaPPihM4a9D1urvxVapPqS6F8eBhk78BKV5EjHpZ0wg5M3Gj9PAk5tYdaLW5E
6lIsidcDf6s3UuXDi27mktk0h9GhQPHcHKO8TR8jyWb7NPkMu4jiqWK8qhPxkXtn0AqilMwSsfFD
5s+PWVNbBX7cSBwPwxgxj0kLZ6vcHF+CYMYanhmxzOfQcVEzGRtKuoQmxfFDLrR+gNVLBI+jQmyo
LtohgmvxyxBNESvn2PQJSRklQoGS4bNE5ITTkDU0YaPOUxvNkAqB3RT+BqVailQT+9PttMbpdtCK
1/grSXG37cLECZ6RHQGyN41Nf+laFD/SKcRdw5ScOdz/yV1OHKDlL9f1diBiyEepWC8jXPaxYJIG
ore5C2BXIBobB8EKE/d3TC4SjLPyRjIcrwAIQjRow8pto8ra/nVdSuCQdAPQG2GbnyfiCW5jJiyB
6AMnSV6Xs9bjTqhOL1cE72l3h2INn8RcZB8UfYsi2KtLXw0GkOBig4wULOwO5Z/GGbvvgkD5nwL0
pnu5pTu/Oj06zC1Lxuai+ZXyXYa/nGmNSwbHa+sO8VvKOfoczGVXIf/i8BUI83vxWoPZ7c4k9EwH
1n58ylESEk7od4HdhijSB2obYLIzQOjkm6mVj5oDdFl1FEHheyeho/zvKsT6E7FbIoXRrMUxhmqL
Vc+pRHSi0lvYUsb89qRWixT/Kq9OTI8rbLir0X4Q95UGw90IXVCyHOdJYWzSBuA8ZcnIjFSm9WLN
FALlQn1/j9JqTM98gz4gZxdB9K4RQcmeo4tp6GanTAB3j9XgXkeMjfnG+DNmK27e5mHpczvhWbAu
qCLPbXb+CnLnbl17/Wai0rxjfoSxEztRWe7DlDJya0b31iDmafepmQUBQsmZsX00zjT89KvAjR+P
loAktCKFiq6V16jpGzse01mAxOo7tQsvpfGknjfs9sQ/olCXfyxaG3On1wSN5kY1SfrXRcFTAq9b
B/8U5aR/b1ooPJymSOS9A9ryqLk3Ogqaw0BX52/9UAf9i6wT9uBE3cUHv88MuR/Eu95e2n58tSlo
lj1b1BtfEA0FoUmU7aSqAYWh2S2azMeGhM5ta0eJiyLNMu9DsQ0O7gYSwubXBks1pBs/q4nyRbOE
A9qZYP34ieOeIxNXRLyUPVWxGpOguaIqIzcUCkX7t3BWhtE5df1L1MryHXtZ+p0Ax7P7ZuHuRswR
05iOU4jdPZf9Y9JRJG7TbIKk3o59+gFuG08SLCfFZq5NNLOglB3eJmSsliC0Wc0uCH3ysQivqupt
KbH+E3of3oIKpSOf0f6wb1Q54cwzkd3RU+0q/weKwAT8XPb+V5UhJznhwaAh9lu0PgSALeFeEXHU
PPp4SUru71yUD67Avfdg8z64oVGBIuCsirCc76ogWs+Q2Ge4hfUMR1HUcefv8tnFBNPZcpA7b9AG
XibywvGkp3aGdgZiwz26MQJBfqqaQKMRPskuw2ssNlg+IvPL9nQ8m6jHv3pph6A4NYYm4broTAMN
7xkAbFb6n2CfOaagVWj0cqajkCiEiXdVzoOVeDPCk0joefa4Tv3pD1PRTDzWHWuE//DaYN7em7CD
QHqYUFjn6T27P4Klj+wZ/GHcFyFGU9oPbwoKPucyfXFmEeQQmuLE9HeNCfzfHOJhuA+yrBi2S1il
HwM2iuFnXTBdyz2j3NHdKouhmxBv6ddfOqvU1Yx4CvCcoCSoCYZCeLwrF2n0PTq8ZTgYu7ToCVHE
OPMuoBJLeNo9B2ukTpjcPbPixSYRANDVm3KpvBhwQ+j1fxTw1/aINbdrHxbsog5eygQI9BYuV5M9
kQaWewy+V2Y2iG4WFMXsTUE9YDonJQcUmaq2pfM/0s5kR3IcW9OvUqj1FVqkRIlq9O2FjT6ER/gQ
7mYeG8Fj0jzPevr+lECjwy0N5qjsWuSiIjNooijy8D//YM/D7cDGGF3NbNDQvIgSDBAmwzG6hj7S
cpe03X4JH3A8Ng10cOl6Vub4HM5ebSMBbrJ6B6tIZFsBIfFRBSjPNm5GphBoipE+x6QGyDu/dChe
wSNgmwLs1/YzoFz3y+MDplbWqicmcHQ4lhEEOSbNQMJs16yaZft3iyrbO6Xq3atSgCzT1MLX5ore
jgx+EvkFFxIPQ9vZFWUI+9tF9RtekaozWfTN7drMb1XYtd1PDngZ3eEUwXzFqPgWZ53CfpJLvf4I
ESLwn7CeWhqK02zjWJBOLOvdIiMPd8OM/xdnXKDlla0COJdUsd3BncIp2gcBxOVV1YwozbiQw2Pn
Km+Cq4SCy4tDyYhdjZPqbB1rat51DkFJPCru9LQWMuLV4y+hRrXKCYCvVDJj90xRhBUkjg5aK41b
UTndU/VIsgI0VlF3OD6qXw2uHdMnUAzdfO2FSRAckHgFf8g13OsswTnpYYgofY8lMgrnygrAhmBQ
5QN69HDuV1OgjO4QhkoXN8UAn3YNsFqaIEZV7X2xirExt+CUJmcDkZXFbynoCO5grymMT8M8BAG1
MPd8gvTep9d9OICYAcd4MJ8CmJ32gwX/9LVDJGbd1SQZtzvhU2BgrCDRAE0Jr2vXk+a+WEjU41Ct
UfyFpGrXNZyTHwAkiMFJDrA/wQUcBQbyxBvASjX8MvxaZnp6o66Y+ofKI9SZ2KJBqD0EOImOyCht
na0goOflXcC1Ob4lwcGNP5cFvZ+Nh6shHWsEIDnYDvxyCxUn2kBM+aWF5Sr4t8acCTpWWXnEByBh
az4VEF/a+mHMlB9/7ZI+gvTPa2HTmmJ68Rwznm/cR45w6/orN42BONJABBkNKGNuCaeobL91DiWq
lRFniw4hO3+iLe/Qam9qfsYe1+gr1FGdugKoE9GBI08Y9wDmg/9oB3HVXFHGkDY4jK6FkNwSHCmZ
auz8foSaHW6Xlo+4MhVCuK0TQdziTk03m1aTSS6Jb6NB9zNFcUqZ0xA9i/2FUcM5sndA0wMVtiTg
SN+UASqcraOiJvuBSwFmF2PoRsfKHoLr2igNMBJHSEnAh98/SwegA85cNYzXoo8RitnB4Pzw42Zu
1jW4NIlEicEh6nq9/OwgO/QJaGetbpYTzFlAV+fgSfyGwLsxj6L/V+BVA0sIR868EfXV3JvdYmFV
obIyPdiedGympMRpQONPWud6vvFd9E1AXiNGklWvzQrXwIGMngZYKFgnLfyUOtXjNyOP0ocp9MIQ
NVWoIGzCxMbOGaO8w1hyPqKTrINnM8QIBnB+MO4MlA/Ilxo+qDV8PKp5OGt2v8TyRi/Qrdvf0VBC
RjJg4NNQLiPFf4JtBni6EeFjTgH4EzU2umQFmdinhYwAcKP8Dn0k7G+Yyfkw60PiJHGxqWDbH6H1
09uLnHEgexbx4SuUGkmIEPkq144i0m7bg4u/tPPS4mlkNn2uWaR3GB2Ca6ZJobsDXqPp2zzLZvFZ
G3xjHbqd9YB/0PA4SL99Jccy/y0bO/nuk0F7I+XQ4exYwstfjRzmaN9gFr2BjUK8qqeqLrc15gzG
1svS+Oh1Ob54Avrza4R47cmAGh/CboZ9shnQMX7OQkK0Vl5dQL/C2a3+0SRUKytkvsUzggr57JmW
/J1E0V8JTl3nrmed1ZCzO6cyscMUCXGBkI9p3gW52LDU2BdHmKfJhiZydqshZmKHRPRxtYLAiNHy
gIdpzqZXIWqc7IpEIzST9DFin32NpBT6Rpl2UA5JO2a/neMJFUUVwl1b6cbkRsBtz0iR+dnF79ou
G2dNwmb9izqriLZyyN2IAibHyjPOpXvbwjk0kVfZNMJ1UfKsFYE3EdcK10tvHCttURuxX3UESMFb
1SYUFeiKsd/v2QyyX0Nf2d+Ngf12cQnPjJuudKofLh0+DwpflpMG64HHbwMDO6xtN9vV59YS+okz
J3CuSOcj02GCNotDRs48rTr2VW5vRuTW1zUIKJ5/fZA+1VVDUKXkvCblt6BnuxV0XH7bTWd8HSAE
X81VKb9gtLxY7uDV1NAyS0L4Jhzt68GLZbaP/ABl2hSm+rZOZ+85xxqjW3eYO0BuLApUI5GkSIEE
gubXoyF4b8CZqa6HTMvHvm/Dh8oXnIWBTagWTgTB+Fk0fY5bB0xyaxXiWHaL0m/+bvZU5+vQIv96
5YzcwmmwCmS2dj+OL4M5YZ7JZZS2Jy3rGnK2lQMJh152reA69euuVu0DXbXqaxxMxV2cE5m1gjID
cKYat3lIsYIEpgnc8bdIYqgjNMKcvZW0abFrTTLLd4ZBKv0a2jmhlroa529oqqonXfcB9YgwkZNI
jcZvR91EyjnffdGvTYNyapuraB7WQ6TxvIJLZ67A+JJ7XQQx16GZMFVM81W0QdgYP3pcbF2qRj97
80wbUnjnBxjQsRQIziq5kz16eADxOwQ6ni1NhOrWW2QK6znIDKC2uUyea2+Cp5IZg/oUlCKXO4/S
qVq5TcwOGtQgSWQJsbGuPCzLjvU4ukiSHRYAZYPP2uBEgyDE5oBje1dG4p6ARDYqbLrEG0RK2KXh
PDj7ZmrTo+pkesTOJX9tWwtiJRNhf6LhEH/1cweH6DYHrr/uszjbpyMegJuRvvYrNByuSL5bQeUf
ZkhQFA8xda8rC/w4JWzz8ArvB5rjDaLX/trOuT9rH8I3pk8Tfa6arxHTprKkHuhB67nNuyYex1we
CZlMZvcHAe/1gLmZqo8Z180nyzFIYkYAopEDVdbDhFpo3Boosb6lYdh/GTTSPeprqaja+syeFyIW
MBhGc+mzYcL0WiEoNeFEBoE3bIB7mnhrQgKCyNkABK+azltM2em2AOcUrnjRfMA01J08mVZOGxJE
PyQTdBcTtO/KbbA93qYJdIAt7AmsoEk8Tg6KSDBzNScDgedJ3Wgc5/qQ0Iiq8bmIVXbiMRmBaO8h
xpTjBlf8OHiNm9D6HUF1clZwuBrw9bRFhJGFxVuEgcOtGQ1LJMAg8Czm2hFo4lam/IAbsJi+WL6u
2SBMZKS1GKz2ug6YxDVWHhkGRrLC7zPm5lJc5XW8EC9xpsANqqrNYGtgyNzfYmBJM9GuYXiCVgj1
2Zkb73fr5c2TWn41FLtB4DtcB7h4T5mA/Y5cDw1GrxbKa1LjVOjFZfWUjJn73aubgWOUTRD1Kg4h
28mUNl5LYKGf7M7GfJMbGgY+Gis1AiRxYITxTFeORo2U2UggArZyfImIC3HXqdI9McbFEkzCh3bV
0V3DcmmgfN9GxJQUK7wViPHidowAV3AZIv1NNjJCr2gGNzkbEagxETK/jZ5Db21g+kK/w8EZCB1M
PtmwnGJS52SCgejK9BoESPjpls8tZoP4kNE6/0RTmD6Wafbc7kwx5IeUyNwY0/3Cf4Gpj9rTDwZr
X7Z0Lnk7yMwFaYVLkuaoF9l1zu1NltlrnWZ5eEsJYX/R7lxBCy/j8DvK5OI50xkAdOnbQXYTYLwB
NG+YYAQRvaRmV/e6ePIJzqGATgJ1ZyNzwpVndIbXIGg5p+ly2PUmFDJwt71Duv3KlFkJsQfMejPQ
6tKrPkYiCVO/qb9YXH2R7Cuj+s6nTkyG4/jF7xHZDymzcCxgqtpd/KY9hNVWx11yl5sh9lBI89oH
jxQiwMa4yK9hsJc9CJRLGNlSdgJ3uKM8pHjP0xGhWbxInEmnwcVS59dpEC4NgCaBMNihHSbGgAYs
51EVQre1rJFlygvNP4/4cP8IsC8iA2euomodtknw0sAnHfly8/azLrLRoI3B17qSSYd8JbXqluAD
z//FCgfQwYA4B16PzSe2xuwpmPM636i2mb4JtBcPtBxatQZgr3AAxybrsz+3C3eBJLuD607DNfm1
trnmIzAXmyofTw0R9EmAX8k4HwVc5zvkgCgrzA5/DabPBHhzVV9C1CeCesBsNMT6kcngvj+NAksv
k84qZUtiqGKTeoZ1J1iNRLhEmb4lExytEq9TFhurtugdTqNFOdYSO2mujaGWNLGpT9ACidkbtnVi
OPUWljazj7mn+5LaEahtCLsH5KMqravGWB6tzER1cKTmApeNPUhGC+P5YcoWrRTlrd7kuO7HC9SD
LraiqEU4lNpczDpUA1c1shtyXKK+fybqMH/i6t1/H8M4QVfUkJ5jADaU6xzUksOEoHFzHcyZ2GPh
RcZXIwOrpFbKkxc46/VLgyFfzPG4SBkiY6Jl7eHxjU1DTMyX1Ufub3YV7W4Qn8RIh9N2eAsxyzrM
JQ3YlWOB424JkYucq0qjLNsHVK1fGt1x+YIeHkP+GtLoxbKRL+DQSVz9TdgY+SPEwhCyDrp5hFp+
Pr6GJdXWOszBKjdYOIprti6u9A0slHRjwBcYrtASBJ9Rc9HXssA+MGuMOHfIK8tUvEZs6HhI86Og
XVv0uvFOD4rhe5bS89khjWq2gkQB+oQVbBsAz7o2NrTx+/ARhDmg4CoLYzMihTQ/t2NMR9zLU4hm
k6ZRe92SO/oVQW9zhY+gSYNwhu9Iw5YmKz1sGXfbuJt9HBlYEtYGgx7rtTNa7CRrcinb61Cjcd8t
y0UxvXxFW9rZWHFwBcXEEuJgTVSX4TrVzkD3zBWKkPAJi0GyyMeiosBKtY1lhLbJPIClRBosvdXG
xBnRK4a9FkPVrSk/OTvQKVePLhFmwa4SzviticbFCKaWKIZputpQGOB7kObVdsUbaKuNm4FEh7Iy
4Bs/x/jcYB4jSNZbVTnsy42dJFj0mGYEO6TGaBv3uqgQb22J9/Qakb78MmNDBE9GDURK9ZC2iGdt
bTZv7S1us02YDPO1GOOo2eWZkx70NIVqVWK+BQODgiG9apvSI1saKZ+/J8KLiwj4IQ6mNZeb33EX
I4KULXSu68xwG0wMqWVAH+3B9q8CwBIU7yOp2NgQpXfz1NsGoregz786LqkoG3QTvvc5Zn/+1oVD
SLeoqLTYVLk/cIEl5fc70AAWJN3YlMBKdPOsByxjynqD4DK+j5LaGuA18Icbk9gpvgu0JCRxa6qc
jaWM8DjbGbTvILKC+7TPrXZL6JO9712TqKVRJd0dBd8Y7SWXymhlcxCZfP0dJjuNkYgf+D7Fb6LD
AmZdl0Zef8W+XT9kZkdvcZhlbe5VBzUU4nLN9Y4uQoStN8ZUoDyyit/Qnea/UJeLYp2aPqINAinF
vDVsJzSQdCHvYFuPDFAVbioY8FHdhWRh9hsOzJpSBsOvY59o/PvqrnXebGfWNeIYS8DEDMIls9rp
+iu/UzZMSJLt8p2m5P1lAUEGmxgiORUmupZ79EIcuKqgcYcKq/2lAWlqQAnp4rGELM7f9yaye9wq
VPYCZYjmXdm09hZIBUoImB5XuRQDhq8gbuWnClgOkVVa58PXDJ9DdwUjh34L5ByyluExS4DJ2I0X
F38CSYNMRVeNqTKXVZxNeOEDuHY/Z6hV8bapIVlsROpOx4Td/WfOdvQ04UwbrXPlzFvNpRPb/CJQ
L1YX57dmQ8DJxi4s+uiWKr5lrgWPBmup8h6/s/DLbGkbpUGXTr/BacdfJnqWV0rJ8kaDuMabEuc/
zKzsNtummJC+hLzgR9pUUIWSDnA/Cgv87CsvtyGVZwvW5pVdM9LGyUijQs2TfOYLw+qIYrcfSpzg
CXzuflJ9gaLyUZZx+gBrJnQgqeqil4ARbM8bEU4dm4gpVe89eYjR8l0b9o67kmIaEvQ2ten6/SrT
dKK79SzGqf0UJbKgwwzTqvlGPADT5CZ0mYG4m8i0rgPs+zuaN8VUQT0CWKbTns8SzGstjIwecMT6
XNI1Wivat6QIjnS7J5MvpRKBl9icepBhr4emQxtI4w9XkTbxrPFeEqOKmEKxg1X3vnQl7RvMBRxi
2WIn7YIX6Qgz0+uOd44EtIoVeQBYZ+Fu+RQTFY13/lC63S2Jdp69s7spVnuHnMP8B6JW6WIYIctm
wJqxLJwtzg54J95YHoat1P6B6PCiD1PhIOMF9hzbu1B3bpNfaY8oJucWwT4tiG0U6ogJGa0SI55t
kyCPsLc4FI64q4TE2a1MEH5zuTlwx0fUN1KqecZ8n2Lfn+3hfNO8w9mTTTKzWw58TqjGvYmJFTTW
o8gLwihgOxHDitJqsQgb8G+PySSf8dEhL3gdhmjW8VyQbD/If8JD7GE8topriKlUFlEuENE6yuKG
Tq23sQky/azg1hc0/iGLpA370woBtvGtBnL77dh2/QKaWzfrGK8BCqqM/JZ1G/nqQFubYJ+ukAIS
niIKfRMVKGg2ZqBTa933Tv174QwTDTDY8eKGUiuE+HDZSUBPLJxI8SW3uY+N02/toLQmHjsb6QnB
66fyQdOQbBFimVdwCqUChCjru7Iz1LTCBNz77qbDtMMAHnyepI0W7lHXgqO5tgUtbuja6HWEo/8t
ID8v2o65lYM8Yf1MEBmdMXXF76D7rg3bnK9QTFHl4xtMUVaOFc7uwaw6m38a+s7OUMWAHSoXGtDc
IjkcHarVNcagfr3FCInY+EIRNhL1uXcEW4fAghY2c24cmvhwKpsEBqTXZsaj6dggNMqKq9+hzK1p
nc1Kdbc6ruUTNR/crcCjMF7NJoGi28GG9bJSCr8l2zSt+JpIFAQlZU5LZY36Ef5RJDXJ7pZtuNVN
uyyRTYxuxtibwzhHGEsJQkN8P3aDNblmMZ4fYtbPDrdZ2qkwKSSRer1ECQb5k4iRKiFjfZhgiI00
sqjhJLBPWaIAZ3sgFo0LMAxv7Ahy8kS6sNbOVVPn7U3sN4GziXo59GutfPFGkpXHv43djlrFeeF/
h0vUHDxooRSpqCx+uZas3+A5Dt6aqw0ru5QtHvIjdrarqMXTdIO2zT54JvjvLgenfoAyBsLEsyVX
HST7B5yXxu8qt8o76RBzu4vo4vhbEmxsbwvTzuLEtBbHI6umc72xJcrjtYLaTCvCd+p0TdgGuBoW
r565woAL0wLd+xPt0jj+mac5ka15kxuf8XpKsYRzzfomT3Jsl11HV/ssItfx2kNzf2u2dXJ0QzZk
okPxF9xgeAAJEXozDCbROra78ucoO8DyEAj98Oj6HkbJBBPQJfYWPYrbrNQURNEKaJi7T+DTrVkx
HZz8DajosxPK4VXObXHvK14UCGMOCJEb2NmTLGbhojsN5lucqZxGfRc9JmLBWKPMmnq81zXrzSaK
Dv3dCGzDbQ8VAcUrigA3GOI3s8DLVSRRj2jBwMkB4dMcHbxJuM4mhE3o7Upa1OWKgoBeAV7LCpWe
4LDG93wIcYogdwvpL/o5At3c4QeXv4nw5Gpsb3mP3Mpj4UfLrQs8btWxFeFxiYWQXkwV3Ffl2Ysu
ec6wo+HulUOII6biC1essdggKFDdFdhkXa07R6h7fHzGNwSM9VvMjeUH3dyg48I3j8cUcfEjHdD2
iJt3/TRiXV6uQF7w1xGWwxPjDclE/BfSN0jyVPrbCtvS8qoy3RBnjdrDTHDXlbSCbiKI/aRWOQgJ
5Pbf//of//t//Rj/Z/CruC/SiUb7v/Iuuy+ivG3++9/2v/9FX2H5f69//ve/XUuZpq1sD16lC+QJ
CZU///H2GOUB/7L4r9CMwqZuaDWXVtbe9Tjkl37Y318exHk/iOKCYHq2p4W0lWc5jvt+EEBDl06p
mxxJUq1f7ULrzy7nxX6OrAEbWkHq1QePtfyNfzzW30bU70ecdaQ0/hTJsSnM6Z79j+hQowoeal/b
a2uakQxgRRPuLz/n8rf+bVTHIkLGou0lrJNRAQt63eGfevRct31IVew8WVZuGFtCyiJEZBNEQZ06
5p5qFfH25cHPTrJrYREtXdaBffImIbIAecBgPcZNPX1aJG36gULO/4SFrJ9fl3U9oJ66PObZadaS
CxSW967lLr/pj9UjMgKHndZMj4R5oc6eac/8pI0bvfYzWrgpFMMuHwQ5PJeHPTPPwmRIxwWE84iJ
fz9sD7mtVFWUHJ1qfMx8sOxeJzCDqDFhDYzcgg+JWKhPUHhTb3158JMvZllaDK41fk5oA4Ul3g8+
yYnWZt4kx1RWlL4FopobWN9pd3V5nDNzK0zbQY7iSh7U8d6P49RccBmGhzQI2zGMkJOEIxAoZ+jb
lwGryX1O9sPr5VEVf+vJEhbQTCkPHde2EX+8H1XT4R793I2PLPLF/xQd6ESGQRlDdSzaMry7PNzZ
yeRzYcnayEHc5ef8sYDQVZAUZJTsDHVAx1XE6hBaIf2Ry8Oc+TaE6ZkO5HbN9qNOF4yYmxETjfTo
FyMSU4J9aoLd6de5HHBwtqpQ+rvLQ557fcJkeSIQgOWrlj//48mMhdFbw3w6RoMto8dBJ9SPBiNN
22Ao7eKbrgKzx0qU6/jN5aHPTSpxT3wgbOoubI33QwcNlvg4dPO05URXIMb/t8JzN+j/wQr9c5yT
Far7ZNYiUohSIPmhKa+CJ2h21ZYgNtQNYYTRbxFE3//BwwGvSQevZ8mZ9f7hRKln8GkrPbpe0fZf
kqSS/YMDfWrzT8axPAeWrGYeTyYR0Z+bjWiNjyMXPhzIG3MOHosazuUHC+Xs23IEDRVt4c12+kDw
ASAydXl2hPSs9gkpK8EWZ1VyIC8/0NkF6UmT5qspXC1P3laaKh+AL8yPTuoGz5QsodhapuVh/Rc3
LndKZTUC5l5MfXx55HNfH/qd/zuyZb5/ZexhaEDg4R1xMTe/CDfF5JGtR6BzwaH4e9OCrF0e8dyz
SlPiFwRjXvIZvB8RD62YMMsmP8YdRGKfIueurcfswcRhGQfJggYqIFXywajn9k7JkoRw4DgIkE9G
jSp7Locmz49ku3iw/M25/I7tYXl0CZD4cfkJz83pn2OdLE/aycWIro63GVnti2e0i49XRUTyiGb5
oUfi/vj/N+DJ8vGg75tWH+fHTKc1D2c4Ub5FzlQ+iUbar1WOiPYfrBt2L9yQgUi4yp7MZ0iYpSzJ
3DsWQ2rv6dap9k7HJOyt51QrDNvc2KluLz/mua+R3rvNsSuFsk+/EujoKG7rLj3Sf26qde2Tcrsd
6Zd/MJ1nV+j/G+f0m1B5XIlYpykGqeEbzd8JaUVoPUQ6UforWbRDdE2WsPtRwXZ2if4x7Mnu2WIv
EvZukx577LEEeE3mw4WqaDPuQ3+0ow/2tnPDcfxp7blC8ipPFk3Y4uIxR1EGYdD0dwnarGsqwwCn
6yz6evnFnZtQS/C1K0c7Jkkk7z95jsMyQFlL+Svt8ceid7jJLdgOq1QHe+7HVziCdx+8xHMfIduL
MhX/k/Ax3o/pZLQMVMgBONB/ctf4LZXXKKvcW0LDAiDLvKo/XX5KseyVp/UZnrWWC29GelLL90NO
OCS2jmFzLOk2fHOhOtR9f230BUQQ2FsLIIVWFgRqpE9p6LLdqWFJ+Lz8M86+VweiGDadnqvV8ud/
FDez19Yqs3R8NAKcOFY4dnS3GPqg/ubGAcp7ebSzr1ZTDCtBE5F3+340FRskI05hfPShQ1+jQy4h
9KNrfnQyMMcyrfRhhADzwQ57biewMDFd6jfbQtP9flQbl7YF/10q4dBEwDD1zaYBuxw3l5/u3FxS
yFABa1RYSpws3BRhOdSWPjnapBLddqNfdrsxmStBpG3lf7C9nR9M8TVqKZdy+P1D9cVA7oY3xUcM
VO03/KiNG7MIHNxhzW57+bnOfRy25ZggC/QcPPtkqNaa4HUZFm9NmJowe1pN6zGspnuCR6DwI0qs
Pnhj59YJAJqtMFbQpmWefI5VVpiZiyL42LU1rtFhMQ7fp8YB2OkscD2SBOux3oMAiY8q4XPTyueA
mN/m6m2aJxWObvyKA1FQ7NMjIHA0KsV2zpU1bDQGEx+U3eLsaEqCipA2zQo9eU5ORD+fYJsdodTW
6xJY/qsULrYibmXtDQRcGzaBDpG5Mw1Pdtc5GE+Gjr5vECbe0qlUmCyR9UYzDXT5JTEq5/ryqxfL
LzjdpagzF9gHSIkS+v0yIwK2SEleTY9I9iGHYxhxlRn1/CuBfQNnTiQQhZX10HsEZ2I4KlqyUrj3
yV1ILMfl33LuM+b67Ll8XA6I3MmraYfBFFipx8e0IE8SD0MTL5RiMJvwH5x1fw50+lZiOTZJWXCV
zczm21xiDLORvRDiuitgu3/wdS27z+kMk8epXWgSUqHkfz/DZqPgheoKFIJOVLGGnGtAd6odl0YT
FnPAgeSLQgyPPuN91Kwvz+ny+k4Hx7FoOfKW661cPsQ/tv92bKBDI5M8kIxuII5qPY1gJJU/mhhx
/D2BE7bxhK/vFO91GYT2C2q0Sj5f/hFnvgJKfL4B8CdUOeJkBrpyCOuG33ZQEmMszG7TzrmyW5W/
lAWyhg8e+cx8cwRAKeC0Axo5vVOnPbYSwGgeGqCufsJrE8c3UWFsslMoDaKNmzcY6+TBUH8yakiC
/+AMlC51BsUGfWFg+fdTLkeEi0llewcBu18vODnbK22DynuYBAE6vg17+lEROZh/cD6d224wwZG2
48IdorV28jEvnLQqpt9ycHqH7l7fScE2E8zefZlBbt6BVAf5I6olqI7aG4wDFTRSDZMUv63he3iF
W20/jJ8CjIKIPSmnzrqbRjQUx8sL4vwP1csOzLfOjneyLC0alGhbpX/wMHoq9qB0BGWbqp/usREx
cVWZaMWJXtO30+04d9c+FL9hH0bRSL++7JW/DyqOLBK1vcTdsxr0XqRm/EENd27hggh5nMCSL1id
zGeNIHLwS1MfBgO1qI0W7FNEHsYPfFu6+T8vnSTlMG/kr334FF9LMOIMTGK9D1aP8zLNt5lOZVkN
4tbo86DC0LQZQntddsKLvlx+HWc2ieXrVHyZls1l+OQxSY4YJVWId4BHj5tD1xJ+MaSCW7+dw7z5
0tSq+I3LQPqtKUX6OGJ3Hl9d/glnCgIAIsVcI+rBSOFkS05pgSJM970DnDo6w1jVoGkuC/u582fk
OLKP9TfswhN1fXncM6UPlTFOWsqy+GhOC1ZivDukhcI/oMkZYLhw7uaLcx2W28GcRHs8iqP8g2c9
t0FhcCwEx4Gm+3BSbs12gslM6fuHBDfn6Kbs6ezFpLx4xA8iw0VN2dV0tdBuY/wW9q+Xn/jcmibb
j0aAB1It1MnoWLLlAm2acYgzQ04blH3pQDaQrqz4qrfbetpeHk8sf+HJEYR7ELPsWA4boj751oee
1UPyuw9c3MAYRj/tXs9+UoiXIB7Nx74qpqe4nZaUgKiCyzfK+EobOa6LGcnGTE1emFtD++YHgPa5
0oeqB5jZFJb194OZ2BQSsErLOCi8Pl6Ceu7vEuaGhi6ukfGmb/oMZ8DWwQcxTxG30mz37tMQ26h9
lC7TdXmizixF2hUmvWtQaBCak3PDd4GqCDsxDqlP24CLoYrtX3MawdADmao3FO+j/GD5n1mK3MSF
hbUNbShkqe/Pqsx1TOIgA+/QVa51U5BhT84uidt64zlVAjluwC52DwAS+NBNo9R/ufzMZ0o+Hhcs
FfTbFLa9LNY/yhOREqMHDcQ9GEOSEY3qlWidpx6W1uVxzs0tnQuFQxbdeEuebC8CvmBFoJh3SKMM
tlY+CfOTG/bEgTQ4spI4UPT9w+Uhz+xoFnsKCA7jgn+fPNooeq8ICVI4wOBqbuPBGsJ9G8kEEh7p
h2soWzS2i2Bg17k88Nln/at/gqMAu8vyzv+YU9VBnPGGwTs0eFvfZKVfQcaSGCW7pus+9yLA8uAf
jAj8znZmCeHok1XU0zSf8NLwD1guezcG+YyvyHdR7gDcYoFMAqvYXR7xzCbGScU1fOl9cWicvM+6
K6AK+613SNhMdwFe17eJjL4m9dg9Xx7p3AqlkmTn4pOU6q9K5o/ZhBVQtVRw+jDVdrRBAUWciTFM
s/wHbw15LMxik27l33ZJ3EPB2jNDH+yqafc2DHM8nzsnfrQM7GF3eWGIb5ef7Nwc8kFAxfirMXt6
5Dqj6CI0C6yTxZAPjRF9xDUppDieVD3pVv85nmEp4TGNYIwLGvV+WY5hGMUkfQMAQaWDwlnM8JfC
AWMVUyOCufxs594aJ7oDC4Qqk4Li/WAxLtHYb0feQbMYt4pGzUJ5wgPzH7y1P8eR78ex+mq00n72
DrhIDY+pR/7errDQvWANtPg2aNlmPy8/2pnXtnRctKeYR0HN9n5IMemetBNLHwwp32w/8Q6zNR/q
pHIeLg90DsBkJO1yE+Xkxpj//UhZPmIfgjv4wdPkWmZtbd4ROhW4K2XU+R5TFrJnlYfAtzAifVAD
bH7ZlOmvyz/jzHZmgwhQrSiKUPcUsGm5yhExNbJuWlzwrdgRzwPRkmvGyz4Lwlg/eOwz88tFGbAU
tMZERXiymRVktEad7xkHjPwpwGcdPCR+KLDRkWiCLj/bmWW61J1KgZgSEmiejOUllZ/l0vYPxpxj
4E7q2ER8b7SgppcHOjOJimw8AdhGwQkW8f5V4h1I5lksjIOtGzi/GNnDJK0zZTRXZPzlzbOIIX1/
cK04U1ywZSyfuwVjgPbe+0GRGPlB3c4BTSFysZ7CPNBbIUciUtSAUf6GtBQZ3pVhEBGWPVYfLZxz
9R3juzA/aAxDQD5Zv8R/OnU1+sERmY3od5KF5KFI6JcEBBiGD0IF8hpYIoIBmpNBlIxp/or4Gjdr
5OgkS/zn74CfQvPYo1A07ZMP14EhInPXCI6IXRAqCmxraazmuF4kMPZjNYuvlweU5946pzKFIxAQ
4onlz/84uyDdlbhYubwAbWBADC6ijhmXoOpqGkTo4nVIvmVwD3HUIti8LGP72KdI6khrI9hpZ2L5
GV8FRLjghKBnEX3GWBXv24GOWL3zHBvTKJHZAYECM6f/cBg5Qe9i3Rjii24WkRcni5lAGE0HyLB+
abvbElpH8Akjsrb+fvlpz21XDuWzcqi2YHQ5J3vxZBSY1HZxcBxq6uSQpMNHJ3DseGsTGWVvnQSj
LEQC/nGy9C4IITHuVAFT5j8vqWHJWCYIBk4fVAzvJz3A/qsZ7M44kNXuuwl81Mobv2Riyr+Ofe4+
ZMLNrsfUcT/15ERtL0/Cuc2LaxY+j/gasvBPlnzVwLWPPOYAF/zmxY8wLyLRLm9WCYjrB2Mtf9fJ
vQ5WlUuJ6YK0cYl6/6CYYOBioCb/gIkGV1WcJvwaKw6cm/CfHu7cNkDmr5BHN3ijD+awwg3fjj/4
qM5U2XSb2T3ZRSWtgRPM2JJNV0/tcrnEpI1YW5K+gic/D81HDpR02HSI8u+mVo3Z7/98pqktlmYQ
EwCs+f7pAzdDm+S2/sHH5W7rNOiHybpFiWeGat5fHusvauffptqDF0UTAdb1KUBTVQpyNZqhQ2pG
R+jH0Rcf35nrqMz8T6YBhRTjoXi8FwWBWDutW4nXmkIYRlYj7G20ovVYfgCNnbvWKw1iQxuMhvHf
iFo5KbKCwDJwBEdHnzpS6u5l6Tl7PQkCGn0jf3LJqSBZxMHhJlPWi5OS19rUxsxWgMfYKhqDwvvg
nDu3HHgpDigGPVcK2/dvpfMAMLpe+4dSZviEO9C+zauCTHtzRbpEKVYmfpB4C7ETXH5F5wf2FE0C
amr7lFASuF4lStKoD1GqETG6zdh9McMlqi6gpbCeDRhgW2K5ybi+PPC5PV7DylOKpuv/Ie28muPG
mTX8i1jFHG45SaNkW5atkW5Ykr3LTII5/Prz0N8JGoo1LPlU7ZYvdIEBCDQa3W8AzzL9sPcxPugM
H51E50mLUbi0kWdy5YYNkkXKEZX5buWzLw6H8ip54SRjNH8OyWMO2bsO2PZOmf4wewqyrogkddNb
KLlccxOH7f3lGS7FGQIpmTyNZcBksyOO2kQnnKjhm7b4WruhZ3qujEJGfC9oD8IrLPQUSlzcJD9K
vcr2elDb3y//hKWwymyRDyZ3UjiC54ucQ0uryt50nkKcL65akrYaSVfrdxMFbb69PNZS1jRdGyQs
1CuMeRkojKnsmz3TNdCHuYLMCDuJS7n/ncpAaxRMwaVv5lgjzW0LkKcroWZhphQmwX9QnTS5RGYH
qFIAK5SIoj/VEzGtV4VVHIyufm2loghXZro4FkUHB4AgtVB5tqppPCLNhWvBaUzL8BijxYPiJU6f
e8PQu2IlMixs3KnbQAZCB46q6/T3d+ekaeUeV50wPLWFHX2b4Gju4KXJXQsvD1+xfK2nvrBr/zRV
QV7A7fmA/oCNF8EGLcJTo8UaNOso7BHELusyuTX94Y+a32C+yemoX8NBCIKbXm7w0728l5ZWeCrK
TLULJOo/ICMxM4+xAAFDIE1tdoBw+WMH+POkV7K2Ehn+9LVml5T5frDZ1qlbiElNr4YnVP2cXyH4
ZPmQRkpzKAdU+0m5EZ9wucrRLzF4i3+v8xbhereHWgbPA1YQVWjNMF9tKR/VDQThoVzZA4vLwcfg
egDA4Zja+R7QYh2If8AvRB+iR+apDGz9kGo1suUUw1Fxurz6i1sO3LtM5KIdqc2Gw57PAHTnMFwJ
MXufqLhf7XsksVGtBPQT3Opm83Z5yOWP4Jhog1s0Ukj9z6foBYHvg0jxT5nqgLJy4aqZD3jyDKga
II+dX7UyMkLHGpmj2yx1TJx5HCv+jyBNf5TJGShvFTHAJGyzxG+70TtlBfO89BWoyUwXFsU7Cobn
PzFj/ji/glsPkH2IkATTMZPA9OBKKhEHWvkGi4NNfWBQnhMqabYeSE5baWVK4UnBHtT/Uo1SXe9H
3Fbrw4ik3L+Xl3+KWPMjMDUStCkTBW42u4yL1hgsfA6iU1pkQbI1KrCLD6jVjWtheikjpCFJns9b
UgFDMxsJhLrRYxeI0mghoQEaU/J+RTIC9pqK73KxAf2E5oQKgJaic9QfPS0SO7CtOX6QRnGFnn27
vzz3pd1uAMDmxqJqxLP7/LMmtWgCrZOjk/0ShWV7bWRSca94QeghxKJXa/F88blHndT47/GMWZm7
0itfQyUjPOl6pLRH7L6adN9oPZxz2QxuCqot3lfsNfyNadbYE/ECgQefBkUe/EWUNcGhUu4H9cb3
P5/5dJeQuSCQpmZpMbi46EbbMWu13waN1M3nV5mSrW5SQpXJwWb7eaw7Z4SmGkHjMXAfqHorxaay
AeKHGE6BXwIpkbySEyxkJBRSuUU0ikdTaDmfX48HmKrkaXhKeVtmd47Xx/VBQXLxDp1WP96HRecP
h0YguolbS5+hff8XkzaBbIEVpWk5BwZBF2nUISaojSaoCcxiJNipcsBv3YWtP9m90obxVgZdihzg
UxWbAijVT236+7uEQZLMxpM5zictl9qfnRgwhU4cLqa0TU+X57c0FLUXEjuDnE+ZN6FL0mhghFVw
ChAgi65NdP92eFZo+zTLG/nq8mBLZTFQMTwYoJ/xfP9zsN5NrOtFA/eKWmCqUv2ggpNzOWSaPF4H
dYJ6A60Ien7IEEnygaYZrg9wfwWoQAPWclQxi5XMYSlysKM1SMgg8jAvOV/pUGsyK/cGH4FBybr2
R/KiptCtcCcGxEa2dGDSr5fXYNqx8zhNgYTzQ67L0LMnhahLhNTL0j+lalwaaD136KIPSOvlt0Iy
/E0h2W2yRfuhK1ZixfLItAX/M/Kfkt27xZe9WMaZ1GYr23aj7ejpGu0DxGkHAHsvWXepk6JP4pAC
Zbu/mLNtGSTaoKPAtJyvso7NjMR14p8GaEzfwBt613aF3udry5/cFsSPfW2NcvHP54f9g/CcUhLV
smYfVwG3SAmyDsDmKvW+RX7MDQncVwGqGz9b0fU1Qg5RPP7FbG2agxwoOHnq/BWFuq7R9D7F1hyv
ge8eljnfKyz9rgsZDbZ9nGK45PqJhEHf5ekulUWIFtzrU5AG4DSd9XcfGPUkg/s2lJ4aWemGGxup
8yOiEkjp+HJtYQ8J+T6xw9K6AWCLZ7JlbaWCzbBRymZEkEAW6o8aYLX/F1kXPRya4Ox7lQrp+e/S
UE2akGH+qe5x3HG5WOGJZ74XndoSY4SV4Ll0pCnJaRZIninOzEYzEY1hH+v+yU86fILz1urbbVHC
HrJapdkmSDz9zQfX2dm80KF9m1Nq9m7dKTDBW5KT8DTZ7jz0I463dij6f9U0bhEO5gW/laXVPuPi
PHWqoIArpwg+290oOYToZAfBKRrD8UQvp5G/dk6hjQ8ekKZyqyNju9Ztn3bQPHiR0VJ7oUjAdThb
WySOEC022vCEqEn1XEbVpHA52mJjaandrHzIpXjFa5mhdLJN7ovzZc3VNAtLqINQaIMKNREsW75h
M4G3RN5rZbJPrBjBkTLMEc+6fJKWlnaCAlN1oTxAmfF8ZG2Mah5p3L8BAkOvbRzYtyhitQi4q8FL
MdBAWEmtltaVAiuX4oRR5XOeD+hJiYp8gxacgMCCu1bxu5Gv48oQ9Q6hmihcgR8tZFU0M9Hs52FI
xX7enUKzTEySQDyXeZpXtxXOWIJw4A8IrKVjNdw3TYwpiZVM6kohDqxif3mBF+ZrATecCIa0pGiH
n89XQyA6H3HrOqF5pm6FKngv1Ib9ewDh+P3yUAvfkvcQW2hCdcOGmd092CShtqSn0anXM0xpx1FX
xLVE/Qc3Q7sH+tk52fAXVy3VBNOZSJSUgudn02wwL8kqPeSJ1CpbxykDB1FGxfoXhTnjBt3K5OAp
YFxXttEUaGbHk+cPbzP68+SOczKKhdBPK+H2+gSoFvMzoMBl+w13ji5eiegLRxNWgQl8w+QNBFH0
/PsNpqeaftmDc9bxlN8kiYXXRUzp1tvaaGsn3zBuMqsNvXrQ/Z//npzLidpEmUGxZ8FWD1RMZYYE
eIXf5bfIjun7NhI1ZgK6uq0VaViJQktrCnRkYt3wwOTQnE8VnlaRYM0FyKBFVvioGDEAWUsk3QpG
Zal8gkAC4AraOhpP2dlTDrWxTHJQ33sCi9gdIyTZEeyTuuNgDdIGyZ/4UU0RYDr4ZY5ocif9pryD
vI1v1iYKfYaJjtho1QW2sVq7sq+W4gU8Rw0MBCn2h0J/kY5o2jeV/QRSyJGvCzxJ/SvVqrvmMcIN
QnILSW8eAFFoxUGnE+QfP//NyRuowEG04t/ZN7fa1kDoD6QsxjL4zQTVsB2A6+2H3jQ2GLv8BTHY
AvoDIpLIodpzLHuZKoGGpZn3VMEuf5OFpuZI7ZrYP2xDMUoh0pxUjG/6ERvub5enurTdwCtwrU83
D5DB8+3mIVFNNyCVnjwLNNZGk4qmRWLfqn79xTjccRDXJgTIHIrrYZOUoj1K72YM+6tYlFay0SnK
raE/liI9vVVEG6hNWcq8KJijIYzGBlBEFA/rDQJc6Y0mo/8IITD8cXlKy0NRfCTR5Ik57w9laS2h
9cxQmhTHV20qv8Ve2f0QFXfpX4wEpgEIFAktpZfzj6SikIW5b+g9pWFQb+MsxxJXtPIte9hbuaqX
JkWVjerD9Kk+CBkUsdGOKS3eJyVEj3xIqxQ3+RCXXNcXTrdyVy6FdbIQkKq8TaHHTj/mXSKLJHal
4REgPZmBj6tVKHfYzFuiHTHzxG796NDiG68dbcxXPt0U2+YXlzPFc0cmfdbnVRYtoQZrAAY+8Tgp
Xzkf4ntiyW+iUZ1bJQo8ROHNSY8/FMVtHdflSjqyMG9bJh9B9INawIcet+TBh639lgdK6mTfpSrt
h83QOuJGNdrkxSyc8HvpIDi5ElYXUhOea1wsU8eYq3RWCogRRBx8Ow5OiWVnz2mDh47dVYbnmlKs
P5A1RCvBZXFAtuwUwnkTz/dtjTx6K4yIvBZ7np/Ibntf+8r/rqRNrHCRJP7KBD8GMzBQFCYnlDsj
ziHexSTlmyPF9TRQxnlA55H7iiRMe718HD98PmgjfDkwGDwdaV1O0363bbVITjMJk9xTBT7hu5Mp
du22vSUC1xq0Gok7zQ7R5TQ+rZUxG3eWGqDSEfUK/hUn+N1cCp5lfEM4MT+kFHWwdQpltOUH77N3
4TQoFRxFcQgHoOfPJ5v0bMwAK5VTy9fc8vTTt3GJuC8uWuoDspr5Z2Md4/G8BNYEX3aK4efjKXAg
qY4iT2HCYW/hSAhNdnGcFdKXEJBP8tmjOA03lQYpjtncvLN0HYOOXLW6uECr3UaOJujyLe5C2RW1
svKQC93c4BlsrZyLjxuI48/rnfgM3hN0zvkchz4XqW70+WkqoBx71bmJvRCtY7Ojwp0WkeRGQVeu
QBQ/RHaNQXlFmzz7iLbGbNd2Xl4GaMXmJwXjKGsbUKN6SIZIHrZFvfoKWhwMwC6fEpYHDfbzGaIm
P6D2kYhTQb7zs8lz8c0SIFEQGpf7z2bM08TejTXL1trQLjt1yMQpGbCO2aGWjvAvQEPUUS+f+w/h
bBpogtyRqLGA81ekOoqIVlSHcooQ9rcuRv8Vw+t441m+iuyo3ayk6EvbBBa6TVWPxwAA6PNF7LkN
SuCK2anmcXSs2RxHxOaHzsXT1Lix8kr6VoT17vIkP+TeTPL9oLNtohgh5p1alJ/SMh9v2RkSJrNh
j1O4jcXMz6ZI/LcAa063xSJqJbAu7Rokh8ATAuzTTGv+TEevrUevIQdIkFVgpxK73fYtmt1b2tn9
0+WJfrgspomSbqP+NyllzDXFPDuxQK/X+QkjgOJbjD00+ut5lvnby+MsLigMfJj4Fgys+WFXJc2S
xqrJTuNAS9JJsbPynfGfUvbe+tySB1RhjYBWmsiSldD9Icv5M8P/GZke2vn+KcZW9bH0y07o2ds/
hU3xzBwBu6qNL66SpnUeR0302OZhA+ZNQGnp8fLUlw6MAuOJdxS7FyHH8x+gNwi+CxwYTwAhblRV
6PcqdteYLGCc2PZq9nJ5uIXzArYG8UhiKk3DeZlJOARtzj5KR7leu0LuU8w5bYqSBI/4EWFS+7bD
BmJ/edSFScKp4wXA2FBn52XDGDWTzGns7ARU37oJ5dw7QKzLriE8YrMYIwlSfDbNAbLERQyyGqSF
xR1yvqyF6MpqyhxPmajjXR+UanFVorZbf/oqPh9nFn9yNFp6pGSzE7LXHlZAcMwPbdOqWIfUFD8u
L+PCZuWxzXfjY4DmneeKTRqSEIR5eqo0USjwuZ3mqDRl9WtCUZ+KOIKWjFEBjzG3nHxlHiJsK53D
5R+x+C0NKFBkH9zO80Js2RRKSPGXb4mUO6WleDz4tWdfkZCgC1qDmb883kLAA3tmK6DfGPNDstMo
EkznVstOIsZ8RKqJcm5F5/VqHJ0sW9k2i5MDx4uioQx5bZ7JqUaBlavn5wSisMHwKh8f6KPLx7IK
lHscN/2V47g4OV5YEwaNEzIXBVIsH3/bkcnlcVve9o0uVa5ouiDbSmHvaCvHcOnwoz1JeZDWD33l
afbvknJTqFaZVGF+4nTgxhvh+TJ6lvxNsZvmK5f6uPO0yvr3898P1T8QMGh5ULyZZY++KWcxzvCc
EF2x7xyhQPFCq/8ls9I1xZClrwefAt48PSaZQHM+PyVHCrsbMBWqaxTVb1MtCqXrHAex4Y4cufde
5Eaiu7iyZxZXFcYqmC6Kkfx/PipmA5SrYe6cIiHLj6DHbO1Qy338phSq/Vh48V0uB4hSX17WhStT
Qf+XOP6ntjIv91q1DkxSq9KT7FXhDwcHVLduVGFv7S5UcEHNDCdwg8FW86sA0+xgJc9bnDRMMCQC
JmGnObuCXk/uKRKiXUmC8rrnYYTUOoVnu1JdKrsmGJHXTlr0tC/PeukLG5Bm/lAiiT2zsI5oQR3g
6Esw6MoUFJM9YuWUiauomCTdwcj8xTQnMgMQLsId79jzbwubTcvwQ0SsT1GTZ4wyim0JN/nrKNft
0ahBkW5i1RcrEOelb8senpQf6FPQlTkf1ZZkTwOdilSY6qGkPaALRBrkPykyRo5910i7RtPrX3Ed
xN8vr+/SZyWNtqnWmfwjz/YybjR4U1aIlBVtbd0hko6VHLYHqSuEGLZqmYqtY4g1bbSFe43oMuEB
GJWmrXI+37KVEe8IfeZLsndlaGb30OEMvM0G2JTbsBJYv8Q4M2Mk5njGQ1C21tvleU/75qzYNanL
AgsAnsmGpuN3/gvGuFVkr+AXZOpoR9dhmwZf6J/Y/f7yOAvxnnGmdwpdC+UD2EaNAr0sLKSGCixR
yg3uHU1zLMcyzvGHwwnh6i+Gg71IOXmSNpiD8KjBqJTjzeiE5AU7KYe7pd6anu6N8MzyBEG/z0cl
9u3/DTgL9mM3mryXUe9uiLRYDFlS7zaSUz2Jkkcg7nE4zPVh9hYX3bgC4lkIDQwNlIY26kTBmR1V
q8zVOLbQVdJ8DIpcs8HQfo9PSPOzcDrnd4ym/cqmWTgsjDgBqVHSAyY/GxGV8r7WMU89lUUZfJG1
wAKn1eO4ijNU+W8mtQ7WYSaOOpc/6tJpeT/sbI2bFjdBRZfik+OXr7nIrZtMr2Pca/K2eBVeeQOU
6AtOZs01/qx5sbs8+uIyU44GVoGQGYnS+UmpskH11JovPLbCP4E3vClSf3itZX2Apm51n8+veS4A
3OGJxn/zHYxkdyxFXZyczKZ+q8ocNyrNV05SqxhrUtMLURdkHwV9xMaQ5po/UpSm8TJHDtCAT+Rr
rxDptVZ6feNWkt8cwjqsMSMOvMkV+fMY6Cn8vBt69kmdwo5D9JeTk1JGUFiswrF2jqQbTzVp4MqK
Lu1a7knQ4MA4iHizKxQMOr3/WI9Oedq02LCMat1eq0XSYiIoWc42llQs09oCl6mry1tnKfhR6KKN
BwcC7Ohs62SN79SJBNIbROtw0xtQv2zIAL/0pmpW8oTFocgBeQX+AX3NhvJQBW+UQIpOwI7Lo12M
1bHNYVsmqIk//MWsaKMyJShQ3GDnB0LKByMesAM9YcSLahp2hG4fN/p9aHGR/MVQ+DdPGokU8eeE
BWtk4yqTN0I5FtgztvGg781Ax4sqSKy8X4kzS+cBwZf/HW22Ueoh7pF/RBpRxRIPjzgBtOtO8Tp9
EyZ4BBT4LHkuEsLWQRhVtpICfcRzcySAByIigrIB+2W2rCMW6rLfMnrakBBiwN4lqHiqaoeWApQs
zD69Xr2lDGd8T3EOxxQEZP91gsP4Gm9jaS8hSkbIg0vMG2aWG6hFM2ADGaWntKu6fRvE1g2N+XJn
GjhRu5//wmDYkYeBMcxJmQUCTKxhWClSwpWC5UOYNpGyEWEFkLqoaT1fHmxpjcHh6JMWJXqfNDDO
t25iVEIasjw60TetB0C/StztBnlsdm1SNvpBM5Wm21RYzg7XCt5u9w52bmIL6qv4dvmnLAQl3ofE
XgwwcE2YAwR9Jwr6KkFYLswT6zYLO83ZWFLnGt4vL42nb56qa/t74Saj+Y1hIboxE5ZtttZ0wkxc
XAF4FaBO3wygecrewpnXeu6iskAUILSz+PO3J10+EDIoVU8Z/ixlqNUc1dWxD092k0XX3tjneFs7
XX8FpVO+91tZ+rQUNwif6WlqMNykkDOLhMg5yNiGguuUBslyIejaR6w/k6/QRO2NGfnd2oALqTSY
GT4kKQKyGfPmlNbVuWy1DBgpkblparXPd7HSKfLKUi5tGZSpeQDz6OZCm23eSvHN3ldslrKV4m9q
VOE3nuZ65990tDj9QyFsaose+hL9Z0fmxNCamvBrlIlANZwfmzAELaEq0HqyzuFh3VI3D5Bu0kQC
lDf20SLBPrzcGE5m/f7kMZn2DdcaTzSEHTE0OR8Z4SEZqWGnOfkK7fGNhSFXQ2faDKBPh2avbZRs
rPdDq6yFig8xkIGnqhGgFCCKVFfOB44y2w7zPu0QxK/Luzxvr/0GHWLs59PusyWxKamcFHlpcig0
G2cbFl8p3K2dwDrFejU84VDZP4TYWG2cdrA+G22noWgJE3EAOHBKzmdVlJ3Rt0pknRpan90ul8AD
7LTA6G/SDOO5y9/uQ7iZpkUVjKwZ3A24qfPBRKSRUUV68mzDCN/5lT/+q3fm8BRUcv5j2mdr+eyH
AzJNTqWoRrUfeuNcwn0UWlKVdZw9d4GR7vSyKgO8upz0JnHE+IIAWX9EZtP5i2nyjgeWhosSNKjZ
5/O82sx6yODPhVOa2yyTJdmFfpK4iAGkV/ju1spfjWhgl8JXQuR01sIRnMSIZnjynIqxc3t4vXep
1fh3AbaKe5Hb3cp4H/Ii1pW82Z5ULiYJ3dkMB80UndTb6XMPJWg3NKG0q2Wj/0G3pdljFhsUbhr3
EQ8Hx/ukhREXBq94WLXgkYnrH56caRYFmDUP0XehlBhvjpt6zbxozgcixSHnokTBtQiZkKTnfJ8i
4SE1ZqUpr0pfDPu8FPUzpb4XdRhlSMla8Cz6StrHdlz/oO5Q3UZN9Q04VP14+bj8kQN6V5LhdwD3
+6NFOAEcibfnvyPLa5Ai8li8GGpiSsLVpKRvb3B1btBabxxEptwcTkG4Q3dChikRR75WuZZXRd2X
MdExgvcbO29+1TX6F9sUpeOfFl59b1YMsAuGC0bkyO+HOUAGsK1Oe192ZvUPWF3jCctkuXIVPW3v
NWE24a+VqU1x5XxqmKmBjIFAN4W6edypzboToaeEL30H3PkepEP9gpUuxtSkvWDrB0v2dzEq0cZV
qBW6tivMXk60XRZmyXgzyEJRvlqhFCTuGFhdsB2yyB9gd4ajOEhDHnv3CpDq/Bj5FD2wyERf5yhS
NVW+xTF/tMxWM1aQE7Poxl0PcIIDP5HLJ7XKqWjxrrUwAujzLKsYXoEa5w9q44SN6yhYK9Sq4+/N
rF0hiUFYnS8ioqUAJ4D6USAleZzH07DLpAQy3ouRhMI4SNXAQ8wFGF+Y12PaW/6uaHXH31jAYpS7
soE65qBvNOwML1cyjLstPd2XkW+/yEEgKVvPGdLIBf7V2psiNEWwj6SgzB5SDDdjt8tH/4vRwP24
Nexaw7C+drrsENiFkj1Vuuf5NyWKRmPxZexrUdR3GNGmB12jx/IwRghKXsV5gx0ltgSSwFNYL/v2
QDemvJajLK0wGe6V8Ouo+N1dZpaq7VpSE72ZVYDNYq6X46OeoXuzraSWM5lYSbGPhqFvr/ABjb1D
HrVqtekTP8c+LimiaN8Ip2+ue3ssqcB12uCZ93mbJr9iymKta6leWewsDe/C10EfEJSv4sSKNkka
G77bo8OpR3sz6bzwOzyQ5NkZWLKbjEa5tSmMNInuRIFWd0OxQKc179ZGYUg3WuFZLxbpUbDTCif5
UpRjUyOrgPH5wUA+zd9VzpDoxx6vWbGtVXCTu7EtO7HD4zap3TrpnQekVVXhyp1ROQeQerHnDgb0
9E3vVxrWxUIb6j2cniY8lhJ1GtQMRumh4jLzrnLUBlIX+FUfPDpFJ+xdppiBva0a0K23mSyLBLlt
M3XaHSoacrgBi9tbN62eKxbNA5TlNkXhRdCDht7+qVEmNW+sQXWKR15PenNv5EamgwEY42u1QTvg
uwg4s7dlVvb3slE2jZsYQeigUzuW/rFo1d7hAiwLY6druZIepMaxojs5VmPzXoS1CboXaf3xqgrt
yHFrOwDFno4ZpHy9l27ChobcppWjLnvxUUVrNj3X/JttVtawKcxcfCV8TqsW6X6PnbgaDDcaehLJ
vZV3429/rAN0suvcEtgZI1mC4EMil56luqINO3vDnWUOBx/zmPR+7GRJSVwtJriKrZQiG3Cnk5h4
j1jdKM2xKHxHudPlUsqOHk7Yfb7RmiJLH/00lfx9j+5h8Kq0ZpF9qWQrqfNtVSeeuus8VaD/ZKWh
HP30pKAJVLdTKitXN2kXpsZ3GeiheZPmQKyOVpH7OU0jXg8bjl5TP8q2pGb+Xh01TfibLpSs1u1S
U/euu87scSspQz8uYXS3iR3VLnYiSDyWnhoHW9UcPCrrGCudxBD48o/AL+WHkeag75bEhegYEpqV
PZL/6j8enmE3uoI6wBaGOE6nalvK2uMYSEP3qmhCA47Syk30o0Nq/F6XtKC4NRruJpcIhWiybfs4
uhZe5/Qb31Drcts6JuCcTs1T+QGn5OifBqircS/LvIsGKnum20tROm7whzUOIxLPiiuXlvlmjpn2
VCCBobC9A7y6zWHE69gTWpdAA7Wqys1RFPI3auFjh1pYVV6hcmUjJ6GnogdwNIYKkrlj88vGijvd
VLGUfq0ALtpuYOZ2f5XRbBnctvI9zICtLE+vCyypqr0c1MFx1BJN2ZY13umuM9RDjQqeFDXyjqQq
T7eo09pfWmmUCrfSzUzZ6p6RBwdNj1Qdc2UD3+N9CWc0PrYwlyqwCJg4Gs+IkaS/vFbnXCdNUgVb
BGlb/Qt8vLq5Tkq0aG9Ro4/adB/Jo25eh6UXPBlJNFTbZNSMAKF+FZdyq/CNR6jnUbeVxsHClhbN
xzb33cLmHb1R0cz+4uuxV58SB+TShjaRGuEQKE+zy0Urbentq2JPFoAglmgIUd/yVm2v5C5TebSV
cEk2aR+k403VJV7zBQo2IgkJHN1TSfPoX6433f/hZ8Ow7xWUpH7VlumrG6MagXqh8p9UB0OM2VfZ
iR1jk5tlZOy0Xm/EfqDl1G6EWej9XqK5CYI7xgnTHWKQj1cJXZJgm3m69YQfbDjcdPXEN7YTQ2+O
Te1MNqhwkd1urOvstozBfO2EGfbmMVM69jOUbdV06SPm5YMeZqE4gGVqzZ0nZ2DSK2FJym3bopCn
bCvkoZS3IUUS6l6GaIron9FHiXrrT4VU0AA+6+lwZzQbj9eMeGqiTuThAao6rtDbRARjurmcDc3a
GTT+Jj8k4CzUvKhGzYXuaZ57jTPE42vkG1V7lft18ligMN188TSPM25zjeCjzRT7fV7XmnDTrLE/
KY0z/QoqfOQtVEuQZ5mz/fA5ULDDNpVXT0twTybon5TaiTMoJmtClB9SJYbi7U4FHLYmL2r9PFWC
vBAFfi3UV6JidqqG2r+xgrB8qcU4tAehWPGawcnsxcLkTGqkQIIRYeQdPy8bxMhSxSS2wZuT6IHh
Spbo7pU2VW5rCUkyX+AmYOUC94S+VsTK551VDqa+LtVFihV/3oTGHGCXGR2doVKK3upa9MUmHszw
OaUktTX7JFl7M0xLd5ZY2wCF//TkAArBt56V9KrStw36U9GrH9TSQwQnqr7j7sjzrQKfwd4aPoXc
Q2a0hvMlTSGA7wq5Ltpd6Y8kZbEWwSyAU1YcPUD5jzpo4JYyb+20/3pdYOf6FrJ+E/7spECW9/BM
UvkYOmX1u8hMMyFu2ml+MwJybK/I9TJtBev6YeNA10dWhKcZh5HH7qzu1Ea9WSEjZbyOZMvldJsr
/tdYDcqbTmpLNm3R5OVKrevD52PMicA+MScnkbfZK6xsMntQKfi+TrdW48KP6MLrRqJ04uaO36wp
4BrzpxGLQ2lkqvvDgmXrzObod0iNjkEov/YRTmh7IZSs+dpLFd7oBg+ZbmeUygirh69nbDM1sV9A
Z7TqhuYMbKlBSsI+cSMYncn3oEDwzjzAJB3Le1VkjXKFvbbpPIz4iQsc0id35cwVmhaIf8JBeAbp
eQs7oUdpG+fJH4KbzN95SHGk946dpOlGBboY79RGVZ7RdewU19SLAuykoIvGI0dE1XWeBmPwqJfC
KL/6mZo3uLdrfZNvQXnL/kbCP1yyN0hketEx1QGVunnoqRgeQ9qUdpYaG1G7qc1WsfYoAeN5vun1
ykIvh2BBgXyXtkY72ZnndUYTzYtEWz3oI1fYk+P5afZmBaVRfbJ2RayaiII872RoMdSuZiELBeIo
7MpueKZf4O/CMcOxKAjte2vU3rB4lFb6XPMrwYT9xgMZLheFVJWW1nmErMugV7qglp+lnLfC3hxi
fz9IsfpVTozEP8j22G5VO9EiNw60wncrM4/1lY0/P2z8BlR5CdGUQGi3zZVEO1+W/MTJ1Gff9LWN
ZcfxY9blgUsFXyflgMq2Uoz8UHj5MyIHG/QE+gFUBs5nHQulMYqoUp8tnawirCHvJ0EZ7rvc81yp
M8cD+hzKJgvrn1IoRTdKo/sbu0jWxPQXZs7Kc+iRrKDQpM7qaakRpBzwRHv26jA8yjCvdnpbDt8A
Xsk3Td10V5cTgLl4FX0JDidlLaDYLDe3xfnEy8FqOqMz9echcqrfVp2Y9w7vHvMGOo0lu2ET2c62
ruMxOWD/JfHELaVy16itGLdeBz5tD9bCWylozKqn//lR6LjCY6Beq8+JBT72Ow1UN/0ZGFCwUdFX
2tl50cju2GbdS5qjRbAfS82Tn1ZWY1re93fYtBp0MKHbcGt+lA6t4gF8G5HxOQhs7ycYkzLdImQp
roqg1pxdkAfDuI29KHiOnbx8onsa7SDeysonb5s/v4PxAStRmaYmeP5VdCfMI6Prjeemau2vUala
G88JzJoksLBIOu08bg6X5z5bczpjJEWQ8xFmo/wI6+V8yLjpam1UAvVJ+06AkVxsvsMvzkrlaLa9
Pwwyq1TVAXxpQ/LVJwN3e03Z+NI1cpP2WsdkZS5zm1jT6qGAoS7IXPwr60H+PhzXZjILk/OZaLO7
EkVOQ6hJpD7xaYJbpXYl/Ht++Y/1D/Xh8oeZFv7dnvww0nRrv6vuFb0aWHLJSMqX+Jp3i7Ez7oJr
AGyXh1lbs1kEVK0oyvOONfPusm20lb/D7V9Bia0NMYs1WLrXnuSF6pO5KTb61nODnbS/PIs/uK9L
qzU7OSGgTfD5TKN4Le6Lwz5EbNxtfuBoa/4OJTc8OUd/Kx15XBti5RKZV0U/fKlp97/7UmmIWmPd
Mb/IP5T6VeVthvSrXE2WsgZyvC436L1h73ztqGiSKxmFC7pdkm/Gas9v3nZEOfOR52ylf7LZ9uGX
TV/m3S+TgVFFSc8eCqy3tPtWZc9N+f3yyi8eCFhnKCACpSeEnw+hBo3aEbXYP7H7mF4rL86Lv/X3
+cqFtbiH3g0zOw35EIVOEDNM/m98lf8aTtJxOFyeydoQs5MgmaLW0pQt1Oz83bRNsZ7Y/v+GmJ0E
VPOoZCbTENfi1r9Wj8UxXjsJ04J/OAnvVmp2EspAF1aJPAhxI3Pc9jYdXHDq5ZsoMXbdxL/lt//f
nGa7v/IdWapTdn/+73gj/dSus8Pax59rgvxnH7+b02wfW7ESCIk23JP3Im7VQ/5ifu0it79uy339
M/ihj259ClbgbGvbYXYx1nHel0HImMPwX6Sd2W7dypJtf6Vw3vMU+6ZQpx7I1auXLcnyC2HLcrLv
+6+/g95161rUhtY1ChvYgGFLuVYymRkZMWNMHxJAtRGl7362Hv53s7c6GfNSpuTEmL1hOx7+WnT6
8eMhlgfwfkEQ5S21WrIsq3WNJnHOmiLRnuz6VIhPjvHJHGZPH57/d8Os1jbGyAGAGIYpw61r7uPk
VJZ+dJa6ul7emHdQ4qSRzkKNAURvtd+0dt2NdarMz27jhLmnRmN3FzgaWRyKMqGxK/KCXA53h+gg
kDflm4Ts1s8oqQ3CDsQj3/7sWy+qShQ+pAYIpaEar/alaRhrPW4D9dlJUgTzypjf1KIUGxOzM6+z
5/FMJLXM4u8Pk/Ho1SRnhjCEfMs6ROZuysdJ3PCrxD/d8II4SumDDezpzLa+7BJvxyHvsfS9EYqS
MVsX+DHWppBpaMFz32hOBU3fVTrl1BVidlTfLovmDzXOhPs2Q1HZJ0uHM+OvQ/a3oyqVoR3JOi2/
6lVm4sCs5YrvCPS/tjnTNBm35bk0y/oFX1oOAAzR7QF7C2ve1avXghZS5kiPvjWaiC7mMIluLLpA
rigBOTdwuYrLNA/cMxH+u+e3KKoXtzTaIyHqrA15Mj1VRkGpipyn5myrEedVpBSa//GqfPf00BEQ
0DOjuN7T0rJ6SUTpUKLO1PxbLfDz8ylaFp/cpQl1P4shO3PivP9KDn0ki7aOpiSyVavBnBLRBlLB
7Ftp5d1lTaPLXY5bxpmJW4fDTBbZtyUxgXyam8pqF1OCeWgEebMHVaXiXgrLvOrtSD3Yk9Fu+sia
Yt+QCSa/cVZ+/ng215pNstNYsgNhIEHA7ZOLIi/Lb2vTVNKkEqF0HqqQI8ErktGpv9mj0hlXeRF2
1AGcevF5qTDoyT+Tv4P87VlQwMVrkvLPzkz4r1zMm5cTshkthQu1nw5NdCNvPw9HYUAZ25CPraBS
FPtB0tj53uzaXt5ls7Tti7rNDXVj6k7d+JKykespBivvUw3Tr3yl47GbcHkk15C0nhXmVEk8N22s
5pRpjVlucltt+8yfJAX/w2Q0sfGHQlCmlMQ/rjXa8j96P1eLpkpdRCBDYjxMcLOuSQdRgulJIz/V
ToZRFGWkgg6oj5/juxcebdQi8+X1U2j9XIuKaxZv6FiZ80DWJ/bRcQUedGf7REVePwazVV0ZmMIf
Px50eRZvnxXvO21lfFsu2CTY3j4rbcTnKomL4KHU+tna1nC4U/qOGt08UKl37H06AMY8Rlmv5DtL
zKPcU3t1zrlvvn996OVAToi/IW8jRNa3H6NfrmCGLcWDUdn5fD+I1tU9+rUt/Ri2lQtBpR6qYlso
VPm2RVWawd3H8/BuS2IqUVnb2DL9ko6u5kGJS8OMFK14nBO4btRS43HcmVUACDXvLHluU3o3HHNN
iz+Li74vGD+rV8SRtY02yU4eU7yL0eA2OSR+EZdQDhLm/cwO8W528RIjhUh09Uuw+Svb9tsGMSRj
Lc2wEw+Ic6e7tNM7v0z1fF8mcgAManWbKY3HjZHT/fvxtL7fm1y4QovScPkP1OvqRRpzxQxqI60f
9bAW13XmupdGH7vXxdSZPl/auNCTTLtTAyO8NtTwp6a22f7jz/DuveI0W7B4EPdp/cdC9u3acs0s
MYSsiMQ5aGIvi/RkW2pD8mMYzPxkVPI5QlS0/XjQ9ZRTCV1A6IuEngINnVFvBzWNYYkmOvOxLov8
tpFdcTdkg9HfUWidfw5Q+axNZs5VfB2Ec3COyfpu9KWYyKWX8Zl2TBTejk4duUp6ZxgfrcJ2LoM0
yrvvTam5qR/pca14SM7HbM/RNOyLiRLCnz51soOc6sSdQPCWw2k15UEvRyuyoulx4GKk+mGsOac8
cbrkpPdI9ryiTafrHFXPp7hqrFPeT9F3vQjGP/TuprNo8UlFOEzv1tLevnqrhakO7tRVymPVtFiL
ECCU9X7Q2rQ+ti7+WBghZeWZLPHyO3/fUQFpIcdGf0YTNmq+dX9wN2ZoYhA2PGKy5mxao3dv5sp9
cbJEbHqaeM/EUuvVvXC7lr5RomBYpmygbx91YoLeb5qyfoQvTM6vb4eruYnmnXBdqXkVC52KSNb8
+Hh5Lw/w7ZekNWQhH2Ihshgnrl5rmZh6aRNGPUJm7/TNNJrxk2lM+rkz8e/G4eWhFMBgVJpWCznr
BkDYkauzT/YiOs0geG0/0+r6HKRovSHrS9f6whAmRmOfXDP1GvRkepp26qNMRrzw1KDYDpQ5vRAe
+59uDctQRPSUNnQsF9e4HreLcwNJqvpIObi41GdA391gBF5iskSVRIk3LZCJ72nvntNVvF+ayJQX
1T7mGzyzdXZYpfk2bTpNeURqbu/ytLahhBJxOB5+LtZnvUN0+vE6+ZsRKbMuoKCl3E+E+nZ1Dkmu
JE2vyEc7TJpdYNntzlVzFyhSiAbcruYzZcJ3bwOK/QXNylOEV0w8/HY8mSt9NuXd/BgXWoqtECkl
PLJCX+EdOcpMsbZl0X35+Du+W6PAARVwiDDMbVTJ67IgBmN56NT5/JgUrrhJUt3Y6c1UnFk1fzsK
MAmadiADEp++/WaBRAPS0WDx6Kpju5mAuyLQDMfjx98FWe76zSZJwAKld/EXO2tdcjT7fMbC2oge
AlGL9iKoJ9q7LL2oku+jVUWN4oWJAivU0+k6dmMPoAbshbnuzWypn9MX92MK4mY6WAMmBvCi05Ce
QNgbZePj5a653ymD2FPiuSMWZV9gSeHe4IvQGmrXM+DXCo7o0bJmX5+HILtp9KKLA3iETWvt6zLs
SHLFC8HJH6Y6NJNNQBvcNPqjbZfZhSwDVBZ48upkffcNYFhkXDGAf4tMu4PA8ogOrgobLyhMMFk+
+IJ+RrmYGmVvHjpaJpE0TYVWqZYXIuFIbLKSXWR6/aDX2aUbo+e7TimM18MmyeKxSrZm1TjJBT6P
YfElirWi+JRXiHfiI3J4I879wVICNKgTXsky9EoV224oHF2dVcID7pQi5cN0q+eeI1oL+5nBrKoj
WQ01fppjDQKAFwYlt1ZvHsrQ6rgpkas4ZIo5zTdYH7c1jm+5k/xUdEKOkltm1YubwJw6Up40eMS7
Ghlx9BJEVp5vI7R16iGm28PmN408w9PACRLsuHhb8c9ibBNlV4XpMPhmNffWoz67deXpZqJluzEq
ZuXWkdjnXWoyNSM0f3rZJdJL9RC/O6Q1NF95toHR3nWrBil9l2NHJ+whTSJbHKTU2/7eqFOZPWP4
TvuXO7qpeZvUKNqeFYUky+ircaZWs6/YsaHXLJK8wB0B97VXaoygIotKG6NtkOqDuTMleri96+ZC
2UxaMzaf6MJo8v1EqBvuS3Ly0zG0SngR5agH8abPQ9lsbEdIwx+CATZ0J3X88RC1uYNfVzoiVSPo
y/pEY47lfEoc0TlfpmBy69mPewBI21GkhfSjugvNfVQpWYi403L6HfHYnPim09CSmM5O3XsTvzva
9KoyysR3I/RdkWeExWBPnmYNTlKz2BEcb/vKqmhloC+knW5FKMR8ohol25uh77ToGRG3Ye6HwLHb
h7lPdXrrZToOXpYCCfomYzoStijHuiwnqGsWuTuJt0b5HBpVbHkgrEPL2Ro2xCuCrsLQd5ZFg/6V
QPBqkpKwesXBeLfBhyr3jHRCiebh6IUjkw70o/7MR3CG48itNQWo0uNQ2QFbyu6LVszla8U1P0GO
WBjm7eSolan4EWorFZXrYCM+YvkhUaxmYyr8MrHNKfeVVK0bqvpExRnE9VyP0M3PSM2uSyO06ThN
o6APvlZ8JGSMAiF6YG5SGO3u96HKg/Gb0Y8jZBkJ0mHC/YaN4CpOgkweGxWkoeUXJXYLo99PObQ4
RdhqARs/l/FserVtdpypai6Feuh7Wec/csPEEfWQaDEzsdEq7kI/ZrVzom0e2tL9/vHu+u40BBT9
VyMU9zBypKtohq8RI4VPxWc1bXLH05XM0H1cZsYrK43YapS8jM4ciOu4BpXCQgOlfk6LIIt2FahN
tT4NVS2y5zi0qxa6vebWu05E+vhCA4l5juy0vngYS0SoMxjiV2STv66Dv900sRQlOwZojOEG1/W7
oKzD12TUc+ciqXt2Gy2J7T7nkc9tsw81c1SfP57jd1/4lykllBwEQwtDazlHf/sEpq2UmNnF6VOJ
vP3JDfXwBz3rzZ1mVLQ9/PFYdF2RyuSOoyDRWJ3JekPDx9Ta8VOXxvahKDFc25CNbnsvzCos1j4e
7d3con7iFk2yGysIMmyr1aMZk0Dh3iVP6lCgKndpibynj6+9RTaf7Wnc0J4JcBOMGuy0ePp47F/3
9N8D/qWdAfMlmDFLLw+CyrfTGhkmKRniw6cpHILPpRWTuNi5bQXj1ssFvSS7VIIA8Ok10l6KepJj
Rj9NiQWqr83GqN71diDGM0nXX+WEt58KhCd62aUDbulpXk1JA/0OdXKtPEaL70e0D81coWUjd4hJ
btmtxjHdtRPJBVI58WyTRYzD2vkiAY0VftX0aVP4TYAnDNNZ5Y48kArMLblBqs7uopeDkv7p+8ht
mFw+7Wtwwm3aWd/OI7ZN08Im1b6MjVpYe6weE+0wlC4xELFReO6u8S7/QlSqETMSD4OHIAGyLKrf
XoeoYiVGk6l8yeLZ0K9JumvjJnD0ptxFY5WpmTdItoe9pok2Vj2bLUjeytIc9F1t2nTpfLyO3q1h
XAEIk+G+LU54fKS3H2esFE22GHd9aZrA3qppMtLkUvR7M1abjYbbxy6YzcofRZKfqUy92xcoFy2t
iwspcRGUrhL0PHwRlU4WfuFCRqSpY6gaXJSBa9AhgdQx+8MsAAg2Amj+x4OGYrC+lmft0MwZQe8X
e7aTI21r0dFqXHGPQjg+Wp2W/qGIhfEWxzC2e7YhEh6riQX/U2MlODZI1IsASajVZ49w54J601aF
VnvNbNY0TGaBcYbK8X5eufyQ1yOJybzyKr59ogPF22WrH7+YEQK9UxW7Ir8Ko3yON3Ye0yH38QL6
mwW9HGkLeFqFsI068O14OWWxbOiH+osAwKR8jmLKLpumcvLiQpmkEZ/IDUCHLUaTACPL2nbchKi1
I98pouRcemJ9oHPpA0HJhYnUC/njNecvSzInTPoh/MLFUN1MphUcG/26tnVfks06fPzV38809wpw
4uSMDZzS1mbIY6Ch/msm9wtE4eqhKAf1Ni6tLiWmmuX9x2O9EyzxxTBeRXZN+oyJXH+zwMpb1+pq
8SVrc8mNyjbpNIp8gBwu9c+iTLPpriCqz3Dq7RRBl1znpo9lRRHvstSFlC1lH80pWmrAemGou5IL
iHKJR1GYnjJEatOXDgG1+RCOzvDp4w+/miiatJSl3L3Untj5yP6+XSKzHsuRcLq4H7pYP9I1nR5a
VyEKx5byzJm8GmoBTbAIwR/AC8AteB0BtJLGPjtX1CcqRHZ4YulVzw63zfBCpaVPbP7oizEaQlA6
RaAx/SqSLJ/mt81cz2qlscLMegL1ZT7RV4hWzRLmtqK558x7tszRm5P111AUuvG1BJe7LrBP5kRr
X2CBm0JNvFzz5CYCmXTI0mrGsb4xvJhVc+RUj7dyNv4QZ//rm9JqSbl2yW8C1Xj7TTsTKVISVc4T
BtxIJebOzRMijDbkii8V9xw58917TOM1GyhFAiSuZBtXE9vpAlsrTREvjtnhNtjPuh93Up6YgmZb
JXl8RryzHo9VgykSBXAq+2SJ16q0JKKzGJy89r3XrFvH6eWpxun481BkT1y1zjVGvxuNmsdSCqAt
GptxvBfeTmbZDG1CsWJ8sVuFgv5cK7Qj2oUb7TW7jMrtBBDhXKpxna5CAwPUkOI+VWA27DUdJO3b
euiSWXlx3SC/BZWVX3QxTggfvxB/881Ie4N2Yk/EI21dZ6DrLcoNp1BeRBf0j/TwwLF3m3RTTEac
epo4Z1W5ft1xq2FrWfCqFBMWQsjbmexo2x7LMkhe6ChXvMoN022PYaXXx9V8Jl55/9Uo3/DQeN3J
SxMtvh2KDBdzW6ftSz5a9V6BY7HnznNVEp9eTWPe/+FVhhsbBGnK3dwxFJ2SwtvhiJHjagJ+9H0c
hgTTYKfdSUOmvlVY+R+eY3CseN7M5FI6IGhZLUfM3IyEyR1fGrsraJfP5mMkNHkZ0q36+IfrgwcF
M4yOEc5oToRV9BuU9Pzqs9m9TK2bAlhqTo7Elof2mzY81NI6c2ouQdbvmyawKl4vdEIkujmn14se
1x2ED240vki7tL/gvowZhjoqA/3FnT3m246cGDwB9Ex/6N0JJoseEfj//CzhJkq6t4/PGEplmp08
e3ELDlSPIDHwZi7Z/tjTnHtmrbxbmoxE3QJwM3zqZXG+Hay2oChMtTmxn1juQcKp/ml33fzkpIH5
0Mni3P71TsFsLnaL5tJutLh8vft25M7CVA0C8R0oojOCQEjz+Qg1EGCG76R1kDe+PU9JqW3nukmH
Y4lbcunnVVSExwl4d694fcRi9MrOabNN20dx3nq0MuRxexFzLmieqkSK6Lw814NM9Tocw220Omnk
ChrA6o7KjFGFZf/5z9bnIjJZbLCIH8jNGPrqmFMaNcsmK5c/p0Cd7oE6pIfUnartqFnJs6niWfHx
eOv9i5ZcMiLE6xQoaa5d3xKUrhSBVtX616CgiwzByeiBG0j2IPLsc3fz9QmAOwxpAsjbuDcgPljb
JhUR74DBTfs7zdy99VoqAKk7T06yE+mmk+QodnLG8HWnxSanod9HKCtHL6o4qkE7tf2Yp34moliP
Nw1CMeNydo2689h+nfTckn6X38CYaGkxIY8AVgYFyGpn5+QM+zQo05cO45rhVavo9wM23CcD7dIk
iQUQqEZJXnspaP0H8trKO0mjKBnNhAhZ7nOO++xcXLLaUJbW1SWxsUwgravszW/fNDMwRBCUantf
CDFuNL13d1PapsexyDs/aSKbFFrobj9eJOsr1q9R6QjGhIZbBliz1aiZrOPASs32Hu+ffOfEQ3hI
cTc5FRq5ldoc+gsCiH5nsGv7FlDKG7rRzqndV3vM8hlQQRF4okfkDVn3CHdQSorAcKv7ckjK2G+d
QMX1tJucvY2LwXUrozA9E8v/zWSTNAT8hxJpKdGumtwQBw/lWKjVfdJN+m2OC/pe9MmIC5fbwnNg
y5kDQ9t/PNl/OyhSS0p6KCXI0rx9wgIKRtlmQ32fxUl+pIc43StqFV2JKMeeeCkkiCIezjzh1Tbw
a3IXj0YWFV2MaK7eDlqZTklyp23uiyQHSkdp3ad/ct4YVSbOHPbrF+uvsSyylZSlaNxcxzFpLGrK
J1p9HxbCyo8d+QnFy9PCCC5mEEFylxsZlUNeg1i9r9XYmDZhoNWxZ0D6aD2VhubqTA5utTP9dT9c
Tmj2QHJi7mrOFfpItUHJi/sojeSVcNV+2xXhuQh4dYP6NcpiiMEMLPHHr0Lrb5e1Vo3YEaoyvx+L
KbzqiuZlzsT4qVVkuJEusFBwKe2+DOPqgGDy68fLav2ElyswuWKDFntacym+v33CsZB23Esjuhez
G99xdArfLeb+ZEaEXB8P9TezuWgHl9N5EXoZq2iActOYCjMr7kXf6ZSSxvZGS93k28ej/M1sLhoQ
8hHoW00gfW+/EBSiQGkiUd4nKn15aajUfhwE1kYHC7jtO6M69JNBUbpaer5pTj9nHr7ej2ByYTHA
KmYRc0ysT+q0SgadntT2nqY3wN5BSU1a0SMl3Uy6Vn7NTRmcO0CXt/C3aJIFtIhBuYfDaEDWsNZE
ouEok7DSuvt+EOIiHOQot8Msmh+IfLBbQkmsXudB271A0hiOGVWtl84Nsxc1asbvKV8j+it6+PeX
8T/ka3H719jNf/0nf34pyglSTtiu/vhfN+Vr/qmtX1/bq2/lfy4/+j//9O0P/tdV9FIXTfGzXf+r
Nz/E7//v8Tff2m9v/rDNAWhPd91rPd2/Nl3a/hqAT7r8y//fv/y311+/5fNUvv7rHy+01rfLb5NR
kf/jv//q+ONf//jFJPz333//f//l9beMn/uUFv23JGLJ/vXb/udHXr817b/+oWn/JLOMBotHsoi/
F9X88Lr8jWr9c1HcICk16dxFMMXLkxd1G/7rH4b7T7ZgFvPCNeCCviSkm6L79Vf2P5cQ3iZ2WgJD
4rV//N+P9uYh/b+H9m9AYG6LKG8bxoQR/HYl8YGQAfIRlg1/EdeugpummRIgUGXvB3Wmhc8oFeza
A2zeK1uo6RSuS61WG/y1rCjya91MfzhxIL25Uzc2DrCHIUqm2p/cAIgoHujOfg70+OvUR6CfBq16
Loa2g0ysul9kFoyPWQyduFbmz2ZpAkhHirBpxjL7PIuaUnZP7WpC+vqatmV80RsYaw52P99DONrk
pEIuM2cWBzgL49au+/yFule0GfKxf4RrYMJ+McVdULbisoxtV3oOIISdaQ/ZQVOm0OdiXp/waP5e
K4893yGRX9PQ3kWx8TLE+a2b3IbGYxkE2R3bYbU19aw/ks7yrW4wfpRSzz4ZTTTeDEoXdRv8A9pr
G8j1dzn12n1nF/OdHYfWl3xSknzD1k/hRLrTIYsH6y5OpXV0e6s9xUqdeqj121OpOz6q1AH9irB9
eFHOAZetBF1eChdJokdyu6I6oEQNvri9ZlwHxuLiVG5osR/2PTvSLsNs0EP1NF+TU3/o7BLKoUAE
AIYEZsqlXpXDRaYN867ok3YDACC87Mwm2BPC+VZjvqiJ2W3aQR1vc9scr3o9yy9Jzao+wWXqFUZ0
i8+8uml1ZdwpZRDj0Oc+ahF41bFWnIsua/gKQJroGGhgWQT1uCnV5mRlGH8otfFDOHztqDZ7z7Hy
z/iam1duuHTzFe24py6VX44arVYmWdknUB4p+Byz9iursR7iyHyuFGneijYIfFHZ+mUhw3KPYSWE
OgfzaM/Bn30/5dULWAvIO1OmHxJzFicNVdFWr/XiW5c9wkCZpG/G9Z0lOu1q0NvB7932Z+lqUKvS
slNvsilINrlVtFcjn2uLX3OzsXL4lfOIdS/T0Kb3jiSq5sKcHaDJ5ft+7mpvmiTPox3bR3Wwh8ex
Z+KArCtPejM/0HlBLGxn8qLPm+pU5mDXNVMMG5kieACQAfdNo09oqAwP+EcLkHHUhlMwFKBB9ND4
CsOr2jfh5G7CulSu5rAat3obzfsencvWwMD9JsZg8wr9TwzWDeI4LlDx+EwRbzqYgGduINhj29hP
o7rp2+lJ4Uf8eYykPGZ6m3F1UYxDQI36kFIq9fvKtG9ql7YevwUV8Jgb8+QnUDwws4O8p80ascmo
2afOFZYvyrnc0jkSPGSlZEWj6rrQeq3aJcKtX1ojL7y2VOdNVUv1wUBKcwyCSKGIaDr5iV4p9agq
tb6TcfI8kHr08jbHpzOtlG0q4/sRJlIP/BAjDlbPNzeGnN7MEAoxEy02egOTMJ642SuDQZEWiNY+
NGB6gcaFLjdbX2cnjLutMgl3Ow1C5RWJw13WV9VFhnLjOJiJAs2sylpvxm1yMxs2O1AiTG8I5+Ym
H8oaSnzUnxQstv2wSOKtFvX9BYnN7CLQjLgCS+eiNRuqC50SKae9ajNNAlGoBZfl2A0aAq6i1A75
0BnfwhyZYaHnM5olWfupSoXVDNPqwtFK7ZOING0rU+NSm4srUlbRM/Dxe9oen0XUdIgSE+3aNkR5
CWYvPIpEfpqneQLpZd2EeUbxyq5zL+WV9rRh1L0RcRCqGOpZZuW0G3AZdA8I8kzIz3iCxZBcBuhB
fEUa9ncjmaaHsRkjxcsM+1PeNMns1Yq8wKLJ3MbdMHgVB9El4nyDd4KaBu8Zuy98NOU4WcqtVOPv
kXYw6MvZTra2E53xVYqDZWVw2xbOmJ7Yu7GsvhM8GcUuC4dLJFjJIayyJEYdEIl7DVTHje5MpTeU
+jERQHtst9y6pFY8pZW4c0d9uQ1rNdj1+Dgd61RrPLcZnih0xFtFyfwIuRLFfYA86Kv8Wsa3lm54
6HnFRtcSKLCqxu0C91uva3Pt4M4NnMroZlItTG7MXts2NBpcd4nob4cukk9K0JbbThNfm2rmQi9N
57bLYqreFiq5PviSm/ax0ob2UIN7PA2Ge+DaeALl3H6y53inhqAuxGAf7bbatZJ2eRs1xC6YgHBv
FWlFGzlVZDgGcRp196cex7cmZjTbuhJ0bo/ym+LKcivUQb2Oo6o8GVZUbezM7Ly6duaXtq/ijQPE
xo+tsvU0AMISc4FLkSgtwBkKM16mNzz9qfxZa8kzqSmawpFXfhZ5LXeQYf2kHYfXCBCkx0U/BCAZ
pIdZE+YzwnznsimJm4WFGs2ojAt8W5xtgRAz9Tr2qjHqTahFwXiMHbsiTZNUl07ZXY1TPZ3szCVG
UO94yXawNIcEBBLIc3u+Vp0kvulSpJ1W1arbQut15JZDnniBVJud0zvpfuyNTtmBUkWVlRbhT7cP
+gekyjhrGsOwhx6kXIMP+lo0mr6XirQpmw/6EVvxn32YpjsndKljj26BPK8MDKQeiM6aKpIXwmnE
vmltSlOKLdGFCnyhqtk0rqXblbdcXGxPtvm0n5wwuzcROu6HzLVOHTLUKzTQ1o4aZnmcp7S4CNVg
AgQ8SH8cmtbL6lg8KH0I2K8Yht00xZx27RyBMlUiY35wZRQXNGuVzavhTJixk8PTNjXGc77NOYHB
vWl7Nj6FJzcvXD/NRYtcv+tu4x6wHEHw8CMv9SLxZmHIixgh5BXpAGdrCby2hv7S1lJ9Z2TWweyA
jKWpUh2VdgJbCG7ViMNPZlkYP5LBYGI5so+pomeXPVrLbdcY48L8UwFcOvQZpallbRVdBDcj0LBD
RZC1CYXmHKBlyq+NmAn1nCMpvYtRmy4Alni0zuysStmRyPT1EmlGogSnJIL/GeeH2o0vOkfTfLy6
4OECwdyFcXplloMfyUk/FX1peIiWmg0QyU2ELPSycDJjVyHSTLrxBNq4vJt6y77rYLDugMkXO0tO
L0IRxwB05dzkiFRhHbYXUQtfBuqgXqIriOXzmDT6Fi/oKyXKrx05zn4jpovWxMqvYCHvO7N+UpOZ
Jkx0jQWUXUupG28aan+uKU1n7Tc3mTRfAMHbQ53ld1e+raSHTBjHdJrzDZ5Sm8p1X0K4PJswZhHz
juyijLhP1J1L3UJuu2T4XomvbZnTdqmF6nhFt4K5QdIPzted7sEP3ztBvUNyOXoIfvRdGhvQsZOH
xFXTXej22daxibhkceFMabmP8ht3Cmu/mE3ITlO8wPS56NIJ6bWTkm1y2f+oVW3Y6ENb+jhDIOlI
K2/SnY20ib89Pc+OQgteit59NK3TpHVXGWH34uMRb/Hmu6emy+fvAfNiRdwyx0Ha6rwwbDKhzdmY
qhL8WQgR1g1mfzKivSHVz4mwD2pM5yUZm+kmCNsf4TBejCjdNsmUWdvBDh9boNSJ0n3V8+IT/T0/
MGH+GSTVdlDiQ5gnFYzZel9HRCtTMukb3YzISwydD2YvuxR05uz0nsC367vLiXLNRlWyE9SrHQ2s
hleFXbRtBmLrlAfvWYnpfHJ51twGFoimnuxk/xTqpfAAYVeP8yRxZYmupSk5LLXIt4tFGqqnD/nS
tzmV1aO0F/PpTT+yn05m1t6NMt4Eqjy2HdVslf6/GzHL4Ulbtk3R+275XbT65x7QWeaFanQpeJPJ
Cp5K2qemsTvUdfW5NCNtq7YOVmqR6UPRjK9zM69PQs3NA8xZI4Z2qLlfyipHkpMJ7WcKy/VrOgbe
WAgfOuuJaJ+HWrRbJLDAiCzNT8fyOmEZcreACWqmRuQhZLZCdn+7fu11d95J/KX9omKVU7Pc6ZU9
49kSAzGMcnE91BFoZUv9zrc7pUJcZT3NZ7bV9DdKnzgPrWOBZc1G5dquzYCgaKbzGyidD1IZb0On
Nr0k65onNW4G33b7m0zt1F04p8W+bytxIcxaof7iZleVK60HJ1HwBrSscq8VdrFty/tJH/nYLhsd
uEW19ptY8yDihF7cfuvb1EtdZ4Hs7mbFmi4dnF0AYPo0WV0XQXQqo6pwPJlHp8aJ9lMfP091W9zE
ranR6dyfknzZmUjU75JBbtvBuY5odL1ojL7ahXWlXhGTWJ45QObL9RGCdXE12d3XROmtnTHOVxD5
OfBQjB37OG0PzTzEx65ybjkCNE/MwUWLe8k2LarxyVhosH01vOZdPHLbkYpH3+qpH3ICfTwgkdL1
PSF/Pe6LUEcE1dyjnoh33CItXufS4D0B5d4viueskV5m1cFNr7QWxM9Gcjl32duE0WzpBPgOctTy
MdDle6W6vXMtuWvG4rORZo/01LCVu9bPXnU/aUVyz2m4yaPIgMxrHx1rLrxas5SHlHXudZnBe5xC
CQkGKluRgWhkHvicpVvTYtvOd9lS8bXz9Jsmk5JtbBKbJLYIIJw22ir/h7kzWY4bybbtFyENfTNF
Ex0Z7ERKlCYwiqLQtw53NF9/V2RWXZOYVdJLsze4ZVWjygwwEID78XP2XrvYzFdUBTATOUUWZR3N
rbPX2xQ/X1fHGszQJPP7LMmcvvlEwCwIcds4CceJEQb17MLoYL3S+0g6ShGB2TpVHTD1OrjOTUYr
MrCWY2/0cBTQeOzBKz+o1c2TzXHOte8lLGAphPPcDVf8BsmUep9Tnj72Grc+j527JoyNXidTfqQw
upWNnt5523ZvOsUVYO7PZjnYcd1S/TQO0lw/TalKSmOfG/onu/L8sLZb6nLfTBPwlS1Hoe5jF2wy
XPJcP1tukYUUvPWekrN/84tmPQlrmLmJEviOUzec7R35jUQmn6d46Re4g0HtH0nnJEvN96ez4wm5
9wh/z0K1lTzx/eq9gLM096Nrq5bTUFWfzLJJn7VNWZ+2Vayh4xagvstyjrLcmeMS72jYXZKUIVUH
x3Hc+idT8o6ljbAkj+GCAQO7RHm3KiNnq1qLaEGk9anR6tnegd1/zsuJpsDGKo3A08QK4+nreuMO
1kq13bZPQIi/yEU0x6y8wJ87glOr3jdjtVIaA9IbIz8z8fLkXnetFbZ9bOXkxR4g8XtTTztMa51+
ZNUrHluSJXec8LSbYFvZdb0J0S1jLHEzWWZb4sDUXua0mu7lFLQRUzTnu9Zw5qu21TgHqCseB5G1
Bx13SWg6DpmUAy8peTrl8KlQi36Y9K068jKqW14o0450N6WsY/Q9h8Ju0g+Gk2oWaGDRJW7fDg/z
2JVfJGFgnLxG5+DkZslTJrSHLhi2K5+jQGQKzvRjD83PalCDulXq7zI91fc+2sJ46op6x6SMfm/f
b/l9YNYUjiPRlcFidFe1JpZIWML9OvaWB4BRBCfuYlFGuee1kS2wFTmb4EVUllUnctjYxhdmHkXS
+2tqhRopxPzG5rKbA2vcDTgeryoIDnrUqFlQ1XjFFuaLJ6PJqYxbP++HROFh0cI2FeqqLhz3s7s2
+nnMpilalVPHaIqHU5UFWjw2hjia7eKxH1XpDuBH+eTa2ctA7+5+8dYXAvcqwgQ8bY+YZTySc23F
dWBBVs9ZrqqhtS8/oZ3AxaTy62I3k/FgNeeGCiUudFp06XbsupYWyUbaBMd7d9tVDbhSB+Kpj53d
h7zeL9L45kjPP1HkBzGcjO0Alcw/OH3f7/NW6scLH+hzO8iobFMUjZf8Ay2zqCrppWl3rUDDGdlL
k580xgAHDLbBawfB+xCgUfzay7XYTYQP7N0RJCUaINt8It3T/WAIEMalFrBceWphvJ9ZD5tOJ0nR
nomg42R3Wkp/ge1ei43GHw8DGSB3sEaHezy83ieWl/pToJziESy+B619yfedKayHVGYsArWh0bmE
ynEEsl5/bAf3xrQzjT9hwXcYN9iMPlQQlnmDyOcMqK/MpY2comxujKW3PoEyN86LPzR5WGQ2xy/E
u/rRbgfjdrHs2UvsbK2uyYkgZaEkp3rveWt3l+lL92DTsqEn4NTy89whCIyKwsmeZ/atLLRZEz7k
bulcPEmabtBjsjIzsdxsuoKR+i96w/+/wcD/xZZ/wCj2v7f875kxjD/1+y///F/9fsf8A5/Lny11
Ynd0Wvv/7vc7+h+oTrHNILrHFULT/X/7/ab7BylvjLVxT2Df8C5W5n/1+037D9Q0qB1xyyMYR/b1
T/r97+ZxyI7ge2L5gRaLpIS/5OdJGREm2mz0KcmIY2+fESWQXayb9z/cjH8NGX4cKvztIhhRsfjj
CcEujZH43UVkt1Ya4aVjDOnXOQFgvhwm1/T466u8G7ohuuDj8dVcBPv/Qa5ScqLvSFO4aNhTkobc
4jF36G4USqt3nY6J69eXu8wQfxi4/XU5XNncOkQy/uUX+lFei8kslcu0jnHaV0OcrthZFl3VmFOd
OSqNtThR0vhhKkFn/PrK76ab/7ryBS17YZCgu/n5yt2U6mtv6Vy5VvV1SbTGcapGGrKTpeJNqQ4s
o3VgLLoeS0es0a+v/m5Y/OfVmU75cNLRPsDc//nqajUw0IEOj4nO9MJ5Vk2sel1EuT/9Q50al2Kg
yTUu1g8UgO/94KS2SVJlQfVnA57ATs/63RAINAjTusa//lZM2v/2eyINvTBj0eUh6nmf5th07JAE
qbTgaRd7jpD0NKfC9LIPhZHT5dPSdvzi69ksEB1ZRhGtlAPH2pHNl3pIrb1ycih+nOGcM/tl+pGO
bd7Ra62K737tc65sW+8ZBzCm0X7Rd6npR3AuUDCNll5SgqS4Q7deiOd1q7NPNo2uL5qRF4+44C0r
cuC8MINJpwnfIc5AeEdE1DoJTW66IABitqhhNHidEw2RRu6WTtfsJi7dDDp0Y2iU2vYRRK/xmm6j
tBMVFDX5VKW54GfJzeD70qFdi9xBrGU8UFRxvm/d9MrDoRf1KvCptiwwX3IMPk7CTL97XcajLuu+
/TbLfjCOcykcxkJT3TyhtdkInzBa/Mmj3J6KzfEfLxLxp3zkUE0l4i52NHnm5oYZ+9xnEmLWV6B3
RgHkZC6NQ2c15U3hztoaNqVnVOE65XWbZC5I5djxVe7wIc4yhdaCebOlzTDFzuR6KrTdTdAjVjog
NM4Iepy6uU5NObvaFQ6CZozbflpfgXtlb7qnDWdVlYPc6+OQP+tOWTzqcyG80Bod93GbrFnG6JAZ
cJInmvPhgX6eS224Mct1SyZCtpowKyhNN/xBtyO2gVNDmSlDW9OYltGbXciJchxVRdC3NTfUmDXt
1CopWghEckjnGdf4Il8/DA3QasMSYgkbKttvQVOL+0LXyeLQTdpkpLaMw1kDDV+EWb0xesr7jUgc
ibku4TulQcLEkoA+URLJhKmRY2wzLM5VRaRPujNWxbF7bfvl1hTKE4m6WIH1IjO3Q+7aXZylgxdj
N6MRP83L9o0oK1TDCyW9iKRRAzZaZ3f5rnzOPPVcri+iGdUnTR85PrbtxvGalVngxTJ699l3BpOI
mLFTVGieAtbYcxRkblg3u6LDVq/60Sc5qFBfkVhaD6Peixi7uPo+TaIkJcYQdjzkrX5vSnJSfqOV
vgzY363cAf4jNmNAE+iX39N2erl11mQTDgPYn3YZScQIxebgqQWBEsglKbE/C4fbAQxNEtI0vM7W
leD8NgQ3TnC9NLdzOaDkOPvp47QmtantgDP+tcj/oyrpv4oifhJS/FJk8X+xlrLZUv57LXVdvL3m
01srprfineyCf++vmgo1BFJiSC/w/S+o3osz8C8NRUBxBL7vAiSktLlIx/+3prK9Py5ERlu3A2bt
LkCt/62p+L/YXWCJsf4T4nKp0f6BhuLPfemH0kCHXEXeIOJjihFQH++3SKnP2IDGwQ17kxVHuqu4
2ib7lqlhFc9ocHaZU1s3VCcynOzLEBcWfGy1axXrunQfPd7ZmMOUPG8d8+xqgzwxZV81u3j2kVtG
ptPYHJ2c28CtAEukPa2x6lpteaiBBv1UuXNAHJxvHqveYyZOF4FoqxFdYG+BvArJah6QbzTddwKX
+tjulIiXpk6jQmO11tgIi7AyvSPvLBgMZvJhm12UnX5t364D/UtfNSIu9fxO0yBR+Dr7Hvm8KrSg
e+wnIoN2UFvyfTqU3oM9SPuvrfofvRmPXcN/32uFfnot/t9env1bd1HtiPcf9X/xvbkU5//9vTm9
9C8/vy+Xf/6v9wWr0h8cLyio/v2eoCP6A2k0tbKhY9y7wPn/LTVy/kCdpyMoQoyEvPkCAfj30UP/
A0Gbh7/rotPWgfD9k9cEqtbPCzGfz8kDqqeFjQpNq/GuhG5XoSS9WIQ2aC+vfK0D/VLRYHXpFey6
xdgib5laRrTzkx/MjD5DlMPjZ7voYrK3j8XcXUv9xWWmoXvyjb7BHGKyCWGEVU2x2231dgNM4Mtl
IJIW9GLSw7x6c2zqVY3sQWvinkZ2nAGdi2oMefTICLP2nPLFLl2NHqNWJPidm9DGmR0yeHAikroY
r8MJiOoozYr6mUC4LW5L81u2EpaW+qMb+hndJmZQZfc64Z5CkkMtsFnkSWb9B1Mf2FBzwrymMbDi
YDY/+d36apuNfQgqL7/RamxColP1J3by5mwJQx7KcdpXd8yw/QBvYna9NdeZPcb0zo/BdqWq7EGj
57j35qEPWxKGYr1atGTLsudBN8BJ95g8/jR7hN58suq9Zx5XO4gCa1fmQ7QFob/ar7Jqe6bxDgNR
MS/JYsHfcIi3oQuKPoSsTI1WTMnQhyCxZXbjbqBgNF/LANhJhFHOIqdmIVGlWIhFGERnHFqjpuXo
Tdb3XhvH22yTPh1ey36GFfTSWBSxjUfsii3A8zSk0e0Dq/lW4vUOCZczkwm9TrjaGwxJfTEiWCtj
1Kpew/TdvSq5+DgLuyAZMPWeBIijGOIQbHCbLmjvM/DQW704N7OYEzoebRwYoxmlSgyPAN2YPPvC
22+LvRBBqfLrQo1+bEzVczbMUF+0+quq6ZpWJcaDSSFvMlUpd1uq6meYFkbSTkZz0wkeW8rfL7Va
gQ6Rohobw7ReW/PiJU3afcWBbURy9T63dSa4jX4XOUNgJqXVLpE3yXxn1s4HfrwiagUOQvhvZeQR
1npAiXy/OgIEbF/TbrY7PVLO2n1IKy/bL1XwhG+qYso7dVFamkaYydaO/XkWp20u0jt9oi2JVMi+
agk0/wz/xkumdlvYVgxjQpYfbLHeyOIFWiV9c3V5yCV4RQ+KEYj/GtxIq5eJzNbuVIrWO4qGmtVU
Ap0P8o9QDE0WyXm1r1MCSglJH5cwN5lFFb3k50OFH3aaBMmSeSopyqGFpzIOpGAFhTo3LrylC8fF
TKoZdJohdMCSyO6M3U5xoAwZxaaxaS75rcYPmbCp5TE9TPR5hZ9H1daVsUmW4Y52J++rYYuw9tyW
I1GT79jOrEOdovqgxKtQhFfDc50bwByMDcSIDkjE9OrxyhDLmLgk5NZhAf2I7K18Zhg8VjvuA+oj
d8Otly9TRBIUV4dMfcxNMlJ1DbXZIlOmR1lnHUmqbiNN9QYqxYashAyZSaXKLPYy9YSjH2q4sj56
tfO2trW1b3TrxfZZyMbF/VRNprHHQ+BFhVd8x/4iMBsx45wdvpEm19uWAJAIGmWRkIdt3+QeL7Pd
ZijGsrlmjB6UiYFk9BLd7u/XTvNjau7hXHe1dWQ8tMaOXHghjaVJTJUaCSw0CR+qLk5t1/KqoIMM
xyxj/Ncw1JEDrzCjV2hE+G5CtyleZs0JwqryOtLaL/JIbVx3vj62B+ac6gib8vMFgUGvMchinQIk
1pax4kcds9i3nC4Ze+EdFPHLu6E08/CH7e0/dJXeHdj/3D1oKmEcZQOjFXJpk/wgmWecXQ2zNbZ3
aPavmoCTIS+D3vtxoDVPKc3LqDN+12NiW/zx6MAfjSkKQAP0poDa89Ll+/Ga0rSncXOFvFMrF9NE
5t90zDQiNO/eb1AJl4/6oYikHweJwwXGQ6kLL+B9P2LVvIDf37Puxqr8MrTrbkKRnxVpXKggXiZr
/+u7+be9+N3l3t1NY5NZXi6+dYeH6tkuyaTIU4ZyCzrFdfePL+UHQCAubA++5Xs6DOPqCpL0EHAT
b4R1LsVNad932m8U8X/7qegF/niVdz9VarRpN3hcpZSflvaUtvd6/hvb+3/4iWjQ8ghiTuU48md9
88MT2HW2zMH0+3fL6KN+ONnlFi72vW5/X6bPv75n/+HbwHGgRYtoXL/4cH5+8FxXs/SMWfWdbJmU
R4UR57+jIb7r0vLAAUG6xB7yvF1azpcn5IdvY6bD2Ihy0O6QR7ZbTCHw66/wHz7/T5aND4oDndV7
0HfJk85Dpsr7sSjvKS8+tZ54+PUl/n6XsHsEsE3+usT7u+QssgCLJ8t7ozRIHkUEUayfNxL0fn2Z
9787KwBeCzqTMKuwRb5PtgLJs3XzuNZ3eX+u61sldyh2Lgxy7TfO//ffhwux1qC4Mz28LBiDfv5J
VkcTxupnxZ1H98GsX7TiQ2Uff/1l/mbg4yIXy8jlwWKkB/Tp54soe8xSnorsri1R2BJCvep3ZXBf
1CReq1PDLNFHTVmmH3993fePAwbFy/mCZYfnGVnFu8vmaGqXyrXLuwHw11sL5vDXn/8+FY5pBmib
C5/7Agq/2Ep//l6lpYrcsMb6DhXdbgm2j3mWcTK9LxFOSEbw0jwSCqmCu3y0Yn0Wv1nl/jT5/LiA
X67PsQbujHlxWr+fepDJva5bzqR9yVbARfTlz6NVIa5bvD5iEi4T4KNwOVWnJzMs70hhAP5iSvqH
k9Y9m/pshZ1yCCYeSue+afEerLr7hvi0uCs60HRoSL19i8M7MZTTEzDBji9ysm5LNka8DgUl7eaO
aNEq30pE4KS3vjKmUNli27lN6hyY3c+/2bb+/shevjVZECYgEPbJd+OBKl2ZUQ9ecdfpB1ygQXdj
VL+hF/2HJ4dLsFxcEgZNhN8//7B1hxZldi+a3vuAsPEl/vWD8/ePZ7NmpIP4CbIB87mfP14A6syD
eZB3c7eF/iOQz988mb+7wLuFljAUrWZkLO8WPRyRhky/+QIXOx1/48/PHus38mL+Y0APNC9/wg9r
OYKcUs+wSNx6lSmRkLZGZHqgUSazXIi5p91aUx0/m6XIo4ndYD+DGNaR8wQpj9WMdN3IqjMH1EyR
bruUChkQQ4NdX+SvjrDcOwiUaO9rXHU7dzbBcZZFJBeMsvGAtOhI6ze99jj1cUifzRu9KNE9yGaN
RuwNMbhG/yqjPTSFUorOPGKNmJOWm3Kjuql5zAPa3qTR1FnEJPr7MoAf3whHnU+excAe9wiH5dJf
duMsdUS3VhVn2vi0LaOiAY5Yiok9JbF7cTHOqEXsGsZu01ME5xM+nP5zj51gr+jORRjN+QRzCW4K
PW/iKhsRgC9uDluZxTes5in9ZOUNdgZUunvGqflZ1IieXUt1t/6iDQ8eSoekbYX/xa0k0zavT/Nr
19+GJ1p7wzlHiXsi5pu8SdEGcdXO9a4wc/trwZpx8p1Wxu6sqj2AWe8bgNY5WgRi0qyfCU2n+cCc
yciYxfv6kQ6cdUTnMO9Gf31Fo0HKWqvIlyRXGIrqlAS16Ub06geUk4wezSx/0M3+OUNQGVpicXe4
YtAx+OVyBdMZtcqgKgej+KJ23VBzp1K7P5Oz1iaTC2Ju8ZWIOOW44dTkwbmr7e1mKFS7m+DjIRUb
+TPHdTgMGboMWXgTJz0bzX42ygP2ojwxcKxEsF4zGQ5aR3Nm0r3zYFf1cahNTuQMxu4vqeNuWC5m
edhafDMTXs1BK6udsCDGmpqOlh3XwtFoyuAKD4t9bYyzfj26M0LD2tlOBZPyvUOa7M5VdU9fR/c5
5SL33Gmi9+23UmIxGts13BoGbTXqowcG1TaPjLTfPI5+dgKQWb6JZntugVIcF3+cTyvuuOstBWIF
WXt76KxgwNzUzt8z6X8l+XrEyT+6O5DBTQS5EDOU2Wu307Ru9xVmEiRQbn6AXV0R+rlYt+iuDH5T
3O80Ktxj6Qlrl3euCKHccNTKBituHf61oMk+4ghRu1W4KsJ7lO8wkjTfAxzoaMhmJDOSDOM8Xdyr
hdftuBljfar03I6yZu2PJLjwA5cbrpPJdnaitNWx5fF9WCDNF1FuC+t+VMrFXOZvkYETN3IhqEYc
5/uk3hyA26iFQmSzHrpKR0ZGZr6QNtUmLU4jjtS9OEgde5+RaSYHrbLZ0zPL3jxVj+hQGZI5WINY
0jIPTXMXHFtHv+9cFNIOyVXHHHXajbYokuJskrH9DFl5RSbBkYPcek1MOwdFSJxHg/kc/7Crx0Y3
QZAaGSW6q6TRjAWpjhFxNhGb0HwVIGoNVxJQdgZgx7DDdzR3PV2AHptO6TbEO01M4gdhuzFYDmC5
NOteGveJvsONNhXoKNOiu3Ypsq4rq6fhg09pl/Hr0TcXyIse/dmJA0TLGSQajshzkSir+kbJ9GGy
3EljtezsL2a2wEgS6ml218s8LDWO0HvRbAu/vN2KPD0UDc1+A+UmqgBPS9y5zI8j3c9D06X9vl6H
6SzXfosIUOmQSZAwH0K5oQ0w1ep+7GHSNIxHGR74d/RRaPXYox33FsK6gtiT86ot5REiMRpTS5ag
qfE5zXWG2C718shvRxXXJK3nmDWWPvFnL8uicWLhMiZNf9FchwmFv4ikZ1Xdj4SoRBS5iIhycMws
/Pmxc4cmqeum35lN1u10WlOh31fdnTHTzyIloz60LrAhpZxtlw/DN6J5AgjYmnbC98y5vAhgChtd
QOxW+iyd4Mta65/nFpy2C2kxNFCw7hyFnrxdcHEqHak3WW/RPPmsjVUNT3xtxGFpm+7eGGb1tul5
lUeWtM1Id6V6VP1QXrEKDkcrtZ0rnjT3Sq5Ch63HSWauGE2sQfFgYIlM+q1eIgqVDyRwqwM8Dm/X
Sac40mrBHnJpfMq8RLS/MQzU2q7YSWstb7ax0JCScj/loAWfi7Udk67MmuMarP3BdpfsM7B1LyFL
eg5J5C7vmDr7SdGnA5LjxQg3J5M3K4KJaOntYg0HM9eirMc71mq99zj3bhbVXSoOcKHZ+lLWOARZ
M81prZmejbViylr42swSz57AUHx5RXRa7BBjuAddWtWHoCspbJ0agVthpPppGxb9ZqrvOro4Jb1Q
b34Vjac/VhvtkhG5656W6cOgd9vOYgCPT4n0QSNHs9xZCJTbNjiNJfDThaPj2UZszxo2IGRn1B5N
Zf7Ww2M/FO4GQyht9YOWt2bcaAj62DyLu8Uj3LsQ2TdTzfiuRCpu8S90X0vwkuWFRVfEmolc3Sst
kyXbqfeNpcRxzU0jwutUXqFr5NYhn45kV77KxW6sZMQY4cSNK6p78o9W7t1MUmlFJoiJfXccYn2S
xb4xy+xuDZStwlboF7drN910lAeJ11p1JCaf3NJgJLBIdOUOMvcrbTDcTcuAzl+zPyEENc5dl33V
+RIxenZ6wWCCwauXuKJlGLSCXTG1ug+2TXN4KGr27bbHFuKk7nTfejIPx8nRb4xiqq+QjeQJrL7V
x7PYXOKrZI/xscHiowGOxu/saXcdppaQB1/cLzVWUgby/Y1o2ct9vxJxbutIuiU6GwvmUOJ1qnie
qfiPzaUR2o05H+2YX/R1yq7AtiGapmGfFGln7AzOIaFS+RwPSo6JEuX30k7Hl9wx3ubL/2ZnjHlw
plMOolhGo+YHZyebX0pszjwNsN8ZJtaHZRzqN0ZDBrWEzxtr6a/YiV662dJeFCfmnbR9meA5Mx/x
lfqRdFCBh3W5Tjd9pTElSdX8p1wUd1lTMhfwMf4EuR7NBbT/wl81rFlmlwhUVDERCZQYQq13stZf
sg6sSZhn41fD2t5sp9WO2HTHCaHFsuJb9IqrpW6JyW2YEcyu+mrVeNUUZtAtmnKNs/Mk2SY1Nd+4
dYZYeGxFguwatYvWd/4eH/btnK03SHrRDNvJaH8cs2c/C5LCwFmKcy8LZ2Uvt/aauzGiC3TI29uo
aRONUbT5F6UeyuBmuQKg1e4wivmcpF0TRw4SEoF9ANuJJ5BfjyoCGTQkgKf6vU/+QKjoN8fz6DWH
TrTVuWP5uWEi1SK+oMVoO7W+G4e+i9qRH4KuvE5JhS9iL8cMz3eQFjEHgSxuynRFvm1mR8tyDARD
+pfWqOrDioEokoU7nKzKknutb4LTMEG3Wo2MWwfRMbSK1d/Vi7Pt7Y3g26UGrFvU7qtVTjKydMbB
fslq2qWzszecIX/SArQhWNCYME+VPFZjQV+cUVLobiQ25Zp3Mwb1FnXtpn3M6tVOJIOQj0hemdS1
TAQHtllaz2Vb5icJzpGG/+rypy3LKYPnHw2D7T+sPl1w09IWWixLhuwYuJ0S6fUsN/tc1PaLa1B2
wRHAXNFsFAjFmHWHwq9lSInUxVtvY2SRXpUsrXQOWeNOX0HhpTcLGZDX+YrtzGx642GEfY+hSzps
uPmxXLp7njo71kXg35a+qu5q8phCd+melhxziyVGM0QENB7b0frU+5OdpDkJ93DFvq0USYkbFDyq
AYuQD4JvDEeRy7hr7PW2HlymO0SmhXpfqIS+PjbtZpgw/qVLO+y84WLXZEKC6YVZ6FVuEtnBeybF
rrIU6kk1pndureazwqp0ZqFbD5gwtUOKmX1nD6pm3MG8yugLyfNbF5JVP53OYkYq3JcdVRdOQ5af
scHdlzuZeBDCcl6bFjtzA1E/XitPPdplb91m3aD2NoGuT4gIigQMmH15GHsZipGficOQijSOSSdE
T7jPBK/hYNjTCWTSt9bM3GRoL+TXzMz3YsjzWC8XjNgm8dDt4pDNDiA3suH0x+tmHhClkTVVdCjH
p64/857XccPpgGHZUOyWYf1a0UkJS5QMAOSyN2Yb81mU6fzYbLYW5oWT36wLaQYcTrArjNSNlq20
Xd5gsF6qixmhF2bMUCjPIMya24elKIbbNFXMhZpibPcF4R8HZrkdr5g19fthy5l+wjc41Kuhvhat
tZ1dvOSJiWntMNTtCgchXz8itjJPRF+ssa1twPqw8Z61VHOO42oPV/2qgufaHconDesL2CJMtjgo
tWqPx0ftGVJ7SRFYD06+dhnjS5IattSpHiyjP4yU4T3dIodzPn4hvdtTr+UndLzNx1JHf8/ZL31W
TI12rJcEJlpijluRWpHVFvSXLuI5vClDOOVruuv17QNHLqQc4+qEU5dj+0ip6w5rylwPNfr80orW
TaSVidutBcRrGWt5RPrYxLqRvWZD8IFZqBYuPlr7dK7cA8rwS2rlUD64PDtHNx2yvS3YryhIyxv4
IsvNxU+7M6zlc2MyXe+DAsenNNd94I59sm2c+fGg5FEzMxfl8NyEk1O7p7mAtlDgA8Wu71nncTK+
u2XfHGde2T2hgti/CqPZjSyPMQfye1AF8zH3EcbV9TxeufpS7RS89Jh1zLz2GJ5HnHbzm651x/sW
c+zJaLFvrK5sI7ODxFxDCDyMyOlChP2TzfME46F15RZuNLLw2XbB5z4v3jQyM0K4/Q6+T4iJcA2+
TA3vQW3Yn1yG/IdhxTurV4G4Mq0CZ70MPnKkYhquqJzUBHvNFMrmZxmMOFVtF0FGseEoUJ3j73GO
pUkss21KkEW+xZtfcF9am15/By8LXYGhx3nuvtLVeAQRQB3msCWg/ZzPZaBoAAonOOFdcp/sYoaS
nlnEjgSbGdlDNx9S6fZRWYlgvwRmGaabxkFAas7TMjUmhrANG8dsfGNAD+ElCOzrpqy/wkMcjxAs
FPk66XI7Ddmy16v5TXoyuFl7bYjB8V3Ww24hMKm1wnxkYc+1sr3qLC84EL41J9lKiSRWjw0vLTk3
MTE5KenZz/NqefFSmM5nM5AYoRAWP3DjMm75Ur0Oi3Z5LJovtrIW1ifrhvfEve5qs9rpmj6hd3bw
91tWDz3EteCvcAbNMTdHsjWbGIbWtJM+BzZbYwuycCFFqDfGKIMBg5u1SqNMASrRZI6+aubIvJBA
GtneJqIllUTsqOkt7UaaQr10Y6HzZGyEocZ5xdE+nWV2QOYEQyVzy1OXzdXOL8rYHloYbPho9AGu
AK9IVMz2kdm6c2tVVfOoEaAY9VP/sQrGNLHh54MoRAgbkAG0G0wsuqgtacNjHU88TdiosIxnO8do
MzfpnAye0MOtr2gQtOmaSIKMn6tx1BK9bPDM69a8p8Vv7mge01D3OnPZ0/MKMDW3OXeVY/FxBkEY
ranW7i2jUohrkFook+UOdSZ7Qw5vpqznJsarwyM4685NISZW7M7kyoogEsfMtKPXye+WcDBJj7KK
xxpJqTA2Paz8xo0rOD0PXUnR5F3M2/m8DkdtXsVedESwNrLLDu6g/J0i/SNpAjWd+QptMix2fbbz
2bhe0mV6KUvjM4P1KfKXqUwcu11Rhjb6rkTTHA25Z+/LoeaMnmbrgVYVx/QiZ9q9ZSQvibx/7HBW
3eqG8b0zOC0ZQyUjFypAOM3IPwLClg78nUHUVCZVCX3SRM3deGP2jIvATYg7ck2rq9mWX+EJAxa4
tElq4AW3HFxWhCh+dlOs2MuqkcfrOFRVt2u1OThUveiusom2+zwhPMrxr0W1GMqTZzbec5Dp5gsJ
U2vCNirxrK8FYgrLO/QIUfdl3uOAwwWnXadZmkX94tA6Y2UO7V49EfJkwiktFWaNyTxkYm2OOPmM
WyYFvAh+Cfn3f0g7s962layL/iICVcX5VaIkS/Ik23GcvBCxnXCeZ/76b/F2A30tBxGCrx8a3Y3b
pkSRVafO2XvtuJKnsnUQlsyNoJj0ox1RTcVGk8Laoqd3t33rNCuGJnybyih3C1ngygIQtK0i51tl
qBbzpqnfV1M0blyk7uzaPLIjYpW7GGr/DlS93AVy2as4zG3tqAbewJGB4y3Wa2qcl76uiyuFXAXq
BJfJ8ik8BYYs9jpyjhsEKY3n60O1n0dloazo4TS0S1IsdMqVX0bJ3k8Teg+xk3hNjIIaW8PrGCbZ
Oggi6yowmKYUWVdueDhZH9sMXPxE1yF3yvp98KvwUYN/4lk8sSuGwGyp0dIy5qA4rDUIM3NIh2PY
hSSVsa1BqW/YSLoMe2vTGWjPU3Wd9Gm1JjeY438Z+NRwQZ4fMwjyeKflC5w12gqx76xo24CyGtBA
FwmkjjDs6FgrN18h/8yvlVDjwQ71bOeTkr0p7aK8Vk4LqgQj6Y7UceKXDKu4mVMxeK2NSbCyEnlP
NjMQrYAdftbyn3OQZHuW3I4weNpzc9ZNh9hI6OC2PhVF0Kb4qh3/qg+WU6LZuF45m9qLnvaOl9nY
jEPdGg8Ig4pD1GjqCVm1zh/GKWw4odgOWfNKq1zQgJm1VWAPHAyycgbnBWgVCyCbVKclctcZCVxN
HMmYhdOSNnD9LFL0TtNU6ZtpxO+oMYnbB+R3PxC1tmqkMawIgyNPklpqJY1yWmeOO605QLZ09Ti4
p5yHv2JuHZcIgCfLpiHY2L5Yl8GAm9JHkxNAS6LiaOhLzdWbkdI16LXGBhJQyRVxEfX90tFfu9B/
5pWyp59D0zNB61X3OLp4YyPSxq5wo6deRZ4PdPjZulY1zcgoSakdONXjIBDGtqY59xAn9yI/JrGh
vTrZCCHHaFws8Qm3VpbWLZ1L8sQkv62ha9NNKJNkq/VOvGvczt6Pmd09maGPoi8S3RF6jrHDTNhu
Kex7jMJVzRdPl0kDoVW6g8Xe1VW17hubh8PqouNQgKbps8V/aFj1Cwg141iTfvXYkTSTcRJ2RlJ4
k+6mMJXmwYbR16hv1TMzl34V2VSEK2AFAbOE3KQ/imHUz1DtuMUqadP0ftSarzU0WtBeM1SOEN3u
rIb62iavDY7aUL8npMrc+TKu7lQRDkcbSNjOmSPII357RABX40AgKZb1bCxoyUcxll66tptcUfMY
cJy/GLijfxm+cFoeFFhro6+hZXLot7VmIW7z0f0xydnaVfEg6Uil1IdQNjxznJyjHObZUyx8u1jF
/XbgRL+mzypWcDqSLSc745A5nOfGwg2ofE19Wk19mKEtwy2DCxc8zh1R5cG3Lim0286k3mpHuPzC
r8F15aZ/r3NQJBMgU48mnnAE0jadMtoHgReEfbF2DLwSLZ6TW7RGzRZW4fy14dG9a0WJ3RLqiYOs
r/xa9cAUHVmXTwajO0N2bxB3LaYT7DpAKtIfTizUXvrhcGdReq10P+mvCO3VPLOJ5HfHzcQvDoff
zMQfbpm2ie8kG8bPsVV02qqnW/Z1gavsKxpwAIPEE1Ewwaoi94zlw9lKl8AQHrpnvYHC78mhy55E
V5YrIyzTXdPNc0aBOme7tLItE7B9WjqbuSwnqhyekyyGGoM51LzjaPnOWtjd+Xok1/nYPjAsBNzL
bkBbl9KhV4ym+4KemKWD/JjM2PLcttZ4nJKapdaITwQdvmKXSY8i52ARV35/V4uIM2hV0t1raBui
jcEHXQ2vaKqsTWhm4a7TZV+uSpyw17jXTc9BnOo1PCD38UDLoG/MnnMz531pRFRSca1fZ2Lqf6BP
yukaBOarbWF/o3nWj3dRbWmI2kN1kLpNMyPVEJJqNKobGqH1OmOwj/PFFb/mbCBXGDP2g0rS+JGc
o+oLIWjtDZSnGbCP6D3ZuO23ljm54rib4r0aZ0irbQ9lFwvzahgJeo1iP2RzirrXVqbGnp7ycJ8K
h4fRGXT3wDqUrhO7Dr+6UVIe9LlrjwPbI37hufDi0NFuMNjcg3Zpr5Q1R57DTGvDYQz9waTF8cos
crJoSqUfy75sdiUYtzVGPxIK7MTeZXkdr7tATaPnpsP0pZNOrBiO0ZCt7bDcI7RG6+u0cgf70VkV
HS6Cuaidn9rUt1ur8JctmjMX6XwMW6NC27lRwffFeMBJs/zu6628kip+18JInmwgK0g8Q4cM4hZi
FarMUNVPTuc+FsUo2h1PZrrTsAuvh7HF1i4aYTxXmjTeY9w/kdcGijDpJNSpGOhPFRHMHqdNgusm
LfTTlM4Zc6vKPjjQGobuJoJ8tiO4QLvhc8yraowRKqusStZE94Q7PUFQ3MwAJFccc3o0DiSiA2tL
xmnX8rPsLD/ov4Xgv6+nqqxuk4bxSy5ROUaZlXo6s7/bQgYg6hKrD/KNw3TRA2qXMYtzta+FBXCR
prKxNmlSrVVQ1NuI0fC2lznzwVCAO/bbcONoYXj0UeYdBGqSq9CnS9J1TsUpxsYaP0htRTeFp5DB
x8kgoeqqJG50kxlZ8sAhDFloZfSIUazhypQUzoav3E1sGPY2a/1gW5AvysidV75LZ6wZwmHmNhXz
VdbrPvJeRaEfGOm6D5xkjU1EX3UJiB7iRuftqIO6td9hVcbat74qJ/bskN6aXsUcsd36V6S5M1aR
wFB0scFfruulRNNzgq35NX4YVS3eaWSLlr831Y99nTubrgvGNeiOdhsm7cBhIRPgT8L6hvgohkvT
oDzNGfKt3djm0QZctDasVlHy0Qkfm+id87XyhjlGFLqUY8QB1V4U0K7QmcOsRcl4SbTTD0eGHK2z
eaS+YC2PnFWCsHNNg+t1kLDd6lpYNHeCR7Y449lfpPb0WJOv3HX55i7UvqyuUCIkenT0hzhhUEmT
iUX8LbXs5F5nnLTJxtRaLySlh6lzzZekzcZnrTHbCqpPmtK6SZXX9E25yiCHrqqWNrGdWC9mU+jw
TjgxA1UJvYrq4gjVJyF6EqIQ6jAGjZyBepo7NoV5XEZiLRja/CDbrgq3BFDZymsXAOiYjN8Hn5d6
NcdFu3cbq88oShO8odQbt53eo7ClRiiVpEMorXqrHIhymg9WwwYWeZUFQ3BAfG6srdxWL1OKZ3YV
hwZ1iWsPd11VQpOypvBoBbr4rgESaNewPYutmY9qzTOne6Ouur3NkeXJ5sS0DoPMOU6diZLAkcVX
t+ZJjk3MtZNloBL3hQ9YiSl1h7f1kAkiE4YUcfrMKHbdaoBmwDjJjTYU7Y5PM+4mIlC3JNiKr3Ve
0QIXvnGIJ6N8TAEaPAVZSIEfw0GzAuaP0dC++iN2zcbKMxAioqTp1/XHsGzybSzbDP15BMJhNvg9
YkV9ZDORLqjqarP17HJKn7Qpjd8ZATqvoQ8tSfhj/6sso2LLkX3YZaNMHuPJd6+kqKLXMVnQJzVH
GJpsWLTBem1mzNtPdjZ1D0wTGZf2GlL7lVuQx4SMW9x1ig79IHr06vocTSd2P8awounUqoM7ytl9
4ADQ19hDOjujIMRJaJpltXU7XWxAyACdlJo+HWkHzl4f2gzmOmPamnp6q+OwvBu10sQKor9nBENR
FNKfHvS8PepzFu9nureMmopFVKOZb6LLaGeWtqAVaL7iqRcbOxzmGmuK+BlS4UNi1IK1DklpS2Th
aialNeyBEEH9WPWZCjmgjjTiWsh/XhH48WPIg/OQ4Od8pxvXdVuznKN7BocI2XlddkgfZ5AjiLtT
HnFiFiS2zkKvw9uUwR1t9lns05Q2uCxS94q73ZzyqlcZobDqPhI6Q8jSuuspcE4mR7QKZU3a7/yO
V3VWCECod8VGCb3aF0lab2R9BXHwGES4cJJh4kUh5GUiTlo0mzltMxqitqwwdjCTuI5yxYpdhdlB
7/zi3bBplY+Tph8tGJPfwn6MEeNjci7TpU6jMNnS6GcoZwdiwxDYPbSyNbxucn4YBElQQXVTtS5r
lpMSkGwVB+E6R5cYBbzqRqGrO2YP6lvGAcv06pk6vRnpmTDHQBYAbMio15YzTM9l2TZXShr0GSwR
+bss1GnL11K7BYOHwMoO643WNiZTKpwoRWFyL3x9ancAX1MQTYb/4jdqPsVxZD27iU9/Kg6ourSS
yUJqPwx6bDRriszmgijtNzJQdPILn0KXBoOJc+FeJQwSKsyguo9sdWMz+e2ITsbefjSr6c7Q8y9t
4H8XKAwgfW7+VnG3iI7xcwK8QCp5HifUu5WYIxa3eyzw9c4drv72z5OxAycDSrbJJM440wtSzTCv
N3v/TrL8dDR+/zIhANE0MjvhOHwBtJ7nqZnpmIuhS5V/J8b0JnF7r9X6C2LST5JBh4BrXK3gJlC1
c6mPer6aMrXqimG+p53VJg3bxoWf/zw1ZxFkIyIDJ0KMB1J29+wmkWIxmYFV422XgaRXpVlLZ7Id
jmndYn2xsgbjjTFvgoaOeAfm6cYXIvHKnKO3Fjfpz653Zo6/fSgOfdCZG7rM+T5tJ7VSIuju4SyW
36k4GC3YBSXShc+/2BP+LXj85+MvGXA8QDrRZWdq/1SJuiSqurplDrnq87tm2EU2xGHnWbASFIr3
NWwu6CzPf5TlmoDS4aWT2s1jdXbL/FSgF5iq6tan2TeWj0Z+Qf79n7v+8Wst4myaJgSsiMW8/PF3
F0QjmnSl29vAamo8TDZd3kRSESIEmYdXHpkQKplBfFGMYgSm8fITIItbUTbRK5w5d8wlnCy6ZOZV
xEBhqQCGZx+/yrorsTPBtKXnnWbsBTR7tpWf5Fe2Ts+KRI202CN/MLcyUvP1FGFDNlsqUCa4nTdn
kqmY2+xTjvRerjQieYzxmdZL7uH0LDFoSQ2NSE3SsTbRas1o2WgBA4q8zr/4/FmqTCFXELzhchkS
dRSlLEs4/r+dBRVg4/Sxukq7sD3aUVtsIztLwIJJ+Th1XX1rD7xndjU9EUoyAPETzTHXkYI5e2g2
xPhia8OUqKpdWcJqGofyjXrIRfNdNc/2oKGKC0ZQyAhMcDInzl459YEyn5NHGBXDQTPSn7wMzins
HVQGVj/f2E5W7W3pDi8RUxQa55BIgbvKksedM+xkcOJY9TEGMrxDvwDQAVS3hOYNSk+3TU7XqzKb
5rGI8LaObR/fpuhRTmUZJCYs02TeTzUn4xzvFn5wKzu47hTAdqxl9IQJ0twYnTauqWHflFVZ+3nR
Y024dQ+ZLy2QxLmNk9Mf9VXCP3MTEs5OEatwwCXRaHJv03SvaVP80BRl5w02KSY6oaCAgRv/p2Ol
4Wao72RlbODWrfQgPE6RYlwUZdgqxVDcT3RDfyorp4k+MhAsV4lF59qfkcI2jWXvERRN14EC953m
ab4qYX6vXc0Fuast/SKHY8bRJS49oiV8cmO73MPn4HAitfhWzkW6n3Vle1nrZjvaDNRT00LuJG1Z
Ww+qSU9xU0wb0VQM7Z1qQsHTw4nbTg794pU0s+7Y0mP1ZOvj3ausEfR150wMP6z5rdf433Kev2QF
f5gpjq1KSHczbD/GRVHJQCPsXlCUs//bxFu1yVTAA2y/N9DwvgRFT1MKTz2TIRXcVq0AwBbX0U1l
m4wstF5489DqhyEs4BKasS5WTiqKU6l9m5qv7RqU97xD6IrTrw7DL45e3mt1cR1xgOszP7uJ5g7h
Yph66AxBrIeN/r2Og+QxqJpqN9PtAniYDYdOduGtO5TONdUPnUjgFvw8ZrhIyAvbOkYTgGqDqf3X
AsXkl1yngiOAs5YDINsizuUmwoXAYMseT8JmCBnk/rd6Gt/8RodVWjs+zKJlBEpb1bmF0u8icDV1
ZpWBhAjDu4/RIN3T1x4Owg4nxm0dzYom7+YdEnpnV1edL1cKMIDapLVnxWA/nB7Vq2gd5NPjLJlK
E3e3IM81k9Gq6+tbZlHqJuyn4BBY2jsAfmY6Tf4zQAblNSnyGz6C/wu5T7kdtaBHfVd3azXhwZ7s
6tfUc3i2QptmfLCoZVMBuL4sXa831XBQbGH81JGFhE+qJ0fRSgBh8sOi/nyXdaAOQWJH2IJzA66K
Wx81a8o3s25U134x9JuyGdzroklpT7jwEgYTi+SktISJBY7NzCjpbbdzHFygk5y5GpHyg4xwhFAu
aCVMUmfmgLke/DqwWnmvwtAeNyjAZgJk8ugxMEr7Ffpq86V20FLmKOn/G9kCFuH34R8fvRvs/Oz7
lgk4gxkhyXnnm6jQCEubR7TwFYqIYSNYRy9FjC8f/38b2nIJfWFlLagxyB3qH9PMv4wJJJOQXdf2
7i2u8/G9nj0iU8lB+HPBd+kiZ7vmnC2BUToXMSaGXB4DdD0i8OHC9n/pKmc+Ebo5aZxkg3vLQWQe
bn21VkgQuws2xo9FBjdsgYhwu6iQuV3qPF4t1lE8G9CJ2TgiwCHjUN3GUx/s/u6OucDmsBbqBqZJ
So3zX75JZFMKUc33THkDryMecZegi9kKBAoHTUFp/5vr2VSb+PSshcDDv5NjdlauJe0cymnKFYPf
cIP+CqyViDxerwuwso937/N1zurmAUslB/NC3Rhz79zBKp42WpFcys/6+CR8vsqZdxYzWYFymG8D
HhUb/KqBSb4YuP/upnE6ssk3lgsUbXkQ/jH9/OvdwRzi66FI/UeGwvQ0aetNNs3PC4exM3MjZ0B9
STZ0iGnXF9/x2WOtKnxdDHmqB5+tMtKB8pJUPV7F/KcBMP2fn4Oz32e5mAEFBDMwljGDr/WxvtWr
LjWcsise1Hems/WXv/7rPM34GinLICaeG8W0QW/d2RfZQyb21K3i786VfHhskwKqChYMLIwLvvHf
JivTHA1gACYQYoA70QnZ/4W7s9zq/y2Wy3HcVrwjcPb4NdDRnb0lVTSkBDFI82E7Jc8i1NFu5Bcs
zJ8uwXazLMnuAsNSHDI+foeQtrwOZKU+2f2EPAIynFhTG/75dzh7Pxhl4gbEL7ucjXVe97O3cKwy
kl7UUJ6EOWzARFe9QOr9nCF4/vOF5PK8fLhjxAaCzWSeJPAHQs78+HXyMlfklST6yUpJlYqUPNQm
LjMTGi4Dkexu0XzR3z02DWareWQXGp6xovxdQ4DvCyLAInidfsCChzw7GCalYWYN1OGH4MrXdvml
lMRPL83y5x2FM5imALirM4ul1KoQDYvZPygx/zBL8wWIy5/v4+crgOMx2Z8l7QZu5dlTEXfkBZIp
Mj5MmedSYQbb/9/fP7tBPclWlQ5ugMSNPRT7BPXuny9wXkXp/7ySbDP0TYylrvn4HIzDiDiVleUx
LStPa5MjYxMPx8gaKMm+SYpNoDFk+fM1z2+aQaOQ5dIBILk0hM4XTtkUZpfHCaU/ij97Q0X9//v7
y1v2r+XfUHCqGSwWpzQ9uQxXyws1wPk9WypPmj/wJlgKqDbOfpTI9Rs/pol2by4c+zDYmUZ3gD+/
CGRygGIk3HJA//N3+ti2cSS+NZsusqv/c1V6Nx+/kxwC00FvQL5a+BXf1zy8uKRuW/eqefGjHOPF
RVf48uj+b4X4dMXzRxsRbxwOKs/AQdU49o34unYtCIAhkSgNGsByiYAKsoNWNMes7E5//r7/3MTP
l8cW7rAUKvvcXDzpUYsmMWBIV9UHdtmXbkZjj+CFbJfI63sf5GCPh2wqrQMggyeNuc+Fj/C7e852
SKnPzgXE9eyeR0mty5YZ00lp+u2otTd9GqPWUPMvp5hfqJfWlhv+GMf6phjh8kNrWDEdRZcS/4g1
66qOF92oXI+Zs5aqPqLRvbBd/PYDStpd0PtsR5xjwbo+wK6JkP+UZizkM5x8olUg5SFtyvERWcXk
1Vb7FtvJhVr7rAf+n4eD+RlwWNrRNPeW3fJfr1hTNjIxwN6dEhxUzUTjPueYQh88M7+wzur9d6e5
1sYL28XZrvX5smdv9sTohUQ3HgrfAGcKDBS92/B9Ck5m6HrR+OL7GFebOzQz2D/DC8uK+/G9/3z1
sypDFFGByyzLTlrCqBNX6jG1K5PZC2YmK3vtLbyybZBzBA6xLiAXeGP2+jPtrUcztQmdENtqtq9L
fFTsRXtDMMMdZYllAW5mWGtoCMS9SetpK7t8Uw5co56zezYAgj98hkxuuGZpcrZT3/0qMrxKZh6s
F3H3QJ9R5rhzNGsT5xi/UdHdhiPEsHl+wXNydBK0P85QYqdsvKwIt1Obe7rOAxOw1A9qvOr8kjYo
SS6pHzxZubj3k3KNQRzsLcLCxpw8WeYHp5IbY6oeB8vdugVCjzF35tWQWcmm7EMQTozODNy7a98k
FGOSMHKLJZNB/ewr4wd2K1ynQ7upM4Is6R0RCLZoUdBBB8FTRWLbOm7UV9kER9v5mTCDpxP5bAH7
X8mu35Uzr/uAFJLwJonyqb+eCuNp1IbrPK42xUR7tMdaXTbBw4WF4GNZ9t8fnnELdSwFP3v9x6ed
dYDGG62yk7BIMBmgUrXuWKIqIoUsULuQaHkzw15kzTs9no9y9L+E0bCWqAaYhf3IO+2EyeTSCrls
zR9XSMSnDIP+qXqBZ5wtT3rBvDgyivKUVO8mOwG/k4G8RJNfqnjrLoFE04+2f9I72jH1hS1Qfn4X
UCIx+zI5blvLf/p4S0DsxL01JVSq+LiOM6qsra6pehO1xoxidBS/atRJr7Pb4sew6/KuTedXtA/h
YZaCfNRUJyJscNu7Ggg0OM6gPRg01rdiSLr3P/98+uedjM9qcOyAC8Ph5jzu3cEigVTSLE61u4/6
96j46swwG9wYOcC9gZAk7m4C8R0R6aqobnVbvNbg+0jJuK7HOx9ACP4XT3d+5Alau/zXyBA01Wre
XRzMKaM/iA6Bfj0KAkJEcu/GfwUKWZ4+5mYLbnv5rekGna21URyUDKSm8jQb7RF8+n0SVRHwALIJ
/nyjfrOqUy1LqkCmgDAxzstxgIWyVoj3TnmKbJpJRPiOsCa9ajX7fczB+UauMd7AzJiOiMTR+0ej
caHg/c1zRbLZwqOyIfdRV398riw7AsfdNeUpqp6nwXwg1AWRTLVC+O2mbwZRYn/+zp+3UL4y+yed
HJOp0TniWBNBIcyEmxvkrvVmDHOKJAaiXWC34ZVZjOpLlpARqY8S60GL8uDPl//t19U5/TCuZNB0
DkjSRIeQr8rLE8obzNRMBldBkT9EbYbfcSKyIsi9zrUuvL0fC/B/nihHkWdADcsboauzlaMRIdHl
83KTQ+icDXlD9vj3FQI39n/X+Oel/FeFENl+SfZOW54MtXNROrSTsS7NZwTFeNoICHM3uYz2U5df
eICWt+FsVaRtSoCXa+i0zs7rxlKXGJ99hzsq3afekYjB+i8zErk//3Dy83U4M8FN4gxDhsKnFjDR
iF2hcrs+NdK8a/z8C4hfVMvpVRAyu0IiBe/oCczFvjXqLQNpKugaVigmWTcrH4ZEXniSlgX34/f+
+HmWJ+1f9xuXbDbNjlNTkd2ZDasTTw7C55XW1Nshefrzt/+8IS4Xgx9NU5Li+BxJNQIDmqPGxCUW
RXtRIDTv2v3sZCDRLzW+fnMpCVeH1ufSCBXnffBoYv2bEJqhoo0fLbNwT4ksXdJv1a/An+wLd/E3
vypXs13+pesLrfbjXQR628m4b5erUWyVzVbY+SZTFxadz289DQmak7SsyYWinffxKkCTyLgMx+ZE
evGmybofNh5+U3dYBRKg6s01ppELr8XnV365JNju5aWneX32ymtTbaej5JLJPKg9VkHtKCpt+Prn
5+K3VwHxx6FJLP2Qs61Kd2EF49htTnqZn/LeeNT18MK9+83B0KQFr3R0JGCzcO59vHlIvA2MWXNz
crJfNYS/apjQ9r6PDkdAkhSZMBv5acbEFbvhhafjd1/v35c+e8d0PDOB4yy/W1NeVbJdCN/4ef58
D3/zCC79MHY/yDmKvszH75eXOJsQnJv3dt9XcI906wazeHacIyjNf77U53eLyg2snCQ/BG7e+c+l
xT3mDyuOTp1JtGFM9KoX6sCKJma0Xlkl84VF82yNQqAGad7R0S4JpT4vG0lA074r+unUS2CoWp6V
u7kTwG2J1Nu4iF84VDT6hTnhp4v+kzkDhVTHor+Q5j7eTz9VKeajzj45ftNtfely4Amn5NibA/HK
3N9DMmjJpaf0rK4ARCro1Sw9aag8TJrP34SK1kk6Cu2kkGLvRS2TbdtCY+gKibu8CeQdCWTDVw6U
4IoolQ9OQO70uu6T5GW2E/yRKpzjtdsN6SmCEnQk5kLdz0FEpTIW4aFgTv7nh+Hs4VYI2mgDUibD
QIfr5J7dpzGO3DowM/4+dB8r3PXq8c8XOHvazi5Alf/xhzDwAzu9Ra0TWOQhZqgFI5pzhK6Qpfh3
79B/LoU4i9Yv/U1+g4+XYqtFjlLJ4lTMeAreSAXJxkud099+nf9dwz57T/smgZCCGPiEe8YwvkJC
QBTi6/qFrwK59GxFOP825zWqLUZr8jO9OAmZFcihXec2jbPOGyvGKQ3unv3A40aY6RQdY2IzUZ6G
+DRs5CxmVcdeCeuKrhT/D7B1zr6uJBLgjHSajHNMGl0ZOinARgkgAAOpAS8nyJ1fEbE0V8VgfwtZ
9byonH8mmmafYrRvXoyWy/Q6ovjem0g3W5Afyr3KsxQUYB0k9Iwzf0s2zbhiDVlE88RSy5Gc98Ac
WqJuqhzz35cUicIETs/DBFvuEBK/OW0dYuWUxTqoou/ITt4HtP+beKxayEkN+KnGwMQ1D9ZPBF58
T5VAA2DGscsSgHIEIynoOXF4msfpkM/ZFSnTYu0ADdCwCODntxrShIowpxQdlPM4ILTrsOjN10FF
wiedFVVTpNqafgM3IAIqVaOIwUcCKyEyWtJV8UerxHJXrqxyzzZBJ7CKu3BawMckavSvLDMu71WR
vulZYGzQ7dvfbIyjOx0E1C4nb/cOiwjyXYUKiYkVVjbRDl7jZCSpR6xFIknAlkRk1WhWaz40et8c
RYm/Eld2cw3CptwnsN1XKqqMKyn94pvdBs3OHLpqYytMjW6B1t0JdfuQ497y5jTVNjWGUc9GDOj5
df+9MQJrnZud/AWwe1qHHev8JIYls8JSuJZJ3YVxBeBpMmo21HlRg9elj+XF0RNC3LvIm6tAAvCd
BoJQtdHcBRXYIdfN2y+E1hhekuVkbQwgtK7TIVTXKsh+VVIESMMLZ993BG+hk7a29QzXo8txnuM6
USAeWRhIyh6/Q24G7INreSMc39pMeaRflQaGPSTj9U2UOM4hG+r2ynQn5siMevmRLQnLqnrlibG3
qZr0b8FsYWJR8If6jsDzCrEoSeVTuonr6V0NxwFQd59PT5Xtw3gK6aeVYdjf+n7p78zYJwXZnc2r
sZveEX9ruFwdfhQnrzwLqkLqhSnssxIZ344QsHjjNHm7byzERUOJgDa67pNDVK0gnmP/6DKbAEyp
dgigg6u8GYwrv+igbYGgQBuf6rilBiNZ60n3qx6079VkchqsbX/n27W6JYKThiDZ8iyZk/0C5WWy
VuTs4N2NGKQnYz3vmrS2EXw38I6hZ3l9FJLvOBTOkWlIu23NmJhGhfOg66LxOICe2Vol2Lo2rIKb
xjZ+aq5AqO605pqQZhCrKU5psly/jzKmfU0ZvM7RbW9TzRcrv5XjXkbZyE6qRzd1Evb7xpf+gx/M
0b4pC6D2Y1UQuo3d1Z3hVWItBJGYQ0rXFF54w4CPkuAp3GRpJPHA6uQLtyFUfPwwOyc03yxYlpjp
EH8llfMKzRDgHfaftZMo3CeZz9GjKOsj3nD2QxGQNjW2+9wnFRdJU013JLx3RE8Me+Hkz0FmEVXF
f93qRmeS4VL42z6ebWxexUznEjIqkBQcUNqgtmUxYVcp89KrOgHz3sU2HanFVzhi7MnShS6X0bNC
XRpcW/zXddRALAo7YtTDuS7fAg27LFgugIeGTcK321XTujXtn6FFzljQLGB9xwlJRgjIeiLfddXG
yYhw3wL86DhkAfRB4YWtsHDNtM3R8iNjhfatXw9B1T0G9M627WKP7cq5OIQOSvA+B81gFXOFRX6m
6Z9U/op/wr+XM4wdEZbf4i4iengKwD00kcFHrjka6qCuIEsQ3D6h+A5DoC+xS4wFbHx3U0Ro12b4
X9tMI2acnrTxmvmjIGVYoNar7O81Rs21ESXvQ978LLHmMHaI33tT+6qXHUTEUX/LfXYCWCk4sZgv
r/h93kyTdo6t/HItuw6Iqh7H3twx08naMnzkwJmsfBsGTN5qT3Uy8jErK0VzFyKvy8SMTBOwVtBm
vDdZjeHSyfWdBelhNVTUFCF5ogCYwvEm7yfUXzAHmi/8g7yJaTRiwI1qjgysGF8iu8H1Y1bps51l
ZPXa5teu07LjgNnuMM1FcAxQA1RYV4E+dYu+016gCBjKtDcjcFwvyzEcYgxE8OgG6BpdDSMSnQBP
hq51yAP7p+Gg25px2l43tgsXbGg00r90QXuc+DJNcPoL6p7xu1XGOzUYxqaPM5gWvCdbsAbWQ9zJ
YYcYqbkBTQYdrDTiQ52x9i617jVFdOIlYzjgPzV/sQiVXo+cl+WOxJbeaqsVMrV4W/butAPEMm5D
Zkg82sTxGQEeLyxfmC8NfVqzC88H1XeDR0Sceizj0OqR6HYdjGtgkrsIQfJqEG78bPgN+70qzPyt
iMd+YRvkeMDFEJzicWHkqh6bncvoyy2cH26ctytAlSA63Nm4xQqXwB4ig2KlMEDC6TSSa+D3L3Zj
fjO77nkywbfUeho9AJtMMCBQGZo9mEHLmtwVMJz6mHZacG9GIAFcTLjrttE5qI8JhpXBH8nMgwSL
fyiShn7lpzH3fwrM+pCXBhMZUiJxbQXBneIHYwLhhls7yYlwofDdtil+oXzB7OQp7z2nL3+VMmta
23YHoCTMyaImGeQw2sa4VbUe7xsMdbc9AXIHKzDAw/rGT5Lkok2Dk/Ag2rbdDDJ1XnxJAmAVZcXV
/3F0FsvRI2sQfSJFCKoEW1Gz20wbhX+DmFlPP6dne+eOx+6Wqj7IPFlIdiRo743QBojgs2HW33so
Zxi1kZxhlNnk87baeJNHkWF6ibXpsQQkxOOuVhdNYAaYleKv2TgbkwxVY6+aHfBTJb1uNSrjkgC9
PfuS7dqg4eAfG318FuaMABbf5mm9DVMR4sc+l1301A+F2MWS4KxBhctVYCDHQjQ2xO0yxhrL1sY2
ZGihgh6OtCpsj16tDB2k5Mm5YhXnEV5b59vusA/YnaL5wNOce6C2diDUGY3wMvCiFhRPEJQT3KnN
q14pw5eJZRBDVb6WwBA30qwXdeOc1/MRwoCY1QetbaNngoBhgoztsssrLfJjp1oDM2bV5lQbB3Jk
k1EilXLcbcMaP6vwRh5Fwu2HvBeOgL1MfhNPUUB/2TyLm6UStLcdDArnDvAk1oSLkYWIb+1daquZ
n7UT/lyHgXc22k9m1UOGiqgpk9mebynq7a+B6wcyZjGjKcARX2jmryrYibUVJW4PJ49zlmfLLaa8
/gcxVYastlQXragI02wjQ2nduqs6TKhtM4e/FS1zXZ6yVBueW2f9Mnu1p/AZf9YFZtm6GN1l6nTV
z1XtZ5G3L21h4GY2Ona32Sa1BfgEqI012S8Lqx82VPgGbE70pk20u4QNjatUnKPEzW9h00lWBvha
Q7Fqy1O0rA35q7yMSVG8zCi+fcbcf7aeWXjcl/QIMvY6lpqvo28tw+9GTZ5VxLXgh2nccWKsu7kl
4mYGF+Gqyzzu0CCn+yVbc/Y7pha2XbwEwtgK5PFREViC59TsYwAyNjXwaZUaPUVWDMc0LdpH2ZbZ
vl1MwwMcNV/gSQ9ffPDrTp9yrGgzePjgFm9JC932fARLcSIcKMOhnEfPWMFxpmMv3FX0tzAObYCx
VB8aWvqkO5FLP74NtQ17FU2I7zSVfUHFHYdyo2oyGnO4h2hFg6CCgv/sM5qRMO/W+aGBMdFRp07t
BzE452WRn2izGjymdlJhjZLtkBpk2rL+uZVwgI5xx96ex3wCINAbZNhUcgpac5hcqU5O6aZDpGmB
zlu68sZDLrqYM7fyZAqCxPHhH+SA21OHOQJgig1yupl4iithBo7d1Pt8S01XaspH0ZO7SMplfbAb
s33LW43Wxi4TsMWdINvdQKJa0uZQXEcFcHuvGIz8wBRhDaYyS+61htwdyEad9ZSkDrTdTjxNM/aN
OGEnxlFv35spvpPIAuDZdi2OJlDe1vCB0hKtJlsQ+9hQ+B2MSUlDUtG3Q1awkFeoqP2C/zrJK/MP
wBDprUmPjL3PoW8JyKCMu4DTlJQ8qpk7WFMb45A11puDOixU7S4GcdZhjOVEc6sk+iiigbD3XOiQ
XPXMz+fbWYgR1G3MLKFrsqVLq5dc2n7lB0PPqp5LMFKZ70CHo6i3FX5TraCEASrCkSmz9QKlhSgj
LZPbxdaa+7wtPkYYvvvZxETpjgb2SKVwOmAHAHKshfzeBGhAgD6zJB0ZQNcNg4uTkUcT/2vyShXA
SAlq6I+ZxMu3pUbT/coWf88PWADaDMkd0EREg/EmNWjM1hRxMmj1+1BiMdUr2zhY2WLt9S0xXCUC
zUXFMR30dLSuedTxtlc3EuJEPgH0rbb0u36FkWNHzpWJFqAz2X/ElvWrFIwidRqQ40IG2Zuj28qu
W5X6y1kjiAzst3yEWY2XDGAqlDIZ8C5GCgtRA8cnJ4MnlVbZYzxjKsYa0FWhw/ttFHdnc8YRoBq2
QfwZ15RYFaqD2ZB0Us2q7MQ8kzhlwl+7V/vFdsHq6IEWgf6RMTkvZQ6akAwx3l7D2jyGPTpOIuPX
iWF9NDUsb62KhVsJEfupkDBKkkijuCIaqXdwaamrgCGoGktY0lc03RgqbXtStnJ5GnRGHG06TPtO
sl0RsonPXS8xzZfSBtaXjte8lCNxafr4CcDcPplLptzhSoKlOss+LMHvvyccNSfwArmfLTkgV54q
/Z7SFmJGncCqc+rxCTrb7zRD6U+GyXFZmW1nPXkai5Agu8yjAeIb0XPtgxJ24oyh/GkUOXjz2LNE
HhorSFCm+3qsS1cbGho/jK65nyYJSZar7byL2sRaLmEj/Nsi6wtP0fwS61V9GKQCpF8t1zo9sPOA
KCRbDYq8nQzmX5LL5ZB3C8fQkhVBQQqu1zQRggoNhyqpGX191w/6j2kYyhE03uIW26QjU8PPxuuV
whqYeP03ghXgQ5iflWkNe6OoGaBYQqMA7DCI1wYryCpjZIKz+NVR1zcLKw4l1gqgr28o9JRC2Vkj
KXV5uYC4q6hZEWoBL8rr2utIEAhN/N2u1Q09iIPtgSnGhM4QLQm7aPNqTPjNUotNYNbC8k9LNdmn
Ior3dlt1j4luW0/8UQYJmzydqY2sqJ8/oYjhVhPYrFVqKZchL3CPYRqDOS/F25g2abAOhfE5JLp+
52S5nrqkNdt/21AQHsZRepoEopxiIIo3V6M3rFPIJxKFHDkdYMwgwKRVRafve2eKfeyy/7YunwIg
NbixbYPjE0VsmDlWhB+s+beA8nph9AR5hkgwAKUdgDXBV7yuq3isrORly2YSFBUVnJJh17jKUYwy
lOR1MsffmaQ1r9HyZp+MneD84dtTE3JX6lX2j3KqlFMna+sE6zi5s0SxhWVu58EGoZiBbsOfod36
fuXDqY36mlsLBetQdQz9BMOLOOLtlN9cLr9Em8CpQiXhiRXT+6As2K1m6fjmTUsUp6nFBXojvpv2
eE1xIJ6tihuvgv/B72cm5FrobRCrzheb5TZUxorXUpH91zYxnkRUTJnVz6Eu6vKO4nAiUArGldFF
iUvbWMMflN0uKsf8hhehN9gaM//YMJGHVTVRbqyyDGhoCBNQVyzpzVBk+6EGhh5b+h+oDuR3zbZ5
TSthzwn7r2nUFjZykR85cuUFcVHli2FGMRXHRvfYliPB4U5BSndD3qFrYEUJbVy3JJJFfdjg6XON
rPyHsjfhte1+kgVCDIgCzTiaFU//uGnfN1u+m6gNYzpgz1TV5DL85hF5M3UvtStJdW0A5pqZnJgM
fxxuANDMPlsb0F4DKe3RsTkUmGuNpBPlNnwJwBSsx8mBVRLltYC9/jAZWvLQ9UZ1cXLbesckyHyK
vtTlw20IhARUAPJF7oXVrz6OUSMYCPELbineoImzwSfwWwdhVfflxzAQSA5AsNsnxPntI61P7sEq
9n5FsN9u4WvxxmzWT8bEVxObse4CxZJBPcPAKqNs29WZo5908AVBt2g4Kw0w7Y6j1bv/Mz66uA+3
avtSktFiINss5mGYRRIiToUTRdUWaj2Ehb5R5j1rOhBYdsLXUcwkiqTCPMyL2NtN+txiFkZE149B
IQb6MjXJDuzN2zsHZPlRZ3R72oCVcrN0mvibCqv5MO3hPWqK5KQB7trlPRSjJc1+4n6Z+fUZCIvt
Fs0XDSNO0bSPYMCYi89WlEFVS1sgrFy9Aofn/ZbQCtbYUYOyNoY9L6cREkIisMDpzVHplupJjzJy
6Df7Hw0uz4vKeYOHcghrC3TTolT2Qci25ixpq+desXuf5CZwJBX5RFqupB+Tbg1nIjeB86bKFCTj
0nrKRrJk1hS48UqlednSgTgE5hIA3s0hip74MjSav6JxiLmErmBpDcBkE22g1pvyY93kdJQcGGAG
Fx1ec6fOL1x14jbc1Q+oMdRr0jCa0K1o2q+TdSMv5gBhSiydmYDgUjb0AZJZ/A9WpcQBT9aW30kM
PaUai/KPuSuCMbvjQF7HxbzYhB89JuTPPKilAHAo0NJnUEh8WfUlNQj2faxwcBsED/a1W5TCj62l
ZngxdJ4drQsl6TDJy2gyitt02IMkgb5jCkU1sLS/OA3nPfE7QFKWeUA+oaK4DtlbQO+Zmyo0NCO5
6F09w9e0NhRb0NA7bDdv5ireWa6plGvNp8yTHqJAS/cPgmY4iBYhqEIyqx5F449ROlrMKHelDcmG
ZjjapMYHFV4SvFRD966XOmCbjqDmCSOyXr3f2Htz/6TXgpthqOSfzZl/tsr5A0VncyRix6363GUA
qHykJaLkJSZ1h+HB4C3dRGNJgksAxpjjl+r3I7OAW+kl1t5xsLKnSas7lgRwpkEvWmGUVcl+bjSd
ch2tCLkp5bE3WcDyxskEceRo1q6uj86pcbTmQ25NFwFH7/VwFenL6CR0KMb8kTQ3SLfg8/O4AMST
zbwA7PFYpD6mjW3alWUphtAojchVs+ixSeb5khDOmQUMo9v+JUVpPYbZ0A0vhi5GT+1TByBST0BB
mxjqEeqofVhgtr5Fndr7vLVsKM0+OsQrE2PdSV4jdtleZcfklBAFt4uwy+9pb6IDThLNl1lMNHFN
aM82kjepxH2xy8aZ8Z0z1TdSrfRbu/lXqtW/vC41D2gobnRpMV47TfSSXVBE431hg40cbTDVxKtk
9EyJHrRQm5jt5v9GjVNxakqyuIVgnaKOVvTWqmtNKb047Z4EisDJPhme1dG5qkbLuICdvoWoTkOa
7jpWxHcb1lYEUSLdIbkjvxhqDkGfHSSVUoPQbyrmz5bD7a0wTGF9r7+jIr6NJF+7tzI7mW2oPd3+
ABTRfl2HpnkSEM/A8wPJEkt52LhE3GyTT20LIKKOSGjRjFbbmRoQ24F1EgQpZ6b2bSIORU6JtRmH
o4XUfYsnxV2z/AUXB7s6fN9hVtjykTSpf6uundY8f95433cqYkfSSBjIF9DfCT+7iHnVSAyi5O3V
9Be2MsYe62RN9yVmRQmJkkmnXpoU7kSbv28UYxe9ZMnjWauS/DViHp8z0+4/NRhyvrNCFsD6rG1c
73YmgqwcpgdLNbajraefttG/xo0Kxr2AtzBoE3MwSwHQvtQdX3CVeo5oOGFq0AuuADF3HRt1Poka
0Bpz4dmtU4UwTYVpdJUynRirOmb0O3TkL9OaQlJiR2IA3TQmcPUQEWa3qIj5KTTG+kyMCtYbHMIr
n5YnZhBRU6NPJBeMaQhfCw1zX5KbslYJwFUGNoSDcKkJa3zuF5YpbZpYJ2IYPjjO9Z3FvsMziAe4
ytLO/AjxjFehUTZ58XFGuyryDHSBzIBcYfA+K/A+mQNx97hFOfW/pUWvZOR2HdQ9tRrwATKi5vh3
sZYkIClrqwKWHO8tB5DHegUiVbR84SbKXINJEasYlZIEmHOoK4LOMG0W9UdT+v7UDOAgMtJx3JhZ
jttNBNsyiJqpS5v6wVjr4TFLE+TgE4yXR0svK0rjrWm9tZo/Dc4pv4AS7sE2+iJJnH2sbrYr49pR
AMvOxJce29qFrU19kZwl/CLyX01HfMpic4UJK6E7S6YZDNsSjC4aG9syymnQiw81jts9dijnyOD5
35CMMz82YzqYVe3NNt9Hq18M0/DUOioT2yjv4JTBnUwLQpKlFSeE08TjtSq7r9Le9EC0DtrEjKua
Oq5wc/izE6hdq1tZwYxvosQOBTezvChjVzanUs/Li8oeyUJ6PiyQeacszCe+IAWvflDFanlnLIV+
bZjkA+OrqBXVcXiZcST5RqYsMOabW8qD/loD9cDEjrt9lDI7bpaTH031Vm53fBfsVGmh9bgN2zhP
/M4ZhrCbrG7PuoaUq7ZKQmoOOBK1o3P0VarrMFz3o0y+a1Xxiv7L5q3uk2BLI31P+pbcO4tO/RYN
ix2yqFwfJwMJ2GDNxgF8xBLMfV+e66UD1NnbG1Yz/LkQ2vlMjNghxMzkURTmclE2xz5ZMf8GMcCf
dQ8rcck1tgGqTqp63xHhQja5R9/LocmQ6SHRuqTz1cjsIH2qeXzpwKKzmbF0lzX7FBZ9dM9pIkiv
irSjqRX5fhpEur/RemluyFDUMocGgbSQIF+ATiOWb7x5ZZAFDAqdp0SAgJS/Y/tIcgcgPYV1B0L+
hWFuOMSMxlXMYp86pRBbjTj3Fq3tTwuml5MqU/0rJ5vKBazOQKaDQwY1td7bYioeNCqyXZyNDzlR
qbvMbMmjEIV2GbKbjlsYk5+YxXZCUS2Opimbg1AwP9R2RLRYl3afSZo2QUyYjieoPQl3L3VuFI5+
wilyImvU6cmYWMQAUOlPZBF0oHaHPpDVxvGRaCi9NUkgGwPBznVWYp2cfNv2jhObwTSJZDcXM6vl
7W1rp25PckgdWJMYHzmfV9ZEWEczPL17Q4vSc6N3zQlACgRIY2ofGCnabLPWkbJuYwvbxtm17+Yn
Qam5VxaDadigCIL+bltpoX5Jp+svq8BtUVmDeehXfX1qppExEzWFZ1HHVHDMsBGW1y4x7UBx5p8U
UMd7PFfEv683nIOZcxI0c/xTTqsZ5nYa0S/POctslX9huuELq1k80ELEX4M0qh1Rc2Qh3RBLIm4z
L8+s6Q45MQh+tVW5wqIWWVfsHEmbco7cwvohzrMGdUUJl6bJiSzgJt76fN0xVO18qvqWAOdmvlRa
me8t2x5vlaHikd9DcTwq615Tmgo9g0lFvNZgr2emqGYmX4pmdHbsd7pjY/a3jLdWpd+d8GWYA3TP
yIGgUkeeks7LXbPENXTuGx7ccGoChJw/Iia/O7oQ9tLfErnFwbSV4m02RP4wrevsqV08BpgAxZXY
VxHkEytdXcbVMXNyeQQRl+6yMn/JhFXQemrqqZf6wgcwwF6pciAqrGvYNSFzM2dUdqyu1oMuo/gt
j9efamg/cNkknsal75V1n4asTtXQUimfhEKMyi1YAI2LpV7jCBWzY+V9WMtNdwmo0f2Us+dSFX3i
5uvKYtxcXqa66HeKkxRAmFkEzGZUQsrWlFeYuQfEmXdrraUhu4A7ci7tcJvk56QPiS9XLldb4xEH
UpecHb7VHZ2ZdufAHnxAzpp7YmEeZzmw0aOxsH+o0TRIpFbNsigHGaTY3WHtocsYq/zsqOf2SE6R
kTgRBOhxMdyKbjhMyCnlVTA+7YztHgrYFuDsrRtr1fdNzOnZqaLxSBuDyYEleMpFq8yI0pgHpMjw
PU1UPC5NZjwQ3pZftAb055bgGdqSpA2Ap5DeWHfaVb8tDJyKflAgmHOlSeYhLvHywYxNG17D/DYz
Iw15yBKfSRfwIq2X+y1yWLubiviLME7fXgT+fboML3IycOCW8iNN1YKE2Xw4C0iXZB7HS85hvc8U
/pzYYObT9OIVAUFy8ylt+408W8/cygd73oY3k1/NZx7FN67q0Ukhj9HPh+QD/Q6kZiGf9Sm1fC1O
5me7tiz+ChjDMmecBH1pODSDtYU9rB57mF7riE1iNpPapHVj6k4IL322HZFnd1MZOIk2HPSxGO5H
NRp2fZ5Wz0DHDJ/QG93TYkkAIqS/yova2fyUutrvJ3s13mOwIy9KY8fQOWvSDVmW2FjECqZ4yIO8
nnYqsBPGg2tLFQRZGHB8Y44PnVFtj9M04Tli/EQ8wugmyB4vhtn2X4SWVWcmUYLdvhU9A0ni3W1n
SJdxxSg2hYhDVslAw9mp33lv0+Xgpvq3DVH7Xmj2tl+SzAqNxGCgyN6xVoRX47fW4a9Qo/8O9fyW
KPEzyWBEadyEOUvBBBBYj40szZxf7Zj/AkzFOmh71oe0RKN/A5ZdZTZ3/9ShnV41lW4no8OF3L2O
Ac1JzqyWi7W3FfWOBjEG5j9a3pjP8GzhmfiONWpB7KA6WKIqhtBl6s/aaPyq0smQ/JM5vOhG5mla
Gz04OKHcXtbaQ0Y95g4mqwvSHsja0Sl00KNCYWZRsdeMhi2+MmVXI5onj3BAKBlll43uBI/9Hf2T
HqaT9WL3pv5oiEbf020hyzHzlhO+4WqxZXSOsnYL17nMiHaJnlJAoye2heXLINFTVKtdnDXziByq
A6SqZG+Ed1heU1skjdZ0PMJGSsZqQn008k/Us0xwHqLhSgXgdbytKvPmFBxRzsp/fs3KUENHxArx
0lbfk5bdRdsKv/ieWGxoCap+YjJDPDOlSvwDKp67kmlvAXvuttG3L+P6grgxlGa3F+YzybtK+px1
7PbkU6OdpGQAeY2To71cSbXj/bq2aYSt9rcVSANayrszcRcRuSNOWdH4CGKK3gUpTYbCh7zfir1Z
/jjWAw2Xm6r0DP2ZCaS20QSpp4GZZzUGacfdAtqI7+yrsh5q9cWgm6quSbrrLcZ68rDWZPkUv+W8
L5g+9Yqn9yyo6vPKOCk9aMv9bek8sl4spsHLUHzl3HDd8Ac7i1Lht1d82N7deF7KnxF3pB7dbfG3
VnZkVpF+4+T3VdKFcf0ci3elPWtNdpBsrE3xYLVOyOV3rqObuKYOGj5/0M4+SaEndQyX/mdlciFz
9I10VOr8ujKS6uNgnpAY0BIZ1F2MtIt5r2VHsZ7shEWrKMis36vFQ9U8V7xAHS32xR6Y8EP2nIbC
bwwSzW3PHmy/nn5u352Z/NFeEgmK53kjLSOQ9rXu3lSOzbjJj7m+m7UTET6HsoBxSvvM+TCq31lC
ECTyVA3g8gr4bn6KYkxNI2Tf5YdzyC0hKI4M4URz7GauHxD5ObwBtXqtzYPJDIJsSzeNZrc1jglC
I54brhOf3zpPwla7Vwi4FR9xfV9ohyH5uTHgsR15s+QDvCg6KVAXp7xtvz6YrszWgwNCp5dktX8L
7XldXjFHuew3enGJ7F3DGgvhu4IWZ9hlyGdKGQzaT8EeteRyhUqebgqxY5c6uksFgVdItfKLzXVu
EjglerUNaxpdEPlIv8pa6djbTuIlmWR1YKz7ped6fgccM7A22qr8MhPgbJOcRw02dAtKKHFvS8Ur
DeKUCzJ1OXpAn5vnSG9PCfRIrdgXVuXOJKaBYyNtgegduEOodtkqlblvLReDbCjBwee8TC3nr8Ne
rWCCGrliegEx7rMZ9lqKwizfpWyTZ/xmKFn3a5xicHxaWLSVF5MYnIXWXvbvGcBvoDbsd23jkgNT
cnJQZsNVLi+q89hGuwz95db8MZjcKd2ruj3qzkvc7bbibyYlgs1V3Wo3Q/penTLEaLtb/IguQcyv
H2n7khLBOKn7KF4O5qx6OXyotsZL6wDTZ1pPzcDq4LCivBGo3xziBbrqqddee4MqU9lT4h5q/ZZ5
Qb5H+isIKyjYqtT8TkwY3Gaq3NL8t5h8fdl549sa00MTM8xZI09WBZMk5R5hkQ/ncZHwO5wfUvS4
hO8t8wftnxejjr2ZtDUm7Zu+G4FkZRy6K5v4w00EKUirSy7OqlGYcCzyDNAt+UpRBWmvvE6oz+Dv
unb0kMt7Yln2ufGpI3dfK/jByBri5rOeYuRZzxAFbxficuv9heEXCkqAxnUIjckKCtNSQ6PyTHqs
SotI0kS1XgShjwamiSV6kw6yjCQ6RlCRrcgd0h9LIfPECJTs1JL1ZUvMd9O9Bphv6tiEsymicuX0
b31y208dsVcrmYWJ9GPjtapJKOcTWeh7EATUJtikkG0nX9izGffMO+6gCwtMvbH9Oeg3Fepyl6+D
XyrRv35qfIbKpEpdzPWglG/j/C3V/VruNGqnHKKl81XLeyzCXgoMODfAjprHjgaxkruKMKeZaK1c
wxf8wO2aAhiUXjEr3mJ9b5y5c/vd5c+WPNNluLL5iMcP5GSBRDWAggHF5d2WIW7fz8rFXvZ4zgeb
9+F+JEirfFfqD+ZVfiNobq0vpX+KbylqaViWOz177advq2p2KwpbxAbI20CU0gAhL6yU8Qj1myMb
skf5JeJ7qwciWh9YzODzf+qbt9U+leQw/O9jJomHLpAfjIhx+tfI+1u8oaPspflYLH9sPer+B3nt
Htg4jXPpqvpPuZLl6OzW9py1XKGc4gMsawuVopHttvJ5tJHFbldT3nO7hZTVHtSD6K9lVvIHiZhU
4N8Bdk78mk0P6vpeog3RhpNCqRVbzkD+lsiRZ6ScSCYI5QwFU0A61XAsSFna8e0PQEVrgtkNMzm1
RnE/45vii09CqhjPnB+mGeHgyHSwvNMcZo8ZLrXXdCatU35by2+P7CQDCC4XGM4bgRx8JTwM3pr9
KiwcbEKYBqTVcyJ8BKSrVHaMFYkSeUNWFpjRdkc80G5bzGtEbDYL7UDLca8jdyrM8WPVjLCPD6X9
zqaAjroIS/mWRL/m3QDYRS33/Zd9aIer2fA/nGiZ3ancDazitik+zMnBJP+ggcScbOebmGdaXwxO
1bzkzLgdEOKn5J4iIhx0171V4hojG65+tMnYaHK+5A8OMYd4QLh4VV74JgHLnC22hi9n+4jlUz+e
M+eXfIRiOsbLmZxB1xwutzeNVTQv0cGh7tbv0uYx0tnESysgJY2f9lsXwUqtx5Bk7v85jMJYn3D1
dF53Q1inX1l+aRAdAETYzGC03xR5p+vXVTt0PR2tuheLFU5cG4Z91BQ2EX0osjuT7ci8PaBNRZZ+
t3aP6/xlaTwxH0X6qSSkwNvo6Qn1aZTL2Pqs/QMAmp46fczWaavvAUvWbASb5DynpGJ+MfRRqmUP
crRsn1UD5eWXap1M8RjNL6QM1fFhk2GXnEqwYdsOF7snyjuHkWw9X4vsXiC0TYfPIh14CE7Sfpnk
buEWS2MsLC9Sf46z+3E6qzER8sikhvfMPAKLGDebeiVIsa7yhEJPfXR0kkhhBYXmJHkf3zft6owB
/Zwvh2/uI5bcYAtNbrnfxcxDozrbxBfLgoQEtQg6OKm0+2J4SHLYnjrY30y4mhqaLeYZdFERl7N6
Cw+7lORlxfVhtB4zdT5P+mc8RrtCdxhSkzDW3dHXeKbV0f1U7sTuYlF32A2JVWwCinXKZqbW9AGK
qRKUTHOS3BFE4lpcwHb1iBcaAeoL+dicdtlxgXJf9N8poumygsBeHUrtN5kst9XfMg4AXc1whmYe
0+iSMn5hjRjPv+Oa+Eq6Yu5dr1lfwgdhfKtxzfHna/0riLu+mQ+jc4+fgpIgDjcy1VYqjsUKLACw
jfmkm0WYzv3jGEP73wSnTOx30cci0ezPL1FzKSLpKS1BXUysNvk39aW/JVhlvqIEdgmyzozzoGZ2
2Sl+ql57R95vTn4emjicBTdWXLqRgk6aD30mJdjRESianHij/tIWPM11AYg+/hYGu6rst50qthAo
9tHRcCMSDj8eJ+xu7LQ5c2H0M2mu+JEVopaIgF6LGVLWPU3TO5Fs5nCFaI/qghM7Crvqx2CzDjqV
XedfbQfmKHZaFAFRzujH2wMBzeGk/bRt50YOAYI3gs9YdoeG2aeKN8dFWtk7yruSLYe6Gg9oTG4T
/vivi8iW3muo2xQ7ddeFiyx5XnUwunUXMP87DxiTd9YmUdP/NTa5m93rYBqvet5+barpFqRRC+On
Lf8SaZ0kERcxUI6yeJ+7lD4dvRv7P5bM20Tc332jcPEmr6nzkuhaMHboerd/C4KQ6Lla/5yWpDDM
NtrHCCF25DdO9mI73GK2V3rFwvyMSWDt/GxT95M1nUfzeW5DM6VWAUyTKa7GLpiOR+1+yJ4c2y9p
PLT1zTPGlubU1mGhXUcLHvBBWhqZFD4mjADZhDdQI5pVuhsJ0JxR9enqw9CdRnHq2IebyU9pSG9h
djwoB50dacM8N9NeLOsyKdoO1aer0kvBnoCVzDePWQVJgJfeOjLmN+PrYpB2MRKnWjws9g+xYP82
gjFEKSDI3tXGM4pVN60Xxj+/nPEiuuuUk2Ydymw35gR88ruxL5fboyP/RtKYGf8XXVgmb7MVAR3l
NMKFdFR4ilgVkFdyZvNsyN8qbpCJPrMnSdG5oS8D4ZIVf+pyUdtniVC1OmsZDycOwli9Mxv0Xvvu
lnpin5qe3keep/LPME0/Jp2kY2yVPpsjeyaCIZr2PjJf8ll603o3tBF7fsqyNw3J1woxxGLCTtPH
A9BHFwu4cl09ldOr0j7Z3eO87qbugQxJjyEww/OjLPg/NPdd/6HTwQjn1KfqoWamka9UQDgQy+KV
NN3rkt41ygmvIPnpj4V1Ks33DKz7tg6eZZLVStpWApeYyLtNYyOPL89gxloinkyo69Tsb0J82oz7
uLlkhFymNW0ut3dV/TjkY5Buvku1HRGIhk6WO0DqePXbjCDGuNmP6etUk5+ldqytv9P5yxn4C5Eb
KMZ7pf9ru2mXGKtvqAeiHhBz8Rxv9vgwKsQEA2w1a5Qa0LWHrgoSdAUbGUBmi/1CkG6Vz/8Eir5V
zWEvjWdMXUeGDpGLx++VrBBv46RGVJ0fI4cRv2Lf4ST0trw6F/XKphz7I1MfUlzSNdCn/tgD9eLz
sDqanvyWltXdG2BgRk35i0QblBGe//9IOrMmWW1uif4iIkACAa9FFTX1PLdfiDP0YR4FCPj1d9V3
3xwOh90+DWIrd+bK3o3K1P4XDHiRxHIAjf0dpmSHkGQbut/nujniqLj443oaKZaxb4YmisDwx4+A
2Uth45De/jiJeBygHIED5woWHqUeaUq/VYDM+75xT/3Ky+6v5hy06de0tF+ua53CbT4Eyr5rW6pS
uy1CFNuptXpC1jzIebkg9X97DIgqnC9GFs+UHO6NWeO8o1lc+C3IJwVVzz6PgXVXl+k1k1bcsPff
sdT4GSwVT/Xykq42K3w2VUZEm6fPmrcmDwM+4vIbywuzBBU1fI2HXV5aERyf10zKvTPY943s/1vK
QB1EC0sgrMKLwwcXs3dkT3LXW/KwQTSP4ECT7vu31s+jflXuzIiMOVmEt9tc9cVe6MnkZewsxAX8
9bJt6Qkb3FMVsiCS4bEZHFaUdN44+r6p2es1rOen4bQkyZPIZ2gssNimTT9MW32lZWFfss5LbEqU
0JjpOL4GHNC7dEuesBLeLyB+mtT7FN24m/lojqUg6IchR6RX0knUmxTvDsCsRWzvetOHkH/GxhY5
rWkULgXNuPWup3JxWzecORTspCHOiu1oec6dbuuT1LyneClNpqIh8A/sLL97KziVrbkfnCVqPfOu
qbBjnUnf8nqDadrOSQ3LC6Lkp5mni1sme4rQaICk1RdyCtee273WtMx2GnWePp9gbbHwuo/29HdK
PKgq1inne5LZ3sFj10xpHVqRHWNnf7Y8PsGKt3dct2tWMb2XROBG5TxJez6o/xUwAfNz9R5bWZRl
w6nXI4VT43GyFwqHMNqy2qOP9uyLdq9I/8ny9v7ws/Nhxs/8E9JYZxz/op1tD8PpQbVMbLMwrzMi
0uh3cWqhydkoP4u37Cu0eKSpH3sNX3JYRpE303XODPcztPy+A8xEHp8ovLW9wG0mGSGpXaaA26W8
F3wsthpcH2YszqWp9uFQnW27IdxZHPul+WadXFFanqX831jxMLCRuZkNRQNpn7KdvW8WGIFJzL7Y
PUzk8bMihXTfUneW8DVQ3EuFyq9lYGgSSo/JvFBTHlrYifpDtXTXNuUsD7Z3F8vrPDIQ91D7KaVj
CzbfKolD1EDbHq44i87lCkCXJF8SZlxI6KJvtzOeoYlrHZ25Sr5Se4d9anmk46naFWQQ6iH97Hl4
qUiAiTM9N9IH4OfWXWw5xascP8qZW54mLO8ogoH8cXJk9N2rN5bfxaowAVIp7zWnpU6pimCymjrG
OvKgOB8b3Gb1fmG3lDjV3cBSrBs5kpl+eDwKvh/91D2u2CV1xkvhNFGA/wHnKmluLOAbp3yS01LG
m9D1DBhccLwhuzTJuCuSbt+0LLWJN1AphxcSan3LhwjoGX5rJPrukA3BSSCwAnI8FPNyKEd/J0p5
pCFiL7zmgTHzQsiXmxZD8WhFKUStQBBqHxR5IYKWPhnIvEEPcykCZU2Ay6BoI68ilDX2l7CYd+3t
zpZRW1w7+uQy9Q5T/Y/6COrl5PblGLZu83o/czPckGU7H7tzAL8Xi3Ewwu9uODEV+aFmKlH2BCE/
aPL3Igww2PaoK+1VcyHUbRU5lok5Gc4SP92qh73AlBea6qObisu0FHaEUfZxyxLK2Nz6pfXwJ2Kf
4GZIeq1wmy9NIo37GusWiRm2cOz7fkYyD/hB6WThHxnZ0jKS3XqwsyPRrIMpWABv/BYRRsko7ZNk
iYCSxTLxd5MKsBFQolgpYmT08xo84T7CfNlJNBPiqPw+V8xNuSnMDosXv5xb7/qWHDrAXdVm6khZ
HrpGUe+p/zh2g81nl/RQFuzxakXpcruv95Fsmjs7IGTscLK0usGmJOjgVn8l0ZJoLd0oc9n82wGW
aT6lNpV+lSLFr/VPyyDe8fNam+EX2l0XNRySzT5I5L3OkfcOC4CezMYuneGJpoO4Nu72Jgt5wtZ9
pHPlFdLnM8vh+44/nHlRx8k6LGGLJlqYU0aXdDqqI4mpPVmyA/u5Z3tkVGUdGZAOBM/x7NfWd2cw
hwYsAB1748JBDENlLJDDPW25kcsMl03WSyi5vpnmPDKxU15JcaS3gHSlbl4PJJ2FfwyX37dozdzx
v0b6QWPOpel7rvejIuzA33XgLuQjo7Cbbpje3T8r+C6c9r949jhgiQ672I5Hf/yq8DjKqng0CHTj
krEbbgh5pdd86I9k+Vn0jJFaykfXbc/ORCSunY9CFS9Ev9FDWdKyvz/bSpwdN/zXq5xu3pLwTda8
tlBHb5t2aYdoMrwUSzieJ7bmdeI+tc64Jz3PT6lr2kXxGUoOJM//Wi2E+FH7D8we3wYTYZRY/XM1
LQvLIf6FjWC9FH6WXXK3TUTUzIifMkvfwma5H6uJ9CCuf68DfTutt/TR3B6RmFlr5EQF6ZjNC1YM
fBxcwok4rm8LFQuMACnHxbRUvq7foqDGOphx88BeYNq2CSnk1cQIPdoXmj5YBSQdNAYPI/fAnvWQ
jQtlYFjWEi6pItxON9Pm6ut7OqWPYI2u/rROJxZtf4NFxl5e3C2ojCRPDl2qPu10jqdkcB+MaZEP
A+gWbcidJtj7rJYTReXPDCvT74N9ers61it3eXKpNtcJNeiHvkq4gTt3ssv/tTL4CYPtfoD92VFn
57qaubC5mKE8UAkKESy7eGl1utlgmHn3a4AV7SYCoSkphBhHDGgmy7aTXkrDKAJ8a/HFDhByESjT
28fQEoJcPC6zYcV1RCt2X2aMcvTpFQqERt2nB7wN8SKo6O5ojGR7H88V61dNlrxZhvbsZm4kgCn0
i8fQ7SKvQEvYJJr4OB/9qsFdOeE1Lxq3PkywYV6slWh+QZTuoe0UnFFgzVyT7OeQF7Sr6oHC2uC2
JprFsxO0XRBTUjoe6zwj0kkt759CB7/twQ4fbK9nB+EAJ/vYJGss4d1pXfjDe4v94xOKTnU0RLf2
xpvwRCtsQhLe6SnxqaHZ9W1Jt72sHluF/wsDERzaY5KlzZ07AQkkwmBx2/G+ptntr5TG/NlKPR3J
F+bkxRtFR9JQUkqYJY/Ar8l4plvGMy0zgRMPIU8AqrCDj64bxJezpsGTcNe6jKZlEEcXTTuyAupS
nQbFoZyT4jIL79KFwDDcgSz1Jozzv2rLEwGX+r6HBXLUGytKQf7yxD52PPSlj3VJ49ZbFLHikTwk
HqKGGLxX6vta/EDjx19bUA8jA1/8oi8Uu9aMGT7tRnZ9RZpcdM6lvi6nhTxqKFg9EaR+wZKWnWn8
xbYkkrxHje2Lt7ZGplNkwrN9HiId010A1kUQ0XkuAHAE0EtS82S63P+jag9IyTqheAZUzJYzRceO
5yaUEGkLA7ZZX9n9x2lKT6a/+sAdNC1FIyUlCFKzqf8EzrbFsMnrvV0B7iCR9GtaLJPijtLoOjOY
AeKT+6LyML0zTWlOzjV79rex/VduI9fbvG24gLpChbivfRAjxIXF+lbiljiYyX6tF/O3s4fi0njO
fe1VydENZnbkMEc+QdzwqR0DMsYebJWnMO/8o+eMYbwNxvli/xy+YUtePiC/gLSnxoL3YZ2vgx7m
OKXT6GqHanoftWALHNbbmSskWR6MWc88Ju5TA3/g0Nqi/2tjkjz22zKfGramsBJVzmtSJGx2hlQy
nRtp/fVVU52dkiDulHOlIErwvye+gUTBiVYWPZnl3ua/15k/pQ0FJVxAF8tVvuZBL46ewULC2NKV
1gW7io0urdGqvbTmfHLQg5ECqw+yszfD59Z4cZjX+R3GGLGnuWe6dIRRGcWacTnPosb3oabpfV5m
0hhhgPxnh+07bYRMprPF8VwSZ7F3VeEOR7cg8457Ubt4Qrzx2N42PJ0J/d9hPlSHW+gLCsDcE0Ys
AaIqzURWdd6ChpEyTOdZEDmUpaLVcvI0oKxe+U9wMgmW361dTw9islPOzuW2hlYpyTo0haOe8x+I
1DmeZoMi1JQhAYWe1VfW1/zV1lEAWbX8NI7UAVBY2k6reuVrq2E8rBlO2wAltCim9dGi3ixHO79M
uXnMHcrl3BwId+EzVPhhd+ra8o9Mtre6XMiu3M+5egoyyHCkMQFxhMuK1w9vzSkdWk5x0b0WjFCU
FWWcorSom0cv8ZrncpEB3yIqE7iMusmZqtMbTcLx3q1lQtCkgDT2Ev6kyyQkD6LV+jT6Nb1d7Rxg
1EVd2C+CpuGQ2+vE6PtVrk5LxlLMZ/MOPCCbY3704ZzrrefNR3plGJzafU35F7WyVfpXhul/jCbb
vbM07VeFJuSu72nVoXUnuwycRgLOgHR5GpE25Wyrk+TfYPfViz0Fyc+4KidlH57kZz8JHhM+f6/G
uMPVtTAW1hYdYlDfQo6S23lRbc5h8fJIJ8dVMs26AeHTatDz2XMdlvop1eJ7Bp7Ci+zMhA4Q5klN
Bz1UYAzIuXYnSYgoApCLurqmK8uRorcHwreorMUicDuiWdG4l2Yxv9b0bFEyTlUU32RZODyAm+V4
VwPNAd8Tl4S7aviqh6+Y0MjeJA1ZXxf/sGA024KE3ewMjdlStHuVo8W8rPrty9rYdLvGkjwT3n/r
wtMyivwwQ1DCDct9BYIzHpLMwsk+oG51Uv9nbkCSWrU66gc3OWprcNF9ij6eVg02pA8Spg3j1Ezd
GK/G3CGyUldMdQQnmM/J9IEct+FYZYkihovlhzffLmN8sbxDU02CiDX3bhA53yEacXFDU/gMeR6D
5o21lFr+r424w76yJzrAS2o4GOBCBKqEHMg0Vk3U5St0opsxMAnBq+C26yOdDSm+BfWcEhdJo6zD
LjENY7JD1ypaiqmSZNjPW3ffmfHHhtc7vygGMhwISfE0GFmd9eCyIyKh5CKi05yW6wWMvBUm76kl
zL+aTzkYMCl+02b4FxkrPHSm5nrFtF9GYcLmL0zny+z/xsWLv6DuRQfzQFiYbAEU80WvP5veE8+k
G6YvIEAkb2+WeROI/8axLeQhr4zD4DdCI0shnZ1ZGoznYMNx44Jufepv/sdCIFL53G0O/ljWcZXy
FSaVRUjZ1eFTXwm8jNq5VuWiH8kIdLgs8x7RRlkkbLrqK9iqP6kVdL+4uU64k9Ky4/1nMpkHSmQj
lgNk+IMiK+8BFQxsZbuALL0uH7tN/Uum/DbbessfbL5/uxUb1NL7j6GylvskS0jz0kfaR77dz+MB
yp2bwmZQmgeEjBUyFcL+sqjbxjy07JNsC+dXsiS0IaoUrPQa1k8EKL27egLesDOhydiBEmz+qLHD
Hsj7ox3QYGzdiwwLZGCozR49nxUxWYmosOEV3LVKFeFznobsq13KD9dUIfJb7EkUXJZ0Cb/7Eecm
oAoVe17+mKJs95MTpeIrGblKILQkbcZ6gCrSH0oxXwbPvPTuhEDYzU/SWHfNUPYfSeIV2B56RIFp
lm8S8zVbED3/rYW22Ru772akuLrx6w+6B7J7N0und487CPf4BbFWElCnZPp57doXglVvVUB6yiUw
yXec43S39f3nWCzqoS6Y/lxlQTLKgeqUbmu+e4lB9Q9hnLeNfGD9aHfVR5/eQmKrz0qrMZZDlQiD
0Y2SVEf9tLEcCPhkBKgTu3oe/1VN/WO7RYMghUVIeayhexhUvDBFOs1RJy04DDaPaXJ0cupvKYF1
cfPT8bQzI9npmZk06nurOap8+k/MNWRzXQb365jeihZCDAxuAbhtyBAPV25IEaAuqGlaitMkW7z7
+Ry2zn4paumwZ3UdgPqF/kc9eH2oSqabasN7XW3+nxw1Lm7a/LvrGuIkK5efrrK2XQGjJZpWv0dA
2Nh3BCAvDs2a1X+62q5/gUi7+blLlMmDO7A181MfD75yOw5usbKBlJPfvTiicLjZ21m/wVcr3pA0
uHXyGcOSoGmzzdts7k+WCb01nobSpfkzWJwz5YiGtz9x8BsOawJQJ8Ur/sH9Q52HrgMuMTq4B5Up
g9iDMI44YdsQHinDfXJSM/2peLXLgxVYn2ZVv+uSbS/cuCaGtQ0typ+9n1lWUxs1wjyaWc8f/Fsw
QCuNRyrPbiQB+KtcEfUbK9w3m4DkvkosnziSGOO+YpXP2J2RcLA/ZEZRyQnziEv3Z/AzB3wluOz4
h7nm9hz38JjO0tuI/1bBWj/qFf2t90PNP+Rxe5Lsxil3Ke6zUj9vA+E+hjnBZFb27nMNP5CV62qz
K2V42pXNRPqfNAYrKH4ntDTW+1yPPhpK/74qEzxblJPEczbX10RN4sBk06N1ApYPPBD6O9/NQgpl
w+GnvHHZsJ4wMc6+9TSBlPoLG2u5G113vkqhh3O6BMke6QeZMhz9k3I3d2/V9shdxJ7ueMXaqHJ5
1sBimZPCmHQ/h6o/50EenKuB0tXALYiumrFFNnNcFh1L8zgYjpZ6RmBDqpQ30ZjA0QCSBDnPwuZ5
OziSOZ2/INqoqPQn76FtRP9d2lpf+iEsn/VSJPdCzsWn7dNdK4w1RabM13heS/ZOIK0uPvsMpsPJ
zcifDOvF9ew/lDVj3JHBzm5hq9dFaJ1nwuYnNxXTwUMdiwpfdickEgwLwuY4D/jRkkyKi2ly9Wuy
eydavdzsBaCDvW0V7+X/W7uwCBJiILpHH8Z0WHILjS10ktiZnZ9tGr/USuTeLuz1vwDp5ioXstts
4tsL/PvydbPx1NnVstxh6FZjRDKFvbOu3zYvBwCj0ChdCxuZpYrfnTswJjF57XQ4uv/80eOdZJaO
aDRfX4hwiWhhUbUjZ+bsWOajsdaXPFxvDCGri5YyvznW54rDfzPZQeP/h/XDfDYmJId02jlxsIT0
g9qsVie9dtAR0LA8fC21Nx54+6F9JJ1/HXxH/DOCeLNeJi5HY25tcc4Q/rcEyPS0hjaOtaznDgC7
525anCeKmX+AlendkI1sqBh0QyaHUoFam5skXvzUZQ3RW6+dX3r7Ui2kZRLZUEeGneGtDIfkS01d
9sHEEX7p1t2QbeeNd45Mc+ytjp/xBzP7H0PtFseWgA3BP5LFCEN9+5n1o2ZzV5aRBl0aT7Oj/in7
ycPmuJEtfekrAJJxnbIt7MIU5iY0qkvbIeVa/mDIYDKBQ1irvlzTg41oyVKgN675J4U+K5cSspG0
PU901G/IOh4o16uyGsSVDLsTMzh3bwSUS2M13wD3yj31uW+Vtj6dkPoVPNbzHfCq4R1LtH5gMy1J
I6ZIWU6ZXEPCfWQI+/QPWg4V9TaRlaBLBnpcuvS+ru3gra80NrfKoLVsg3fHk9bBt5A/VT94hAmm
+pTV7iaunkjb8e/iWyo/tEWg7yY/dVDcRX4dMHFdQIKYYz0rg6+pAG8zEin1Kxpqh2JFc7JXMTP8
kmhKopA7tzw1UHZJe9cljg6UlrmKh5rz9uC5S/CQ6sIgTjvy2rsEINc6WU8b3vhXl60pFnxdxcyk
VLoQQLhzyo3FZqHavQgthzaEEPpplWeHauus/eb7xkdjsrG/D2snd36gwDSVtofldg0+xxw1vhQy
LfeN3D7kJlkiAZGSSKZJivdzxZLUJV15Gh3nV5nxoVq7le2D7teN5WfRDV9bmU8Y60WLfaBeMopD
uwmGk+/Ip8AZZoR34T5kVAk/JzYwpmXGJrNM7OOge22HOtPDsTDp7b8QvvtjNf4WDpqb1gQEBL6z
PUuDOhonNzzUW1n9pWp3uCu7IoEjl1RGRVqyCxx85TxubhcQ7R68uBuL4FBxj7vUXTay/WMppVXD
pJA53gN9OuFzb3sTs/0IE99CszMY9tYcDuqyVds7SN72tLXGeXKkpaIwKMYnktpN3IkNhpF2qJDk
Vhp1yk1+VzPTB1ols8Mm7SNJWAwcmtM+L3LwWw2euQSY4bEKWgcSOuo6CXI8W1TtUenjMcBp88sU
unssmtr7A0UAiJuHnF/Dedz4kdn2bUtvHTPNu6oYH/ak+Oe9Wpz6futWzAuy5HECaUiT9QxfpgRq
HzerkxNlT5P96Kv0XRZs5Ph+WPLDHqyaGPto3dHWypjPV+KIbNceF23Xcb40zhNvwW0DhbJZZ6ii
UNBoK5jrEHrQ9N/UJ8HOIoR2RNKtDo6dZ5+Lv9qX2p6Gt3riCcF1UWOxVDRsWxZ70sq1LRycWQcD
FRZyAOME0CxLsbIZ/nOyvP9rVmBB6PETze5U3PVp3T008/LHVip9YKqoea5wNYcDFfVGbc0pVJ15
2rpGXckFA85jDblXowdnRqYNQUKycnPACd8N7Dzauaf+OWU/F+aIX/lIEXTVanI6PSBgbH2bwZMM
SBlIMUXIDTkfuA5xqnnZHGT7206dEbNMbw8wZ9i6ImqMxG22rzKd3HedMbiZjIhGM48K4GMQxpXn
1icbBWtX5OsnTDc0cW7IgDmUjYBBg8red0X3viwlHynGFhZCYGCI0y9HF3jivwwr2a5qTXKya2Kk
Xo0PbwbywSKA+42TA9V3VWkQwMM8ZjsmjxNn242N1D7ezq2dT/xy1/DlPTSUKZBCbsFVTcN/q407
N/eSh0QRak/WptgPwKZwr2T/ckbXnXKWr3XGYDwMiTxlpnpnahqjwLZeK8kAt6uN239OqsL24xjn
biqHH5ceDogJhO3vfUFaNlit+kFI8qAjvaKPPhz7r76rUKpdiVGuc1h3ZflPvQUsiSmS++jIRO4F
JRlncFLWOU1cTWw5YxNku1D0fL++AO/DSJJtqbh94vhWeUtg/+Yqi6wkLdwqyyjFweL5iDLFANe7
jjoGLRdiI535Iy2a5CHQ03DX5s184IKEs8/U+SvLDXLkAw7hHG5xttvIR+22If8d1nl7nduhumLN
4EeHo2TA1mCVbqfRuavKDr0lGMFIyRSWIdOBW71CIZOnaWucZ7ZBeLx1gyNtJqyAa+f2e0idgkFk
Gz2N7trL/zxjNw88c4AXsuwHkgbmtVy2j34isUfkLWV2eT7KvZZoqCgf0PbGmq9lZ4ld4DZM6jCl
k6CWh4U09nHuaZhK+4Fdq98isIumj/jtUiY2aQmfUYjrZuOykRn+Yzyc2MHGltgFFqXdAknrKLbx
pUJTQSKpX5fJfaqmtDvYbWqOwD7tX/7NVN7eIoa8PYyQrjdg0vXsezVbv53KDHGu3aXfzW43HIrC
mS9h6Rs4+cUv0tZJxLcXN68ICPSmvR2HYb9es81FZpgBF8Gbm+N+Eja3L+i4/pT9AnFTxykWC4Bn
5XLXNi0XjTHE1GRxFdhnbsdcb+OmCJWoj/mm/UO6VsMYY01jQb2FSySVxSVS4OEKhoV15jJeQ8Ky
612wNlC9EjfMbkd/+ZSh+/9Ove0d5YogmDZCXbu2FdToVSOMc1aoGPzZvOmTGMfhx9Fj9pyrIHhK
MtzEA3VLj3Sm3fhUycA5WZUFcnmxti3WdXy7JJBI1mQ3c/mI3+Mvm2PvIWmW7NEJyAY2CMsgTeBx
ia76sTO2rKjYhPvYbbMmT8lb1pv70VP9dsrglxzJyBLxV6kNfYS6W9OBRFXpbb5jSD9agkSQdtBw
8c+qvSvTX4Y7+8mdO/OcwUraFwPZCGvq88hwKkflEqrr3NAZ5S/NZ0rxbJyGJH7LtTWkhbLgMDqr
fBtaKs9Hw1zlWGMVi9Xc7Jj8Wmu3/S7SAGNwYPE8z7xS0tF/ud2yWN0EuZpiI2kKr+RVzGPIu23f
ggl48Xk/gBYZPZPjYOzxXFTkKgF6Wo9yBOzh6fDsIa7jHK19wE4pC5I3SUB+PugtX7/Idugo1CSe
8yacd4m6gcudlevMEOCrkB1DjqlKxsbRFJdQLmvkNtNr0yNATZVt7XxjsQ0GGnUS/hzcGZdcwM5t
e/Zxfat5aIpULCy5B1ut1zoXoGPnpXhLuvovBzBA80bdVkNt8TKtyfLq1VPLqVQQ5Ax8XOIqE18r
9LU7d1lLZnz8PiGD+4xenr83fQGsf8PPkfhLFmc2qr6rEhufxybbI34Ehvwg/En9+tfIbZM/FCc/
btQnXLulp9LQ+Mx53bDyfIDA49OXYxBAeLTfU6gU2New+dqws0nbbOleLiyhdgXLhn3abznisiVH
VNW+diJb8kc2br54JeLpvMi6wPwh+fcU+X9oByG36nreVyZhIlhIAKEUJaeNWAG+X1x0S4eCZyUs
PoqZta6dcGBXuXWqpyH7r7IU6wPUspOwluESVn67x3OBl7oB7Hipamfks2qNC78aRloqC8o7Sj1x
qczai/lDyuLVC3+ow8UM3qfhtZIDd27eGSDi3cYVPLdQcsOKioAhAQ+eJkRWkbTn9VrNPUj9vE2P
DneweF1n5MslvQFB4E2wUi568NypPrhSt8ciKLxXI1X1uuYpZAW/K27ACrnzNJHL1LDymZhQfOHr
OBvE90xv3uMKWxaStkP2OHH5bkk3Nu45ET+QQue9PU8K9J5Kndd0yfSHE5S4Mgn1IKLrEQlJ83+l
LWwQ9jgNl8G1ijc3YEYWo1QoJtN0GBosZm1ejd8LWMmXdkzBd/L9/hXkRFfLmVsiwHCApAaHQOlq
AVt3BW8dYPVrZiWPLAUYjAdIkiB+FpaAxfIMPdq5WMobfyW95934YsvwNDuAQayg1JFTdX9RGeTP
PDkc56zhDkoUXJ8DGA6bVWLhID9AGsZVu6TnnuxMWf1LVaU8TGYZv5qJSwU0EmZsE/xxJF+MKUtk
zAiByyXwBrR6vUzPWe/n13ZCNXWwqy1yvsVapMk4dZzyO2Cpz90dv8K49tZTnwX1YxWo/lkgaKGo
oghLxyXlozacmMuqMMiXOSUMwPOJghi/iQOZzyDsxolWC+PvM1tsD6HHKEFiEL2HvQq2psMCdObQ
F12+nyiaqIrlB4d5cwqs0Y+JFa9HKITDae6pE7BxaP2qhDEb5mtXn1pOjL27ac5TdynvVtLJ2GEd
inkL0PRJTwdXVaFlShwe92JlHM8NKRz4VJx+rfPD6MOQ5lW3z/AwXLTFQLFRNXeAGUmbpqas8SUJ
8N/CWcueHALnYPlhtp0nWQTHyTc1QXbVH5N+GyFx+OuvgWKImLg85wVQQI5/4qxsC8YPSiUAabm1
Yhtwy5cwHpwc9k1vy4h93Db2dr/0I2WhtKMeAb/CBLb5/BpHWA8icOeYq5c4mWHMfjedY51lUpTR
1i6/Z48SvrGt838N0D08j4uOncJ0saGMNvYQu6BZpTJ2Ngy7bIq5M9IFELt0cuBMxZeWtY52j9WK
3Fjk4rhA5t6tkpz2nHpsf4pkPGxS+3hMKc1ox1l9DZ1Bqrsdtiu5vvMsrYQoMhr4Ll+G/0rLDf5z
14GVYqu69gwAeNgr4fH7ACKQpt/1hPsQ51xzYA2RnPyC3E1Cd8qhoV0ZUIRvncosLQ55Olkcrmlz
kCvW5F4E/0aEk6i8gcAQemD3ZCVAEweYzrj1aIaAN/hLpAVWntp6Se3Wvd66gF8W6FUgF4CSED7B
qzB5zjkpWeQZJYJnOc707QTqm8lC3FEFYF0VXEGGFAhTkYSsvCcs/MOa7mahUr4f5bYPeUm3FHeU
5QQAsgyLc+Xh4K4gqKkQEjMKAKj16stvLDiMbdJR/UX6Jgs352qVXffpTTBnFKGzw8Tj9CgZgS4F
NIBoULhSqqJI733WUneGR5+P1GjwPpAIaMptX88t3MDM+81+SD4RP/+D4Q9pjrLj42zUuO9TqY4h
178LBRTONRCrjvn+dsdq4/ArhiYk81kbYFFuHuelDr9ZyS077pH2rq+x/oaKzopmLXSUD0gmPIAR
7DL0kho/ZQc6ZMcKpviN+AoQiSDAPSMiz6O0SZ7RfR0tbYvv0poR9oPGvU1y/huIANIRQIMAz4E/
JNiS3YLpa3bMlKHZsWjaqFDWHz7yuQtcjIPJFJsbF4mf3uF0xQu4IZNatMnuB6d1Y2HXn2hd6aFH
U4zWWVgMnFZ+RcTLDqvlMzDVnf1vy8L3gdjLu6osXqmk8cJnf1rse/LFQxxWOTMVcTcC9ZKOXsDF
EC3w9FFFFuyHDWNNVi/eKRXYS1KQCgOQD59F7ANbyODTSWFHcyuZr8Lm6djardtnxQbTKyMx2Njp
C0iS00aHHqmtnn0djaHMYGuF+EWGUVhNdSxr0tWMBmh42rIPuoIInPm2iVq7sc9oveApqry72j7n
UBTe+nakWf1Hy8YVNKIIgQEjxFO2/rHuuu1Rbyp5cSpt38He3qLcQR4IVd6eQjYZJ6y2EA4cxpm4
FsAClrz50A37cg7c7CxhKPqY/FeG5g6q5W4JRn9vaKc5yKbPP91mpQMEnRDPJlL+JbA8+YnFyYv1
baqY57k7jgL9GSXMvW5EyU8FMK64XvDR5vkMeMNgHgZb0H6Uud+8WB6ZW67MK54t9O+y6t7CdREx
pwQgOBYwp7H8P9LOrDduJEvbf+XDXH8EuDPiYm6UmUrtEmVLXm4IW3Zx33f++nnoAaZTNJGEXV2N
RqHcxcjYT5zzLqrjJoGSXwLncF4BdaLokQgKUiAUqHjmGtRV6jRD0qIsn7ftpRoj6XExUC7di7k4
ZE/SmBByjYEvZ1oJ1KOWpJ1Fw90AmHQ2NVSVFzNOUa1IgupFSQfksSgVPqAVzRA3Reoi4446h4mE
ZD0V9d6z+gItcJUMfFwld15STB9zArA7TKmfelQr9lHW/uRQ4Yks/ZZ4EHl4D08TlEWIci3gPhc2
gSJeGSSaEWAjJ4FnRpN01wUygXdeStamKslJMpiAjgdDA0ncqEfUtT8HgmvhImsDxI7BgHlJV6h7
x4r/QfQzZ7kiUQBRtAShBIAXfQ7NHfz+G8SSrzU6F9f9FIyvDenyPWXZ7nL0Ua8Ls0YSEQT2PYW1
/Fh7HU8TmNKIKuCU4+N/9AuUBUMaUTZJzmKHuoy8iGNqi2lh5zujtkt0hrmCKrzd3/DWTu9KEVJC
7IhnVXUK7nnTlbxOwL09FyJOj6KT5t4bSQ/NmBzIvh02W0maPAL363c9ZxsRM9CfLhcD+pzkMuss
BBKee87doBcQZuO7qXRrFfETpPzVL1bRWt9DfRbScuAG2aiv7CI0T+81r3d2dhuPl9nk2ZdCldWn
qK/JJzg8j7FsVsnOBMMdiHPtjRMA0mmUONjPxNhw8Da4R8KRy1T3a6g6lKKTTKZ34EdTIquc6KMs
lLdqRg7nJTI6GSC/I+7dzi3FvvigD0b95gVt8EPJ0aKMYi+81Mqww6BxlryMOxDRgN+QtTZIZ3VF
+xqC8fqkErSBw4Vs6nRkrC6khxdRVLTBC3Vhj7A8iZ97nEVciSQ9SPuxQbqqx2LMKikZmEBv+J/o
tXcM88oCIXFdtuQrdzHJGpDwSQIcNkQv/66Ms5KUSZlec1pNL7pRKDc6JfxjUrYcMQQrWkvkBDiG
12HkwLvz1G8I1nyqVd9tkXJH0p/8UiJfiv4ld8jraSRxHsvBEbc+eHNwGgDqKMAGLJc8f4u0ITnE
fpzjmezMBHIcAJ/llKvXetrio0Cu9mjocfhRnxlhqqMFd+TL4p+pQT1aBUj2oOZgTSutHQ6yGZJb
3hr50zSk5qWCC9olKi14E9jxa6gYZb6rr6IcWxf04iRpWkF2HWOUveWjoHyVioMB3tG8DtJ76Kvo
krQeBZGi0aF4ROQhBLI/s0JK8xp2s8qGQOO06lPQJUA9qQIA5xuMcNrpTpUfOE3CQ4NTBE1gdNHz
bt2P2G+yHowKqH3uTW9enpisgBnbkYXljV/7EUhXBYV2lX+GQrLpWtNkUJ8d8r00G3kUBtNlVwgS
qB4CX4j9vJJeVr/haWRd2VH+rJZ1eUm6938xdHC18R2/0AaJxVE8fBG9KO6hOQVv3G7DPagQgDuo
gkIetWBUtRgFIPTUpk/khMdPXc55QCE2v+oT56Ush+qicvhIp3lvxqTpJX43PO/QnQZHYI6fRp7h
F0Y6hUc0+8Qs3gaHztDnGk/DkmGz3UYtY4E2PM4rkFFaHiUmioaz1QqpqOLWB1N/EdrEWbIJDi3y
xBn82V6f3WEaFH+lDPpd4zx1cVC+5CbCPLObkX8rh9i8AdVX7O1xpAKqGuN9GaWCC7wRD1pGrgxz
v+Tot5JV0zkSaBB1eMqCGG+MsroryTw/UdQIEYfNvoPt8Q8IR/tPdlBqV0OHlFxEIRF8kZ7eCN+H
g5vq+bEzEJrz2sp/HEr7DXn67EbLOwi+Ri9Q2femi5Gn2wMOU5zPYMo5M3ixa0PuPds2WEnfKcis
ZCg7xlQ0yYVUVI949zwNDhyDUCP/YPTIETVRIR6qruYeleYcp8H9iAY1JnPI1I0qJKY4xk6BFa8c
8I8Mr0IBxIrnmz7rPWdXLXsSsVsOrL6ROJiGsFHQz6ifrVFgPsWtea/42C8BalSg4yCZycM15EoV
xXd/jqCzsux+Cr1r31K79S8THL/QmUORJVC87kgCM/ugdqOPNYzZUOBCeTaKgOo4hjqSskaF0ANs
cts48K6xF8VbQkdgwBzppF41t7UDX8CS5vhaO6VOgtEzb4DlwA+3tS8CTYkoIuWE9mFjoeSG6ziS
mvJoAZ14QMwrhJgFpgN7u36Pj1cLCqMgnZaAJ1ZgVGseJDORFJgrZN6AAhRKPo1MVDwTNfOmAJV/
aRudvC7TqTgqGmCadlKqK3YfUXVNsr2JnHDv66m4TUDG7gnvOJKa9nMBvPCqBkDzXIqpZm1hpIiS
QnRJPrq/RvCTPevUxO2jKl48TX12EqvfR/lo3k2O9VnvLOTkE67XJqNIAfJSPLeQ6u7ihksvb1gf
pQVCO1Ha4IrqSoRwA24Zo8QsuyqBY1FcZZOQNSX4UgwEbKk73f8CN/exAQMHwW3eNrCy67EeOfTr
/FaTsAWMFs4oO7SlQp1lV6hrqaC/24iyqFV+I3Al3AGViiZMnLScg6baXKO2xcJFI0gBusQbNv1u
mpWKcmBQXlmREt6zroxrPNomxKQmBzJhUGPPl2c/iIVgyTpN8QVTJNjDndI6FxovVKCLOnSTCigI
eT1e6Y6hcWACORriCk5SDHlGAYP+bLC5OAc1c29PMFc6s4JqFXr1p6qqalet8Xb0SxEf/XHAyjww
rT1I3W+AACgLIrp5l3P5HOzGR3W9oOBswtLege9xrpIIMQGjlZz4o/61HZzyrqaKD9GIElCtAWFO
gHZfdDgX7Xut/zZ0sXqEcS8uRWq2P3Etsm80GVE9kuobcn3pZYXu6rPs5bfAEYDbKjIIFNB+APTV
DlRveKiGCYbZCmpvouiBhZgtVlqdTe5PzY+WSaimwQVHrMbyLp0RVqCJg9fe9BW48xJXrnzQc3Z8
YaRXrWL4T7rVpM8m70bQ481A4p4U9Q2L6q1sqFMUac4DQgTcRl6nHnpdBVpaa+qF4yjZfoDIi1NJ
hlQhcdxumCBmggzMD63P9dd4VJww6AugyIXDcVACHSIQCRmyOWODZRZ6iNJympsIz4s9U8FTPFDH
g0iyf3QcFPfoPCXfm5FEt+W0yrcSoy+SDUYDC9F8LokwHyiwoUOlesNXwr4voM1skq7QYrBBHfZV
S+Ko74ApRFH+g86xpfMBqsdsOJJHVKNEEdQ3Q2KaF3VVVm7AsXMVFOhlgvujQkFdVc+gsYPGwVmF
QoYOJS62ogcLm+i9lkKiNUNeUM4gW6j63uhd67ibEGQ5I/BiLjZ1Qn6mxfYD0BTIptqpphspO9SO
AxF/ajwy10Kn6FDHXA2W2jOGZMJ2Ta4o5N6qCqX8qgai03/BbpLUcpw4CIyo6PjDJBmG/IoyjbKL
YyiQnWaMBzDV3JoqZAq1x3NoymBPSiyf9k3XGEc9rmGoVyPuCNQab+GfPEZxLF5ABEW7MiudIzAX
5J1Q9tiR7g/gD7Tc/wDuIc2oAI8dpb6zGruk6ADWhjKByUOjHQv/IDrnH1+2nU+FdBjm576ClBWM
KVg01j7vR5PkrwdkGU3cjnqqPbY3NoB1nygw8mMg/GVc4TOLIwZhXVNrn0AefSrvcI5sKfpj5FMj
Dg5sQVodpVYLNUZlzviFso6/9C0YLd1WUDtHyhDsmm/d1IVPRgXAxg+7H9p/fBv9QhOhXyUpfgoS
s0dgOBhjj2Kcf136T62l5r4zKOYHOrsboQg0BWcJU5UDeBcKJLzTAN0f9WOJhuZFXlGhFInZ70tb
jY8VsNxrk8gKg0RCt4ua6xbemxNfVdg9oW6KyFko4K20UkcdOLarO4pY06uNMcIH/r84FzSBckjb
UDmYbTBC5QOLBCJR/aG0IDFJyJU/YtsIeSnEOm/UkqExZv0Ds4PJbxuCez4zrFvHBsJXw2G55lXa
wTOI6mswHOhYQVy50SnZoRliOAiERNaNrsUhjqDDpVFCRS6ojiJY33WK/koJG2qkqZOUtB37xvSI
KLkh4DVphn8o0rG6Rz7cOlRTWiIQgT+AU4XQ2jjm0sFAGcjiI15FIFnks/4HCWoQaGG4M6sW6Rrb
AsrpW8pRaF14BD1DEQGqO8Ueo/tSm2b7UUemC21VMktuaYAvw+fY2k2Fh+SywfKrQrRccJl8FRTC
Lx3vUUJoIKybLUnUCZRrqYCgsXh/3pEcRIEYdhjAz7lSmrXmV5/w4HOZURCbukS964PMegpSkrEK
uPtntSggqQ1SwrAH1QoesiIfb1HTpe4N9Qrgt2Np2q3dw5hEpfzL1M6ISR1VWjWETc77sT00TfjF
5Ca8SDoSFaTVzSPrnWSc2ZsI0QBXC9EBP6JnB0BCRZJtVmdVFMKOSJWUWjVoR4Rv8t7CggQ4zFC9
8gLWjh3UcMjQwvNuSk1jq0QdgbAWDVc6dxZgWGV4cMhsq1dDCQwZp7HYKdx8gMXrgaDiCCI/puuV
uBBJwn4rBNOWYtwTSgsFfCtLPwEpf3Uam1OmS3E0DjEStiX4ACR7ATvx6K3RkrXj/ZSOKIphQ3wh
S4ixY8ABrgzIlDX80F1UKtbzBCYKSF5YfcIaRj+KIuk/xIFlc5Gw7GqdGirFs4kyMkoyItTNW10H
0M51rQFUMVqqqWSxTNMpUXvL8uPUGAJLzAaDTUFpwPcAS533T181aDeEMOGbmg7/+a//V7x9ew6J
bP/7v7T/D9IN0+QQ1WLE0ZAptD/96ectQzekbhkUfixdXfiZt6Zv8tAecxcW9Ed/Kna5Nn4938Rv
lun8dFVI0xQ6qWNgU+97UKiJTmkoVxDa+haPe6y9qQbF4+2/a0V/34pZWlM8U6zcXooP7Jj8gx2Q
bwXSptwRVRuX55tbmxYmBDlhXUjDNI33zcUqb28jdEqXO4DbdPQ2DOC3vj//+cm0Q+RPtVKVpVt+
pWiC0c6/+/mz+fzJ5wtSh9Ck+fnmeHCSY+7tz39fm/ufo32ZZ9c//vu/hK5aTPfJ+MyL4qQByL4O
LDCvRAL3SbxKzfU7BMaA88Eo3aExhmpFDZr206Q8n295a+AW+6UB8MgJb5auYiHRui/ajZ5tfV+8
71hRpH1gqxYTA+wR3nfwLydevv/+iNaIok7MTDZBzX4m6fGvxsdS33/fkcQmecP3fQq/mgmV9ni+
gXnp/D7zDuZZ6FpoZBrfN1BTBS5aGy65EB9KEICocdVv55uY5/BME9qiD2S/MYbKfbSSzOEAHOKi
bYluxCcF7GHGY+J8axsd0hbnlwAlBDSerQhvBZB6X19X5sai2mpCfz9muZFIY5x3O9iGDNY2+Ldp
o4n1dft/0/Jrw55sSPSsfA3MXukCYMy7CwoF50dp6/vzn59830NaPANlVLo9MSaE8g/nP781QvOf
n3xeU3i9xBNTjt5Q2FIgBLH2L3uwOLKwEEzsMBGlWxHtcTptTMD8r/+2aIVpOZLAS1jm4vMFlzCV
x7pyhxSlfoLkKNp1PCO80T0/VKszcdLQ4gQUtZICp6sqV1JBw3seiaXzDazOhcA1HPS8Sdy/uPtS
h7qpVkfIfM/yw8TydvmYOvf/rpHFesI6crBtfL1dO0Qtd7JgGTvU5bKb882sHiXSFAL0uG7Y1mJz
t+nU4YlocFodQQ8C/n4yRhQun863sjr3UtCChkSHqi2mxOpqRWAsxHWLuJ53a2BIubc/n29jbdoN
XTccU/L4teSiDQzNmsYzuspVEN8TlwUsxH/XwOLmsyl/VpNNA7LeteXXsKw2GlgbJVPVTFU3dI0u
LHuApi8jOBVu+q3G2m84krQt8rvzvVhbvKYmLKFrMF/Ecpi8pPGQiW0K127vlOTzUD002kYoOg/E
cqebumVCjTaEZhuLs0rIRPhdGgOIGHB2kOWdoooHC63p2PdvYFJMmGAN2cbgrU3/aaOL44UkcVeS
UytITb1d6PL7+VFbnZqTLi2mZqTO1addUrjkt23/2gtJlO2b9vEvWjEJGyjmULVzFgdL5ouIyNQv
XRJH4aMI3sz486Rv3CSrA2VTo5EYgxu2WOx4XSXRXYAVd+34Bi69vTH5q+vr5PP6+4tqEnU3wkVk
8imKR7rLZYWG0vlxWl1gtm3Pq5g3u7kIsaa0yCPdHArXp9w3THgUaQghzjXkmJzalWX81ZD9X3vL
mBEUqJ2MMe0lhCXp9GEE/nC+R79Ctt/2jGTWHducz8jFnnGaFE3q1svdygHxcQxA5opLBNaoIsOz
TL8jY3S+xdV5OmlwsV/CIE/ttKJB9Crx3QjUXZpfnW9iddNIapXS4n4xlg9fy6owzs5oAstKbUCl
tfxRWs6Fc32+mdXVcNLMYsWx7a3JSWkGnQT82Y4o8SMwMhrRvqNo5dPw+fbmvb6cKkvVVNOymCdH
X6y+Er0EyJZB4dbZU+z9SL1D7NyVCNh3G+O3tlNPGjIWYT4VNOgxgobEP2F+Z5gP5/uxtgIslbSE
ZpEIVeU8richpQrUS8MKkM8bGLcBJ8ZnZKMHiyZM1aDCIznKbMvkWrMWQ1Wn6DGkQ5m5I0iKpLmq
kis/SDf2zlojuubAREAvSDXtRT+SFHByCxHSJSWWFl+9/sErPp0fqvkTJ1P+qx+nTSz6IWINHIlN
E0X4jaTvdULZ3gNrDoNOB58M6f0v2tPJSJkG14CuLpY0hASRAXTL3A4KRoNetYnsNfywfdU9FsGb
Em1socVK+9U/A19ZU+L+Y7Nh3y8FvOYVw4ZL5o6ApgE/OQiMne/RagvStg1D1W3Moha3jgJ9w4ae
nrtUwXzlZ+9sxLFb31+MWFSAh6HmnSMLa6C98xMQ5Z93wLQh8NuWLk1LzqvwZLe0TaTnLUxr1zF2
qOFuRpdrq9gUlrSZdPIGzmKzh7GqKVk9RS66zl53Tb0J7N/5Lmw1sZiDyodZLdF2c/u+xEyod7W2
fAypMv15M5ZqW6RsSQ0ay4wtVmSgZ/M2dhusZ5PLHvyQubE/1npy2sRiywdUbQZwI7GboPICHe2X
9nDEQVwb6sa8bzW12BolGF/kvMaYUxKLlD54sIfrqXs+P2SLm/LX/rM0VeVpNM/98m1cdkJOVYfO
M7BUlCBRV0VP2vt+vpG1LXLayCKGLQauAl/qsTva8sek1CNlin5j7tfa4MLnWUxGHSiH8X6XIOmn
IV0WJa5uIVi1S7uN76/MBjcK15Whq6ql6cslTGpQSi8sXKX+rAxIrKCpQknojwfqXSOLswRNPYGO
ZFS4EjU7BHWVjdW7Mkjvvr8YpEBBsE1YdMImRsFbPK7sjR6sDhM5aDIUXO9i+ZIM07QDxy0omoBX
+oKOSryxltYbcOYLl+AOqsn7eabAiOdQN+Vu29l31ljciCa/K73sw/mZWLl3HUP/TzPzSJ4culCv
AQrGQ+6qhgr0+DjZqEoMLVbHD6b2JQy+nG9udWKAsJM/sCV/LSYeMxg7VzV61YfU5R0MFuq/6dBJ
C4tx83ILNF+t5q6WiSs5ScSNH9G6wOznycQyO0w/n+/R6jwZvIt56xsWl+/7Aax9LMhROsrdSY+u
HGivY1+Wu8lTNgKI+exYBEig1P/TzmJfhkOZF1bZ5i7C2SOq1Z190GoksZGrMi46p1EwS+nTP3tq
zqcmjTq2JEjmebFMZVhdDDbGZnX0sAvKY+vd+O1GWLE+fv9pYnHRhGWOdEJDExK8n33jf4yKv9qr
ktIgOSsB5WD+CSdr3BrszkDgIHcj6znrfsoS55zD+VWwOjsnTSzeekU6pcBUCe8A0exiyw0bvGLt
H1jL4Z77502ZoGwR/TFNm79535vMszUzgSjoAhvZIQRw76Vg5jStvsCZ/ZOWWuZfHHXETeYcbOhU
cBcrz8gUNTFHJ3P1HKObIDxE0P0QqNqd79faQjhtZnE0kGTotQA0s6voPyJwCkb5ZukbheK1aTpt
Y3E4pFM+Ah8TtEHirwaXaCVu2MFoVP2DPT2f79BKyOGcNrY4WhV/SnM/oUOSuTGrV2vs9p2eH5Bo
O9/Q2qFKfllwXtpwYMUigFL11BKa6lNhz6xbAG53RhBsNLE2ObDgSF/zlxDGYuAc3x4jH64JsTOQ
0hER/VfgwX/ejdM2FuNVaRALDTwN3ZSiKjgp7S/W8en3FxvHGm0zQ0qFyQ9R3JzqvewQ3DY3zum1
WbcsSpOWwVMPxZv327MzgHjb9pC65GOOivlYNcXeSN9y/fAXo0X+lwjQlir6GO/bqT2UnnUnTl1P
eQ6ta2DT57+/2g+bE0bq8te5+f77RtrXaDbaqatOqMYDbg3yiyo5/jjfylr4AQzQsXQHjINcvmTM
YPAHB6kCFwlZVCZRoPhqlDdImu0d/KPMeivw/FUHWV6jLGNbNx1TgzS9mJ7ccBArsxMsuiNrunUU
a9pFSmXs1UFTIFCX5pXddS+eWqKTrFvjARZgdOhQDr6o8hyR/xL9F+g21YWOCsUu1GV+4wlD258f
lrXtZpP4MvGoNzXKee8H30GWCbyo5MjNXmNKzpP9WW//4m4/bWNx3oL7VxVNVTKsdF2lfKzAiivF
xpZend6TfixGe5IjHluSkwlNvRtH758xnn/JdeMGsvIeR2GgtFH8Z+WXXzHLab8Wx0iqQXxAFiJz
0Xd1Hqp035V/0wJKR7yRTOHoy8MQMNLkaIiOuFOOIGR3HXTfs7Hb2H+rS+CkkUU3IIBNDhSP3O0w
2TAV0KJWBcjy418sNKI7g01oG0Tki4WmaJ2NCBgTlN8G/XScYC5qPGnOt7J27RJ8AWKaU3wI9b1v
JSpKo4VtSYzX5fsp/Ojlx1RiWFp+DJIf55uah2W5v0+bmo+1k1iPooWm2S2x3jC89t2DsfH5tVnh
aJe2CkQRG/fFpnEyK3FizyCn7yd3vtAvtR6l4UBsVHNXeyEcwVAhoML5+74XDuDJwu4m9qaJhkOu
Kk+KEN/Pj9TapMwV9vkBy7tlefQW6ARrKBrnLqdX2lxiF6cGRwzpe+1wvqGVMSPnxrxrZBPmU/d9
Z6oc7ClapLEbN29JdCi1y9jZmJZ5mS5mXQqdAMimVMV/576ezLrMI8VyLCV27eIfpKegj+8khmM4
b+BdBZnusRw3zoCV6/Fdi4tnC1KohhWzCFhn2FkY96WPKsBk4wAzbmyeteEDOGmbjpT276dNEHap
Cu2WZB9eUUOEpjIG0mIjvlvtjikNOcf4Khvo/QAClQ4mWM1klfzPVlocY/sKyQV8CPu/WAy8XajA
CgN5DXNe+Scz1VZl1iGYEbum8ml2jtPE56bciPJXR8xRqfA6oNd/Q4/4ul1gycDcZLB+FchLj2r/
8/yaXhuv+cFvg5g1yFUvLjY7L0MhKjMhbWLtYN5eqCABkemGGrCxTe2Vs0BKYG4Wsv4mhaTFEa1E
TTdV0EcxyQjrp9Juv5YYyeFWZEQwtr1UefIy7zFMwkvFhZ5wqSTWJcLNcOyCQrlqJi397GhwaGUz
YfFRROis4vbzGYXG8Kqf9PifhKrBpZx0eQ9I37jpOh+RPNhcB6uwKFQoenOlWtbgIpQP1bTvhyP6
FNGehdS5VRKBn++VcF+pvf4jT5pZ+AGiwsVUG/JNBSc57PRMtAh5tfp+msr+n8ZE/9VA7/pnhabX
C5pI0Zuf5/IKJXntxspTZS/apDsKU7xEXYYXkw/AKFSwUFRzrIrBaaNopARwRuEN4qJtxldJHGY/
EW0JDyinlhe+jWGrjtLz8S+mnX1ItVXy2FpOex2ZMeiKhr1YHlFfehiUiyLaaGN1vgVFCnK8lgX+
9/0OyafEMcqENtKiPjyomKj8aR8EaXDSx7ZlISCwhEDYNkrTM0/DxePm52RBH6uST32g3aW6s3F0
/d4VoZJLnstsXJhAzN93xcqHLuyKmKagMlJw2XhqaTr//vtjn+8jgW8DUZgBSYtdmOfaVCYadRBY
JDBQAqr5ZYlpZZXPPo/NjZ8P+LeoX0dPIHs3HXUj/6xG8cbP+P0smH8FrExyZLaQyyK8ihwkShtk
/akAu0MYXakdD34rr6+E1e7OT97vAfX7tuYROTk+LViwhhUasYvu1uXsvGRP1xifXBbVs6jEfbR1
XK/OIJkfR9dg2f6WAOzbysH2jbJJ2nmXBd5EnW7/8XqnS2SXWJUmdY1l3RLtB9kIMo1ujGao7v+s
02Jj0FY7Aa2O9x6wL335muoCJUM/zYjcCRHaGxQyzs/J2vyb4O44FmATUb18Pye+Uum5haoaAt7t
Y5LIg4Y+wUXoRB9xbNwIDFfbMrjV5quT8s+irV7VZSxLL0I6O4IuW5kD9Ml6wOpmyFDvLgv3fN/m
7y13GLec5KWjzUCzxQ6LO3T1ZR+xtvVjLA4KHo/T5fkm1mYHOsucKuEBAjzn/fAhsgEF38lpYvAd
NNv14oATSr/x2p2/8r4jc/ikO4ShOofrEtCU6GlWy3guzY0fow7TYQxioo3j7vc2BJAVx7JIBGsA
VxeBbp5oJrrCGTXTTD+o6atVfhfTpUbtyYcXfH7UVttyhAbtSuX0W6JK66ZCN7YJYnLaaffRJq+5
s3htU0szPO8YRarzffICa+OoW10OJ60ujh9J4KF5KcuhCYarOYLY2QZ+D6rAGPh8/1ZbAj5nEotq
vIQWC90HDQYh3o9dK/+SDfUF8tK6/WcAYDIF85KWvEuZL4K5xeLuB2GgsSVDN+QdN3V7mSE3tlUZ
WFne7xqZ//zkxPZnVEYU0Uj6zUSmJyLx8ccjxZlDDQ+UEb1Zhu7qmKtJAe/XnSXFmkb9VIzJve63
Gw+etX44VDt18r8AT5eYLNh/qHolOv141esXJfxwvhernwcwC8oMmIy+hBihktAQVPN5b3Z3udJj
ubGg1oIFXp9zxdyEIfZb3DOMaT3p6hC6IDZHxLCUD1KzYJ8Tf+K+QfjuDPl3FGgsJGHR58zyBhsN
dE/uUN/B9eQvuguCGvSGyeN7mYbMlLEUPWInLg5Oe0y17oPeeznfxEqooM0PIGNOI/5eJxr7SsMF
moWXGK82QkVo8qPGfVdGcq8FOiZ7GzO4smNpjxCBO9akLr7YTUFhJx06B1xNXvWcWtgPluFV0/uf
z3dr5QbEzF0llqLSsVKN8oaxbQojdCsPg61O/Rrk3rWcBmCw5pfzTa32SM5vLg4wym2LHok6zKwc
gwsXf0UHdaj8oa9355tYXfYnTcx/fnI6lHOsrxZMUtfP/s1gxHZ2hHzav2tlcZii0earPlKVbhhf
6caD1V/9u+/Pc3bSixTxv7wWfB+UKOpOw5OV+xuBz9pAMevgw0Cl6KqU75uoLaPzePdy/OChjnHT
Rpyzcp3i+UKSBc14YJTLEppv1JyvpiDP1kCrv9XFBxl+Uodb5w9Znb/uHBJ6vIaIEn5PuJIkjZqh
iQO3m5RLhNEPhpFsYNzXhopYh0o3Xfk9l2OVkKTmZ6obfMzlRfj9z+f69OuLuU7kiNQQtjlAd3Z5
dldvZQt/pQPfR2qCa+A/P3+eqpPFVBX1iG7y/PM1JDLRG8aBa6dE4yFPhkc7UMYLTDt/jl1z75vD
C8T1jQ6uXRRAnxwNuJmtWb/RCznzk2aE3+76sf5odU9F8z1T2ldU3hElmC1ADTjgjXYwtOhyFsaN
4aT/8Rif/oIl+3BAgRgbDX5BbZtPau69dKH880gOKBz1JdYI3OwlHs63zbLvK913VYla8X1auaPc
2FMrxydNQBaCo4K9pLY42wJhl05i2L6LelWd3kzGjeIdzg/U+lzpvFBIA6iOveQN2KEVt3A9fFdJ
ZfYFDexyP4xad6UInCJsU/pH0yJHlDuegi4LaamgNBHWGX3lOjYQGzn/c1Z7TFBJ9Xd+ASwfmn2R
6xUGP4HbYIGTfrbKn36+8dhc0hjmAwQ+BiluyWuWuHixPfJU7YiMs9DlvP1B0fINRXzE1382ZXup
2eltm1UvRoxOUTCL2Zzv38rJQnKYmEVIOkdk8X5rNgK5GCMWgSu6cDd8msJg4zpcHcCTBuaY5mTv
K9U4oZ/vBC662Fp8FxaUJTcw+at9gDgONANU3W/hcqv2qErVBYHmhNhig3NS+fEvRklQPYGDSY1g
mWATcZs1tdKFrh9heREb2OjkSbqFylnvx39amf/8ZKga9JayoqeVCHEZEwxLW27RMFYiyFlWwQbw
b1AyX75nZSFy6VRpSJK7RB8yxND7QzR11e00BfHVWGjjo1R9fY8q3lbmcCXK45KHLMnTj7zAsjhV
mlMke5NgXSlRzRmaGzz9Pup99+KPf0jS+N8NddLUYs15A3jXrKYpQHTeRdcGxYOOtQrGIehy/sXK
oJ5nmdzNv4OQJys3FMywCSjbY/YhbjbCsLVBg9k0i2AQwgBLfb8kvDD2C2SZQnc0jkk+PAjjTsPt
HKG3y/P92GpIf9+QoU4murE0VCUv+K7dKjW+iwOcjS24xtoix0JbJ1ntzOSwBbjSG6IGSWMlcL3k
WOlXW4oeq58neUKOQRJ0LJ8so5/E6Nfx+Vo+9C9ISZwfprXTjOIqGA5S31QMFiuLslGhRWMRuGhl
+1h6+Pjm+FZ/hxTlFlx/9SLESlsapKKBaC1zGQXCSTAb9cAda6XZwdOCOxPH+Bh7iCXg6IBdQhgc
Bzvck6Lq9lZU4DKEzNdPo2/lRqpgjsUXEZxuAUmai5YkqIxFv4fALtCnSkEoJkATKXM0aG5OxSUy
e6gMOV26y3xUW9sM8yxUyzYuqdVRn2NfG6zBDJ95vzjhQ6Hn7gnftQdxq6EXnnQYGybH83O7ugUc
5nS+B0nALd4jOD9kAUqAgavmzZuIMEqZ5M+4pODW1BvDudohiJiAveDEwYx536GcG9nqMZF1tVhi
Yl6OxWNrldlNX/btxtjNM7OcuTmPTXTBsc/kvW8KqdWuHENWUWC3w2OdANKxyiertkcMmzT9vvJL
c29U5bjxZFldvjosrDlUlHNt6n3DUgntUo2GAFhW9lQEcp/AAGowXsJ/Zt9Qhkwc5EwdzBR2nt7s
e6ofyN/9OVAY6TkkkGaOCMiIJRomCnJRTEWS8uDHlcxAOOxLufXiX1s4J20sWUiY+TnovNLG0B7z
HgVPG5Xl8droo7+4bACoqDNAUKCRulihOvQjLcY91FXjK8fcOemHP98BupQAalAEgKSwOJtJMY/V
aEcpuuLdsS4/UxZFEv1VbzYCtrXlP1PaHGpQnHDW4jTx9VgZO29MXQNaO9K0O8DbCuihP+8NjxRO
UI2HubbM9Vj4r/ky7lK3Gi8RCg7FNabeqNf9u1YWQVs05FVmwHN3e9SMKwyok+FbFCByr/z4i4bI
lQAKthm55durU80MhVw1cSNj76CuKDFi/jY2f3PWkjGZ35FkyH5Lm3ggICobJSm31dr2QlbpQ240
X1sr3nj1rK0B2nC4UHQC0SW+JwoHQw5OC6Jjwp4iN/zywsD0a0rrl/PjtnoQnba0WG3AJbpKIq/t
IuF8maFsGanYKinobifWdRjaaBOol9MkPkw2OthJ+GLm2sbGWotK5vQmW4uSqFjW+Pw6qjUlmRLX
Ec1X1bKfcmx8N7pprBz0FDz0X4g8cHmLS1JDwRtXjyx1ZWl9NMtpH0/hvi/pXoyimYA0lZg17lL4
1AIDwmDrJs2j66HW9+d/yOrE8rag7AtF4fdcSzTpKfrJqZsjLrKvlXI/YVe+rwEb/0VDhCK/gHtE
SIvTKk7jMGxbTqt+iKOPmCX4l9BB/RTfYPGHymq/XhTUAUFUqnNosLxF46nyG7thcLX6KB+aZKOU
ubo+Tj6/WKKp53hWO3CDdNjW9L64aD+dH6v5ll9GAZTiSeSr1OPZ3+8v4ypq0cbV/dT1i+mHU6AR
vlPS7MaYrENfN4fzja2uAAGhhbwGYilL9IQmUfPSJFBHRzxCbMEt7zFxrI3Z19ZbmRVZsBGlY4vL
sJG5w2lYZ25t6ilSt9Oj5aHHE0aXs32DGcaH4mK8QArdxAQMIdc80B6xrsfuI+g27uW10aWMhq4f
2UVYY4vRTT0PPx4Nxr6Ari9H7UuZ48GGRVhxGErnnzbAI+jPh5iCDHppoEkBFM2HwUmqIFL7LvYo
ZrijcjeDimT42dS/nW9jLayZzdeBPSJN8luuoED3vekwNXUNgUDIQQsudXk0uuvzraxN45yRRQuU
7DlXwfueOP9D2pc2R4or0f4iItiXr1Cby0vbpsvuni/E7Y1VgECA4Ne/g/u9MaXilcKeibkR94bj
kpVSKpXK5ZzYU5KCmuQJBcQ9ZWQ/qNoDqNokXmktDLaQ4kJ6aA5IHf1cTBppCLU9jzwR7bsH2Pgo
/q22vZ843zpQVHfaKDHPtRO9lCdskAl680R3XTgMQLZaf3Rddk+vCZgz6oA9Aa8JmizOFap6nD9q
5fM9fZPGtzLwqdXPo0fEQfgMCxMfQ4SAhsQ23Rxx8+DbSuPXdJKcGokIMSWOXPsEpA50+JYJIzcj
p8WDnoAu8Lp9rWZXES1htA4FADgj4QHUDWxs1AZtIlZKnO+gREzBD6CQwDL74QB+mXwPgFjthrIi
QptPCojnbixk/UprVo60OUq3SCXDVwk/Iu5pVzC7R7SjTEDaLr/lEz+UBZcou7akiKh0IKzgTCFv
cG4UzpSk2kTmCbgoCoBoHQCm9/pyyiTMf184njFuS4CfQwLiT5B9gHv4M98H5gVS4ei3UYXvA53f
TZxKKZ4m977YdFzy8pgvBfEeREF7nlNGjd4SPTUoGPqsrRHd9uYd2LR9cMoFYJrxcTcA8tUDUral
STRac6NLkYKDixFqpxVIrzFfQHy34gFpbnRU8QwZ8s1bh8E15QQjm0yGdj7C8DxMnUPZ5IfStAE8
nu1ANnIcgMQCHP/46ALDwFPYa1naG5Anfu2iTPL0X7UR9FAjkMWViLv53Eac2OlBCYbQ3uTtySuG
IzrRDx83E4xSoDyEwA//CCIsqthVTdAmitGv5KsbkejWBSHQy3Upa5cGkADmsAkz+5hAOlekr9Az
M7pT/sRtvknik5kh+3pfWXfM6n1HBkI7f03cPgRMyAbpM4yZ+F4F5HfccoKuOQMU8X7dewdSeDdJ
XtzHwLn3il72QF6ryyKd8C5ROGye0qJ+nqG7DZR29z1IroNSbY4j6MV8TrpbTuOd0oNBowEFleuA
JQF8e5vrS7xmK8ufIIROOhmnKZ0IQDxAl2lsEiJ5Zq5/H5HoDCdtXeBIWz346DyN4h6Ln/Xi5wTw
7+sKrHl2zKn8K0AILCyWM1CiYddSAjxnC1DHnVr8NEwZqoPgRpDSRkMYctroUEeP6MWFDNI5p8to
DxCE6W50X3IGZpAe/Fzx9ro+ghW+yUGW8G8SaG6CPrf5NGkma0Tl9anOvoC/y6zjDVAIgy79TmuZ
AQre+EKW8OxpeGSkqopx6pF/L+M/ngHKCjBAa6CgLMh9295qslLh2ioi+kMhF/MXyHIJFm92oHOg
KS+fNBN88FtWPSDjCMLx62so+I1ZLwQbaHtDTIurRjzJnVY3o5ViDtM0jhbOUrptv43eodAPdPh1
XZTo9C9kCRrFDM/6mcbkqQI+UUFQNJyeTDz0M+f3REFaoIB5EXyfwy/PC3kOxsFWoqxwwv7+AMyC
oU8RndgoVp0bTByhoaOrCGBTjg64VUqJp1/ZMVNdfF6wR8+o28YYMdOm1ncYk1KzvRIfa1vSiySc
4gslBEtEUQCtaQOkUHKMk81k3nTmx55TswgALcD4kJoxMLQuvFcLDqY5kHiXTz+K6p8+BpcUMp7x
RmIOs7tZXCJ/pWD0Gs3dqLReNEVn4CQ0WwNHKv+f4/8Gr0/qPLrFEZh+nXI0uwfQjSfey3WhKy4D
Y/H/yhQTMaA4N0hfAoLBibvt6L7mtbeNQXdWVGHkSTIlKxt1JkvIcmWRp09GAvfkotw05A6Ie2ig
jd8+odGMzYInIaYPxQR1OTlARrNwqHTvpSUbsPcpvRd0FjjUpx/XRb2BVF7sGE4PsL8MuF0xN9hm
pTOo82A46F+c2+Ip3xk7+4/FNkXwlZpfLSPa9t0Jfd9I74FKGJyY5jYtvnjVPZgv0ghkXF+K8UvG
b2i6u/7TLk42QPTeerUxCWHN/56fbF5QpiiJpz8Divhbo5+M0v7z3yQIzov9KwHjt6X3+B+/PtvS
4q3SN6hwJBl+f6MxkHBuFPTmXf/9tnjahBWa/76Q0AC4BZS5kOCANLPyY1QmrdtcdqZXpcxTnHNr
CNAABefUaxTEP21hPIMezPWJVR70CFMbvXEou+Gnons7cH896bz4RwPjLbdoCJi3xzgr9rYLdioM
m4LfN/rgUBtMw8Y88ZyAwkUHRAnBMedVxNHYWSdh573a9in7WOB28XlBaXPKWT6AzjRs7K1NdrKy
6KVtYzHn6wp1KIRVYl8XzdMaDPUWCAinQ8f3GZdYxvr3MVKIygYqXeLTIS3BeRYpWvQMKsjSt92P
XroOHvkoA+FCwXMBrBnnhqeXVKsdtXWem/a+ua0SiZdd+/WmhtZcYCEAWFt8JmMSGlhuI4+eu/g4
7hr+8b1FhgI+DxV987JjVqsrq86UIg5tPL11HJwPH3wg6c1BOXKXwCUT52uNxGx5oeCBlmJiPK6+
UkUyZrK2PgsBplB64J2tjWXjgkwdFGnxvqwkaYqLWw7biwzIXEBBse+i3MBjvKsNVsWh1wGT1x9B
dWd9wkCR3bBV3Nsa1mpWceG6arXGvFkNPvg2/uXd65ie+qhrBDwuCogYFAXdDQYpz79vKYwpIyhf
Q3igMd7lKO9NB0//uKGeSRHOgaaMDWsMIw3TcstG0L9JtFjZ6LPvC1cguGuKqu3xfdbcsPQGzIXX
V0n2fWEX8MsR2qZmGo4vTrJz6f765y9vjvm68FzMteOVj9Lx+SaklhuxiRtFWJUb3faLW7ywlDS4
LuQi/IOJIlsxlwiQwIegcyEtbQrA50CI2jE/AsVneZcqtw0IGGTTeCvHAidi7gJCP8dloydJu9px
sq4NifuAdyJovE1Pkru6eJIiVbcUIdzotEoy3MS0DXO7ine8BFmtG4/0Hpxo6qOXd2HbWulX2+xz
UCUScC5eX8s18XgfYJRABxbNRaGYgfmuQYdHA7LY2AmaqakCW4mth1p32Jestrq9OmEc2ctU66ZF
1C3pS1oxRyDQvYsXtC8TdVJNRWvCHeXfckUSVc/WdhbpYm0x42ri+e0hCS5mpy3KrVFnRhNy7aWZ
QsqCUev8tr/x3G6rxDfXl3LNWFADmfvUMR56ARnhJijZ6r3bhF0R+zp4hKn126hl7R8rxg8iEBTi
kCEECJVo/AUrK9etrCaMmruoTzec/AZQsO91W9AmXldobXMw34+2MRw176KBFszYdJ4wa8IhqZ8b
Oz4OliG519bWbIYlQVAEPF1NnGFrypRPbtY0YeXF/XPkJfpjrjEFIEWKKrni1owBPfVQB2UZjGoK
90MMek81MyoW9gZ6+B3jmxLph8FuwbhKYvSGaV94VEruvLceGdECwTCFefG/DlFwVegI6pipQCgB
FzZ4Je1dAura4s+kJ7sY8vuufx2y7nGYdmmPqe86PRDP3FHmPF/fy7WFXvwQsfbF6ABklgk/hKWd
b/dPI9iVKvp6XciaM1kKEZaYdnWb11nDwo5tJuVLPh4tB8zOBlquwiw5trLzvWageDTjvKGHDPOY
s9KLkCLNcyuvRyilghW+YZgajCRXjUyC4J+cMuo1k5QsbChoUyfLyn0eSY6ZWDCcXx4I29EgD1RE
ANSLBUO0G6iDaY1t2CqPoGqv5t4x7dGj3zWjPJjRoU1rX0PP0ic2ayF1Pi+LxYuclpTlOLVhwUvw
/d6U5ks0HFVgQQygju0Kn4K1/LpIMf//V1PMfPxt7EVxUpAJmG4PY1ksLIt2o2o3ZPieRI91tKfx
liQ3fcr9TPndVjJdV7dxIXf++0LXOB1HrY5TyE3ML+DzfY1KWWp59YCBUg/FG0w6YOThXERSsXZQ
6qgNDbxf7HuS7Jm+kyzfvDwX3mRevJlBAc3m4vK5pQKMmg6HmPTg2vWCzHuy20e9u0PPSqC1fyrn
hxZ/UfoTBhDIh9kYYabosUJhA4COl6XMmCjeRA2chREwRV3AqMQg1zZp+X3hrLnZOKSxie8bRgBq
dVOGErx2ASy/P9+sCyMACXpe5FoG7wR45W2UgSaemugCpI7GAsJnBupiTEJlAv3s9Y2TaSYcNTMZ
aFa40KyaJjiR3ieVJPaY10a0DGwM3j3IiqNBTbA+bXRxnEkNy7APnv3itghxnlLt10f1cDA5i66u
ed4czzhBjwyYaMaYmW2o7RSj3xS6rDh3eYhmAR7wKP5e0oJDn5zYjDntIYCD5nuvq42PuPe6Eqsy
5lcKwGgQronoYeZQ8BxtH204lHuabwt9P8h4gi53A2rgkYKgE+/qi257sDdEvalARAUeKrZRY9yG
2zyXxE6XVnUuRTgvROdG05lKExLzW2Z88cj2+kJd3ub4vjeDx/9dKWEzOm4gfK4tXBD0G6p0iF72
XK98XtyR9jDSB1eThUtrWzNHZpjXwuJdgBCjHAJ+Jd1tw3GoN4qxc4AY3sp65yRCxJ5zrTc4poOd
NkzqL5O19/pNqz1fX7lLT4Pn4pyuREoLOPViLi7KMgoibpz3FHl8trWaAEVtwJ0NySaVATevq/Mu
SziTKncTtCQQRChs7wAdzdxl7ua6OpdPjnN1BOeCLn0+2YATC8uRBRkDQJ2DQpKl+zp6cppG9iRd
iRLO5Nlisivt9XjSsXxJ/BzBW6bKUa1jv9U2zD04sESluKX8yDXJgVo7tottE9tIs4gCiJEjnDSA
UZV/0QEe7O2ZjJpXJkU/v4Z6q2smx4IURHs8+x5nd0nzjLvo+p5JzMIWQoWa6WkH0FysoXL0vI3h
Bq4MPmjN/yyXa/774j7lNrVcOsIsXHOnD4BCl6gg+/6s4uL7TcfZFLUUKvBXHgWqKinBrn5/bjzA
fAtyA+J2V5UJ1JsBJ2dAp2FSPUztr+t7sCoAczpIhKEwoYoFCyVLDHWgBrJH2Wuyy+qXT3zegKfE
hQnQODG70XA16wD50YYmB9B9oEuc2OqvX3x+/vti+U2UPd2J4/OqrmyRiezI7vrvXz0Ib3Bn6BxE
QCu8FtNIN8Zei5rQyapjOb00yD0h27DtGllsvurA5gy9hwTAjCxzrkrnqlRp0OwUakO2Ve0YQ+5V
4Tc6Jz7rSrweZd1iK0+6OWEItYCtBexz8TWQswzpbttswh4jH6M5BBmA+2N0MzvH3LkfCFa0V9DR
dfjEkqIBBLnX+SnyVvpd7JnTpVHcRcjmDXnjo1yPoe6Hknx3P4jhhXccggKUBpGEnZHKRMuOhywd
0TOGpGWOl74ZbdNcv8m5DAd/zQR1oLrNiWRUxsWamQLsQ6V0DBbaDkhYrGnYF+kkA8pYM46lEMEf
16bSM6UwWUiRFOz03Wjnfku/A/6xboLr23PZOzOv20IhwSs3Do26JnMgq3xMoq9DW/hWuhvV0lfU
UHXukP5h+N8FaHSmaJMSyQW3vp6ACkKlCsU8MS7Re9RWe9SmQ0tNgqnt7s2o/35dxTUR4Maae98A
x4hi/vlRM9pKy42WdCHSev5jZCX+9e+vOY3l9+e/Lyw8GdLIbE183zGSoLAnX6EPTrctjf11OWv3
J3rR8EhAAAyoCmGnCuq4nU6qLsQw2WHKQJIFTNCiGz7hAw0MGAMvCGksPODO1VHH1rUypYQ6tg6E
v503Brrut8jRXVdnJSKFH0JdBl2lGGAREy/9wI04TlQeVmYd2GzYTtrNQG+c9EFvNlQWk64YARBb
8T5EohozByLQkpLxIasJG0M7/sWCpvzfdWVWbAB4DqAxwsgXnqMXF19mj72VOByOe9MPu4ncsGkP
d3pdylva7fxNjZrnTFw0A31gjE5wDETtnELpJ6wZphGM+JTVfFNaz5gfMJ0HEEpaVRKg6w7ovU5Q
jdUGEK6BGW/s9sGeB5xlFfhVrU0AqALnEg5YLAFXplrZlKVj2JF9NW3zAS0Wx+yf60qv7txCiGiP
udlrg5qNcFDEP1XTJx7fwM57V0JY07RH2sWKyzHM2psB6AHENz44VT/fTWcihJOLIQQ0SxsEKmQ/
vSxw7xQrSNFP/N8Wal7IhR/KuDJO1MZuJO2BI1/bPl3/vmy3BT9qYqANA4AFFqo7JtUm6u8n785z
tv9NyvwrFlrYY244WZqPYWrdAhYrsHriE+9oymov62aF04qQAUNK4q1Q6Ri+VpNqDFt3ozmB/vHG
sXnP378v6IGeBi11B5iVNu24ccgKyVNh5TY4+/4cQyzWKSpcgqaDZgzjaRtpO9r7tYzmZFUERjMw
yDpXA0R+C8ONSZF0EQ/t0Tfq7ZD6tgwWbXUXFiKEVaJGw0lL4jEkzYM9BBN9vm5Nsu8Lq5Q0Rm4B
g5KjiSRw+g3O3fXvry3RG/kSek3BMiB2iqsctcKe6VNo2c+Z+nOsez/LJP0dK9Egphzh93FrAbNR
BJEYRww187RWQzS1+ooexmCrzkDK5xzTnu+u67O2Xha2Gi1bc7lYTOdrbZ2QamAqniW3raoEbS8b
Clx7h+CB6KDtCUXIy5nVRp14FeONEsYm4EVwystcU32LGUHmpF+cbNorevtjHteZMllD3VrMAb0w
QjCji1wMqTLLYjFFd0PotXOXtpsd9fhYmDsv2uofHJd+c/og7kBkiAGSeV7h/ICSdADqlxLrYWeq
mw69io2MMm8+HGI0sJQgHJ52Yn1UO5AwDJv4IdvxP/EHKbL/rxIG0G5geYAPEW6uYSzB/lGZWqiS
jRMFZX7IYskDcc3kXDxIUYJDkQpP4vN1cqLI5JOVTGGlKz54v33mSA7pqgTYMtpyALRxwbuuZEqd
gLRuCpmbAj8u839dPzRrTgDVJwuJA4RB0OJcg1ErDGaqiC0tlm01ch9lCiDFP7FMSyGzkgt/j+Fd
pCtYPYZT5Edgqv4g8drbTi+/L2wDQGmmjHpQwoj3TA24tbm+SGvGuvy+YKzFqEdWVuK+8vA80mru
W/oTs8i2NiTucm23USJArh6PCkxPCvGioUcRHYDwHubZtM30Fif746ogOYe+QXAuoX1azKQgxuLO
YAwD0lD5TqvUe4MNfsGtLVpTJM/jtec5JnQAio85GnS9iKcDBDZGYRl0CHnUlhvV45pfVYPpm6Wr
bkudpIHR623gKA3bUbP2nrqW06+6XSoHgHLpwdirXMbhtbKVZ79J2MrRUtELg/YNRORpwMivXnmm
+oOrSt5UazfFmRzh8k65QqiqNUNokNLn+ZOanQDR6vP6kboguAfM4cnE4Pp1OxWhUuaDAOQfdD2g
H3RmiBUOgqUh99rkcR/mhuk7gGzSG38CYTTd1nzvxIUPDL9ALb+a02NjyCbpVu56HWVAVJQAcYQf
IbgSBZOinuI6Xah5/5vhudF1V7oA7b6NLEn/8eomzgPhoA0APLmYTWgx9Y1ph7IPJ/1P4bb+3BNT
j46f1R/upwNSN6C60UOKywpP/nPHlRXtBKC4rg+HZgeqp2TaXt+wFe+LBltcTzPfxmVaxDGogoli
PoRd0wUImfeT1gSNIStnr4kBASaeCphfR/uLYBaqMZKKmpSHKdmQ9NCaz9oHocbfLG8pQjhXTZPm
mB6CCA58YzVQtKMjyyDItBCOlJHpY8sniDCU3ZjeYhBOk5nwiv9FGgRecU74gj1G2O9kZqP1ICU0
95m6cT/Igf53kd4//+Y0FvdgojtlrRr4/PDimg8s//izavnr3wqBi8+bNiM8gg/FXb7NlNvSCcpB
cpOvnbzFAr05oIUItYp7DHxiD+KXhvlT5QNjqpQNzEh2QTze08RKr00aHnbOZsgyOK3f14+dTMD8
94UWqZa0vTOfB5P/o/woyj+f+PzcNI+UHfp7xN+fsNp02wqnWsHEfodRzugT6RKUwd8lCAroJo3V
toSEtA70GyPffkaB+Z0BqIs56Xi+PmTUzXJK2iGsJxqoKQlktaq1qwKdsP9PgCOcM+oWvWtGuB1d
56EoAo7uF1AzbxTuV66kIfxttYWXxoxUhyzfG9yOmBOueDZ5E9DDw6IJNWsb9zdGdvLqfa/fMcfY
Mn0fpxQz0tsBw7eZ83J9KVdebXMABOcL1CkA8Qia1rFRVo2e0lAHcqIHTOBhhn+FmwTEXA2wlEm2
dytLi4wmPJiLvh/wPgheEqTQDH/w6lAj4N+KDmZyrzTcb2ji57ZsUHr+9cLangmbtV8cJOoaUUwM
tw5B4+xX5bHvdkr7FBe/8uTk5IZvc0PyHlpbz6V6wnoWCHG6JI3qMCqLby2DA0r0HWvHI5DjfQok
en0awutbuOItkD+au/nBVYKHpBCUp61HPa5qdQjuwvFXJfn6ikc9+7pw1oxe0cvOwdf7LwV/GZ0b
Ld975em6Cms9IGdShNisHbzSbAxIGcfDAJYlM31t43TTeX8a9FB7nq/wfdQeW6B9XZcsWzzBU1kN
d4nNIbjGLDtSfZ+4Us8Um4OGhQUqbUvJhGG6EE0HjPixrNIz//9FC3cxF4MmQEROACs5/36UkJ6h
ql6Flvs9pXe6e2zyHx9fIkwBInIGMCjoYYT+nIL1TmokRR0Wd8q0sT6IKTQHHeby84L5qk6GIaWR
1CFoUPv+W9/JihBrW4w7AmVyBEyYOZwtfLEF3QBSA0UxqhA44F77GDUyDNg1l+Zi2hDBDZIgeBuf
CyjHFhz0eMqEaVXdgs1vx7LWz63aj1t3q9cyXrK1Ezn3GoD3yETDhuhBkZsuGci00GzgPitVFJAK
QEZq6EjeFiuWZaEV0EQ9DC+Li1GhIlXquG5LGqZ/ACbQ/sRo13W7WnGVmPrGRWCD+0e/oL1Hhm1S
2FTQsMjy3G8U81gN+Tbrut3gaZumZhjA+jCYBDo0ljKF457P+P6RS2hIye9IUQC684nU5JkE4UAS
zYlKfYBWNeBaXLLLXdnM4Iq5nUkQ7JkMbgWkFuiQNy0gundd76vNHgMDjv16fYfWTADZ1XkiCNc1
gHzODbt1FYcPUUxDi4cuu6eR31n76yLWEhEAnvlXhgjuwJWeDpmJC7NpgZ+bBJZyKjwAw9qPZvSF
9I8ZfbR02S294hIAwY1XM4DvXSR/BMXUqrfzydERF7gbgDoabHNdK8n3xabTlOlwaA2+X7j3prFp
+e/r319xAcvf7wkeJ+nTRrNjsw4TNheodHeT53dYrP8mRbj646Svhjg1IIUEbXIDnMsIOPG2JFki
Wyvh6s91hRadC136nn2jRnUX1dnhuiIyEfPfFzcAqrf073LVybZFeZgF178v2w7hzINnuDUrAws1
tagbbRV6jBV/kp1GmRbCuY+iiKlUhRQn3pMi0GWsgLLvz35nsUpd1elqGc+hEJ6emDAEHyDHTfZy
fa1Wvdf70RMZDpq2nuyeQIucBr16p2OIXt1l2WMma+kRAVznwOLskAiHvEI/iWEQHEIP1aE0zvbD
VBS+CwZc3UjNbe5G9XbK9X2k5jeu0vm6174WqXqgSnU39LEe9Inz/bry1w0FXaLnS5xVGnAySixx
RbZJGQD3P/+O8cfrQtayrAvFwQBwLmWiJFWLHCcq6jRtg+Cn8KM67jZ5mw5+UheTj3jsOcdmb9Nk
anw3dbnfeRZIsDGLLHHw61aFsqcJ2HfMRghWpSW2RweK917U7PJqp8j6q9fez9D2XYDwxvPqWpsQ
w9dhZjTPDnDLUlMBTK/jUxCNmXp2UExv13MgFEJLHbjYyGHuG6o+XV/19a19/xmCtU1qPqGajHus
6u6cPvFJbfjoaMYD2pHs7/oJ+leS2C9fJsZgWw0kTebLlNxW6mOZHKr4VjqhtXr9v6+s+LD0nKjp
uh4r2+sb4CuAKhuH4vqqrV//CxnCHQN41KGMSrzQaTWiBeJkVw+UPKTqvVnfNep+iH+Mybi9LlSm
l3AdxLrLaiR4cPt7wCp/IC4e55+6Ot/3SLgRHEZtvZlFKIa21ZruybLjm7Fqd83g7K5r8/857u+y
Zstc+O0pHtEqQS1c08kD038R8+Q4L0PU+CroFbz6Z6+fvPGfwtoDSkZiihKjt4XD7bRxX/QGLKTV
9i3bqd6pjLZ5J9Fwdb8s9EuiCRlZObFJQymMeirZhP1y2gDsVV0XbK6v4Xw4hVc0qvDvEgQ93MjS
MxLjqrCaG687mFVg1V9zZUeTbazdjq2k8rjqExfiBJdlgC+gs50BdyDAL2sfWbfr6si+L/iiugCr
U2pjwWi+f2Uyjy5ZLDEfgOaLXB01LFaibZDUah7T+HeU+k51Fwef6fRY7owh3GWFk/YgK4Eqlp5g
Fi32E4nflhiXITggCgbu1u5GnNRi18Volf7CZRDkku0QexjyoudJ1mHBKlB4PPeZDKp7XQVz5p6c
0fDFxqJaJxkfPdz3RnOI+t7v3H08yXqL1pV4FzL/feFlLF55RsHmGLc5jNnjYH0mRrfevy94zF4j
bVdW+P5o7az0hnxiSBOG9P59wUu2mDbEHY1F0tqnXDk6yXc93jtkkhw92V4InsTxUCtw83mZ4m0G
0k8Qucs6g1fvf8uBI0TTEHprBYuNUEcDBAhS9i7fKsOfvNxbGeaBnH8qhO3XHcmqf1+IEt5mPSqz
6WAhARBnh9F8Zf23DsP6rSN5Aq4v2rtGgm2VjpYMDkFE08bf7CpQ7Ns8l9whskUTzEvvyiwvbYSh
A7uj7hat/b6ZHKPWDewPkpj+fXcsFk2wtJGWgNx6y5p4fgHCSBJIYZ1W9wUki+D3wj8XAzlkqBWO
5w0cPM03sXHnlvcVvbc7CYbK2pnHwIOFogJ6fS4GcrhDqrrLOJxvsgWInSrb99XobylAMGXHm7wi
i3ARds1dTn501b5wOj/tn5nzZLU/QeC1qXqJUmtrt5Qp2DQ1DZ2nbl+HtrUrSz/Kd7oDfujX6ydn
zd6WUgSTRpUnybUOmunKKx33GUFP9y7VNpMMJUKmjmDYhNlZ0xYtXu1eFBI2HCltdoWWmH5ejpKo
do5LxDBpqZRg2Y7TWaRiUMoCon0eRPlx4ludbwb10dVP1xdQpte8wIv7RuMAK5966KXpmzFFA/Nh
4vc5/0SSe6mREImVndoaYwELx2iWU2+MEUlUyRNnXRGANM9D25c84RpVuZe7uBE6276z6vpZc4d9
isgS2FKf6B6zTAz+/F9ZYt6x6iJw7s3RUnMTH1R0NIMl5uMtgGcihIBMAYaMTjqkMFyy19iDa34i
DliqILiELk6LaczmFAlAflT6v7aJJRuy7tXeF0lwABNnvMsSSHBCY/K179ftVvZ14eB36JJC5wPi
SVLt7XZbfuZKXq6PcN47EuexHc/mpB5AMW7nj039I00kXQnzVy5P+vsaCSfdSuwu0221DuPqkeQv
avqs9Nv/tlDCAU9Hx0HLKo4eH3exEciq4qvpv+VCCUcbhOh570XY5i7PNzRLN3H+kqDFsaxvFfJo
crJD2zFoB36Y/Njr94n32zB2xJI9kWX2ILzFqhbwF06MI9mho4KBQqwJr6/jdf+CprBzRxnXdWfE
8wNG1564eUjJjidftOzlupTraqBf/VxKhPBsqgikGHjpGQdjlISAsu8Lx16z06FoaryRdIrBiJtC
1im5atAGOovRx+i4oH85//2YVLLdom7wzCM9ml0N3+XNj6jWJQHzqhoLMYIaVarpo23g1mqbxyZ9
jYDO/4l9WAgQnFc66hkFAgji2Bp3FfttV9/+m4BZw8W9O7lsYD2HBoRvtAmo7hLvu2qugD4DcSZK
16rYdN1rGZqhAPiC/p8ga/zC3mvKthgkr3qZlPnvCy10xUWuu50vQowlcG07WN8rhPyFI6skygQJ
Xszry7RPIixXHHO/jb+a5dceqJ3j8PKJbUH4YIKmA/+KM7bjwHJnyuD2JwV9xCbsF+1T10WsHpF/
RaBZ4nzNqlwt0miCz1c9pHb8KXptZMn61eOxECGcQuL0EZAXccqtn+CAYb+vKyD7unD4IkdxOR/x
xGfxM1rlcomjlX1eOHqN0phUL7EFirMvDWCkS9Z/1ZQWiyOcvIgZepM6sNnS3ru76vuTIasMyXZ4
/vviVMR1T6g9l6WtIhizB1RzK9lttL5IQNxEUw+6+8TkoDoytBBZUAKV6XwIcmnBYFUHHACQxqEt
Hb78XAeKAJQUOUWeiGQ+qFZ8e7hN7Ych0XZaCtartN9o1bPDfkzWMY/uasz1Zd4deh8luyX7HcK9
bgyMFm1f43dEjyPb2WBgkRnE2lq6ABKdEfBBMi3euWUWsdLqB4JGH+3gFeXGbH9fPzFrSiwlCCem
iibCva4n4WT8iasHk94YAKf4oAwXSTeAYOjgEpyJf4RjYxWRPvRjW53yWkkPSRXbt8j2ODf1aHuS
u0WbN/8sbH2TZXnIi6F796IVkueAOCuqqTqRVg+yDEM9PABuyaYjh6696wrDr5Q8aMc6qFj+DFqL
tKgPWlremXntR44etGmO7nRVsgQXyQD8LBtRB7qLjBlgQliCpuimUal7eopbxzdstlWyrxUae7Xs
N3MlL9oLLyLIErwIWLxc6hBOT677mni5D0q6IMl0P51SiVYXxiNImv++8CajaueUorZ7suNoOyaZ
D1PdDtKhodXFczEBiPcwOhDFmQe4dGJ1FaWnzPyl1DQg2pc0jv1xUjZlJeO3uThy0Anj2DBTG/8N
INnnOlEnylLgFNUnwHO/WCy97fNEYqQyEcKZA2SxbSoo/pwiVv3IFffQRZEkT7MiAqAvoK7DfzAj
+/Y0WuyMOfbUAv1ufWK5GtSvbvlBRnrAvQDFeyFgNsKFABQcdE3JqvqkZ5GfD0d4jR0fvK0lu3Mv
i5uCJCG+ilF0wOROjg0B/66WAPmU+cAb8Yum3UzVDWgkdhljG6NI9p2X+Xnz0VIdQE1cFVS4wDXB
v+KEFbUqp6+SoToZU3mTQNlOlbx8Vux7bnh3AR6I/lFgY5+vpUNqzRqbpD5xHu37DESu0TD5PZhx
fNJakV+1Mmr0FfOYh93BWYpZPHRkCGvqKm6cZBEkloqOG/oHl0XfawJA/GAAtXYePhbnuZwehZjM
sqpTx/4ZE7rtPRki1YqXA1U2pukxmYbeVHHRWN6zCsPN1cnCc1d98jda+nL92rqocgKCCs4GWBIg
WruEKytA35rzSq1OKdjpzJmkNv1ZWu0tA6mqNtiB5m65jBZqXat3mYJryDkzCgx+4arkGP40n5n6
NdXKwOL767qtypmRJ2BxIIJ0578vji/p6w7ICh2MGq1PA5+abZyhNW6onT4gALP8+EXhYbp27lbG
3CfmXM7FJW1XFEAOzE/TQFFuKbYDOpKo+mGAQuwYYk6cVWBxqiiEnotRurxUvMjLZi6rcVPJhhTX
jHr5eWFz9DiZOoD0Z6e6aMovjWXWR8eWpvcuL9W3pmtQy8zN/BcIUc1IdAXd/smJDclOScotGFC2
jSZDRb0MlDAuamMOFwzMoIERT2hj8ArkP5ydMP+1yYzDmP/jJEfLulW9XVn8uG5ulysHZ2Ch2XaG
vgAsheBvWpt0kx0jAhzHOOjQc/1hhhAXVFEA+UdexEU3uTgE0TtV1w2g3kSfi7mzhpequMtMYA1N
/zjDR9O7gijh6PAhrVlTO/WJ2L5HfCqb51hZKw19iaDWQ881oLuE2yA2CuCpoRv2lJFo8F3FLvy2
KSUhyOX5h9UAUgWu2UWAIMKDwayykamsO4E7R613doN59sCVwd+tqIIxhTnqxWQvohrhhdSitVBL
hyk5gb5ef2h4SbaWm9aSTPWlFAepJDRzI9gBYIDYDWfhETY1EY2+xg2zNuBUaFpz81H7PRchOBZX
TZRBA1jPVyt5JjxsD//t84JjiZR8pAw4jl/rN6st8g/POOH9iHERb67gzhVjwf+apUV6zqj7Nerp
dnyI/w9pV7Ikp7JkvwgzZogtkFlZs4pMqSRtMEl1xRSMwfz1faLaul8SYIlx36Y2aRVOTB4+HD/O
9MPuGcwECJfC1MBMWoe1fZnQspvZaCG4N2crzEDQIDX6XerwNuzLUDAPaB3nD8lgJ027aXRh66nc
10AHGQWNn4UQWJz28piXdvY1Hx/HPEodbUS8W91/ZudihAM1Dn0xgu8o+6reVdHgodH17hMLlBzK
dhBghcOJSMn8KdRGVZ7qnqRfUfzr2KdO7nc/6VwAj0TihsPQE3fcCIJUa6X0q0FfUbSVKD/j9nz7
UC2VFN4LUGqDuZIXaYjPec6UIkvtLsVeNCh/dQvdbaJDSdINZbhUIHM5wvVLlICO6EaTfg0M4pS/
4mSLcXRLgLAZdmqxko0QUA7wkwfdVeK9OVlQSeqIefDOVWglLla4pWGljUpn9hcwicFV9uxpi0ts
YZZAgiHzWnH+YCzaEGU2KQab9sNFb70m9ELr0NcbRulimeYixLsHTyvJzQQiFCTmXskW+cDiOAnD
C3cuaQIrtHsMHygP7d8gQSVA+VDsrqHgUqBhYYmC43jRWI8aaWaiscVwiR8kGQ1kUV2/81ZAAHdD
kdmEplpU5Q3yxFisTd1lfOvM+y74Gozv7VZ7xmU5Ll4KqCjUlfKSz0V9VA7xgWn3KggI8GL0xmPW
VS5a1n6ZWvQFB7+xJAVHfdT/FijVkqWtB3eZu/2UbyBeBt4Rzis11195NYWJXWUq2DqoUxqKp2kn
Oo4uUnhurz+U0XM3PsVNiM68dwE4OYf4ZDZ+u6Wnl2eGLwNW2/jsjCA6LrSK4AAmnXq2itBtQOnM
IupZqLfLh702AJ+wAocTfcOx3CJEtEJNghxVo3o23uXuJBt7oxjC8PzuXTl8U6+gD0aJ4bV+OABW
HzVbnQDXjwzOC9ihZIR7RY5oo5KYbVcGZtDDwesLp0AZdxAfdILahAOgwqV5zHvLKTfrIZa6CWt3
JZn7OleTC6Y+1eikq2cmP9TTcx8+2vHb7Vu31E0QAT8Z01M5dZ9wHlFsWbVFpKrnmDmd5aaTd3v8
lYOmyrjSeO1AQgg/dj4FkJYEYQmTHUmNQ1Od6COr0Plg46FbWSceuANbM2wblFwKk9ADSYtiLdfP
Ut3fx1L3FGvDc1VNx9tzWQROOMM+6qxt+BbojSSa/WkdyY0i1zpAYj9a/d7Q/jYohwnIK1OPtAIg
Sd4qJF7ZHWCeFNQp45qiykiYWNVMeU5yzTgXceTW6ttQbcRTV7YHsSwVqgB+JjIYwgmbaqseqiAy
zyx667vJKX7WgHSWxuX2yq3MA/qWMx3rYFFUdGEehjZZVkEl49yRoyq52sYstoYXZpGqpELQFsMz
+c1A9CWdNlIPawLQYhwJarCJgJ1VeGLrisS1HATG2awL58NKt7APKweYR/xkdEznyRRxn1MSdHXe
UvOcDl/rOABfg+IRa7cthcYBCo4w+h6jol9sHkCyCXmqYjDPMpD0pHBp+LF7ly1YBzhQMnofg6tz
ftdHNY+Voa+ss64c28jTtwiRV3YBMRCsvkx4awAxX5Krcq9FCOWdM9TiIK14SA57JwCmb9QKQYlA
CHZjPgGzJRUdwAB61gKP5W5Fdz9Ws/EXhmCAh4oinHCWlcfmH1ps6KflZUbPLIBP+D1GP1lNWP+c
9MxqTCU491nsVGR6IQN7sbqf1lZjm+VxnQviv1+9S3ptRx3Y2YNzEh6KB2k4bLWrXZsJJ3dHp25V
WzKuDqoVdWFFATohuaskP0z9a9g5CpM3Ho7liUIoCjLgYoDcYkHZ06B4Wkn0MrxMupsHj5F+3n2g
MD4ybiq6soBXUlgoWg5qxdomvCAwmHanZIsUbO37YVUhiIM4CC62cGDtHotUaHF4kfrcN5rhIQWx
5IZdviFDPLQ5OHJChoZ2lxH1tL18JNbWuV1KADId/rxtGbjVMIvnx4lkCZFyotjnxgP2utk6rVz7
z1LniBJcD88P29Vp1dQ4jxAUsc9jeujVwdUy2dXal0az3EBT3HC/uwd5sEbQQx327oJ8swnjsurU
mIBy2T6aDTlu6PHl7ZuPL8zHJBNleRlgPhPa5XhB+yzvf+/mIsT3eqSZpqQQoZpHqXFK9f72veD/
L24Jp6XmRGSauXhPg2lg4WSl0lmdBrQcgN1ZnOzw1AcvJAh3W7iIE13JEqIgQ5zSehghy2Y+osIk
30ILrBxfIFhUpPHhPCLtKBgHgdVZpJSM4Gx/S0DPL0e7uRFhc356a4ByrtB7yqGOfidWE5zZQ6GT
w6T1h9vbsXJDZgL4DK9uSA1QBasDFpyVJL0LW+sBPWOMzKtVz1SbU6DZx9vyVk7wTJ5w4U1poNRM
MSFqyB9R2p7iKDuNlP5zW8zaxujAHCi8MbcFnqT5tNqhyus4w7QS+gb2DXMjdLs6PPqQwK/BSV4Q
RCeZHgMrUAbonPAjR/F9vjvth30HuAjMS2hWCqtKOFh9rLDKtPPgXHcASh0rdbdVi47iaLSJPAZo
dxahr1hvx9ZkxDhrtdcpLqXe7fVf22Z4SjzgjAbfizhnVwB3EJamfqZh/pLq9EnV2ruwIhswg7V9
uBYjXvCoLvoW7iF4djz5j7xVlMhPiaCrAPj7zyyEIKcBknEwHBL9nIOSsYpTd7ISNzTwUG0RCK6u
FxgDoK1sJEjFZF8DtqikSBIDNYnTbzklzwyFQU2S3N3eltX1MhFX5Y0mgMoQlHtXNq0FrmvzrHSN
y4pjT61/s/EEES6emOHwsPnFA29FXIJeCQdrmtCUpwKX6GHcUiKr07gSIkxDlzOq9x2EgI8ZqZm3
LN6bf+Ou/pUAwassk9xOwxAC2jFDNUXi/AtDYSZAsN5kVqB4gy8TmMQ88myR/f4M5x8DLzXPTiNq
K+hZuaCJHgWWdtaK6b6PpcNUbnjeK0d2JkHYaVXv2oA3UDoH0vvIDjU97T9KUK4atBRo+hTAiISj
VNBSlZvYPIfBcC+hmUAxVI7aHXdfCXRb0FFEARwjuHWEs6SymHN6B+a5jJ70V/Sa2z88IqBo6QBG
LmQbhORbZrJg6NTcPPfJN/tV0t7/xfCAECKOw8HD4jsRFUqR9y3OEcLF2s94/H17+BUFaCmAdhIO
FyILjGeokYxOpSSdzZ+m0bkKNd3SGN2CbKXVl0WzAImpCp5rTsEP/JawToVi0WkyWuksx9NB7g95
/ihXL/FwFyupa2mejIC4XWw8HytH+JM1HUFqggYiliB0UmtZqtKJnPvwvTKNg16WJxrudgQBGIPt
9n9ChKc81GS0XuNCcuO1ONLd0FhwBWPhgIjknOyL8ztqshRNYNs9Wyl64bX1cxrJB9ZlzyB03XCZ
+VUQnkNgHwDlAcTGQpm2cFXSvk6nuA3IeUK9vEV+m6Yf0HvtW6JsAeJXNoYfZzArKQayc2KqRDbj
psbjAsO9G+9q+FFKjTI2pt7dPt7LdwTsxCYnAQXDJSrWBCUJUvCo1oOxuUQmc/xe3urZuTa+rqB7
NpAvQCaKUatBMoyp6LLmkmsf2Z1R/tn/+bz3KNQ72nSD9XquIFt0xRmG3GYXMnyxI1cp/svxBQUc
lFOh1Qzjh7Zrfd3d+pWYFhQv1h3fD99JeD96Mg3TEJDw6yjf18aR7X7CwbmPpYf7z4Go4tqTLACi
yYrrS3eyzOxA6i3CpeXmfprnsNJ1BVFVMZUvqWOAcHdWXYCwJ9FBDnZHDOfjC7ZtI4dmoBu0AmVP
+pw5cV5tCFheMqw8CBUQrkN0WxXTc3aqhJOdN+WlIOWvph1d0vFaAf3n7VO6fEOg0LmCQo4XKRQR
1RqhikDOO8ourP+R6po7AgMcADCQVVsJp+WOfD4dpgV2OAIEGP/9ypcldR31RtngOnd3FXGqLUbE
rfEFdRGzToq1BuNroTdYTvxxe6G2hhcuxGDYaNbYs+YiIQds/EQXL2e3AAAWdXh7BkL1i15dZs/K
KrDl5pKBOLy+V9CZfr8APN4o7Pm8EWKupMg7PZ5GRi9J9r055Lv7ssICwW1DKhY1DLxt73x/J9Me
zawsk0trewzdFjZeg5X7MBteWP84lCC/wPAeNX5W93n7Y/fqzMYXnk+aMS2QeoyvggjmV2lHx9vj
r32/QWBomLwpFoLP8+UZR0WdJilNLjQ66OOdEhwGdSP+uIwWAbOmAPvI0bXwI4UXoSWZHU5ykgCy
drHjwm3qyG0S8BzbFkBAudNvFdau3AngRgGzhpZCRxjRL9a7gtaTHSUXuZedPLqvu8vtRVsKICCb
QeYYrgqSkyJqtGcBqlMlAwWu6Vvg6M1uJ2k+PBd/pZLGOE0Q6MHwUzIcjWF0CqVBqxZzY+u3ZiHc
DNx4ViCwkF8qp0g8NB+6vUj85M8Nv/kshJsxgc8QjgyGp/roGPo36TC234H13a0+EEVFhh2+Eqxx
5ELniwXsHygsYjpc6qJ0LBo79cZTtLJMPMeHEk5EBJc4o4Kiy2CrDu3FdPX2jaq7LX3ewQYpUHS2
hUch+txMQrf5LpP7ixI/FRlxozDfv8/cmQBiQ+YNEUW7GNmMehwZGS9x/BDeRWR3VJA7E/8ZXjAo
o2QIo7DD8Kr53mYX83D7GC0VFOwwEGygRgNN9WARz/e3LsdKMsxCvoC8XnooZCVzEOqygUJq6k2e
T3GvkcRFz2N4lKYBZbjoKqRT+F1ZpU2XSrn/QpXT7amIN+JzdJh3aBCOqB2sm/lUTGXsp6Sspoud
jfYriOtLX5EouzMrGU2caRpU7m2By+lgKjZ4Vnh+HbAdYe1a25pQpxH3fvS9sA9hteEJL+czH154
OyIg55OkxvDaiFZSzXdVR8HxMdpK/mzNQli2VI5qJTQgptPd0nYmsnHCtsbnv1+pWzgcIWExxs8J
0uDjI6MbXoV4hGFZArqLuwcUMqrnxKyrEsC77oa+85XqohDPlnHJ33bv9LUIMRISapGU1ghv+orq
1JUbbVg5K0vEu0ag3IbwayjWYiREa6tUyzq/le/s/IlspVzXxgeOAUkLDhQAqnO+Ba1UK0UTR52P
CCeY4hJn//IAofFZ46fhNiiCCaKCSsnW0CTA50WFMWqBsz+315+bYdePHbYYaR0463j4dQCwhDPa
xB2LDcAnfKO8lwJUgTqBfY+3LpUutwWtrBSqCDkPHaxZ3q9ovlIABlPc6KDxY9MJQk/ZMD22hue/
X92F1LLRVa3E8D19l/qf+l5ShM91uvp8flWuxx/jLu97jC/LP5TaT/zbq7OikQBvQEwWEXBevSxY
y5JpMHtM89YHccvPqmRHq5ccqbWO6EGwYXesXOqZKOHZy7RMQzIha/24OirdB6WHog03ZGxNRzi2
hdEVpjlgOkrkBYkn0QOpHCneuNyiff65J/9ZNFF3oEtHXKNQvvWHunfiQnLA2uNMBnOT+K9S3Tfx
1rTWLgsMPb5RqGpYVPaNZolmjWGd+GVoBT8Ve0BDyKhM9fuIBuPjkFTjA1V6ukW/sMBSY6KcLgOg
vP9lhROWUyoT4C9KK/HrOtVf0dXcDPCa5BaIM3r0dbHI376J2mNAzeqpxNJHTi41I3MG2+yPUt2i
j16QTDkambDsWBtWuPFOLLcbZxbgZ4uXPKJkhf9+fTk6LY6bCutCqhMbDk33bBqJVxdbXXqWGw45
iPqiZIVrEdF9qZvJNlKWJL7ZPCVDdJ9LpdeDOjMGD0PmA/u7cYw/4YiCdoQdLiNID1MXWH3BDiG0
ymgSZalfNWV1Z6EGFk3eG8V8KPNeO4wquGcbWwdZYzW0p8pGmTFVlPCIBjI/gBGV/+nohFZbUik9
5whFOAklKdCnWfXPbe2xcqVnn6nO119BuVNQodTGZ2P00ur5PxIafaiddX9bzIqORe8ovEbg3kLf
N1sQkyTNQEYV2k99s5TD7j5bOOUW+tTw0l+AcohoME9xY5hDrdZ+c5SCCyn9/V+Pyk9gpFAPsUw6
R6qSVTqrap92rkE9o3f3j49MMCwlGAPw5wQVnvWdJVddynw9fkxObfYvFv96eEFtBwkzCo1h+NG4
GNl7tRHrWNlbziLD8x0AYCwqPccslppYkplfa56dHEJrI/y6Mb6YfKqYlMdRgPH71NMDp9+wk1Zu
wPXnW8JFzZu4LHpQ1Pg6Y/e0RQ9G0rjjZJ1u7/FS0SmwgmUL/jRi7eZnXu9K0SVVPTaFbNR+bpym
2HCm2o+N2iXJ79tyPqNXguJBEYapg8TERGWkmKfNtcCsQqXJfXyN5tqNrblKbqYuKah6jKSYuCVo
pg4UmusxInntmXTooJvAxfsB9H59tqLhhxaM2d9pjJNX9NDoL0UVxXdKF9qvVWINR5bgpZTDIVOd
odasrUdrZUeQpeGV/Nx/R2Z8rpN6KdPl0M6p37X9vY7+5qeKxpNXB9r322u1Jgi1nsg4AzikLR4F
PSsyi8SM+qzMuy+oI5AfLbDbv01KuVUXsbL92HXgN8ErASyqmH/W7IHGWSnlfjqc2vQ+LJ+6+G0s
N7zTlavCwSQIA/IiD7QVna8cshTo2plZuV/GT4p9TLeKldcW7Hp8QZNUaAdp2gXGT6o3lTxXyYud
blzHrSkIBotWtQOqbiFCVu7GV7P2bm/50g5DFQzcIVBEwBQzRNgNyVo1akxt8GPdUfUfyJjK6iGM
fk8ft+Usp8GrbWTeolbTeNR0vhPNFGeWAaoav0hO8SGtN7TJyvDAivGe2QCHIjklbARTq9hmOpv8
of0bneq9VQrotcFNFjykwH7jLAnnaOiMLpVD0vkMPRe093w3HvR/BYCfCNBWxJ0W9kAHmkTToL3f
sw/V+qC7H1Qg+xFdhOMLWwmhuvnq1+OEfKM0IggUBm56Bx79DQHLiwAB3JQHEA25Ck04pb2VhoC0
VoNvpIYT1r4tn4Nsb+kwFkkHXR7QSYCu410VUBcUdWGJVcWG36CvJ/RfsxHlXeokNPUDyQ3CfqBn
QaJrvkpTSyPUG2Wmbzwx+Ztd0kNKioOhvN++CgvICp8HHFPcBiwZt3AEOYEeNFEVW34d+cofMEdL
+rH+240fYB86hcWGR7FyNSCNUxshUrDEEvR5hODsCGltBI5Uv8j/xbZgMsjHI0GIR1YMrEwhsQt5
yBufKqbzTKq9nMFYLoyPbA73VDiYaL5cHXqd1FHUND6w1K56QCOmjcPLlcPcQuDJQRwqW0VlPVC5
cwHgNbJilEM3vhn1QGu+NvErKx7tr9K3Mp0Otzd/ZTdmsoQzlmdSRNoAsqQCQbrYlaq92FO+XOC1
AKyDcFdXJG3TB0k3RzY1viG/tEw72WnnDJYC4pStTkRrc0FQHsw8QGbzMkph3WqawYWpEbH71Zh3
oXW3f6ngHkFxEdRuIQEwHz6EIy6FScojH05rHUy2204HGOlqfGErCiUCbixIWj+fHqXEpdYGgm/t
WMG8RaUQPIFlwLQsNbS76tLOT/R/ivEHiz7K+jeVf2bDX0PZanK0IHvk2w5EP/BIMEjA/sM19JU9
bXRSP4FvsfXJQJxcP8jJib2N4K9s5HeTuoTe5/Sh/F1Vbjm6feAl2RnlwfDfUCV6e98Wxc/ipwjn
oigIaVVJa/3RKtHl+6WTfo7xz0R6SSnvMWE0/hS9qvHlttiVJwgXGOwYQK7CrBSpUEECr9VZGkEN
fWc/gbIAFuK2gLX9BA0i8jY4NDyRNl/hoZQ1SQe9nm9ZzaGKTzWp77updlX9lJH4WNg/bstbnZDB
QeTgmuBlL3N5sl3FlCmE+YFhvNZS4A3l+LXbzfjBdwvuBaIRYGrgWnAuph+SvFJLuF8gL5DKO2kL
UMz/X9SuKB2FZQYLE8EOwTTQJzAiSGFQ+3L9xCLT68cvrf1klq9N1Rz3rxjAf8TkOUKOapxPJS/1
oA1VFY59VGmHSS9UJxr7Cn0trS1yVb7ZwqxAhMjroBFqgcEpiDICozDjoW/9HhxV3/N0YAclei+C
XvPUKtyiIV9ZQw52U5HAA54BRsN8YibAH1YG4jBfqgDTjMFD/mCrp2gCSd1ujwlrh+PwWZyC51Aw
pKPEivRu4oHg8ECbxu1sw7m9SSuvhv2ZRkd6FZ6HSCPBlCDOotFq/KAI8DB5Ub1VXMVPlLg3wNXh
HOBALzuQk4QmQyHlvd+E2RFMe46VDC9yl5y6kbymVvFsalXlyKG8cfzWZgZcIoKqnxyJ4swoSm/C
TrVbP7WG0w/J3KLFWFEIcJXRhBxODhD6snBTVTkc0a5j6vwh0Byr/Y52xG44Kvv3h/s4CE0Ce87r
lOZnrR6aoNNKxA7jb8rv6dfezUfEGeW5UNOofVvAznk1p10ix+p3XfoIo+sRgbKNZ3e5SnMRgtnQ
FswOGBQy+CJ7dyrsE/p2P6O10gbkQeXqd37KIAfeCG4l/NkFjLOtBn3UKIt9GrAC/cCGDiTxge5a
U/tikeJeV76HFfOYGh7s2gyfqiAdf4Vxkv+20XnhSFKzdwZQkdzVph5yWpfOKYpc99rcDo+E6lso
r+XzBZ5RbCdHYiM3JhoIoUp7fZzC2I+T7C7Ua9dW7vJpvO/s4d6EWQ105e29Xsm1QCK0MGek44E+
4SS1XUUJSDwTP6Wy4upK6hTqk+M1JfESuewPFg17R5WI5iW2CYRTqP2pK32AjZB2h76J240HfMUw
wQdx8iwLQECUVwtP0cQq5FRRiuUnydeRIuEkH6r0sQge7P45ajSHKvKhqX8TcytRuNTfqFCGMvpk
lzQXNdfRpPZTZaWpb4DCdiqHd5BzNk7U27WTNtpbrjFvY+1XdhuhNQTX0K9sxRxU1bLM0Fs58dF+
zxnZ41SmbkROXWR4+vDe2kddekZPKU9THyhIqnPlOyGgIzU8pODi0VWz77c/aKkbORofbY/hv6HC
S4zCphmoLKagS9GT+MjCU7jlhK7c+tn4wrtVgcORyGmb+k31lrLcYW3lpJvcrVuzEA5QmRokRWF7
6oexcSirX8omOfrGPHTB6Buy0QyNkaX+aLt1cT+od9YWKG91EmB54yYljAox9Bpq8Aazekz97iOx
j0TZcKtWZ3A1vKB/GYxZQsFC5MPn7IDsBI3cFsXNggcbXJ08cYwsKY4UtJqwD71h0tCU9NSPx4ee
lE5jHLPuCX8t/ZRnqZfmrtW+6dP3IdgiyFu5yiAU4dWWUPrwHwWllhvqYNR2mfoqeTLSYzxlrgVT
TH5FRcKGPbEqij/B3N1ArFwQpasdkg16hY0qvTDw2tQJglMaOGW3O6OkgTvtP4K4sXvlO7aqUeV6
CUG68maXz+x+/9038bAj+IvgnSUmrIa+7iq1oZ93v02P/caBW10mU8N2oBwHDgb//err675BTalR
p76kuejrLL1ov9DpLd/qXLd2ruFbIoiqIISKePlcjBnrVUl1PB7j4FkEOWEHFe+3F2p1Jv8RsciJ
FUqmdqaZ+GF+wG4X6psdu11woJsmMt9RwXgBT/j/T+bzpbxasyQYgx696AEzUJwmOdLuOKKp5d6O
mfyaXksRVEFdssrOOzvxm9jpe6fYSoytzgJuGBwWANOIJWxJKtu9JJtR6geTqyHCNTh5dm8U/u1d
Wd14QIkQxgG0GGUQ840HN3GB/KWBXUGvYjP8Zg33oAy7LWNNJ4PvjJOCAyIBUXMZsI1abTTK3EdL
JiU+dlv4xrWVuh5fmENeo5BtUljuT+SrAQbRGEHBEKjylGx11fl0soWjBTJGBKIQ9wKQRVyuMsuC
2LLDwk9oxByr13/QyEb/DdWVS+DM2+JkAl+UatFdXjZOU+kO05IDs/aWQeHwoXwOXYGhchCzEcM1
MdVT20yQOFODQ20d7WTDmlw5FgQWDQwaWLZwy4QlTdOhrSojy3yVli9lEPxJSXOfDfGGO7NyMnjV
jQVPmWdkRddfzRiwrwmDmOjPL2MrO741Ov/9Sg/EU12jlq7O/Ej9klr+FnB7a3jhWGsDoBA1wnI+
md7JwaRfb9+atS24BksJX9+jP1Q4NizxjRamxkUyLntrDfkhupYgTGBCsY3KKi5BP2T6oX+/PYEV
Kx2JIAMULYCkod5QeLpYB978QYsTv8oiBwyiD1b6rg5fJPMQlPdqv+WRrW0HbgS6D6FTBKJ9Qhgp
GdPMGKYI4LfkGDhI9N6ezdp2IPvHO8Ug4b5QlKEid9nQUbyQWenl9iPL3yb1fFvGiiJDhhFZM5CQ
4BEWYWSMlXodgaPAL63GLdENNegugHy6aSp5tyUtZ8PJ9ZCh41WmHEk1vxqdXhOY+1D7alrfqfnX
VlVA1v/3tpDljsyFCAdgNOsG7VHx4gPj6VLtohdb4ZytaQiOUTAEEtMHSKBdj0Z8r4S4ZlHu1oXz
aQgPsclYbuYhbCOtPkXl/VQ8yltcwqvzQGocZdefhIpC0lQZwwncF9gOSzpOk+L0qOsn6m4vFfO4
EiIYLENISkR7IaRP3uPoow42gkbrk4D/wK+gtmDPmRLdqOQB6ySpqVtnFZgJkAZstuyilUAHn8f/
yxHhvLDnW3Cew7xrvieto6deXt0NzdE+9pbL3tH2Vd3C864ktecihf0x1G6KUVWd+HHOnGSMAOG/
77InKSEuMoOFcqRgwU2b3epgLlXYMG3op6YfILXjpGZeOZ4s6uj7E50AyKBsEUxz6Nq2aBE01o0V
NoWE5ezB5h+8KNGf/WoALQIJnDAOHBQTF5JeF20USxQuTOQowZcg2lBma3oG4Vw8MsjTAg8l7M4U
9Gi5lFSZL5UPAZE8O2/vbk+Ba6q52adDR8JUUcD7Ae0sSBisUZ3QKJn6beNRnbp28lQ2D1MSuyTe
PxkeO7Z5aBGGpogDyTLgws2yD/1QKQ5a9GhN5sZkVpZrJkGYDAmnkTYSJBQvtXYorePttVoZHlkc
3thExwuzSIFISZWMZSdHfs7uC7dMdzsTSEKABBPFNDhTwOXMX65cn2JFjmjpV/0vCi6+37e/fkWJ
zYYXHkZ05iwjVmL4NHYDXO/E7D1zb0814BdA4gkqJThdnCBPeBgRwO4Cm3XFWda9Ii899J/wjOTU
qLvN67kc4XnUh7TMpBZyrPrcl3ggP24v1nKrEShCepAgWQBMkZhdJWZGAbFL43PzxzQfgcq4PTxf
6/mtQ9ST425wGTgXhnBQ28Tq5Q5VR4DV2T9MeTwmX6SovkOC68dtQctNhyD4pWAlxYlFK/T5mQqr
1B7jrA18Jn3J22M4Hc0th2plqdDjCT4V4G/Qt+Jc1EIjQwnIxzkcDuXvYqtScWt44anQc70qVILh
perd/l02GzCrpf5D8goAK+S4eYMfEXKf1yxXa5XRM1puado5yr4TejZjL9ivPMAJA4+Twx1xN3Rh
HgbQ61ZvNNm5lDLHMCXHsg6393plpcA4hRoUPBjIlxjCBe90LTZb3c7Pr+Dfdga0qfrvxhfudkk6
XaJlkJ/16aD3p7zf2Iqt7xfuNND9PVIj+H51OKXD0d5YnpWrACQDnh0NxdrorioYu5VSyXhJC3pO
7F+VVDtGAjB5vNX1YWUS11LEoCnLh7zOlJKeJeIUf8z33VswG13QG6nO7CIzc3oGI8Y0HJi++wkC
rRionjiXH4JjIvC6q3rsL4npGX1Wq8QbtxhbVvfganxhizUlaFJqRPRsoR9cB4fAzbYC/VsihG0e
JgkpSGAJzqp+JJEX23fKVqe2Fe19vUoiwifp6FBYAJ2eU9vqPkY0Mvf1Co09DFYGB5hY0+n2rvNV
EV4L0GeCwAX1duitIZqZAwgrpAmFU2djGNAbOvHC4a4w/mFG6uTa93raS0ILyA+aEAAfCGEwm8VH
I1WDLEE3eHqupV8x67dZMpaXZC6A/34VvmrbiGpqWeGY1W9mdV/1x9sLtjU+PyNX4xvGEBbjgKse
TCd0PN2EOC7P2Pz7BU1bhEk1tQQLFGZeqXkdeaF7m8xjD6DDuY1gaLDNVUHZ5oHRayOqS3wEyAG+
K7LdyhzjI/4OVAFKR2BvzpfIisIiC7PQ9NX6pTyZW3Xzy2d1Nrxo609lWet5Khl+UZcvti79Q6zk
AZRUHkIad3aXeLc3fHkj4YOB5wMs8vDzod/ns6EVbQelDUafetHvMjp2uTuSDRkrhwqVSLyeBzlY
uHvCA56BXJowo5P9tPwyDAdtC5q2Nb5gqlV1bKlUwviR5pfNF1Xb2HG+BnMtQuAIc/oK1P7BTuPy
ry9Fwl0yanZ+XrxpcljfD3H9Akrgf1At+Lca6odWb6IHEp13bg2qksAlCQwcjhpYXoStiZROGqdI
bX25SZxCd4w6cmTrW9h9/As5wEEiOsP7NYrTq7V2kGwZBdcxCq1Z52WVV+ql83ZbyuLmYxaggVa5
sQuyVdFHC4bWqrKkAFYsv0N6N7I8rdyrvCCC179zdiIOexHeSFRptpEClm4fbbUnN269MSLjxllY
nDUuA2kW8NegIQLi2POzkHQ2RWcsHaDb4C5rTt9uL9LK6KguRR9TDhZbsmXbDJxd0piNPorBu2NY
Hf6r4TXh46Wu6xidMHxvPyl3bbLXDEUV7tXXi2UeSR5oZt1h+EY6hgdD37+9GB7pVTCJ89on4esp
LVFHYKqj3z0pxakL728vzsoBnQ0vWIhUNYMusDA8OiDY9rOePMd7ObqAUodrD9ogQDVREyZ2ujCl
GAWVRSX7MQuc7GEkW0j0lTlAADBouM24CGK+oykGtezHSEaNaeCEkuYMWeV2/VasYuWYok0mHgtA
M3VOqTq/BAZBAAH3WfYz0ysHz94qgFmbxvX4XP6Vwh06mZTRgPGZ/JrFX/LiOMUbluEnu8pMqWMv
kKvn+4A046IOEBTiNoqKtclPw3a6l+SyPKpMpV7AujCCrmVvEbPvdLv9jrel/6jUKYEx0ctV6qSp
qvixFOeurqeKfgC7aIQqfzt1CGPJfRKF1AWeNH+JWBR/wGslg5Pqci8dVXB5eq3Vmw/2ZHXHLlLz
O8T20G5jLOhPFLDT1zjvywEo7ql5sQbCHEWyQje1e8NPNZU1D5lResSqvEYbK8M15d7OPCsf2TFg
8nhIxlB6g6+sHVuqRHdowk69Uu6jyNEAEzqi93L4Wx2i/i0YjJ8S6wbHACjRSeSunQ4lswCwVkNX
VgZ6mkg9JY6mJsoTakolp6mnpnRrSbfeoyKiBz2Ko8c6TRq3jih7K4tx+gh1rXssItRpp9nUunas
RK4tMflYg2PUBT61Omd2Ero1LZhjZ0p3RIMA5jQoq/kj9xYoSwpT9wetnHoH9EeBO46F+YpmHsqf
1LaHxC3pWL1B98shIClGZzhSEJAvfTIkx8oKfzd6YG+Bq5eHEY8+bi6icjjwcCbmh7GeqN6UXaz7
mg5uDPQ9jA+B+ee27lleqLkM8cD3bVXXANz4SuyRl6jarTkxPA8yIcgB+lixntrWSq0oBkvzzUF6
YG4BDOi/+H7g03jBOXqxiYpN+h/SrqtHblzp/iIBClR6lTpOsnrGHocXwfbapKhIZenXf0ez97vu
ZgtNjO8usPswgKpJFosVTp0iZV20FEdH4Th45nPHFStwsMmXtxUrOBOw/P3MIvRo8qLGaJPn2f4F
VqOg5jQQKXp9VKmgVUHIXaJVG+HiFdqtJ8C0Z7Egz6n3Mox7K8bU8i+eqZrdtKZUmDAMeM1iRq9A
Dk6fmcOA+BfdiU3A6jsOMC6vP90+latQYqGZWeatoBESbpeM3BMppobU9Wg9z6O1md08KMcnQY5G
94mnv26LWlNgwCsBvAXWFRV36W1uSn1o9W4wni3xcdSifn/782/FFPn8MSUInh3y+whYpKAuM8fE
MOLeeO6yMfCn36kY9qghhSy9871/zOaOi4dBp6HWuNuquh/bT2hTCYRTb+fi2SiehvapED+tGQOX
FU7P2kn++WXgr7/UzLnpPIv6WHnCIzEHE9CRvcJ1XtvcpZkVDbp4bsGEdSkic0ae86E20RF/0Kf7
Obq9uW8xnry5cBdwwRwHPaEyKEPXO93Ekwadt/TQLb2gMLNwBG0bP2RZE5pTthHao+uB5Y5u+mGX
Vd7OSH7FYJKg5beyOJj1QVO5Y9eLRu8z2LrB0brMdpdTKa4ze06DYOyk8zoMUuV4+uuLfvl9yeRW
Rp/whuP7k/g9WO6WmO12yo5e2787YrgUJJ+eiC1SDRBk4WkCb3SazMHtA1xdCvYJUD3AN65ANWyp
71P0Sp4IKSMQSb20VXUcRPutHlW4hzVRS6shrCPIlK6IRzsEX3HSlQ6YiIYnp6X7pkYBt/Gz0DTp
p9vLur5Z5kKR/F9ZUtqgjFPb5RlksfaLhduMya6VKsZe0zJkbAFpxPCahaXy8mql/jCQOIntk3Ax
7rFtA9VguLVFgMobVXRcIFTeJO+hYBxzIfDenBgZAx1WvoqHLS7P7a1aXQZQocsMJDi1MjRP08Zp
TsGee/JBM6wHGoa93BawuozlGcGEIszmkLNSDidNbLczltFlmJmgb1LefOy0UXFXrnEcmLiD/Nd/
5UhBmGv2HqCbun1KvDjMF6h5bmwt8dKh+zTb9n0XTnoZNPkXy3u9vcKVLVx6l6FuyB2gE0w6KN/g
DB1Jjn4SFJFT4Bu7299f2cGL70v2htF2dMSI72tdaPkbkobJ59sSVu7mhYTlF5z5SG6S+gltIWGo
d4b3NQHg9SdXNTusbZMFRky8FpjyiiTLpZA+Biut1w36yXU/ZOyDqqNwbZcsUBOg4Iq+Znirl5/X
qCNYZ/X6ybcwR6rf8tgLuKqedVUVQFL4XIiUWIuHSmv1GGtI5gIBxI9sKkPXiQyx48mhEYpjuV7S
G/vb0s8PoVfWGY1JVOhpPAMTvk2GI7UCkSvaGVZFoNCBJwCcyp5cc2d2wYgh5hlQpD3Ctz49JJ3C
AFwrF0oa6PxbJvQgJyn7khSkCJWV2jNwoU5o1LtUe7LNUzG+d5zbkiI5l7P8jjMlrqFfc5o687MB
Xqp/5kaxjGv1XYZ5WWC8Awkd8OGS+iYlB92gVoMVRIRztkEj2O07qPq+efnzxei1SF007nOab20b
7FgZUZnIlZOAn4Z69cKHukADL0WMLTNZ6vD4eTRm+r1J4/iUe+73DAQEn/Mes0FTqzRBfAIUZ5B3
2rxb2psDn5v3MSuOvamHvdB+1TbmSk7ex9vLv1bEi5slPxN17faGXo4wQYn44BbOd28Qd17NtrfF
LD71pcN6KUY6xakGTnaYcIHn/t6K90nzrCePps+ALlSlulZFAQmHRnQgsMCHfrnbs6kZ1GpT/eSk
v6f882zmm2Hs9wl9LqpMkZO6PlksywFWEnhf9HHLrzhaFRuQMBb6CZwMm0L/Hi8uOLwr4/vt7VuX
A88amAp0aPqSkXVzsITpTqufMro33CQs+ZaRF4v/c1vMqjIsDvx/xEhmdiKT2Zlto586ysJcS5qg
sLVgMKhiOWtyFiies9B+AwG23Mkzk4FXijtUJMbJ9Q7U3FRz4P+FWp9LWH7BuQR0ORvI5Rmn1gUG
tzg0MYCXilUsv1LW6XMZkuHDCPu5yGfISEngTptcRf6yukuwrgv8fpkSJ0XodEJG1Ygz4zST75gy
CY/d7xX6u7oEkFguphV5Jrn+ktOh9HtWGKcq64P+4CGzd1ujVAIkjTILPbXztjFOg/2527WNgg7r
usN96Zz5s4C3v5+dM8mcWpidwDk3xb1A/bjt8Jxa7vDFFf3B8dAvPBf7eGw/55274RoG5RJ3q4NQ
pnLSbUrQ9ZUWmGbAxw3D0OG2STZZWikg1aubgHTAQpSCPZbrz6DTT2q78o1Tz7Ye3aCP4i82+c/3
ZRtOMcFzilPHOCXGnidHobKoq78fGBm0fyD1fjURFlWJjPaxid/vfPLaj59u//o120Y8vI/4Bw6X
/Do6s59NdUHNxYE8zqMfTs6+G9h2GPrNbUlrXiTazd+YmtBfL18os2tsizY6rPXEj66fb43CPk7E
CwdD64JpRLO0p6KMX13dmUzpNbJzr0mmFDJRIAs0/zgX96YlArf+dXttq8biTI7kxvDYyadMzPpp
Kl7BV2Hb3yj9i6wFiMH+7J8UcPVG00LRIAPZp8dumB47A0WxCjWXWIWffitIXRnXM1mLTp5d7Dzt
3HjqJ/2kj8lmmS6YPrhimziYSzBV2xlDVCiIJov6Szm+VjpigJfb+7l2bphoCf8BaRhkL6UXt9WL
2QJDD/bThk/2AVz8mMDbq8YyrWkkBsLAWUERH/+TpJCysVGVwioH9pjyD3X7qPUfG/YR5DBbvVGE
Ndf81jCW59IkY8yFFY/jAGno8LyzMaAiAdnMSEQIH2Zr6NVR2P2hTKqNV9eh7s3fxjHbtIIedMvY
dPn8ldZe2AqhMI/XfRmXv0s24lNFW2YtZ+2mZeD7v6z4mLrI8nWBnh1Y6ge6wbexqid79YT/7L3s
JzLPTJJY4GaaZNpUjLw6g7apkmZLuWq4pEqUdDlbAGKdLMXFaaddMUTVsCnFwVK1ta4+hmfnKxOY
DsU0C0zp0U8xpupxY9zFThZUeflg1HEwUXQfU3ShJdOzXWS7NiuiZnTuJgG2C57vOK0PNVohOEs3
Fs0Czsc6FDk93L5Xa/kizCxH1At2bhAkyGyuQ1L5DfcXlc/uyhLzC7WdQY5d/TDV6IjP4wcm4HsW
IhhRAr0te+0dOxe9RA5nNsVLu8SB+uunutmmd1zb3v786mUGUdlbVh6oGcnUO6jXaggHYLKy3z6c
9DzvgoSjot9+s8bvjKmwISvylnFSoKxFUABswqJ1Z8tJ095vNJ8jKRJv03Kn/67G/WTtbOMjVYEM
F8sgWWMEUwtfowVSOXCXXYpiWar7Dsuxc870u/bmgIN/pvCSZy/W0anV5xtANXejNu1ub+nKqwa5
WB4sBOq48hxKdNCwOs6Zfurp3uEbm4WWajr5ilJciJDuJhKnvd0RLE0bitAQn4Gse7/aXUiQns1E
72s3zXFOLhiEwAADDqX+fxQhvZZZoQ2DOUFEnL40zV3ybpQs5lsuc4Gg1bhArowTMimlWc4zxNTc
3PTzFpiYzftPGqxuAIAujeRX9ei2t1mX+tZ8KgT5lg7ZBujAX4USobemUJ6BcB1VCoy/kXPGvGa8
zVN3Pmn+ne/shZYEM5r+bq9lxdyDifmPEOk0tAJWGEXR+eS5VaCVGMeBCdbGQ5ooDI5qMcvfzwxA
VgwF91OCxZAta0I/Rw+jQsRKMmUZgYKaNxDSS937UsSIAkzZEn8+UeM4jXdwufrXwX53MhTM1YBr
ok6xADaukqF16zC31+fTZOzrel8Xe0B7bh/Jmj8Jamz0fLuAMoIRVtorrlsNnqNpOnHTPMQ6DZK0
+9ABrdNzd9uXwJsb5j5vut+t1dy7nIR9nYetpTqyFWuDnwGcAvJSYKKWoSm632seEdZ0ckKepSGZ
y/D2Qld070KApHvMID0gx+50IsAgZ9uK/GgyPcjr93IwQr2BHURrCRo2Ab2QtjNuaNWjEgfeffAv
Bn6qsAZrXgKYuhFzgqID7LpydzAKyS0IALUJrkwP2lt+EFYelu59amk7tLoGk/HkxFlQ25Hu/nz/
DqLHFagYADDwrkoq38VmiqSFbp0aZ9d6P92KIf2/sxQl/JWLhaoZ6osgCUDJVGYE6oFcnEVqWCee
PeRtvamnBOQwv4vSD1E1/YsVLZRmmI3mIMsj+f0mOJCtqbPIyRs+zPF3p/uQGUCHcRVEZk33gPIE
7geokpU8QW0SlmUj5PBmS+y7pgysLkAzh0LH1y7RmRwZFNtMZub2aKA6Dd6Tm4ige/dAA2j3uQDJ
k0OxCfgoCwL09A4dtpkKwn9NDrYIAEHEghomwBJJnmgyMJDtlTo5lWam7xu7q4PK6JIAFe/8waLI
E8VzI/bCKb+bzWAECB2rsAGWIPBZryoULXdVcu5wjQ1c42UWGVKylzY+t2OrZNpgn8r2QWBwR/Fg
tIoQb10E3tylaI/WbskqdW1LgTqo7JPTVN8zQh88vwQ5sb29reirigEs7f+LkazSkFI2tzrEJARc
t96wGf8in4m9+iNhuQJnT26eeG3iOKV9yjAneDuaL7cXsOLSgw5x4W1DYfs6OEqMmSVFZZCT027s
+J4kcFJ2PL3HLEYlnGb1TM5kSTo4NSOeCjxSp6Izg8wMvQo4V1XKaPVEzoRIutV19cSbNyFt+Et/
Pzob1widHjaY5+Ccyo6Dw1Hc7hMGg4OztkrtwXSn4+0TWbVpZyKkBbiDqReaSHBTWendo7e2CR0N
NNQNppEFFSnG3fvluUj5O4A44/XTpdcHeK3G6fQC8lqywQC3wCJdiFGBm+b92H9smIEZbkvhHkMr
JCPnTtWo+VVFTpo4VPxwuL2OtYPH04aXALEP2MGlq5haTpbnBoUJzQLte66iD1lT3vPPS/ewKDtn
SpZj6cnWTjGr+8EjCpjgSswLZ/HPCqT74dE8xvA2rIAWe+DlywIVgkOhbdGYXQajatidakGSnmGm
R07BFQTMWeUhA/40GAaAffvbh7J8RLb0mD1juUu5cmF0urReoAgjbWFxckrSl17DeFG0BlP7h2m9
Vl6UwgzcFrd2d1C6B2IWEfwy4ONSHPr9ax+EagTIExMQ/Fen1zbJwDGocHtb0PKh63X9ESRtXgxu
90yYEDShF++u4eOHjoE1LmXZa45sxsYTlsrXWdVvUACARdRY/pXuaek3Q5WOKTmNY+SxbdIpfLb1
7xPEqEh+oMlLup1lOi4kVjM52WxfZYE/KLZsTd9ASwgLYC46Lt9PFM+Fl1WVebKGXVfsUJJIM0VY
t3b85yKkO5qxYcjQAmSeGEY4zJvRvCsZ+iIUSra2UWB8MMBpgIG8KLJdKlk3U1BXm6Z5SltRB4lh
zaHfChUoUFoLglNMUwAXLcqxoNFDAHkpJc2TsZxczY1a0jpHxqc6mNkcb4g7vPojdxSvzltC7Uyj
/5W3DADEmlAylAG+FEVNt0PZP0LszT7aNqMfMrMznt3cMn4ns99u8HzYn1uBzPxcmmYd6GWcPAIJ
lKdB3xj1seoS79FLrGHDQWJ+FEzvwkpDhzO6VbsQAKcR/SGpG7KmHh6YPRunkdQ06FGtDV0/9r+I
wu6DXDeyoNETVV5BUr+39S2lbQvJPRhZOX5EcoTmTpt6UdJvukbg129T9+Ntq7AuA8jEZWQ9KjlX
V5Q4Mcg9vcjr3JD64y4XHzB4V6F/ku35z0rAU4yRJiDyl0k1aj3uBiG4F1lzHQyMHGJKnpDj2rE0
0QLD1RQPqxwa/ysQnYzAPSJhAuaWS1WcPTi3Ju28SC+1b31igcED8Pk0P02z2QRZzh7RdRfotYYs
HXnO/EJxraULdyVfMrZpEad6Yg9eNLbdXZ/S+9Z2FdmFtduGkbvLeFDU9q+67gbazrUBLY9iMJbc
ab5Zv4xl5yEeSr2jxUai2NPVJS1sGchCYTa2PDstMXt0kTDiRwYqp+kcckD+buuiSoK0aVkFPhEB
HF1kjTvT2ervey3+PRMEDOCCBBkKEguXOsHGcfQLVvpRn/eBNnXB79s/X06f/SsAk7MWylTQzMoT
FyZNq8vBG9G4Vewdetf9dot79NElXlBP2+FHPG2rEnmajfb1tmDJCXuTC8wqZs4tVgKdDpcLM73Z
bEvheVGmP+Xxq2l/JH0ZCFDSTeWXYf7RqVRvOQjZ8CJARSoaLgv63yWjwTQfg8Jy7kcFamKUxw+m
lt+VuQcyinrqgzaN7a0Wt+HtZa6px7lU6fz8umB5o1E/GnPjYz51X7qqVmWlV7cSCMaFy3PJ2Uke
RRETnuTIvEcEfX5pjBnaOQ+0+Wvenjry3DWgQBl/3l7WmgVGyRmVPtQOrhNCg5v0rmA2LHBxT9K9
Ux8xf/x/EiHngkTbDHmFFFtEOf/hd8ZLrftzwGL3ffm6fxURtT1kSDw0Z8ihpp0npErRTxWhgPnT
sqtj0acsRILnl8H9Pogrou9vr2xVEz3gC5ephUiOS6pfASsD9e+9KHbjcev37bTx0SsJNjmeh3rb
6ls6CrCOkVhVWFx70izkdXHxMP0GUMrLSxdnIp7MkbBTPB9rMxzZprX3dXp0s78wW8hIYsbZkvwH
tOhS0NwD1N1XNTuZwOBY98RWpJ3WrhU6OdCDhu5tkKRKl7nw7KbOpoSdSHmvZRtfFbStvFPw/UHp
jsG7QC7JdGBcH5CrE9SN+n7c015HlcfeFuOpHd//ICKQthGqwxAiVyfpQt9qtSH6wYniigalwY/6
OB878pBlm9tKt7JjKJDAXcJhoJlS3rHEFkQv9daOOu4E4L72J1VGaMUmgH93octbejcMS3oJawrq
q5mbdkTsIRJW+nHQ6o9tVr7fS1k4JNH9C6K2Fcw1Sbt2BrQn4sN9bR3Nd3LKLPZgcUxQIkD8ZOC/
l6qbCCMvmjGxo97apNO+VLGGrtz+i+9LqstpWpk2hk5H+rAtv+VNum1qDpYDIMSRffJUWNO1c18G
MYJSbXll5Tofii3p7HGfRGQf00ORKmzZm4JKzyrwA0APeMg+XPvi2lzmFXrSSWTMuf40xrP/FdOi
0UdORH9HS5gYtNgjiVMgJLDyQg/RPOrvy3JO9l7n4cWvrWIvfGd88IdCVyj9mkqihwmFQbSFIi+/
bM5ZUhdjSYU+uy2J6OCBek8/2LQsN64Wq0bQrhhWYF/QkIWMJ5B0cqyaZzqvYqcgkQVuewgJkLYI
a4RARrJ3TVWVYc06ge4PVxl1dYyol8w4WLSmKp9yEplaBG4DJEhp4JFPSr7rNVUFRA5lLMA0ML1J
suKeVzSEMmFHpv/C0LNs6o+z/iklD6V236kcwrWzsmGX3vr67StESMXS0hF+Zkc2HfpQ00F9Yyed
s3GEq7/fKXPPRUlXHNAWxyzzFCZkfCHVs++oPLJVdUAX78KNiZ2TfQrwpvTeUOPSDZkntgTslZus
0qcjd4F363vbfWCs9hRXcVUoSLAQsIJd4Bpum2edNyL5HIH1aRNnFCDobUK8h7Z4Zlzh/61pBrCN
mNxNEOlfzVmwzaop0sazo8IsfhNWhYWLfpbaeCVe+30aio+xAFr79gu2piCIiz0YGQ/0fnIsp5nt
NPg5tBGkFsCvRYZ5wLh7hcVYM5cO+Mqg7ghQ0dlzaTGKOC/oIGwSNcUTmCYCRzXjcHUVBDAYZ0GT
XeEuOuTrrZG6JKrMjV7uhBkk/u72Rq3EAy4IpP4rQrJ63Ehqd0aJOupQyZhyLdASd9M3v3v3qS++
9zPd++OX2yJlhOLbq7lcXqTSTDgBMkFWlXRNl/t4BgCPaT/MY8/uErRG7dELRzZ2VWJ4iUPHYOaz
Hs49xunWXtc81eVkgjeA/6rcaoxSumkctitrUMRzGrv7amhSlOhNLwt6z2vfORjtP78Z7Ycg9HWs
q9k9xO6t2kXTceSNWw0RoHXwkTVzg/6ddJr/CkJmCM4qmt2uSiak58WQMthrKngAlpU8AJ2Vai7V
2vUHBgAvvY8FebKDZ+qlqbmiI9Gsf55MWB3XD3rxw6yrgBsqEojVa/Ivx+ZyS2T/GGX6ztWHmUT6
/MFzj2B0vK1Pa98HTQaiFBQAl66ly2vYZCynmgknSauST3U6PGW6Clm39oiei1hM3JlvwNiot1oT
kyitTbQp9dqOOTCWcGG3FLDH2+uRkdBvKoCbDVTn0m1xNXvSsrQspsgGR7ShTliCxsHS2nvGi+3Q
Wd+0zHpMcrE1i+S1mwtFvWt1pTCbCCvhnuC8LldazblmDLUO2eWCR6kxLlZr4UCXxBh2Nlh8FI/D
molDuhTTS8BiCGMtHV5lk7bNqtmNNN0IOmrth8kMuD/ub+/pmo7gUvlvmXsUiZe/nx1gUhaW0TiN
GzkiirXH7PQXn19m+CBRbyEWWHb17POjsFyWYeh1RKa92BQqTo03zLbsOIMX77/fl3bJmBs3JRzf
z3I7swNS8xykJZPzweMG4UGVxNYeNFJTHiSMi30T6xxxbh4Hg8u0UOh5ts/MnO3c1B3C1ACtDGit
+i9OXfOTX048bOpiPJZT6R+oQPLQ8ivva5mx+Hh7n5bfKa8DA2TA17DwwV31QFE3L9GwUXtR5+dh
OoMPKDtVLEMtkN4RruKvXNPlpY0R0QwmVsEbuDwVUGDpdUMnL6rKA/Ffp/skO5nW4faSVhQYFaGF
+GCpPV25b35VG0Zlor6QZy/AYgYmyK2IqkqvEiKtRKdph3E1iIpMlu/JvJ961DF8xUpW7ogHHkk8
yZhxBUVeXIUzJQbLsmc2le9GAEN/mvxmY2dMNX1DIUNO1MV0NsZ69txoLOIX2k4PXjp/un0gK6eO
ZQBAA65YVJXkLlknsWlHauxVxj6ZxWvrvrTFa/JyW8jqOjDcx0cSdaHfWQ7sbK80p+44AF1YRx+A
t/SdZP/LC4BqJmJlPAMoK8tZWorC3Oz1tRNNmBQ3bUpHkUla8fouvi8FNcIohwqpCyfqq3JXuPl9
3wzPY5Fvest5BAnnd89MvwI4rRC7qKl8/aFaCH4RTS/dppe7BlSL6SdMeFEzbPNiox/zL5oIQHMY
xwr/f0UJ4Gr8V5KsZ1zjHjOyxot8oZ1Y7LzEdnWgs/WBm9M/t1VBJUoKsF0r1liK/rcIxi3IMnsz
e1WQgAgvmX7clrSidBeLkk7NKMxRKzms52RvAO4HTeTt76+uBGj4ZfIthqvLSj0VvbBEDFPWcftO
uCVYa7ddaz+OVPsbRTiTtPySs+szOomlj4vRbNrvRYHxq/5Pj4wbYc+B1fzDVeWB1Y07Eyc9n17M
yqQgGUyCA5Cbu0QMCtu5YqDRmvJn6yQDbetxPvkTjE6ZHiYHfJGfM5UToFqEdHkon3iNGAcPzfDs
tj8IUbhIiiXIPP54EXqXMWxS5X8CyaSeoJ89U/FsyJjXN9/2bKNkvFkuaq9uphL5vWZE9FZ9Ihh+
C4jQQ18aL7rXvhBP/KpibW/ZyZY07mNp9tvbar6+0KWoAe4B5woRkA20aD1zdKOK+k9cuHvq06/V
oAKLqMQs53mm4zRlFmm0CWARv3tIffMnINmo+pqKq7QqBk3lb8gDtA9LamFgFInpaZ0bJfRzmXyr
6O8sURRoVu0CgCQL1gBAQZkqjzMwgrCeehHTHu1SBI7NA49/NLOPtw9mDdSAtPMfQdItSquuHUgF
fE081RvRjKEHNqmm/7A06JjTZ5qf2s4NmrI4Tqqx36vbCAQp0lMoeqHednlaDsNg0ypJvKiIH+f8
mJCQq5rAVy/wmQhJIczUcJKyhYgGozj6PRPvmxD079VCQI9hK/BLrsbSWBmYbin45KIkdr9WvP9s
WvH2b04IPskiBTw2MuDNblhlWKBcjqj+lVI2Blol2rApkixw0DTbgr6YudOHvNSO/dzuxjl9vf0L
VnURDjfWt7gRcktIZiYIL2zuRp0IhL1xvmRAHKjaZ1bcIwQnf4RIT3pc6YWrEQgZTL1iG72vfqAX
oPhctu7wrPl6972Y6QDS3qZFb2c8K2Lw1ToJ7BOmUSAtvLTaXSpjBkSWyfPKjQy05rIy3bu9sWnj
LjTM+iMQlvuJTT8ryv+xxubouAnaR/o7L+9Pvdnf5Z33+/aer0VtIKny34AxuB3L3TmzZMNAZwye
ip1o1jpwDrO2f6Blkkc6b6bnhvlkT01wH/+FUIBxQOwB4NYVmEWbklQf9dSNvOwuse49sUGlnZDD
rGLvWTts2DS0YADUAlCsdPN5WhQZfoQTmXCvgsSpdplNuoAX/fPcz/p2MssdNboDaFie379EgHVg
UXHEy/zfy32lvpfo9UzxQhTfWvKzah6dTuwc/zCpHO8103MuSfIc+RwLR0yaE6U5qHHD2d3cXomx
di3RqgV1RVsbCOakV0iPs3nOOsOJ3KzKK0CKE29jTLXY1gl6PWYmXvHmp4Ep9GY7MD27q3KWPQx2
U526oe+PLWfTQSRWFU7a5GxF5igyNGv2/ewHygGBw7jmmB1OebL4XVuWoQ0C38r5CxN8LkU6UZYa
qQaYMyr06MJsN5Yqb7u6CjzysPAOig7yY581RI+Zhcce/HrfGhLfgXbtS9yqMpBrFx4WHrR3YFgH
qkFaRgaopKM58JB8uwSjURWyanqqnfinUQxfrLp6Zz/N28t1Lk9ST7f17VYbDSQdZ30T5+UTGBkU
3u1a6InFIDsMrDYINyUbhii7BX+d5wCEFPJ404jd4KBfPjDre0sVR62e0pms5bKc2ct+spLJLmAv
K+Cc0bzlGCI0Ve766o1DUmsZ6w1HVq7rYmZ4nNMEGU2tOpYxCzCF6yC4Flh9drx9uVeXA1gh9g7Z
NBTxLpeTY3DplNuDG5XW+LOaUEKe3ReAOhQnpBAjv+zog+KjqCHGIFMkSAK+EW+LBpKPt1ezagpd
kMIvWEKMll7+fnY4SZGOdWIBUGXE4y+alQ9mRhSok9XrcyZC0jXRFmihF4sIJIfs0Eu3mvZQj5gt
oMhCregADh8ld6Ap8H7JlE89m8YBtTEncngSTDj7ZoeasSCfbm/ZynoghoDUYpm7cAVDT4w0Fk3F
HUSe+hHZAxI4yKEbU7ezWHuw5kqBslt7TRaldtGpvTTByYVVwVK907xyMaPmMzE/V+wnfXCyeSNc
hz2jb5vdtRmzgtnv9JDnRpRjRkLs8BJ8eJn+vUv1/AjGZVXyckVDUeSFziCZjA33JdUx605UC9Nm
ZDr3WvwV1PahhRLgX2w2KPEW/C4SmL502xi3uAkUCmhNbYw/pla2n/Xs01y4rziFOxuFx9vylu9J
OTkPr/Z/5LnydJZKeOXMKxhGmsKF3HhdG1RpyN1w8niQ9GE9K8zJygVEfOWhtQ3lJfD1SkFejiR6
0rojfBGMEgK3oMKpUn1e2r+xTd1C1/F5u/sy3unu33wehYuFjXTpmJNsu1eUfa1r+Hzu3vvlE8qz
t49j9eeffX+5i2fmaYC7NDUxvp8dTWMnkt3tz6+dtgVPF20sqP5etbVj9IjG4dTaUZPlbdA43iaZ
m6+g/dgWQ78tSu2X4aV2qPUqz2jNVJ0Llu6OP/hI+JgTQCAVD4e0C3u7Con5c/Dize0lru0gkCsL
jwRGZ1w9V2kxEAfoFhsv/Su4UHzFM6X4vPxMDSIvBlPg81zHZPTECfT3w1URay2JXhg+mHYpHnEa
s+2nbrAi4oJoqwG0dG9PqaoXe+08YF/RUwZYmH6V72gZReRRaVZk5vts3g3iYDYHFAJvn8WqFOD2
Af8GRPZK3QwwThtZX5pRhcTAaLlHL8dA91FrNihmqczziouHxDVatPASgrBNxhFzIKLBPdSaUTNZ
FJ0Bw11uuZ9FV36tAdoOMsenQY3A+fYS124USrM6QBQgPQAy5PLC5imhI0lHC9Dz6l4Ap+lVaBmw
+Pep14awS8ovlo9MfZf572w+fCsSAW23dKNhaiLU/VIyOs/SyWmoFeld95Hl/n0654qXeO3FQ0IO
rHRg6roeplwko8iYx6yoaA7aNAWxtunY19sbuHZsC9YUtXPQLVzxSvaJD1yAXwLkRJFVCIwh/5n7
Ig7Mwil+m+2YHrKB0U1cWvr2tuTV1eEph77g3bsq3Rbg3bMqHXfAaMb+W+XV46tXORi8ZA6z4iKs
inoDWqEejQEM0quUzc5kupogUZyWj4mXH1KD3cUlV2Rq14wTkDbAc72JkXP4KOCPdcVqiMn3oghT
FQPU+jIAo0czDphE5CtmcLcpRwffn+tHMd118XfP+PQXh4JZMYjT0HUAtPClVntakTQlaqtRX9av
NqYu+0n8j+i8/02MzAI6o84VD7Vj4R0H42tpMn834cVH0oI5inBgddP+rOgt6332pDNH72ZWeFZU
tSGzGVJMoPhwFAq25qMvI3b+s21vdZczIQ3S14k+UUCrEwc4QUSg2iF3S7Kdmi4N9Rw4nsFSQq/W
loYcHcJCzETCXFXJ+M1NnC34dBLp+VYjB0YfeapIqayKABYJEvCgAxR1qQ9VNyVkzHXgl+fsyxCL
JysDRTtXdbuoxCwv2dn+OQbNmV1aJJq0XHxME5Js0IyvfR1mo9sqNNzEt2SXGw29yODApOpXFIGj
oeeWxagduej4CTCirAf3YtKEwrUzkAVSXj7k8zTtykKUYH+InbCqMLKjifsUF3sC4Dlt00Pravl2
pIbdBYOuZ/umG8vQLPXmzpsMAW6+dghmt0vunFKceIV5bJjIk+5aML0cKNqNdnpqodur7II8RT/J
5Bgw77XzM26ssgjsuY3DYSidAA7J0nk+dOEAXopfWm4Chlrq32xN174gYjS3Gpuah2Ya4QyjiEh2
MUGnMBLoRrAwKL3YMUgnecKSDSn69ljbZbLT+1iVtFqxfUDvY1tRnAC6SA7stdSkKXUBA6yM7bSh
leLUVlwZfB69C8sQDdg/yS7VQ5UBgTfakWgedHYqy/umPiS5qpF4dRXwXhb+dbgVMpgxxYxoF42n
dpRZoTMGILVVKN+17oFeb8ETIwAA/FbS8140HDO4GjvKqye3/TTPQZu830NeMm1Aqy31GfATXF4l
0aL21DQA5+fkxXzo+ft9EtBWABTjLwRuV53PE61yc4xzO2rZDzFglCJYcoxZsYaV04Y1RSsDkJDY
Ktm3KkUyNqT1CbBQ/saycoxzrNFSqwUURLTvPpELUdKJMMqI8AdmR9QPM+exRhLD3N0WsfY4IOUJ
+KCF5VwhuzLuzzxz8WyXffuwpKerMqbgu/s/0r5sx3Fc2faLBJCa9SrZzrEqU3ZOlS9CjRopUdRE
6evvYu1zdtuyrnW8NxrdaCABhTkFgxEr1rKeyt41d6XlrlSwFnaxiw2MIiHRXchbzbYAdJXjptNM
4xm4ue+OM+6AJLs+oX9iYjZtkMyJ+r4wEJpSuhmptfckvVUoxstTtxSdejDk2qB9UEw5p5t5AgWH
VnaO8SwH9tZSfj+J6cZmJtD+Cd+0cZf7oIpfqekvTh9cJxKuYNo25xnXSYv1vE/xprDZHoxwVrcy
dwvfh2Q0vABGhmfLvKBXjJaVd9CFeR5ttFxC3kyAm/LyvC0cILxMVI0Ywg7gFpqVECoZdVolEfTY
rvcz1lty6AzGt4yDpdIcqH39oxlVNFTwLAcPwDNdxqFtIGzbo3nLMUASrVubul9xO4sDOrKg5vQo
QBg0yIENBSx0SQSZXu+20yCj2k2B05VrYfbi+pjoQlOk44qw79SWp1XdpMLvZ4ib1Y62jawrVa3U
2xGxxb8tzB8KuT0iDwPlmecxi77HNjDFcuDvroSXu7wP1EmfxTpAduP0KLo0cHDMzg/UlQZRRJHx
PLT8txZRaL2AUt1nulizpCblkqXZAnE0tE5QxjGetY8225pvTYa5C7psw8vtNK6c0MVhYevCt8HF
IY95ukKuU6E5Z0K4bTbtm5lBeZpBEXh0V25rZyFUhA1QOyuvDUze7BiZ+iRANTfoz60EhdZIGEDM
JrPQAtp0z2lrWRuQYBHoF0/G3kib7sUicvQNBP2tb4tM+pHt1EpOOha/GPB9QGlE/U63WvlRuNIO
ZNa4jwYXzZ3tatULdODzgMYRP2Dd8gc2wbeaaWMFo1Ent20fgQcmGhnb6ZFZPkBtQjq+w0sncBLT
vmWiFU+WJooHL46SzZjfTm13J9DgCb0Lt9iAbuAmBpm8pAEkumUcbUrbfcji2vyCeBBJbsbFhoBb
Z58YHhofNCIeqNtbodW48R/Ewe7W8rJmJ7Jh2mX1MG6I1VlvfEDg29l1GiCqcv6MlRJ7qTLd13mn
bUyzkVsjcosdQNPpXqaGce9Futi04JpdWa4lHwGVAJRjkHqExqW6TI58hFlPWY3OJXRLANK+r+NN
mW03l8/Togm0MYByV3Vo/y2dHJloIpGYBoQPn+1o67AaINPUZ9nPnn+/bGfpNIFJ5N92ZhvcAQtZ
grYM6znJXhMOYuHtxLd5NgSp5D7lLQoFa/m7pTN1bHI2e4BfQO0YDAjP3rAD+NCednG/uzyq5dkD
HZVqbFetqqcLVFvIaEmvR+xI8ORJa6S9Qec2Ddk3zVwjvpoFXXiyqtIsug+UXooSJT61RVJuAJ6T
6iECpG062XdegVASz8ugTcTOcOrg8thml8a/7P2LJgIJQeSATu0NUazZFY310GJB8t6vkfHOpu5/
Pg+Xh+QSnq5zTBL8tTeNNNdDZ4yjN4dJYysqwRCdjKYWeNZgrRymxfGoyxwJaqTB50HKMGkVNY1G
h/DRo8O/AnN4eb5m2+1fA8JRhXYuaoxn70UBrfqyZUQPC8o2dfIcJSDxuJIb4l9G4LzBbwFo4VlH
vXA6XSsHG7PGLZ9M9saIyM7Mn4xmJQBaWh40XkNPQd3saN06Xf2mt73RTbH6XU+LILfyV30AEZRO
IcRo5HSNqmZpcx+bU5N75IZw8dgZ65Q561vivhZsFxW7sn81vI/rV0mFOopgWnGizi5ACsbYHAl0
qA51H87wGU07ka5kmJan7h8T6g4+GkutQ+xv6mHCEXept+XTndncoRf/8kBmDvXvTjgeyMwd0LJx
M3Q/6SHUlye5ix8Sju6smzTyjT/RWg1s0Rg2NTIVaE85AxAiXaS3BjIiIavb8Y4gvjtkpHHAJsvo
nQWWKIAn68HegAQ/I34UyTVA2OKcAswM3gGVAZgfXnA15VGCYk9I4+5LLfIfsokg5gGKd79f5U1a
Osmoxf7bmPoxRwuI+MGxRq2A5xNb8avMbpG/urx4S74IARjg4qhcA4w42+5oupsqT/nW3tqn6Ve7
urv8/eUR/PP92QiKXGcVI5ke4kHlN/ovUd6O/4EYHt5h/9iY3ehszKbG62GjiSYZSGt6x85Xqbz+
/b8bzOwe77u4y6iN8wTQ1Q04/X1T6zeptrlsZW1JZtddnchMchNW4N/xgG2cW3Su/CdOFQ3fCoCK
EtE8GceA5OK961BsrE38RSOB+CK7lXEsLv2RjdlsOZHgmgbmDsiqfSZy19Lbrv9zeaoWTaDIi4yc
+meOMwX5X5zTClOlF/dl9K1C8oIM0coRWTMy86K81QvaGhHGYT0R4fmZ3JrpWpVjcdGPRjJzollX
g7zMghGQmTiQNrieStpQal+IDxUDOpn3DkYN6TM5WEbYIIIX3weyFnScD8AgwCSg1RlZFwoIzKmr
mogODSgNhP/yYeK2X7ZrFfclA2iCh04HwHrIUs+ORURHKbTcMkMrI1tX5kGyhk4/d+0Q/1FveSSn
kWx3yekQainxJpVgrTf4GD/GA30FCgNCfUW190S6EgSexxl4/EJLyUMehKInfbbgcTTkdt4xM6zb
zZR/ExMcSUDiT8PYXD4jS/OGkwwbAGQjVaG299Ed0ogx8VLRmmH0BZj7qFxx8Mufh4InMKYGGhRm
45Ct3vRWBiJfkj/06NJuDv/Bz0fLAEHOCKs/z1eLso8sLbXNsBmDor9p9fDy989Pt0I3QKUASvWK
MmYWhiVOIUEMlVghUipZcQvYS379HQsToHBQZCTGedLTqqDAXEP7OaRM0heeesOnJsGkenkgf59d
R2kixGEgiQd1pVKyAb7Gmh0Qr6RgB2lHGmrS81tILiBR+l0ij9FHb+By8V3JbkR638incYIsEP9V
dNclx//+AvA6ICuOV8f5I5T2Go8tUyMhCmXkpkr1lUhz4YAC2fXv788RSlM1xR3REwohnXEXN81W
lglwzkgjRtfBDf6OBMTuQIaaqFehfeL00Fh8ElpV4u4ym3H7tavl9vJiLZwaUJTg65ClAODdmt0p
1CyzKh1yI9Tcb33Yrak7Ln4ehx5bGoi7M+QJWEkYBZTICF0IwQ5v5vURF0g0/vn+vOegiYvSsYVr
QNcRWalHyDn61xJbqCUA9ZyJdBNeyaBYny2BQEYjsehghDnOZIqegLUX7PnJB9QRTR1IZsCv4Pif
rjFppdGqil6oFTuwSgOhk8aba5cZJsDdAgoFFHDdeWohTqKi52YyQE7jNUpARtGuBEDnJwIGMEPo
pkfxE+Rkp2NwOisxpaP1oVFUO1xSAerqjbYr3JXzsGZH/f3oEuEQOaaoF/VhjDBeaCgc8l1k3TIU
7y/P2OKioLACBSkQw5+VO1qqs0KiMxaK4+VGtORnj75Iw05+/ndm1AE6Go8OavvRAiFQWLbmzgD3
Z8GrH65RfL9sZmnagGNDfhvNJgAkzrYYBTbGmnjXhVkWOkYKZTzmZ9a4acT12r94CiI4QjgPd4Uz
fzogq51au3WMNrTsmxKsjd6tHbe+C/rJ+PuYfVwe1tIiKQA3Ln3LNpAJPDXWWG2O5KDWhvV0mzhh
kd8azcpVsmhCIZGRISHncF7AIPSiq/MuTNCtysleKTq5a8iHZSOKoBUlI+DkZl64AYYxJ6bZhkgs
oUkfsA7LXfEASybApAF2LVXnOAN9kUTrE83Efi74C9ql/ZI8rXKoLO0yF7SmeAChT/8sP5qJjhZg
7BjgjfN7h5tfvcra8V5suOWuRHvnUasqdln4R+ULznKlae5wpGYKGbpT5zvsbkhRuNA3xvAC9oar
312ntmbvx0h47QBRThmaw6vrvgnQO9bpy+WdvDx1apMh8QuN0dlOFkkOxEWNqYvlJ013MrvnU+Cu
NcyvWVF/P/I2Fo1LmqHDNjQ1eUPj/q8Wu6N/Jc1KKVe5rdMQEFOGfYbGUtRWzzA2Q9x5iQAcPYRE
hI/WSL8YV0Kwpf18bGG2KJbkXp55QobC+Cmr+yi7q621prmFSBa0bIiMUMxQx9KezVcZtcItRhAN
C/mejG9Mv59ye2t6qBPGmd+xj5Z9xFUZaPq90B/RvLIyyL/Axfk8AmiPxxLUMFBNnvltN3aTrHf0
ARp5/KN3jPuspAcgmJ4m19gakx2MtfFgqQyjDRniyRbfLm/L/88PAE4ePbSAaMyTw9yCkuKgY8e4
Yl/qf2jfbwTb1dod6d7dbNvx25Y+msbVWSHMOzBB/2t15g/LsR0bZsPqaHG/RmBUb8b0R2ytOJGl
43BsZhbZ1VnRWdloD2HtftjlNxD1cOjQObvLc7h0Fo6tqL8fHTp9rKyEKCuek/kJT/3k87KBJV8I
XDfwoYq1+iwVLdhUgbpkwCYRGQ+IbDbxVNxonrtNSfxNc+L3y/bU0TrblHjcqXsE8Im5rzLgp8Yk
moYwqlW/8R0FK08n7+igb3Rgt4pqe9ne4gQCigbGZMXeOr8dPWZkrhHHMuQfWfRq2ishmHqOng3n
6POzXVCkke72FT5P+HPZgSA53iTQUUJJyW8VC3S/IdoKXvl84wF1gpcpmsKQSzh7dRkiSZG+jSvw
pb96gw42s20aGwFP366dOZUOAbcp8lQmCn2zrad1fdlBcaMMK98e48DDv5cNnG89RZyKnI6OUrlx
1iI7JXops2ksw2Tn0a39xxtRD9sWK27w3NcrK0jtIM210G+kGUUypT2s5CLxfeAk/LVK8vkWO7Ew
f9BXeV9YrrJA3V0BAoY1QurF75ueajdCmRIYwVMfkDRG03FvwjxlexYYa0i9xWXAPYt2P4pelXnu
aGLWNCTGgM87o89SoIL7b5q2od6mwhvp8pIvLYYBtnclJYz+0fnpl0MBXs0kL6HjfXDwmii37lqD
5rmDsRA8ggkHHckor82pDkRvOXnSD1VI0nxDu/tm+rAcjkdEt03LnQae3stDWpq+I3vzLEJmd5LL
oqnCWu99Wnh+ZaUHk3nUJ5zdxiVbCyyW5hA9P0jGKS9w3hpmZ55VmqQMM5K+6zJDmJQFY7HGPLy0
61QGTMmNAl5pzq5RMytd1qUOjv9U+ndjspZPXBwG3hOIwlEJRXvP6a7W+pG5bNDKEJ12wK87v2mZ
lb6MhjVl94VATPUp4zUO9iX8zxwMZkgdLiDJKlxxhd/yO62+K6fRJzaAR9qtbd817GXqKH4E+Abk
U1Fur98hx/bn0aaZdl05wb6d8+/CpI8sylof0IddLMpns/SuA78h54TL3MTOh8NAMtVVF8hxzJBF
mduMcRMmBbi8BYIscHdkK9t+aXscG1HH4sjI1OVdk0oYAdE/SAKj/eU5W/g89gRFXxvEJ3A7qL8f
fb4ZjQ6FaCZCy09RqVrzQ4ufx8d1ldQiZ+WExCvEFJUjh/Bl7Df9e7US+i5+H4S2qpQAiJE3OzxC
izKZCXw/4m/shmSvl2dn4ewgLYrr3wCnnXmmOhNF1Ik7lvHQ65KdTcQ2t5/6Nce2NAZcCArDry7p
uchpMfCmRrKMh1n8vQV9eitXApk1A+rvR2tM+sbqET3xULffa/OPRw+XZ0nt89PYTFWl/hmAmsWj
72dNnwxWO/BwBNNub93ICHp8D4R/XDazcAGo5lkwL4CXGSD0WQhYDayv2smqQkZE6kth1uiNTEKU
F9+j3v3Q4nblbCyuvgshTbAiwaXNbziQd1ZF69IqtPpqRMoapR7I2zxonljjs1laIVRc0RgM3lnQ
B80811jxGj01eh2m3WZ8AXvu5Zlb+rxpYGuB2AUJl3ne14vygrk2TknMgdyXI5P7qkvy7X9nZeYO
y2TsociEbVYR7T4fTCjvreFDFgYCEWaUQhDFoo16zsAHCUMKAj69DcmnbO5leXVCBLWDo8/PlmGq
4WCSFJ+HhEYCTvibqycIyhZoPgFxkcpWz84hKBiR1qnx+fjT7L4ZWrKyzAv7FXc4QjFQ5gJpN3eG
GXe1OhmLLiSArxPU7Avotqzht5aWADo/0DGDS0QFfFb2dlKi9fXAupCBuCDfRujXuzxLC94E9Vvk
8pFZULnp2SJUYFRLOitqw9F+kPw+lQ8jJI3X5AWW5gq4G9WdBXL3MwYpr23qONMwV+PE/Lj83ei/
dWgAXx7K0lwdGXFnHqsHoKWye8xVY33UQVeuXH4LYwDcC09uRfOMFZ/tJ8CEE9ER2oRadJPpYCgJ
L//8te+rvx/5dcqJyyoL3+ctZCdfBiOY+IqLXfDpqn0N7e7YSvbZMoDG26PSzduwwQoLOm5M/aMp
QcG8j7v3y6NZWAzPQ1Eb6FPFrDkHMZFG0E6WXIQf1AuLcWWuzr8OsAGUjICVAS7gLAXXNaDu0lNi
hoA0N7dRuxJqLnwe4RmuIB2xjsKbzJZi0i2elNKABwd5g8h8e3vt7CCfjasBar6gAThjqOiI5kjU
mgAwiX/f98mv67+OrlFsUh1VZhSZT39+0dctpRk6GMYvRfMVbRVXf17hlNCWiqeuavk//bxpFM5Q
A2IceoW+M8rpjTpr+ufnXglEonjtou8V4zgrZWSl1aQm+KzwtvETKxDeJhK3VrcSqZ2fOLz/kEBG
DR42zns606QlDFwhodvG28LeZg7ZoTfkag8LK7hAMVXQVHbmXYm1WUs30modIJbBr5w7DXqlY0jM
lYzn0pTpeHMqBitIuMyB/1A4cEYvnvSwouUtsfASnOLiK3KsxGdQbrx6CyAdgWwE4hyK58Ds1nDd
OCm0qNFCxy/FexK9Xf78wsJAHRxd6njVQqLjbwb+yBWmQ+LWtOZumPbta5dHMGL4HtVeL5tZOOYn
ZvTTjZyCcXNkTu2GTK98Ovm9XFmTBQNQdCPIAf4V7p43R3R266UFxUE0xU/9Rc9Xfr+a5dOXAE4I
QH1o6Ndxsc4DzQicXXZZ6VbIip9xu+MfpHqU+o5Mu1T+uXqqsN5/pcJQPT6rKlO3adK8NoDE2pL4
Phtur/88uJPgc6HRgYz9LMyZLCOZeqLZYQkZFtRP1rKlSwtx/P15zSgl2Uho6oT0IKIcjWHdSuyx
cPoQ1ijpShx2nHO1o492bO81XulUMQ1LsDsOVevnCRoBOQu0NeLYhaGggwgxrer0ApnDbKqyXGPN
yGsSNvdZD8rqlTLT2udnM9XrdZZqeUPC3HciPxMrznDt87Mjx41UKFYQEqbWJkuCdE1LcsFzoK0d
oAGl83lOGlhnnTVlcTaFrNuDodDMP2V2vXPC1Y2sMiJ/leSfLfWo8b7WKgHIceb6DRqqnPHelCvL
sDgOvCkQbUJs8oxfPTFJPtlFRsMWzFW5DGVj+E7/cvnULRpBkyfuP4BFUBQ53bTccDstExEJOXua
rN9RXwbWGuxw2QbIvrAsoAFw1IY4Ohhd1iBFaAEWCAr6OG/B8PE06O31p0/lKRBSoRSCgzEbiGR1
lEU5aNdI+afSH6PkLtKAuHq9PF0Le/fEivIBR0Mho2OKqk5IaFi/K/KcR7vL319w51AKpqB9UHyX
SPKffj8pMoDDi5IARL03szetufPYnQER3Naq/XKt/2hpNCYCH0Ad8aw8K6MPoJRw8q4gYdRbW2fw
3sdubRMvVMpVxhbAdge1a7wFZoFo1KO8WzNBQp2MP8SgbzsGJqIp4rcFitiJVd+60tzalb3V0Z0m
cJutbIyF3YcmBuD7ABtHPDnHCqBZNyOa6U2h0F6t8YuR3BX93eVVW5pHVBOQ7kejmFq701Vr04hr
ZaxPoZ05j0bffo28fuUttXC5APCAjJWqV5zDrGlE7VgUygTE8pjhc6/0h/H/IPi0aAj5Y+CUVOQ9
ZwBosQoWrwc4f1JNPjqsTZ+McgPdlDTgXL5dnrmlxUFpXj1TkBeAlNXpzLlpiVdGbeMmq9LA6pFA
SQ9RmmwuWzl/8yKgOLIyu3HcKtUsoVskZJr1hYF3qC07WPuupe2NTVZcxPmQ/obeQH3qQOA5837I
VohYpDKZwqzjqJTTgJpsq2sfl4e0aAU0Oop3CPfc2bFKoJnFCmcMaaTFvpdMz9NQ2r5WxSu30FwT
UGVrCBKZ/2vprAZMUsj45soS1X3GDpHz7rE/VvrSNMwnHfr5kv9DmuJ8G6LNA3JtcBn471lbQZdr
xCwGfQyHwu/ybd35Xu5Pa/XnpVlUvQvK1eKNMX/kR7ot0fsmcapSASzWiIf+s7emQnvuHTCUIyMz
72B1dcMFG6dQ6whIXIZHy2hWNvjiONTlioQOYBPz3ZAOWTfZjTWGjnfDpidtfOqu1NJU2wC1AJBN
AjeB2HZeeptydFk1WVPtn1xh+niIrLjphVkCLTbyzDg26nUxmyWv0YA39pJqb0Wl79Lcv74/CUVl
CiQp7leFkZxdRLqwMoZXcLnvis1Y7pLXywdy6fcffX6epQVFMrypg88n+ms87ezk5T/4PpqblQis
4k6decoU3OE0cynbT2BX01HTrVYg5EsDUGR6qn8L6TRnPj8xK8QYM7bP/Sb6qKqr38EAeID9xUPu
EQm7eVF8IiV3XEnqvV6aAfrDSbnWz3geO8GCYq9Fyghv7fktXJqStrSi9d7qgoT4lfeQUZ+wxzID
DHYF/nw+WbAF3J8q7eBgzO8to08HXpFWAPf8yMeHelrjlFkyAEgXylPAQqE3bBYI6gmgfslk1ftk
zDfMZn6yhuA+vxTRl4CwDD0uQI8h+XV69XatVk6ETfV+03hfPW/TdYHt0zUxlcVxKDoKMBAgdTBH
KDDipE08eHxvMggsTF6AS+Pag4FxHFlQ2+IoJJdugSqPhIWiK4MhJZthDW56fhfBAhpcoL2s8sxz
CVePOVZeeYTv6/yeVYCk3TbdfTtsrx4HygpK/QcNVAZ63U7HEY/Ask445vum5Tvq+qW19rhYWAtg
JsAQA+CLAtrNXKyTZIn0YrcGX89rWT03V0fBUHYEjQqo6xAMn3lwLaomWqQpiMOiZ5kF5fUOSilH
or8My42U4/lTtW0dr4iKfZvUm8gy/Fa7vbwECwutQ/sYV6gF7Xbc2adLAN57sOW2drHvzB3Xvtji
3ss3xRpdyoIVhV2xcO4UTsxTl/nRho1sWhTu0Jd7zc/F79+593PNeSxa0GEALQdoO5qn0uyOVzXh
Eith3HP3e5K+oMcfLYcr07XgcFX+Q2EQwRuOLOfpQHJkoaXV4srTrPwxG6yNNpibuvV2kqAJ26+b
j8vLs7B/T+zNJq5I6qgXGexBfmJrm+2WrDUCqC+cZlOB4MNBR2YNWcgziY6eZJPMpVPuo3oH7Ubf
dP16TT5laRSqEdeBNjAAaHO+3LiiSVlGtNp346eu/57WGr2XxgBkDmitkQ5RhcrTVaGF43SFq5d7
52C0vieU9vDldVi0AFeITCdCGjANnVooQIIFjsoaoQ56f9w0DSDW40/ZWi13aRcrj/s/ZozZq63O
0U0lLJip2NYsn7XsgAYgenUyEuV7JS8C3iz0xdozI5A44S5r83Jfe7/ZoVvrxFpcbJTH8EbDmcct
dTpVougdYBwINpSHiGQotkVWrNx/Cw80DAH99ti66tk+z3wRvdbcJqPl3iWaD7kwC8IGMf+dZdmW
aaOfoPozcOJzyVfmbmkfqB5Z+IAlniS3SErRTBbb8+m34b3S+k0f/1zeagtBCvw9gjnABoBynHev
m0naxWxA1GszL6CV8enE+c1klb/cWve9eI1caGlE6lwSAvJDPKZmiXWzxQOnaSK279HNavDK12q6
Nbz/YN5UO5hKFyGFPA8eqyzpIWcPK3X/6Do3vdzoa/3RS2cHfJRo9AZKD/tiFtzJuNAyp8Yd07EH
IDu2ac38ZvjaDGvglIUFQp4Ib3SK/Qdq6dmMDbpZAu04JvuWyY++pBuEgj6JNd9u+60cnPer9wPS
iAB+IsTAq31Onu7VLRgG87LYeywk2G/ZK9gX/RH/kujlsqmFowsMsoXMKJ6NyjmcHt1cMgTIvYVg
wHm3/V6//jJDqwg4wNDNgyhgvgmicYpAsFizffGSdsEqpd1C3hWZQmwu4PZA8wbNzNOfH1cTVkYg
LM7sH7ETMJnduC0L8n7XEujO7qIm21bl10hfi/gXtt6JYfX3o/BG2E4zQZqa76U2fGntYeNI47Fi
0R0oWlYO0lzTF0kJNUiQe6oGboS2xqktUiUFKJgQmRvgGYuzr67+xey/ZPwb67yt7X63vRcj5ZvI
boNu7YgtRD9IxRLsDfh1MMDOjhg6OmMqbJfvufmrFQ+e8Yg2jK0z3kT1bbwq4/A3bTgLTRAvKI+B
pzkk0WbXuqghtxuDKnUfV8+jbALuSiRmeRDnLCis33Z8a9bbBn0OOui9eP3sGdvK+3b5SPzth5/9
CORR4fBVMt04zzPx2slNfRB7i4BOve4aHxWqTZSkOz02Xgym77rG+EBpDP2nzGfQzei1ZhfjQcDG
liHtWm5oCuY+YVTfL/+0Mz+EJ7LqeFarga7kOetvzNw+mSJSHwb5BAEof6Q7IbZmckPiqzNVMIA7
yVM0PQpFNXMMhuRDJ0THDwZjwQ2P85VdvTQUvHFUGQt5Xbig001tQ4dST9wW36d+pY8b6Ottmp9N
/T2pflyetDMXp6aK4L0GhQPFHTpz3kWetYYsTXGwg0luWbK7/PmzE4LnGhiYsSw4pqr2dzoQq9RH
Ogm7P1jGn7w8pPKGiJtB20cW+IfMlZthYSwgiLTQjgm6CDyh1aweuR290wZh2JU4QI1QI/f0+fJY
lj6Ph7MJDUcHiK15FalhedSbRSIOwvgTb43yz/WfR+kImCrUqUD/PnOaKnfv5rYuDmjW/tmuBRxL
P/7467O54R2zOyc1xKFm3wPbWMnsnQVNyCccf30W45pZG/cgfBaHz2zca59D93b93CB/BIdjgvHl
rLKrNUPRo1BVH4ryW1s2QUfNqzeqamPGKwCJVSSJ5761Ap2MRlMsbuJ9kRJhs/04mL8M52GcbrXm
6ncNoiRcysCD4ZWJNMnsWGgmLka3ysRhSJBwY23Ayp3lvELY8Np5gx1A5wCEgEwnsMOnJwJYF6/q
404caLqt0u1wbb5YDePo82rTHR04CeWPpizw+a55TPlrcTUBl/o+iOIV+yaUbefpXG56WRJH+D5p
3Y2s4qe6ZgGlLCAQUs0N9+XybJ3vYoB2EEEgPQ2jyJqcDqfwmtaJJzkcgGv06fA7dt7sYYXv8/wc
KoY3gMURMOCZMaebGaY4R1iZycPgDBurEhv9aicIAwjGMWX4/ln/RBw1RWKn3YCN7DfJl0S7/vso
C4OMUj1bQJYxcySYunp0SW4d2l3jgY0ZJBOXV0H5uZMAAyoquMPVabcJ+C5nqzCxvIBcVWIdvPzT
yg4p2xlkt9bTsLDUOHs46HiTo0NqHrkB6j4ivknNQ7MHUfKmbdg2uZovEAM5tjHLK/St02K3wUaa
6pt0eKuh5HF5qs5vV1gA2zKqciqnO3/imVXXoaUVFqATz4yvuFh2RfmbjHfQOcjJGsRhYc7w2kLH
FDrLFE+d+vvRaSeQYQcsxdAP7kRuc7IBQ5nWxjeXh3S++gDgAo2CAo6Cls49I3i/WannLjlQ+luC
D36QUSD7FGmMLrjaEq4U9XZQb6MzcPGQAnSCXMp4aEfd0/x6EP2DHjn6Zz6k3gbhV3R1/IBeOWBD
ELvjxYee89P5c6doxAXXmgfwmTf9tl1rnf2bDTs9OUBvQVUHbRxwmzg7pwaE4USyqkrjQL3W2saa
VQQsLVy8CkTzZWJTLFG85yCcdhMeb6B5PdyZg+n47UTrhwnam3e8ZOmeirr140GkN3ifOl8jUE48
Gmwk2s1o290TJW3+1ZCfIBUDLteGmJzV7goSD9tSIBGYEu6UfmRlzROZnHgrLaL9aIqc7rPMltfv
FtSUkFsDKTjeRPOOaw9sC8SehHFwwbfgFS8j5KHkdDO2K177/JWpilcwpdQIAUiYB+QyR7q1S03j
0FupbwzPHRAXpvtjbFzwO8R+LB+77kZnd3a9YYCwXN6peMAsXBsK7qlajEDieMaiWkPrIxoi2zgA
o/Gmc49/KWNS3MrUzGIgNPV9VLX1U2frLMAeNm6EPoIneECDo+9NTLLAk2TUg8yz6xtpseKxbtsf
jev8IDnwndwqvHZLWex8n2iSvk52hWYmJ0E5ODCNKMI2MX7aJlq/gLEz7uq8VCoHnsw2mdD4duhK
7cYTttwnspN7bfTs71DnsWsITzrarqWcojMq/sPrZNc5UItOU8xRXWs5vk5F0McOkseQ0LlLo+xH
puXJjre28D0zL3YGTerfuaTdowRN5kPptkjICz39TEo04vjJOOrw3S1ihCI2d5NAw39QJ9anYK2F
kqmTfmA727kPTokDdYe3YmiqzeRM+TvznGrTpbTfYfjGDo5HBj2Nptu0yInvdjTf8khD+NfmryDU
iaEyppGt0Wk/ptF0hd+3k574TuyyP9ooE7+z4afMnNtf+Uhfo4HkrwJk2LeUCz1wrc4pghhajHST
oNHN2HZ+Ruv3Lm+9jwHV3QYqHhm5obz7ntf9O/VK6dNq1B9cD5Pulx6JA9Fy+Q1qag4Wp7ImNCYz
9jryCnkAXfOiu9EwmoDpGZRo0sGsfFeUrNiUpeGGZqcPqJYlLIhqBsROTkX87BjV+DMl/W8ILjS7
mjef5YQcsZ8YWkx9kySosBW9+wb5sTfZuO/6NI0Qex8ZCVsH+o5ApoLuXRvjDZlKl/usj8FraXuy
EkGnaeUv2wU+rYijOOibqNynyFfemp54GdPk06IyjMss0TcDRDLShvxu6SD8qLLlEyRFhnbTuJ1V
fWkgSHMziPJPAV8V7dDUAqqLprde7LSvuyDiYETY0NYAqXDcu40buHJMD8ANfZR2WyLG0iBlNurD
PhfpJ62dcMxa3vhaVn4MlP+USQ3nnydmUOZgoBmseAigIef4KU/cXcNtcedpnQ0VhRRaLgXPEraB
YIj70E5JWvvcqMG7EhvcJxA32doQQ7+psin2e6vlG4qm+D88l/wuz9lrMcJVkCo3oXUcv3eNZrzZ
pV7djWPzq7bbpvdtHpf3vBi1oGutzy6G2P1Gc4zGvWXpRH/B+UR+JaDmjgiv3ergtxYh3DE4BWsQ
l7Ghg+oezyvE+mm6KSCts0Et841RNITcghc4TkB1kHfmU0SArpkaMfm11VYbGRk5blnP3jhF+sfO
6nLjNBksVK5VgNGrLosdUDUTtpKl+/pAHrPRIKVvjmZd3zUjM33QHNLAzoY6KOMa7HlFBeEECto5
guapAOnVdkPGPNQTOOrWlD9ApVzf2AWLgyEyrcDTa0PfDQlqvkEzur+MSWvY45CLLzl0Hr6UQwlJ
lagSrzpjj2OmhYVTce1m6nFjBY1J/h9pX9YbN85F+YsEUKQW6lVSrS7bFVfZjvMiJI6jXaI2UtKv
n6P0YD6XXLDgTKMbjUbQYnG7vMs550ooqMbnoM9edJ7A8KjYNEbfjNV3AYUyta95nBxMWcOsdUUq
dVfTodOeJ0kUuKkdVreCEVDtUidVjwXJQ7VrTS3cKlOEpwHSIRp4cp1ADGIWbqqFbIPXPNxVbV7E
q0Szu2CDo3qf1mTTBuic3tH0u00g9gD/sPYt/AKvsUXpRanWdW4Y0viW8j461n2Q+kpKWa0GU90o
UuH2FbEgwi/6nr9SeJDrPgrIa1Cvu2wtQVtYkUDhAkCe4L5PDBoAsGaFEHMm/K6OaR77aWnWz7xm
wxlV8l+QQyc3eSuPRYbd0HSDfAdijytXj5vIc1K7Cl1hgAQfRU3hjirrvQyguENoomtNho4+P7u2
DjZM8vwRvcfRDD55AatM7DitzAPNLHbgVZmtcZ01T5oSvXMh1+cmGkHLRcYCKBwUw3oEevCgpYFW
3DBLyt7N8vEXJLQSbcNQ3aG/q8bmUJRsDeqnqld+B2vvZmjs46OCbvidVVXA5rXmSNCnrnRcpQzH
ZTx7lRVTXqZJGNcC1KddLyI9v00nsZlDlwOnNgC80fh1phkltPnNyFmVOfQ+WkrwEFFLwYntoZIY
C7QiaLasG17KIeO+lUMVQNAxvwnH+tCoqHVbmQGdqme/HDhQ0KuK7lt7pH4ja7YyTXSiIAqW1VTS
cBtDaC94OP4MRhwTry3Lzud0qLHCEtGPW3RECEw9iPWNjfcv9ccs69PNMBQ5zmkUlq4xtizy2i7O
3KhwQMw1y0cyVEK4NkeWmbVB7wNMtU1szRszkL/1ooA8Kn4iYTlOVabYptQYXcUR5V7c8eSW9Wnu
Zl22mTpiBzr2pZX4YXiquxMQ+uRI67DwwFrHJTVkBWGZBILlbpW1xROUdrO1GAhdmXEa4NAGzcnq
eyiABqL6poAJ2TLI4h8AHg43WT+i11ar/gxYSg8vrvA4qsNHC8oXmyml7ucOUytmKImeozRQL1UG
bT+iJ0egt4JVoSXtC+ygesnSYfBhost9yaPmgYu8hHGwjcoLbJXe0WwYv8dRVrJbrdPVD6h1U3es
a+YBVoz71urBS13nr3pjmWsLRsElaUw92dPAE1qX7qwGy+HY3W+DtQ9E6XCujApwKI2fuEjYmneR
VXtxDwgIQ70OSUsr2OqsbvxARKUHrdXYMwKHHtC6N3FDq2h2MMOFWyS8XKVxbZ/xllV3iqXd3kwh
NpNS3I6Olnbiofsv2ajU6DYBTdWN4wShy6OeUwRv7egWvKhuQb43XphMnlvKoyfVJqVr9ry6yWBD
XJokoCo2cJyEXeHm9PDmjnysHLHSZM/cMGHF76Ylto/figcdjTFzdwjI7zBDvduXgpyNtm/6rWbJ
tL2Xhh69NhSujGT1vnbot9bI4wPkUR0U+CtnTDc6mpXU3ljWBxLbD6mlUhxl9OWyzPol5O1RJFW5
1Zw89mgabeCvcbOHRmy/hqHd1E0nd6mlGb6u9dYO8oGtB2B+5dZEUrmOSyj31fo4YfXwZLMhbzxa
QDuhM/O7cGThKjCietVrusT/0fhO+LNu7NzrKq1e4YhAAslifixE4vYOHzd4bv+wQf+lhFpDUqQA
jwJFsNTZGAn3q8D8HbKCuGMagI4CMqtr1zHYTkmOXHUcuU6iMAkLbZOR7xhvhYxPQkVvoAFn616k
DcqBzTNL0fgro9bLOJjxPm3Ne8UodNK4+JOXBb9LQtL9Bk+LHGIedOeRB8FGzwqIW2gqeSzCtlzl
ARm2obCUsxqMjCS3aGBRuVruhDcESw6dYFDyua1KxKR1Z7YuKzW4XiloMCtHDcBfczxnZtGVcN40
NPpp8FZ+FwPeOpdULDoZUFEePC2u2M9O2fULTZsfkCP+qUIr8PIxauC2Jeijo84BOng/VHULry+C
eTmQppXCz1IrI16SqL72OB6k3z0f+QaK7PInXIbaRyrTdNGTElXEpK2rVRRq1coMsmHlpDS5gbhD
fU9zRY5Na8XryhImNsFKUy8Jm9xxRTwEj2krAGcNaJPZh7azS+qGhhxHP7Q1utYo+RNErbzPaPFY
W1a+gtlFwEDiaqsXVgAdoBJgOanl4c+4KVp4qLVVY3UaJ9qUMEeeAiLmh6HV5Q2CBgjYjVrUq0Nh
5BU9Z8Iqii2kbGOxtuDZQsE+SNZpVqV+GkdnVJt/lyl8vNJMPGZ2A+wd2m5qzvjHcWQLE27C1tj4
9Sm2f5WnPH0GGpEfRkGTVZ+ABDDgNp9aa4T/Xlbtj5iaLT7bHjO9cuDX2y0CoKHziqbKjVWZ5dBa
LCL9DMAGbzf6kMQJnL5ChtpN6kBMOsPLrdEOrilKaW1XVXAYx2IdKgJuWKdZLxIb9BJkjhnemi3q
LDbQl1sS96WxE1K/QxlfQpRTstLLjY5ss8Rk3SriNZKe4YDqIdgLxl1lxRzUvOyVJiacWehO3ulO
rOAMqmgvQ6DLXB3Z2SetK8NdzIJQ+YJCsEUrLIiEgQlT7p0qh7kRWRo991bIXc3OsA5ApUFHTpSg
4OisXDmU/LTMMSUgY8ABNnp+FG0j3KaOKmCEx9hLw+RM9CH2kro45aR9LFHS2huOgH8Xji3ed954
QZTn9yXJC69H0uK5sIrjKCI4YqSzPasjuM9RGe10vBebWBd8Az0TisvMuA9kfrGHliepH0Dsoi43
gqq4DVVU5XcQbHloLfIDzbOa7hCErcG/BYRAaWskHboRVtlrbnZnwrJHWtUmzqshnyNiikeeNbpw
NTqMz8Lo+jtZ1Qeeh5aPhzLFqXf4DxmPz8ghFFGBN1BoZBtapvYjKRLiIpEErkNsVzRax7bKHwJI
Ij1bIX69UZb2Lzl2SDwY7BsUy83VMIinMulir0hwL3LevDWSh7hl5bOh+sLTR8SCUV+Vrl1p5qay
ssJrGPheXe+QM/zex4gb8TNk++2fELCL9qOpV3hAGztzsz4o74KS9p1XZohgM7CQVhnAK4cOwmNk
rY9h8FDywil8dOYoxHY0uoemsFJ1iNNJkjWzENRFDviLnQredDm8pW13I6sEKuhW/nOwx1OJtEWK
gEnI/LaL+CsLCsPNK2CJV1XU4TlSRO+g08iBL+N2AZFDDtkzYBfaEhuOlgN057SlDeaYUe3Mkvwi
vfnLcLrEKwsYSDMnv2gDQi6FKXLRML50UXrNAYLoI6xZFbRPI/BZ3sD1ADcok38qY9TczLRDb6jt
ERFQHYWHtpDdXjCtY26qxCEYQw3EVRMQq4RKU/fT0HruBTgkejwc+8yyfYT2CPVUnMCwOOeaBM+a
iDUXjdaNzRhnwhtGlqEBII/WZRJ0+Glx9c1ShUQMLyamTZDUP6DA0PrxCA8b8SkMdjSUdz1nmIMC
8TQdM3nW1Jj9TNFR7juIr4XcQoCtvk8AtXcpnh7pKds4jZBNe6wg07G1kdlLPBqR9ABdPfNRpGGM
G27VLeCa6Nblwl9kLwJYz91Ie9X5QanZ1booc2sju2ptioI8IyBWfg4A4J2EVOyqycsGtBOm/8zK
thu2MgRbH7ET4K0hLAVeQcd1WlJ5DXfGjej5dyx94MIfAXeIw1EdRnIuM0Nt0xjRvy23iATXTtw6
e1LbCl0/gri7a9u0Ng4O+tOuOjOm+7jhtQecRe0bqn1CyYBtLY2+OFHVu33pPEYSE2OpiW7J5iFI
yEkFLRzwNHy1G/ECl8xejRFzdqo27oUDmEpvp+okwqhtV3VNMq8m6B/raYQUfsWC2K854pl2CH7Z
0G/zTC2DYKWRbfOMbmllbUttyGsPLnLl2ta4quBYOVa2ZfV3zrat1bj6YL7RPqzXTSX0GxZFgOSi
FPFmIvPxM7JbxN8FCTvfyiYd5ay4R6j5RJswXaVS5vA4m2StHLtx067JDsjdnuKhIi+DFoubPLft
3FeB+Klro9rArsbbOhqtu8Aw1DdVTw1Pe0gsETs55+34moSluZHQbB/chkXJIYGa4WMyduXPrDH7
M8+cx0IjWQQ4oYWMWxZLP8W18NJWd3ZVpuV+AoWu0kXK2XgN8Ig8AoYk9e2YJK8CHsJN2DNyG4fI
iPaqly6BjbkZuaD3rZ4byNXkGnGlEUCfmWvfHaqOxjjqm7ow1KpM2vigKISkA1AQ3bgr/vBIe6vN
0nAdnpzsFMJ2Ap6yz2PyKwgKSOsGwNAFY2zvQjO3rH0P4bonY0S+q0EyZ9ch6nLD0njsu9pKfRnW
nHtmqLf3Rp2M0MgwBfwBR4uQPs1tt9OlgGB+Ih7jIsSYkf0sHSp9mXH9QSkm3uKuQiudABYUghHj
+F3gWdi0DKHtukco+K22KOJHyxLitWEpNHOb6qHWWwolaqhWe20SqdbTaXEuUqvf47VFVduqIOKL
DOaa4B+kmyrkZMSvPkxhnCypum9dQ6vvkFAaIfhZ56uw1py73O7CdTIWb2mNcDEB09ZGR+28R97Q
+YGkQOKFbd48j4A63ls9DUOP82DEFOG+7C1axQTddAJ7rYJBeaRL0GuB8qehqeM3BynQI/TFnpF8
t7YjHZiHlPAIgxINxmoMrGcdObxshKG10NoAGpNR+trVtPUGdMrNkFaQSewroQ0PKWvSN3sC4sSB
glF0QvajRfB5o428+h100zEgxhG/u/H7GiUHr0LGzKdOJ1fAyVXnwEFgq0vngcoo8KRR2i5lJS5n
kSs3M2LD62GE1q1Rhj8TgIAeoOjRPuhNM67p2N5KS7EjoJ1J5yoaT8GGlho4XqzvYXYRFVey1jdF
PCIHAhg7YDcCGar9yFCyMND4+Aj+KL81FDrJDbmJbsswHg9trZzRT0jB3czRpIvUM25TyKCTrQMk
ZXmVztIFnMK1Ihwkd/Sp3AeK0xz9KIShw9ca2MmWz6O9kmxbqq9XeCHnA6wOhF3ApDJmdcvU5vA2
8pShRO3ryTZcoulfq2UAOTVVj3X8NYclmshhMeSa2CnXVujurC8pL1/5/oSpAKoJBBe0V53B5PKU
BE7aOPzUmr9gVnEQPy/HXNmC99+fI4StxlZIvOH7mZDIGW2NYhciA/f5IAuTYLNaHrLzA0fahwO5
ccDToi0Uzq59HhAj9FQA/hSMyOnP39VyKbI96K1j2cDT79/CpRYUH78O/UfQG4D8QrteiKVdfp0P
DtNY3LETQJHajufbz9fmSo344vOztUFIZ9AmwueJODj2To47NWzsdAmkszSL2T1AhhJ1D61lp2J8
Hftz/OvzWSx9flYOpqIRIdAT7CTaLTLcbGGHry4S6vVgBAMbYJmzPYACXmHFwsSvJ2ueuoNwjbdy
SYz32hzAmEBrJnTrBpNlBgkIhB6lIgEYJO/xSg6li96uX1+lScJl0oMF+H/OOY6TBiVpaEKfDOQk
Y2OVl1+lcYK9+X4A+/KsWkk5JgJCcqeOSVdxPyBLjIJriwRqCXqxMJDYMdblCFolGTJP1Dg9IY/m
WsFSefja9yF0M/Vcm8gfcxSIcngaM9FZJ4X3EF68rbSFTZjWYAYsmABL+PkAH3/s6NulBuqoRmuf
pLobQx96JGpTPzjF12/ExTAzFKGWJ2nocAwjUDrww+zrgA8KwK4JVhdYJB/6/FQlUiBRVNpwms3b
tPfNfGOgZFwjMfP5mf34QADDAuwICAOgsYOZc7nhraUzmQsH8YYxxofBLE6oUZj3Ag0HFkb6SPwB
YA3wFQuXEOwLHOTLodgUeBecBCf9vrFNSPOGgF68CuPRiUtPE57eIdWwIAfx8bwBxAIYAtgrGJjO
2WVBZ5Xc7kVwisJwE2ja+tvny3fl++BUg7gw9eOCttzMqNgDUZkViPhclequ0PM9078Mi5xUF/83
wmQ7371+Zd46DbQd43OHklK70qwv4yLxfQDLJoAZdCn5bFdSEz2ROpbG5ySBRfQW+X1XVwhi7xZe
WIDl5ow1pxMdySCId9IpkAD5Buq2/7AF7waYneAm6A0xVBhAkHVzJnTh2H78/XDOgM8G2PZvv/jZ
54lsA1YiO3ACrS8VUBX+sk3H97ED0Mud3OQ5EyDVQ60tVaCdcvum0DeKL9jDjxccaNS/124SgoVo
zeX5oVqLBhC6mZ75uCucc2Kti2H/1R24HGJmC4u+MgkwAOnZ1HxQm/IlTZcrW/CXfwqOG97vD5cs
hGpxahZoPmeQXb4vwy/fAEe3gBMFyBUMqg9QNKmiTOWjlpyL1wjoZvn1AwSOOVCPMBCwffZsddIq
p3k1OOmZITlI3fL564v//vOzCILK2mptic/nxQ3vbmt74edP5+PyPZ0o8v/v58+7GBuooqTSwPf1
zhM2SrLURXoS1UIv5ktCgVfOKqJEgL8BHps0sGZ3rU8sK8qcvDjb1mPZSbdHe7NxYT4ffc1JYvZ/
Y0yH7Z09rfIGoirAT521lVCxK1f6lLpZfXlTLgaZPQvcKkD8DzBIydA4LbkZiy+/a5gFNKhA1AVf
DiDU2SwqM+ibpCjOMOir0Rj2QdZt/mEO74aYbYZqAqsIgqw4PzXDbZ98+VlD1ynI/0DdxsTjMzdL
aSbrPkSB65Snv9rSY3QBBXnFZoB+Bmy2g4UCf322zVkJ/ENfBtapJ368AxLgy4tz8fnZBqcamKyA
+1snGfdriICV6bBwTq9OAFKpkCGB3wLk7+UOZzS2RjkqLFANfJeNZjZqYYTpN85uNtASeNfQVQqp
k7kvngSNjuQTt0+qXgPUY6XrQK4/X6Yrlw36PIgnkOL4e6svJ1ECxEBLFHhOELX1jOSu1G5EWHvZ
l/sXQA4S2Rl08YRq48SsvBxHADocQxqSn8JE3AT7fNFLumIFLwaYGfGIRlE9oFh5Sv8ARdXGazP2
7Axc0YVLN3eSwbdAMRy6VYiFJ1j0nB0vdSNoRG9r59aGP0ZRY6V7rXuyQV3out3oDD6wLUjGRtvP
d+ovi+DdaZiIJECXAzYMLSzg2eeZrqKNmR4GPTsPPUrroGWmhhui/vvojAPbxGgwjVRt+RS3pnoL
ctq9qdJybgqhgj+5Y+X7IiBPAg0x1jkNHFdjI0U1SwJ9wzQgCduqgT7FkEX8IWor9DDraHQPhV6F
Fu+Q2vfyvWQeWCaqClGG7R81XqA8K5oVes07GxSBxUbvGABxAF3tGtTq0doj7QHPzZ00OwBeFz0o
xzyD1kn8zxdm2tn36zL1QgbcEHhtdCidkNWXRyuLuhItR5Lom2P9csxtEp/zeG/Ujls5javspR4Z
s0sJqRsMB6LElDaFONp8/5sSAMpQVRGar+70Gm1Qn3r2NX/nvyGmpwN7zsEcml2WVFcVXDYefgNO
j+unIvkad2D6vg2zheVCR9/pVl6uWKFH4+Cg1HqsgPfWjTPtvmbb/w4Af3xqpYm0KbKClwNkRdFp
tDGcY65WZG3Lr9n2v5+HQ8uRj9Vhe83ZXde5sAc9NJ1jJu8O0vyHHw+CKVKO0OqnH5QCe8IKnZS2
c0R3j9J8VvlCODQzudOvh5QjUtYw61DKmgf0iaUlbIhU+K0x3SB5ZZZHHbcOv+byfxhl9ryGTh8X
KpThtywrNkD5/LTr9Gsewv8dArxDOM1IFs37RUoSyBxq9+E3axg2KGbe1MDqfn63r6/V/4aY3e08
hHbV2GOIkO6Z5nPTi4pNu5SDuHKlJxkuJAYhnwAi9iwF7DApKgkm8DGrTXdgEOvZVafPJzJzFqa1
QowKCV6Q3XEj5h1udR60Yw228bFtPaPeokT2+fevLBTaViA9DqcHUcw8SZ6TmKdDS3DjyjeiKWAS
9kJST31R0AjzwNmFLIwO1jIWis+uXp9xMwSu0zmOr216nz118su3DwOgAaUOci72ZC56DqBwUZsh
58ciPMS7yvrymZ0e7ikDjIolntHZgdK1BpmajPIjqCTDrZnsPt+GDycJFFwkIf5yiNAuYV4t6k2N
B1lc0WNX3hhvVN3o/Ku2DyOAiQnCOJS+JgbPpWmttT6otaExjqKOfKMBcGD8Wr6D4Rxhi8GZhHwp
ajrzpg9Ab/KoTnTjmGeuzHc5Xziqfz9w8WBjh3HNGMo6yMpB++ByCqYMZVMEYjxGWecDNe8m0abt
AYOL90U1AIx4Fw8nRV5Cc1UH26BaOAJzJZNpgjDrk7yMDiEgOme2SXBdakBRx6NuPhg19aPAhFzB
zQgoEDyZ+7r2nT9juHAyPhgAnDsEtQia4QIzpHkuJ610Db4xxFGOVgFA8k3aLhiYuQH46x0ylMig
9ABJu/muhdSBMbYlO8fmzfdNWRzS758f7fkE/g5gQG4d07iShMmapnUI6diZyNAHxaqW1P//G2EW
Mjd5q1MjwhTQWkvbBP8wAQoVfxRo8OhOnWYudyAqUDgpGx2fN7RNnETbBa+NXdkCKBdAnsKAXAT5
oH7BVIzKCa/YGZ1MIX8epOldaOviUW/L8EhMiD1q5ojmfWWQ+AHEEz0zFeYtYEkAMkhlN2ubdeZe
0NR6yJuy3YBSSf9YSt0GQ5ZvCVUcEA4t8atEEztnbPRNYmpghNkdkmJ6AyQ1b8RatoDWShDOAK+O
em+IIQ7gAfLVuCLtyO8KvRjcLoD5Gwc4rsCnLim0X7GBON8ojcC8Xqn4d1miGXknhiOBkkt3azR7
LfqqA4vLBPcMWSIIOiPBMrMgQaEcFhikP2b0t85iIMDfPj+Kc4rmZCMwgonofnqDkPm9PCw0BJAm
rFQPM1u7cavAffXG1lXtvTYeQV98MRNrZfYAwDfh9vOxr67fJECElmAWeKizJwop+pKUseiPrHOe
0Cv5ezpYJ1YvhU3z+zzNkML9h7otmn7AKbmcYT6g2gop2uHYVERio+J6l6XZEsJk+srM1jMYWVQW
/srozqOl2Mm1RibacPwLMmzxKpI39E3xTJIDCv/w+cpdndK7waYL+i5zaIUA/RUixMPSAHCV+wBv
LL1dU6H7w3xQCZicIOR95vPRa3R/dDQTh9s58QyATyvbdNWL0JVb08jLh9DNmzVZakFydRnhBkPe
EYfyAzdfgnWQQt5nOEZdg85h0jr3KGelVukFZrdpMrLwRs5W0oA3D9o3XF70NZ9CuFm9XxPlIGWT
sONA97R+C4slqb+lAWbPIfL5rEWxnx2J8oO9NSzs09XPg/YPYXGo730g/kvLEDlQ4ww0geoPavH3
XZn5nx+22Zb8t0SgxoPCDdWwDzWPscp1iATr9Gg7wXbgviA2GGGPQ/0NEM+FEtE86fR/B5sEyyGI
a6BKe3mySzkkimQ5OwrarpwxQamiX6O79QZh8lbv5H1ihCvDAgFS763z5xOd+2v/DT4lImEvELZ+
SPq3TWrFJWNHVqW119TGTRvxDdUjgNvEamyAidVTMMkGrr3QHhyByAk3cQjF1jyU/7YUgG8gKY2w
E/3iLpeCRl0XjXbFjla6r0WPCjV4s+Evh7V+EIw+1VM/ErdAcn6+CjOr/HcRcPlQIYVe2pRwuhxW
K3PA2PWBHnN+Q8dd2O4b+bWQ/cMQM/MFOoUYTdXTIykf29ss/tqj+eHzs4Ubu0JUzFEUNuQ7s78v
eD/Xbtz79ZkFhiYwyNIGkP5In8y+9UFiXrhvSwPM3DdmdOin0GKAvN9aBKSmcKmQPK3vO9v+3wKh
e80Uv0H1Zu5V6GXqGFpm0aOVdBZIv7mxaQdd4q3SQOrm7Rehf/+NZyIsQNBuoZvb7EhVuT3WxUjp
sWhMHyk5XBfiyaV85bVZQXgYqSb0nETZbrYxeWhAsRCJ02OsF26tP3B+mxc/0nTBSiwNM9ueYKjG
ng0YRuq1a9IHZt/1oDbpYbRgC6/ZXd3i6FwAtRUURmYDlS0t7CgW9JgIwGerfFN2+lbwzoNCJSxB
YG4+v/jXzt2UdwdKE0Afqs/GA+Ug1x2Bc9cjnRInLtrZLMxoYQQ6e2zzGpTvAUD/oylPfftofhHS
9fecAeILDwwuJdzK2TmDcHhcmQXDzSlavzfjuyZZKhbq18yjjiVCSwaE9MhxXZrHAMRPsMca/TjE
lgnqvBOu7LIkj1lfK78UVvqEwBh8AWGIs4TGw64QdPAS2gV+DtWhVR3F9WNREec2rGj8+PkWXjsy
yOROSRMIM3/ACNejZKFKRv0YsXQDl5T7hHa3NKhBMhT5TVvzLwJu/y45Hks8UAjI8V+zQ6PlNB0q
C3mg3txX60Wh9GsnBgW1Sa4JT9EHL5TnQPFodYQ3sLDdxv4VpUu28NqSARGO3w/5JGSpZw5Hbjst
mA4BPWr9MSl/6CH3RNO6o7Hv1FKZ89ps3o9FL8/OAEa9sEiI2UReUDTbLE8XQqrr/tO76cxiqloV
/VCA/nmsJx1RbSjLW3RPBWcIyPiVIweyNqElui0TIFtBJKtWYBMu9Q27Nk0cBwgNIz2DIujsmltd
lQxaNJjHlOjbaISAXnH+/Jxfu4S4gRCARuUCfQCmTX0X/1Ad97xko3lEccc1ygfNOqZ6vGCt/rp7
82cS6n+wvBgKgL3Zg9L0doVe9KNx1CEyed8W6EDbRz0BXlAbOwHFgu41hJLGFuqpo5sPVuihndA+
NW8VMwLmqswIQE7JzbvQQZHIpTIw0NFyrCu3HEDZN2XO7pvGZKu+7CwPjN4GhCUGKGqgh0hKxrr1
OhA72o2RxJs5DGm8HnrL+i5IBnpK7iC4NIYSZIaKPgiZSDekolbQuAnuHNhu0UHjNtxo7SazSfcW
DSL5Rsf4NzXr8Ckq9GJlStAcSwFWHM+G7AbmLnXVWKo1GjtJ18G12JIgyX59vnnXjgeCRwt8UwCs
PyjVsayz21Kk1jFp99zZd0tEiWuHAx0okKHCW4Z+GrMrkEgd7E2jN9Hek/t1o63A2NglkPj5h2m8
G2aa5rszmEFTvY1NnEGCdumGL8X68+8vTWP683ffH2mdhgXF9016kPLOpN86Y8FaTAf48oAD70KQ
+v6vVDOX84OcQKuyLDeOGQvtndNpYLAP3Rpt5gM3a3l/E09Exlooc/XVuWHgSZYeTRwsQD5mW5RB
i0FP89g8jgRhDbSfrWQFo/v5IB/P2eUgsw0asxzZ0QyDJPUGesPhUnp/6fuzDeKxyBlqIDgAf2R9
SpvT5z9/nr3HYzr9fhsVR/wbqzR7Wk0rq7CAiXnUY7kpieEpSC5BWg4uetMectA/aW8Qlwn0BtJl
8Usb6cIR/OjqYmQQGDlkgaGC+CFOIKDtJsoyjqQWO4aQwR2gKwl1rFNQtQtH4uNqIp0Pvx0pGJSs
UPq5PO7ocdnSUdjG0UIHmeoUWAsx58e5XH5/9vbaperRdiUwjtFwwN9QKSooqLL+55u2NIvZwY6M
EYIo0yxyy0MLAXvhSE9H6vLCTpNA9RTZAKQz7dkkekL6kZiYBDK0SH+0xWO0xBy5OgQA6lN9FTip
OfgmTzpHVThYxwHsTkAsezCbk8EnLFoIN65uCIAlkAZ0prTp7PpoAmGMGWIgJxDGA8vMeC1VkPwc
wzA8V/VY/MvWoBQG8Ax078ncKykbq2/zoYY9Dc7mLVMv/7Dz7z4/O7/MbInkPT6vo9XKDYAO//B5
+CEQR53SfPNytAEcS2lCTeOoyA5l9cWWMVcPLnLXwPmgZIT4b3b9LDSZIzYezWFfQqSxDt/+5ff/
7/vT+O9es4YOBYFiFFbftbNbp1wAoV49te9+/uwwtaSloKPj8/KZD65JIKW0cFyvjTCB4ZCLQ1Ud
0tCXE4Bz1gTjiKsn+E7oGybSTQctqq+v0vtBZh5nEgwmhFEwiFXcVF7aL6Surs4BdUEOMXCAcqzZ
59GSNog4lGSOjN/T8tBQD4Tkf5iBNUHUJgVqjHW5TATyKk2vuIn4YwefdqmT2dUZIBaEDixMk/OB
RKMjCTtYwjpCW2CIH+Pybuy9f5gBkr+wskBnoOZ2OQPIAZiDbsA9hVybXBstr1dK1eWC63XN+sHx
AbILbx6yLh/um4MeD3Bfj1o41q5mRLe9nFoudIeILzXxvTrWJNmMIh8ke+c5ddYPRsKAEj5qEsoP
QO/k+1gP6g1EMKaOmCxi3766hGi8jrIi0qRAwQJdfbmEKk5ZlkCH7dg2u5hvlx7Zj4cAn0cyEdQ6
uAt8fgj0yIiMPCqNYw8NO15AcCeE6sW4VLmZ/KvLx/ZiGGcWxsY5SRs+CngMWtbaG+Dc8yNTevHU
RwU9ApCahoCRtvFuLMXwxy76LzZG/esAgpuGZhm4sdiW2Ulscg3wlFxjxwB5HKisFs0S6uyj1ccU
340w8yekJoFCCG12jKAtus3o7h/OwbvPzw55AOHU/yaQgMuFJlpZMS48i9NJ+rBH70aYPSul0BMb
KkMMOcvIy6q13iCY3ho/bUDC/mEucIo4On/iXM8LhWIo06iQiJVM5xffRfqPzz9/Ja+IrUASBll5
sN8+FvLyBGk0J0PUSs9d+1Qht2FsJNIbVpij2jpAZ2eEKKSN/oDClfq6syL3Lvl6hha/wkFACMME
TeR5YiUfzAGqPfL/kHZlu3Hr2PaLBIia+aqhJk9Vjh3HeRGSOJGoiRJJSZS+/i7lAvfacqEK6X45
6Mbprm1S5OYe1l4LidmvxkFw+Xh5lefOG0jKAUXC8BTwO6srldGO1WnfuEdtQpXuBVRP/8Hv4+1B
EwDC1JhY/eh4ylH6hcTjcRxRdw3lNfr7M/kywHqQQYbIJWKkNbafdwvhnT+nR4bKTmX/BMnxd+qa
INIAI+xwrf5/xs0BxbMA75ct+wSkMkTjVlbZ0WPWpXGbbkEVDLoR49/PNbYK/YXlPUVos9oyc2od
I5jd4GiHQ4e2wvjv1UDA64BEgrtGMQ2J5Mdv0uUEU9bcqE919/XX1D1d/uJnNglD9Et+DAgz0N6r
kEaxDCS8zdScQDEEppnG/k6HKybOHNoPJlZ5OK/rInNHmHA3Bl4AcQWFeMaFYRYVad3StkB2svoA
gWrqFl2d+hSwYZ+nGE4hRwhPorwfmfPm8m5ds7Xy95VmKePmUJ+MPGGgCKwjwKXzO5A1XLZzrnbx
YVErz0/G0TGIUvWp579wpcC7C/737o5N2cEDsUVWYQJxgAaXLiRIqSn/dz8AQBEuzVJkBLB9FYDU
eppAayjrk4/5cZCTXflk55f37vdXp047Rc1bJRYlvY2bPlvBrdvduXxXg4BK5fvWAdvrnfOPw6dL
PLCok+KsoIeKqGB1EJGcBOBnqutTPh7axO+u5FBnDwdFKArAz5JkLlftXYpGCbN7q2jqU2GA+GdG
h+IJ7Hg70wOB8z+C9v8uxUMSDjphAOo/zfoL0NW2WZXBKWiwJ4G5L7+mU3HGMeAVRT0J4Scg0GsQ
pBBgGmCQuD55ORjh1Z1AycRwXi+f83NGkBYv7QF7GY1fHfPKFMM4MLs65UNUkKhk8XztSbtmYuU+
W+aKqajd6tQPVVyMz4G8EWhBXF7H5wyBeO/Xsfr0ZWc2dVdjHWkVu6BILGJXbhBcX7Zy7oC9t7L8
Fe8OWBfUukzB1noawdvJyzcJ1vvM+sWKrRdc+TBnb+h7WysPYE60aw0GW+D13WWQ0zMIibvMD6eh
/Z33oHAO+h9W1sUZnY5GBd7+/26tKw/ht3VOncKrTpMEFyfKNULdtmKbdTunuOLUz348BxEbhpzg
8NbpEFD4VW6N+HjakaB4vMfc9Ug2rnfFzJlnEKi8/zOzjt1qNDwIOgQ4iDkEZDH1pqwrWLyzRx1I
TAxOIgT9BBNhFnQW8s7Cnunvygb5TvDTMq84ubOb9c7G8u/fnUG7pqpUKalOTR4zPyrQUusjcu2B
OLMSHwwHkKVDbLIsZmVFdjwb6qo6DcAT+uCsbuYnmv9zNQch9DsjK8+Ap8I0MU1QnTi/L9mbtg58
OF4+xWfayR9trBxDg4omgAwIR1q19fxbE+Tx6CWTDRhAfQp+5VdZ/AdvK5YFCJ6J7UN9eBUPicpu
RNm1OGfohLr9N54eVHbToEnZez89/1WZUCmMzTy5vNTl8Vxlkh/MrkKjYpH9TTOYlYA/zTjhaIXq
yJrCsU/APwgO7Sse4sxJRCqByHVJX/GCrM5I6dKSoM4OcYcqho9Ix20xRx65sqwzKcsHK6tDooKW
yXTyyhPq99a09529HH8I2sasMEI5/7y8iWfPPdq6oHBB4/UTmGLwPdFxKNGcGusPMZ8Jvx/5lT7O
NROr79SMnFQQJylPHNIO7FdRJ6b+dXkVZ4/Cu1WsvgywOrKuQJZ5QsoBquzvTvGVGpCGHd7c5qUq
MF98xSldW9PqI+kpGCBPU1QnTGMmbftDyn1jXhtMP2sEJA1A0SytnU98WmQYpjTQ8K7uTZNuB7QO
G/8/Wcg7G6uF1JidAU3xDO8KdvE2hEZKY0aXP865ZSBVRXaB4TwsZPl47xx4Q0oGsn+zPOn8sWow
6vFl/EeqgCU4BW4FXDjoeCKyWwNv1ThZHan78kQhKMP2Vrfjw0Oq/x06BTMYccdc1pLhr+Nto8wG
YFyG8uQOUTfsavPxP9ipd7+/eurAbOy6Zb/8vn4Z8leD/4bSwH9nYhVlQTdldMcCAjWgbS76e6io
WPbuvzOxCqQ8qVTF67E8zTLJKAEx8V6xa774zKFCqd9GOR5F98+9QdubSA00SXdqArkhkxm3wU1n
XQMknLPydxYa4zwAl69fNkjJelnqyu5E1KEj0JeDrNCVC3jmUUEc+BdZYXuoUa1c12CAW5C0UuDo
DrHt7EpVJYK95dP28lc5a4eikwqY/gLDWn343Bg7DZZwcYIsFaidaRiwPm4ykCIb3y5bOrdpy0Qh
OjFQqvOtlb9HX7UGybcpTl1Txm3xgwF2rxorvGzlXKATvDez2rhONxAKUSMWRNo4L0DN6/FQG0OU
2Uk59bs6D8Kxs8Ope7ls+dr6Vi5zEqAhn4xZgBAYso3e/aLE0lwrxJ814qB7vHDQILtfOU2/czOP
z/hcYtCHgY3bWT+n4t/jUeTZ6M2h5uIv04EfPbOjVIs5IiVO/KtpoupySiHAdnmzls1YBWmYFUNd
dykbILxYHTvgRmyqfRzvsZz21IVOl91diS+umVj5G0RLds8oTJDa+uVk+s0C9u7yKs58DXT9KFrt
eMIAOl2dtZlZfR20eQdJtWonZH1vTd3GCa6Vi/6Wo1e79cHO6mhVlQW0ITIqMCOU0wFA8zcx+H5s
89q+LX1G9gCrWBFQbP4iowVFr9QP7pTj/7YH0z11menu2nwcniG+y6FMBZLEoHOKZPT830YLSmib
Tm4szHa4cea62gsn+130KOrNjvEE4SkHagkFJBN08JUNA3yqDz59s7C3RufTXUuN9GnmpnUXZHn1
1SENizxJQfntThhwmSwW2X3XRH6XpiER0AsqSE+jhs58l3uN2HR5A3mwLHB2U93Nm2ZwdYTAINtB
fcaO0WTg4UAhRcKLUu7n2jKjfCTOV+pUoC6ETMITcIgSSY3ZvwxdA0U8z+uTLBcU/5aaD7nRdjcB
gXaADEj2Ah1BL3acCco9DsasAK5e/mNWONWiEJ3zQxCo8oB5GjcUOe0fBHeaA+RQIC+nqjbU/iJP
oS3M45aeGfmTYPHUQIsoqzoak965Nj1/xkHjBoLbcrktKIyvsijSKc0hHMlPPn8dygc567BD1nQt
VL5mZuWddcu8tqwzvrzONXQjy7scYHe+uXxh/tbR1icZaQxiJSAVcWFW934CZaaBU8JPtTP7u9Qp
xwgaPTZUKJoidG0NSTsXHONW1wCcO3QsDCxMrGrmkYPyhDoVqmY7G6Jgt3VnzlGfm/ON9lSZzENn
P6raLiLd2k7EJhN4R7uHvnSmqogHUj9r5VJQnI9zaHUdvmTX/mgV+z30TbEdNe0TwwzqOAOLTQTe
iy42XYittVC2fEaXCBTntQUpEaRMIbHGk5OqKWwaEYSyHvIrqfOyC+tdeu9XFr/zLjT2IAs50wb3
vSt+Nxn0NarQhCJJO+5zei1iWtzgJ1v+krtiPm2pc3y0lfmSmODdb08WUCTedOqMFxtN3sq29wW9
JcWVt+WMV0ZzCrOHto9Za3BgfjTXUlDCouHHT4VApEnYfaG65MohO7Mi8NsCToC6IfkMfJsrz4Oi
XHsauxlE904BCVbIkcX/gRWIKCysH7ib6xesEIyDRz/lJ7Evslts1X/386vXa5J51mpm4OfdH7dX
mYbP3Xa0VdCKBKp6SVo+foWcEaM3e9mewFbjonzGIQCgGhHy1LhFDfLKVp07zh7Inxf4A1qU6/zI
wRODkf4c1niBisyuFCDvMhFVFBF4Sq+8yeeN+UB3LeM5n6oxDmtsWYmqPTXdvqqeXQT/GcUARSdC
GVwTID8XbeL5/39rq5fZCDSYRD1YGyGElqdzmBmxCl6D7pR5X7r6NTMhlFb/uHw2zl1ZdI7Q6V1o
4D8VZ0g+yl6NlJ+c5tgXw170UOJwjEjpHdPbGnp9l+2dC3PePUHreHBKLX8mU9qc5JwlxnSrU6A0
rg0nXzGyhmWoTKgeTDHNKZfmjZNBBM8gdx0UTa6cj5UDAtoIiCP0koBrAhTnU226LPA5c087T7b1
h/7I7K//tFfLz6NFDiyOAx7Kz9+mVWmAaa3UfgJjeOhAaEjrA9Lqy0bI6gT8rxUswLXQakZOtXog
6tlHvZhmzpM/+TGvtqn8RrcDlMyd75Dfg8irzePy96Jn68X19OYR5PXfB9DgG8MVP7Xuz/zvn4J2
BRCzqLV8QtlZVKaYcuULJRu/E12VjE5+xFgwRN3cGzOf7+0U2masj2xOEovzK75l5ck+mV/FLdAS
6/uCwfwgIZtYhro5Gu1NBhzHlS1fXOK7d9Jeonzk+stMHgBcqLx9dJmz7KmbgqnlngX6wXA8aBWD
vnBsy41ddYili/KhC9g3bSRElkfTuYaV+ztT+fEPQHuVAi+JKTq8N+t6WTnaYKWGzvyD1UPQhfeU
RJYBTeKMt08Ihqo7gF35Pi9KZ5G2t/Y4OwrajGBbKcFX75q7PqiyKBvAFKQKNy7qrIVEoKaJh97n
DkK219hG11P42LKFBTTwlsMBv78ujKOnWmqP2fmDVIabME26Ryb0FA8FBTsoovT7qSVNLAVGAovc
g/aAPW5aSFwiE3ljTV/+41kBoxmuyrJ3oIgigH99/IR2YeJhqCt2GjOr2YOfQt35hLlR1UN4dGbe
NXWI9dn8a2+hOANXtrm464/2qCkhwIs375TnMSTghXeyoUtr7y+fzLVDW1tZ3YDCaqeZ97BCyBtF
b5x6/+b+FyI4zJb//zJWWa4YKi0bBgMCCRzzn8nwKK7xI35yI4sRYJYsutCUIKZafRuwHCFha3R2
YuN0UwIO7Bj21jcg4tn2/YOGODZx0zhl6REEO6FsgufLu7j8/ofb9dc+Kt7QEVg82WqRSgUMymKg
7QM5Z5wxeyv9h3b6dtnIuQMBPZL/M7J8yndxvY+Gik2gRn4CiB5ImgJDWhD1ME7GNaTT2dWAhwfs
fS5u3rrw3bsjhSYmzU+iw6gt42+eB4FzOlx5h9bP0N+PtkwAgl0Ggcj6gpNGjxzxVn4qGKvDPh92
sodqHiNf2mqExIT9pyPX/CD9i475+KlgFyVRAu55eEJz9akGjGHbkBKej8YM0lyZltOfyan9DCJU
REAbDowfKRK5GqLF93PZdLFRVFXMXaqiEiFxOHv9gCxR6lB56Zy0A4VOObTRwrmBcHFPwEoWVq3s
dgPQcEiEmv5L1tsQ+uorsWO1FSTZKJ17lBDIyda9HatqCO64DoZdRbKvdivHl9qx9ZsEFDSLDH+s
ElCqF49eXtaJ1J0T+6CTi4g7gnonaH62PYGIl23ObR33vG9YWOo63c20rTdGpvi+Y9rbZY4YQtV7
c6y8sb6hbJqSzoQoti9LaDB3hZP0uTAe8gWoAElDgvpQC1G+vG3v+pnT7Yy3bSNRLDmkA6T5IADf
QujZdSKHoqZBanMEFCmAzMygoDprpQaBXrsXPAai7k+jKdgDdSAn6TjZHx6AzsJ3RfVQaVdFHN47
Sk0DVZCSg18YOqJ3tV06SQu54Vjb7hh35TAkaAT/AIC9iBy3JrEIJhIjN+Ehz+v01s888x45tvko
a+c2g59soXM4NRpap2mdMFqCpqUR2d7L1LSzwQ2K55psMg9zdG0RvLluPaMZKljoB34WVwUzk8J0
saVjYSS0l+W3BgKicdaXVaTdxsQ1B8dz6HjaJ7eKsUdQbNhQV9fpqSjoT5uX424qh3bA/ksKBT/c
qJ3h9Hmo3PyVTgJUWnpsvxFktCMkzp2sj4SYXydRuDJqSFA/GIExxjaKrT8xiCudeAws+p0Fmflq
KSUTYxQGcqDJ95+tyWp+pn5NniDnym/NGkexs+hvYTbqZbYhJ479+YLTMSVprX7Xhja+zJAlPeKQ
sOeg5k6wV05vLZqwAgUulwUhDqLFd/DcfzB37D2OEpJ7LKMQrgwmTM013hAN0JXbFaoip8Ysgjak
UNBEj1TKn6xlQ2Ri+hsUHNb4I5W0PoHyzYhTMAlnENrLIXevK//O7sYvDCXKHecGgZCk04NKpzVm
bI5kIQj+sr2ua3HPWuUkRIFJK19OyuT6HMqI07F1+IB9Zr9Keyq+N1nQP+Q20FcNNuO5QDDm7VOo
Am9Gu/W+TCn2PvSsPDv5kCa/N0iTPVVd+90CUOdFttZrmULpcBpRvRycGap9oyE30Cv9Nhva3eAj
6QfsLX2xMaUYQf+BxNBDVbFdT3wDWYUg5qX5Ch07140nJSGtwDB8DQZO/EOAWBrC4fSrAyVgyELW
TQwKAJn42pTfM1zPFiMZdXbndKrHQgMgCANoak4//eLnAFR7ljbhYP/OKncO3bYsYzLWPT5yi/+h
CzVdD5jnLakLGQUjHeLZS3nsKlpsFKBWqJda0EU1GdnYg+j2NqcOJFdz/1k6hYlWQJpFVTZlmC1A
+WvCmcMAeAoNwkyb0dzJLqyZD1HzfjSgJuoBxwRJX8glsZFtndLuXuTgGD8hYziAMQGqhbXfDpHF
KuPGy5c2QxUAvA5xyhAX2YyYW9SRJXuIu3TMkV/8ClPZVsqCbV0JHone138wAG/eCFCm/uw5q/bQ
BXehgcoxa2GVNSQSofC2g/cxI+7mY1yZA/kKuXbJo4kreduWuvzpGuhShAzkrZFdiHlLhTcc7KJz
t+1o+MlYkeHF6kuQCeqgJbExQJA6m8ZgZzXKiSqdWy/IPIKwKEX5ZNWKbQVDcjR4Q34zAK590mnf
wocbECoFh9VSmDbv+7JwN5VhyEfoaE6nopJ93KsAZYRm9uI+KPlxMJR3MEhAd8hZ5wTq5eU3iEzX
u2KaCIQY3SZUlenfTIzzgych7piWCtKIOQmqG1U7zi2fqiI2THVyCSb3i5SeMoOkMXTp3qDxwEI2
NjJ0quoFUVEd8swAM1XqqRhzC2xjGgAiGbSZ78tRsdAIoG1fdh1eB+hF38kOetCYVhpCq8KUAVel
GQonbRJZ8RY6yJDsPYjOwt+EP+p2KFS/Yars72YLErYmx5SUDU2OpKvUFDmTwePcnZxdlplkkzYZ
TTRIKaMuI/13PL1VMuUFS2YN5lXfaKFCyYwiaUuc6YE7HloJLiggPQcs7EZVQoSZ0Ltu6KvIEw2N
UOhMQ1vlAkNmmXhsQW2ylTbs+r1wN0FqNiHNSv21UZUfd6OC7idwqPcQQwd8qS/MfUlTtW0N2Sa5
3+sDVWxMqnrwNgLapRsJ978XpakjQ5Te3gG5+5e+7sfIkASy4CZAg36LwyNL30r8fPDiuQYJpTFh
djcaW/BWaltmcaYAbyxT5dxW4AvbWSX+4aY+BJNzSBtTLusQbe1FhrYUB49qkhRocT7KApxituza
R8Grdl+LuX/uhLZjMgXOSUiCP7oRVYLZHfWj7CfItgdTF1IygF7WVeO26a1MxAV2K7RoBpKHCuKc
ZUubfWWlduzbvLtpFzVoe6LQusUpxp1m6oujHcBpPGA/BwElYYvREdLyRh1C3faNu7YMoQNQhBbB
OdMlJze4syk6GcTatH6Zb33I5oaTCuYdqDZxy9Igi4tG2ZFGeya058rZq8YAkQGqAs4BadM0hnkB
0Xhbel/KImsPGjrJUKc2cWi9OY+rlPOk7U3v0Gb2sAGRhh8Gg1XfQV40Q6+o9WODuzWI/xFb5T7q
BbZuwROYNa9lA0aOFMPYe/RG0k2HMvZmDJw+NM0qCKfGk1HlgsJjal2atBra603n/Qrm4Zfwtf86
DCkB3yCDz+stcysGFCCFB/GLibXpTgESd1OgJ3EnjZxt7bLnX8vZSCPL7dW2rBo7qiUVQJuyIjbB
VbtxTS62DchNbxEW4AxOA3rLaEJsBB9oglrIqc9yCnI5H12vqhPulqUcegXcc7p4Wl6bQg34pmgq
hKjgOI/aAWmLUxqmiAiFurAzsCrqrAEUg16pk1RKtmug9XicIQG947KX9/WM4o4hlHePizQlusiy
By5L8140PI8ha2BsCmKMW8zJT2CbKgw/rCuziMGe3G4KYCZV3Pd+/2Wyst8AYGH8xX3oEGUmpM/H
Fw/DC1PEZ0N8t/1JHknXl29Oq8pvdPayxC2g+Dqa+a+SlCRMjbGKynRe+jfUjuSAgBbDHQgF3IFu
lEjNBDoeOUZqpB+7c6ATdG50lNZCJEPrQLfX8MDQ043OjpJeJZVBcOgwXgGlW/46caBEck3rh8CZ
i9hucsg4YH46zLw2CDXompPM4UaSk4klnpvlJuCyreVunWZC4V+MQfvYDDoNnTx7yWbg/jKlBHSv
29xNHGTmx9wpBgD+u6I6FLQAHyAoqYwt6gJ9XDjCPriCynua+W+jKMew5Tj0TtrmG91rhKZjFuxS
OuLdqfEOsop7yVQMao+iYw8tQpJv/Iw3r7ZV+bdQTlBPvjKqg5R8PnpGxrywlLPkNyKb0VMCvXQX
FZDrRdCNetKD1HAIuYWh2B6NerwpqDFVU6kg3uGWR4lJ1EeEZjyc07ba5KiE3zZ6CJ57UqVtBJLD
/qAhnFyEKjXHLmxIyn5XQ9MfHcOvv1Roj9ygAzfHDrcx5q5yrwVyafS3KVfGhooJnsFlEPCd7SCe
LTLuKt7lO05HGTul/13hGNylbavuijGtv+rOK26HHGrYZb0wU08De87RQd5AYpXH/RzYod115lNg
texoZQaA1C7LkQ91/bYeJnzCuu6ehqoDEc4MSXvaIkRvaO+jXOXSQ67mJuFZ+2JIIZOm8Orbpujb
G8jZqLvcHrIddD67B7cS+ovvddneFAVOCXSn951b/MH/q4jz0e4Bx8C1dPNp2FLoBu6Rb3XHru0Q
1QsSoJjnjGmSA811rCZuhMboF4ltAUVaO8gx6jwbn+3UtTaecM0Hijv9pEyPJ3me1nFTjMAhm/UQ
ct0NN2Y5N5vJG6ZH5tTq0SlRx7Znh4TN2MuNKNMoKII9Jqy/lqjcx32Bal5mjWVU1M1wb2kkSxKe
MDKdRm4sq3I2hCo3sqU5bnN3IDGU3H+npYA6vTd0By4YuecWxK4rEwLSnjmFYh7BA8gCdWuTXP2o
GugAm6yz7zgop8PKb0hcjp2HZ1qXh9zkJXSy8zYuZ3ObEyMMKGB/ICKZDyPGzxOVFt3BoJDatt1U
hNmcqUeIEFggLnKsWGOC5sYOUrqp2gIC2/MY3BLoogLmQykqfQwvuuDyCdiAt4Kp4MG04eE8Cv1g
tXChMKDR91PGgh+WIDXKP2kfW0qoB69unBvSUHXwe/O3B0KkyOoFORTa1qGECnGIknS1mV2oDOXQ
dIgoAr/QFXxKvL4HFhdT8omhNdlmrtmHrAqKP47VgxbPzoyHziuLA+N9vSmz0YzALJsnEqxrIbw3
pJlB8LZlroTYtakQgFKo5oBaShw5cTEvODkBuuQtBnpZCVV4mlf7wQWTuQ7yNkzHNg9dlrWvChRa
iTmm6X62hjqazWo+UGsqf6A07m0CQfTtLMY/U1FWz45tYC/d8utIpbHhffqrl7L+IuyiPaoqhYCO
tqwjt/whRCiaJYPlNVsE4VlkAp4I4iJrjIuc26AwBBk8em4QtPE649BnbADLFT7tPTh00wjNIxVX
pLnPyUj2Kea+AcibjAdHoSrhFQ4HrLTld4NTjKeaGfrZVeTLrGqoB7VmTb+k1HkAssR4NiiDUHhZ
cRZ2Bc2PjtUh+M/M6obblEeFk/6hTdnfgBpHH9DOb/YOnquI5RoRg1HOfWRac/M1zarHNp/8Q1kU
aEQ2RRs1zARMS4osSpnb3tgdMbdDYwZR1wbDps7TErgB9yvq5cFuZlXzpxwmN5wntaRYeZWUbjYg
9RLdg6dIiQkHOrshhoznRw9V/L3XkyJChGtuwRLwR1Ql3Q1WV2I8CsO4mkkboMHZ39QGuc3bsY6C
rDWPnT0s2+ZPe0UNGjO7/FHXJdtWSLY2hah6FBHsMqoIqk1NYyDCRsblHlD1089ce3qTziYySF3U
30rDEC8pYA0HD/dhy2yaISWsDMzSZm3IyjSLg65DLWuoCQTO0/l+MHwd5tzljx1DhR+ZanpTQqc0
qVtt7BzlV104QhUawYSfb8xMcLz6lQrBbUSTBoTWYdZ3vwHu68IK13pnoG6QKGHQ0NfCSOa2bU+I
j+fQQM0eCBOcooy6IBUQmtwFva5u81qwK82yz6VrVPIoRnAp1ACBCVxV8oQePXemwXzsyd6zbuer
cJNPRV2w66BWiF8mCAfsVc+mkZn0UFSej6q/18U+t75cruee+/vf/b6zmoIewUkfEIbfpw9VGulr
Y1afq7jUp1C1wKQyxNQ+geS0H+Bd0+l8hLAxyoMH29xMxbWxtHNreG9kqfG+q0lLt3ZHb4CRMo9K
I/xHJk+U0j+uYfUJKNoqUiv8vI86IwcW7fXfPwFdSPsxLoWZqTWL5+R3mIlAtelYy+9Haf/451/H
eCZwC0ASLPLbq4J9KkZlCIC7j4awvgMgE6LidQXrc2b///Y8ABvHYf3Mk42guWwlqFxSs34ArT+4
0if7z+VlnDlIsAH+MQzQIvVY9y7BCk9t9NPcI6EPRB5Fg8rE02UTn1sbdFFEtkEvtjRQ1jrlvcMx
JGeC1ggIuFBa/he3GlCQr777DdBLl219bjvAFggWYBDK6zD38chOKCx2cwvyAVXpXVkPhzntgV8m
T5bMfplTj/LjNYWIs18JrUMwaS1jyN7KpNkaOigccDlwKHtWhzx7u7yk5Rqsehp0mdddRIpAW75G
lIMeADFMk/pHq3mb1bZmU4jaaahx8U2Cqs811NcauLLcS0xFYAoQGBLQLK8FpNyW0qrJTe/YDD5J
QCzqohsiDm7qbUeeJyUbUKJtnrRtgPQT2MnLyz23nYtf+8vBAd7P5d+/czqo4ioD1PHecVJmNI2H
wvtHMc3/Xd87C8uVeGdhwJuej4XlHTNootU4kv7T5SWcO/CLwC+eF8ymYzD5owGOADlA8QgnAsop
aKyMDto27fLM/iOxwyLsAfI+bBeaoxgF9Je/5N1SJoJYf/R7KAOgZJZPoYG67eW1fO7ULyaAyQc9
zSITuD5+BTgqTdUJ6zijP5YhKWuOzUJA2h7mFoPxtXwxVP3NTJ2tpM02R/3O0b8v/w2fjgQg33Dj
wOuhCWy761igNDsXWStmeH0URMu8vp1teWUs9awJDBqBi8NfZulWG9ki/0LpwJ6Oo2z/mCI9+HWw
vbyKT6diWcU7Eyt4I3TMiqwS1nQs1Q/SkLBuHnRThbm7uWzn2lJWrzZyjiDgKew0EFCgLTDVzhUn
e84Cwmc4OygWYnRqtZIc/d5C5wwWlspf5gCFi6rsFSOf3RBwBaCDhk42oJp4Z9d+deqcDmLW41FI
P2ugZAcAUadFgCyfShk2ed7tqoJXN5MGxzb3WIBp9ubn5c1cQQaXCwa0FgF3B2BhFgYeP16w2gDe
1u8ryNeg7gEGU4COEfg6RWgTCXb7a1Cis+ZgBcw24M39FLIUEqXM3rPHowstVpt/070MK9TsZf/i
XBuy/PSuLEuDNF0Aei0czPXF9oUN+hGux6PW5lfLzTbC80B2j8YUwowJkOuxiZlX/SJzcMWnnLUM
uBIU3xC9Qp/g46aOjt2KlJDx2AOVNfY+uJZJ5DX71L4lw0mOTZQa15C/nwIDrBYwIx9nFgyLnwA3
oDvy0EYKRiSifI6bqb736jbKeRfzQHnhBGeW1JZ1jaHinFkXUgXw0pBVwTH6uFRHyt6gguojaOtR
8d7mVoYpCyvq8XTjv/L23yZb/p5XHFd8UKCKkDet/FhFNUcN28Z5hbBtjSLgtZmDT/Ei9hE4GDTX
FvFEtNE/LsiuuNv0A8fdR1IdAHLeQE67Uv8cBSxm0Fdb0JiYZl2HpbgCwFZYUh9nx4/17D6QUuwv
X+0zXgwm4L+AN0eKsEZp55OBloYY9LFseX+aAhSOkY9kXy5bOXcAfGQHYP2CrC8Iaz7uV01T4boG
10ccSbQ8d65Y+meHtu+j3t3p4fWyuTOPDDDn/29u5fxVPw0TSzt9JDlwG/p3YD1N1NvMxa/Lds5d
4WUIDMaAEv/Ev92bLc0zt9FHlLMe3bSFE55ei9b56ksSWoxFdPDvIZiTXXEdZ18F3Cco00Ga8vMA
Gq+GCqrOxXRkPA9JaqAS1CWuK1Gde+voM0dsmtk/nWtIunPH3gcObOGfArR2jdczDOoqyQgED+dn
gqzFFX9a4+3ynp4Ltf7Kly/kaWfGnj2ToV05zvqYmQ8uPLAFtI5RPfSpFzFfhmQ+ec3ONu9y648x
7v8dLQhXDK+Mfzp4eSAC//GoOiMHLwMzrWPXQL0Fhd6M5bvLSzxz5z6YWHn+QHVLrXq2jkEtQ11v
DesK7OzMA/rBwMr/CQfM826ONZACnSJ7k/f7sQUkpXjtrSuhwdm1AO6L13ORkFxLqZgzxCULNAKP
vvfLS39c05q78vNrHRVguOdgair8fNj+D2ln1ls3kmThX0SA+/JK3k0rJdmSZb8QrrLNfd/56+ej
e3os8RKXkKceqhpo4IYymRkZy4lzZGYjkq3yy8qRNphOxC3h/4jxFxDUsFPpWoUSFaoKYdJybKXn
ElTQddxL2sarJM2/9S6HNWcCpTmGR3JGZBzy/dEa8zqbpFycEAy2bCn8qiq3kxAegvxFDX7A3kOL
rDyZoNnUjRLKivt9Z1h+bzjSYsUftHZ6qCL/E6Kl+0D54vUPjVzvpvDUJhtpxJp7wh48nhwM9GaX
WNVCyBTi1HpC2sz/R4/Ffwq52NO9ot0Q+JBsZ0cxNP6dvPJWgZxhwzmuHBmGmnDL4MDnQfdFsNFC
BmCmLbp6MlrchR1vvC0bP78kB+qyOBwDONwfqBrYeblvzF8f9g6ga+Et5qjwUi5h7H4d1pHZt+ND
6gsv7SAScfvmFg3Wysv11oiyKMw2nRiJsJ8jPuhhAHHKpyzWnqna/4Dy1eGifBWQpLNhxTleXt3a
fZN05ui4BcB8l1lsVdE8kLwIod76VSfGbo40UC+bWHn9GTj7Y2L+gm/KAWqt60NXp9NDaOzU75W0
T6tTrW2c8dVjgKYYjoPSPFHmeyM1M9NKPWFEmXba6GRb+7S+iD+/v7iy3iiIheYjqNwj/2odof3t
m5O8VbVb/xp/rCiLVTTm2GYdVpRyLyp2+KpsrWPVwu8AljQWrd/Fbcz1ERaq4He+jyRpYgbfErm+
l6oP6mzMIb8xy2erc7oMFcjiQJtBUKtTOY4PGnncIDf3Pr1ryPbqj/GA/K8dcjZw1Qbp4iKSRcsI
PF+LxKqW32WgpGsYLP/GgZl/TCyiV8uvDL9MMOEDbKoZSNeijUu4ergIGxk5kSENXE43CuAc8jrS
KcIQPma9DERH33nFdS9vTcatXRMcMaVUPglpxvyXvLmLMVMD4yioNE8onwK129iqtdP19ucXXyMh
abVSYKzoHxo7+WcHAFf9C29CvIuzmiWzzrhrxlpQwjHKxYeg3IXIDF2BONG38vLVbaI1QJUR5stz
1opOmKK8pk9mTkCSxKawI1N7/rhbpPKGfhnlWMoNi70yE88D8+6LD6bR760IZQUvt0NL2ptbNH1r
q+HlnxlwyVBIj95/dNCyFCCEkZZWZXZHKZEZGqfeuDFYt2ZFFdGsoiDFUV5GbqIhaLoQEk319UHY
gzf6+HbxLSQNwl16r8tZKHRXNdGbtOlhVACK+qUDH/K+zU96sxEWrp3h38OQcMCtzJfLdaapQe8N
D7T07S7+noHqydKNlGPDyNI9gjeulbaYjeS+U5RfOpWiyFa5YtUIadOssI2S2PKEEatnHaHKwBep
nFT4hS2mpj9d/i6rn31mk2Kqhm7dsrclU6+LLJPajgko+LqeCvno+e2vy0bmu7CM1Pka/2dkcYK9
0vDaSifRTWNKj+XXDNBBoXzly1j535iifwo9CqN3ZwlIr3apNRnA/KNhzG1ZrG4sQXrs8umuiPTn
Cszz5aWt7h/0mdStwDhDsfv+chZJpUI6qI4PolbYpkRiqGw45bXXBeWe/1pYDirHVAFrNIzHB8s4
RsJuSu5mHOBWACatnjZqexJOgFhbWTyTHoSTRaOycRkDPUQWd70+2klSf/GrpLnx2lJxJhomVI5T
81Vomd5MgUDY6TCYx9ZqmanpdpGRthtv61qupUGcDx6B2gy0ju/3t8sTKRZa2gJFWv2TSuGdVrQB
M05N6DS0w2wrFbtjmaUfz8ONt2YXJ3b0ix6UTTA+VFrvAEXcbyqxS2snR2M0lEvH6jiu71dmWGFr
BczVsDKvp+IJOC0bzfRAsK3fiKNU3whdaN2DdGe0AnFpRo2FdB+lcXlVwlF7RLy7dIRWjTYysrWD
MHMZ0FWf8/hlI0abvDzIVHY86m+C1xZeki3GzFULqI0yxgdzJpW+9ysPA+bXQuYuHyQwp7FZget9
zustNMvavYEGD8I/OPLEM0az0gQ43ln46GSQdtnUXFPsrWF0Sba0tbYMLc6Kb2ZZ00UY8kaAG2K+
AxvlDunAyKWlfrnsbtauA7PghMpUPGYB+vdb14f+hL+mpZgJwp3cj/vcEo5qCNBFom+U9NEXUQy/
Xba5tr75OymEIDPb/MLF+QgUeGbF/GPiubn6aCai3TMPslmFnXOw5Svxxs7yURWtMZKrkagtHrJd
zuBRDSLNGgRbjF+M5EbJqbBw4aPrLhGvimaLNWRta9+aX6Sg6QhfFCC66QGkaj061fQlr68lbZfK
Nrr1l7d07e7zHrKZvO2Stmx4hPFQhnorkyhWCH4VamOTOYYbD8fqgkjioMQF6HNG72xG8KxYPt+N
3Ks7KoIw3Sql7zme0lA+ihNjH6l9/KlOg3F3eXmrlglcZjVh/rXsxSkJU3WqxlZW9amCFaCibzDJ
n0NJPVjII22Rh66EF0T6FGBM2mHnSrzVPErdomz/oAmPJPfpeCiqWUhNF+3L61pxXATGRGLouPAk
L59itdEHZmwj8YEhB2eqfjD10AQvl22sHA2T7hSdPZjqZq2t9ze8FqUxHkEfP+TTZ286aP3VX/w+
zEtzqE8muZS6LnI/lbqhlB5qyxlGRNs39mj173/z+4u/X6wmP2uVRHqQrciJJdjDPowgRK6AhIsv
wCwmk/vzcXiTBIvUP9JkVMQHMYhteTeBZf34FsGgAIkE5Pxz0+S9gcKs+zRFofjBvBsjxRYYdLps
YP6BhafjqM4/zdsP2nI+Z29W0IhdUntqJz+oSWzsWiu98iKN6dz2Rhm0U6U1sVP1FtIwcfx62fKK
LzehxESfkQ4bLevF0tosFjNhhkdOjB/0jv4iWPsue/obI+DKDAvOG7hw3y9PiT3ElYZAfEjENrRh
a7lqPdFzAmt61pX0+BfGZAqHdNLQPV2eBrW3YCUBWfbQ1voT3Cyf5slBW0gjdzTHjYWt+DWa4H9s
zf//m+8m1EyyykNMzt99S5JvUvWoQ1wbPrfWS2rVG4dkzdnQCgV2CAgLBZxFlKQYmWmg2To9dAz1
E6pBtkNCGwQbr8TafaU1B5oVSgVI0hYRhcw8iOFNNBcypXEsi0Hyj5d2KSpYtMNZBP5scdgrX2X2
vdCpHzMfoN1EQ7uxUesr+GNg4XEUfQJW0CjTg1oe9P66+Xn5gK19BxI7PA1bZMhL+oeh6o1m9Ghp
RV9H8dpEVO2DgtBzEZTnkNeLM0wLeln8tow+mCKLfpKZ/igyW0u2HNr5A6kQY3COqLDz36XPl2Qv
iRBUM1wtZFTAv/atVwR1HCUYdkO0UdE9/xrY0mAdoXJMxWp5H+H2LTQpHHU3l67Dm9D78Gl6//OL
Kxj2UGpMGT+f3Zq5Y23FTCvtcjBSeP0ZaEmzbfnnW8WoM+XdaC4jPUEFacTktr5vt+WVpF0VsrjT
mx/SPCst3EjMkUrD54+etvf2F+uzoLZiWq7XXMF6LpllrsLrNt3SGDk/0hiZ5SMpw4JfWhZ9OqvP
yilmkVL4VLZMY6Z2bDxeXshvqNf7R25GVTKPBR6LSGMJBcsnwBYRIbBLbb48VF2q9+D6FO1T0IbR
F3aZadc8fbLGunlpC1khEC3CwBYSyXOmpGDwvrHqm0E2qnuAtXQfJy8Kv7RCax4bdWhv1DDwH5qs
Ta+myE+Pml/Fx0IB4iaOIA4YDJebE6EI0odaNg7XA7HjyafQYNfgIa7Grkm+Q/jpP9J5Gujlm9KX
eBqEL/6oiQdjDIqHLoBUpq2mxPb0hGEFf4rtLJJix0hhQevjVsqOPDwdI21TcR/lUQeUWVWeh8j6
1OTNr7AXZFsIxIQpuSlspgN1sOCqGkf/a44m3001mu2VqZchWKeu1H8NYMl+JvIo7C5/ibWvPb/E
ZNzUEs/efCNjwkpMNb526SYMiTK7vUWntHbp35hYpm5K7VVZAGu8ax3amHGpw+UVrPkv6hGmNk/u
KGcBRZ6zk0Pr664o9odQOE3lzyJtbNW79pk8vGxrfSl/bC0u4FA2auJX2Bo78+iLP0E7fPjFBdLP
dBBekmeXMej3UYSU+5lS8vK7Unco9pp/uryA8xBvZgKcize/qZ9E+f3PG35BudCXTFcaPrWkQKU2
o3xO6lYVZ2WjdDg2iWBlE3e5LBjWUeiXgtSZbih+624y8/Xjy2AdDBsTKYOxXAaRpioUgW/prqTU
5uNgTtB1aKXweUqU/l7rmPm7bO83H/x7f6XCm0atm6vCnMAS6OC1rd9NSZWBkirLx74YrySTgeh9
FcYTlEWmCFVT9tUUi3jfT3F9bzQQJ0VZFtheU8GQHFIuqM3a+pTjosy9qaMqOlZqxuabhqMUcvxd
A9D3ODMdOLmQt58vL+D8ms8eXQPlNesQIGv4/rv7idR0QjqlLhwBotbZtCjs6sPNFRUBa/w6lPcA
T5eRfUCsrTLEGbmGWDoTQLlaHyCP2F1eyfnJmq1QiyEeWglXsirI5ag1IlfobiQrcPrp4y4RC0SM
M50jGpbLBxBW6HFQxSx2lRR2bYM5f7G1++HXx9cBJyeJEMqoxHiLCH7IR43mXZ64Y+jkj+MmMxkf
dHFguSB/fn7exjfZSCQ1fdBr/LynfZ3CvdDcwp3xWDbHqDlKHyTQ514gHk89gtFZKlZnX55uijGK
A6dLzpI7g4HuvL//6G4h6GdQb6ZtC5XjEg2JMoARmU1eu4W8q4VjviWcPTvu99vF75OCWEARgegu
70eoikFoKVHtSnId3XWiGXwWkTG+jjW9ulW9rr9SBNGwh6Dfmh87P8+z5bldD2+/eSYqGaiFXCdN
WbvNjy6xo+e/2Lc3v754sMQxhowjqmq3jCDCb666v6iH0AphzoTwAVkA/v3+oFmw0ZcRLs8d4CgY
7UjZikfXNgiXNau/A6I4Vz3zJTWTVD79WN0L3q2obH6BOYtdfHx5ljVhoAm92jMCW6mV4Vkwfdlt
sLX3s15zvAr2JUdMUjQF/KkNP5Pn5Q7zu6pTCGQZjtV0JVm3N4ZoCwya8D33rMppRK9yuNnPnBjJ
Tjq/Qw4p0NuDQB/1Me5kcxfkgXlAklmAAGJEezGBPglGyU9+32j3pqcJpyjIQO7BZjg9D5Y+6raU
y/6pZi6kgD7OqA9iHk03vVz2z2nDG97rYQ+0pBYMwakrcdxlVWF8OLOanS7ySEzoQUi5DEtk7oKe
pYHswsddKrArfjiwev/7i7gkrIq+rvX5E4yfUvWLqn2/fA/Og8T3v7/wtk0nIUGKeKzbJ6H40FdN
fSeBmIBhUewUhtUDObzPJLH8sNuaBZC5GJS6EUNeui2xDOR2bMbyoZ2ujOiz+UFZERzv+99fbFtp
Vq1XtPx+x7iuhPsYNuLFFXgpFrjWxDBztWlZHYD5feiHriiBNz8loDO0AaI8qBtg702EuzJIdn35
dczS3eXvtYhTZ0Am/Q+KHsCZwJUuYwkd3hJLwN5dPz1CCwdJ1E2mfpG2APALt//bzJw1EGsDbaGH
/N55jZGQmIPhdXd6bkDxxFxZOqavxhD/K8b0XXorfZla1ds47GuLm+Fg5uzTuFCL6JXMUbGEqJvu
msBzet+dtG8+meOUxh81hEY2zMogNAEinauaQXBn6WUPgY9q3arZs9e8ZiRgxtcPfiusIKyILi6j
Gezi4gWQvDE1Yl0L3a57HaAmEivImEwDMsGtAszZxs2W5nIhqxEBVSw+VxSjGhmoXuhGmnItJcFR
JZxtk/w60c2Ng794dWBkh0lG4zkGJaaeP8ttp029DpOQO6Y3xqGYNvzpIh7//fPgKaiBzMNGiBEs
Dp5cyF4qWIFbCdmhNOLPYyrv9XraAKMvK1b/sWOBcKYfIp8zGQ+WWNTqMLOlKulOKQ5q9stXPoXx
ndc+hTrB4Kci4+FmKjQanmDw3DiAC7f7v+ahKwCdAaPAsplPxAa7otiEbtkbGC4/wQ/yrYUVCI2P
6ymKNrz86q4SHf7X3PxR3wS90xAVSaDVoRvLEGlnMay2r8F0vHzc107GjOf8r5HFcRfVoU81SKXc
rK9tQ7m26o37tLIKTp1Cukduu9JSD/JRUntWAfrVsVLJSdWXNL/68CowMoPgTPR3zxysADFLqwhm
6ErJV09/yT7+4RlRoTIO28lKpZRzJ5ZNmkRuIZbGXgAleZP5avfdKnT9d8zzZJn9FtxqdeNk/AJw
MmLSZSjap6Y/9ZCLuaMlOrJZOqN1FQRbkOEVJ0SuQ8IzQ1Tg4lhUaHTqDMXgT3x/1OZb9TEbXqJ6
ZDx34wudvU08fljBEveWZHRxzlSirSTUjNhtYik6jOYgHprCs3Zirz4jZ0bQIlnQmESFtnHAl7Mz
860FTIWDBXc0Z3aLYEmAvVNPuyhxFbBNkqAewSgdhNz8Nsj1VZcXPxkwvIvhflbL7FbewgOef8UZ
zDoLsnEF8PQL1yiOSmK2FExc8bEeGPREDuvw0bP/zsKyU5/JYqoWOhagTdSemrLMvg+x3G0dlNWF
wJ4B6Rjulyr3e2/E/I+nBJKfu8NwyH4M7U/dfPz4Qth74N5UP+WzgfWutZJyqrLCVRlQh2hPrXZi
0Rf7y1ZWzgPYHpAi8JlSXz0bRVQGGc5aqSpcMUnuPRFaMDkAW/SiRM+Uj2+pvu0CSUd5zNr1zVYk
eOZuIQaBBI5/5uLuGcZv7HWmtSJpcuu6s67qCAZlC6bNjdrV/C3epICM/L63sng5hCj3pdScJhcN
23CEIBaOx3Q092V6haKJipIBj+flbT3zI5g0Qb3Sd5v5gpazR+XkQ3cEw7hrQAt5mynZ5KaDBzVm
Aq+hpVTRxmFZtQcafY5n6LksW8aWldVTVHmTO1RpCKOstjey9NYqon/bdKtId3b057W9sbXYTitn
KM2zAtEVisk1lfrYVcOTPm3JUK+b4YlEfAZ50iUsXSj8SkH5bnIha4RKv0JiZCCnK6t+I7BY2Tsw
MRQ3NNKS+RK8v8oqkJhpZE7IVSAGK77E1b3SfK+jYHf5SEjy+TEEvcKBAJRFT3k5wqGUTVy20Dy5
Yi4/GdAKTvG0t6abWXYQklAn6pAoYa5Luw0Erz51ZdLuzQ4W6ct/x9nTQ1kdMVl17tGxq8snTgAd
rSZpKrhTK9miv/fzPZzetuB9yuLOhoTlsrmVz4g5QgVU4dFSWN4EamwCPCysOoT61LyWvWewu/8v
E0sgg1WGgqZ6rUA8ci/Er7J+rNWN93rFUb1dhbI4Iwlkzppa9YKbJIc+O8TxRmdoY5eU+ey8CW7N
MOfOVuxSN+tmAqq2IAOV+5fLG7X26QlqqFZYQBqYwnlvRRXzVEgF03Mb5d/ATCACfuibK0m4sUYI
r/2t2ci1TUOHDTUgHny6eItUOIsCWfEt2XP76SvzMVzdbmPbpLW7+9bEvOI3+zYKXdHKESaAHpi3
eqq8xH123Uda4ApJkZ7qcWbUbvIKKhJwIrBbI9zUjt9BW+0gbHA8T3nKIY6zJ7MtNi782jeVWDsQ
Gyajz0iAZjJN1fc8z02mm9y4hbncNmC4uPxJ1zYAf/+7nciA0LK2HVeJOtajaLojpYarz96NUm2U
uQhp2MTF+wli8P9snE3qBjnM+6DmXHkwJXeEHNjJOnF0ip6Cc23CX5AOxb9FZMDAair9a66X+b4e
FOOq0/ViR7b1VYpgqAgj/0dNWLiTaon6q5/rjlZakIenWnedY+JajtLiVMJqfOVnHaoPcVdBXw0N
6VEQ6xzJAm6438W0bEyx1aGt94MrLeRdLRXUOMa0q2zqt9IJ/dTSkVXmgKDk/mZ0urQf2i7bIXKn
7+pStBNd6Xd1awo7NVSZSnJKCUlC8anXdQC5Xe74FcTZxWQx65BU93CNC/bo5+iewX1tR10v3yuh
CrGyLNV2ISmFnbZDddtHUnor90Z/EodQPEaWnt+GDSz2iGgJd0IWvpaZUTPubA7pa90NjQgHaJLv
El8aG7seK+EI31yz7xRQgU0MFCHyJeWkkCp8Sf1AOVqarOwADDfXfeWF11muJ3dSKzTX6H9Etgib
201tiLUbBIbkSB1cBWPL1GMoGC9BmCjXXm94+1E2smt1qqNTbGnVsU1F9LmCsr4PqO7saiXUD3la
z80ry3NCT4MnvIR3Wk6RBcjgA3e8uFP2la5khx6E16ExhGE3mYiiwATd3+ZNAFm7AtGz30rxaZC9
Yj/ErXw1BRS0mza3rtJkkHejpQbOWAxAkapWg3/bGG+LEaLhmmfy1jNjiKDUXj+Kk9h+NgWhsPXI
8NzKiLxDT13KrQ2U7zR0JRDRKUo08FRpp4qCeVA1DzE4dMzRDajsCvENBwIT8fny1Turf8zkAxIC
ozqTy3QV5/v/xvckulXWoVnp7oCyF0D5XeyNR8HwbjsP/Y4klrZe7hWHgkHuOPhqHtJl71KSGn9o
pkZ3IyRX4Fb9rAri3WBpvy6va9UM1UsacVTkzuvaxRiRl3i6K6swJguS/NrKSnPMZa04Xba06ryI
C6A34Fk6AwolahB2jaebLkOQjkGfBlr1dAdI+SVq5S+Xba29fbT5Z+QryGHwju+/VmhqBZGe77nW
kJk2rvQGCO4d6BKETMz8GI+opCQf1lYl1oJ1iGoPbQKKwosHt0jCNu6gM3Llb0jeZPvLS1r1y29+
fRE0VArC1kLOr+t54shRtNPajUrmyhFnv2hjM0XDCpZHHG6IBDrjwXOlNLn2leAIYfwus6AQDQha
hVDfOBBrKyIXpfyiaMQMyzSGgdpoYqaajzSlP9si2FdR+BdLmtUymb/iRTsbExwpV7Wd0ntuFnpO
o4q3Rh7bhvSj1Jp9IFgbj+fKXTIBwgF2I+aiIrw4daiMelGaz2So8rRDRew+1qJDMo0bJ2HLzCIM
iqK+S8ZustzJcEO5pFl7RVy2EWqsHYa3a1mUPJC87s12xIiUunl/lRa2MtwW/U6uNwA5a1f1jSFz
AUwu2mhCYQBDSnvsjcc+f2KImDFDxZ6KX7W2UUbf2LtlG2/SId4N6xFrnfWsCNGx0ccbj8fs8mVd
NUMbehYnnvlcFnW3Gj0n2UgGyx3BAEUPqbIThI0kZc2dMhwBcpzaLxWdhbcJ+rZQzUlmJcz6dKKH
jsS1mUeOLD1dXstKQYV+/W/M8kzdtuwbelrJzKjhW64g3zb9r5A4SwmvK29voXKWivu428Ixb1mc
l/7mrZU91MI8QGGuVZeHIi8co3gctG+tRR8vPwVysesZOLm8ytVj+GaVi7ur98Sy1YjNUk2dOEsJ
r150K7ZbxPJqOHj6Qd1IZ1Y/IMWweQQIHjl9cUZGGPFFH5EHlwhskuKdjwJZ732Nwn8vr2zVzjzF
NBdhGSZcuAsQsH5Mg8py5Vqf6fCY1PnmW/XBazZu8po/n18PTiP06PISkSgJXSwoome5RSXaSO5A
Cr+xZef1yxklyNNkgBekG7o8i4amJgq0e7oLWZebleoxNfXPZT/wmTSUkca9ZVoJAIqgtMswOFqR
8uPyZq5cbBoexIEmMBbi78WtE+LeB/aeAlccjdpOOx9dsSnqd2aJYNdlUyseGFMMiYErY6piCVGP
41pE4SzWXV34Mg0nvyeTiPVTKP/DROHGxq4uC0fFUIIMBba2CC56sYzrfJR1t44a2/CUgzUah778
m5iWsRqGruhHkJotjjxTPXWRm4HuIpvo1qLc2Yriq4cOJZ3j5c0Dy3Kex3JQFHj3oA43z46KYrWx
GGog7CvTA5UnGK0jD55kh37lVCbQ0s4phieBXkFQVvtSB1mnW/BiC1Xxk2Hz/EsYM75py00lnTIL
kGWppVXkVJL6WKLrcUNQORyEMg93epT2jp/0BQofGmOQmpprO/6qn2Ms9Xe1VHWffORQdvEYZFd9
2RZXjEbrTA1X+lFXfes2KOEUUbWudsA1eQG6JVl57wuW8iB7Qetkfjo6emggsw21xtGTm8BFUCfe
j33j72WUjYkF827vp1Pn+IBYntLK06/KrNLtSlS7XZGDQtK1PHMmtZ3u/Kj/J0v5C8zQ8K/7WZ2y
5kl8QsrKO/Uqui0K5TGnkMLJ7v3KOhalqNw1XW3ehmX32e/F4TjkvGm+Fpk3JjjOY+B7uYOM13Dj
J3FD8Ov38pfIP03qIQJGkEvljUZ1JsQttNk+VISO5NQ0rgsaYicQG90xErORUYtJdEdDHR9TBuM+
03GRb2oYRfYCs192JCM5pw4oFqRoa/7MPBYUV8p0HWRobCCtmlyXPVtlxJb1Oa4aij9jUh8TVEcO
Zon+j9EV0hX/C7WxuPWdtgjbXaI0qJ/Vim+TzPm2YtYokPqKbkcNskGdyvwxpELxjuGp1uHyoK+a
R81OmsruVzsYArJdCBqJSmhep0Dj77pSU6/LKunv9QHpA79UjNuyqhLHUyPhFAMme4kDseFgKcNg
h50pPWfopG244pXXjI6jBkIYTIrFlX7/gvaaWahprWuuF0z7LHkW2p/dUOy8OLaL/p8CwbeN67YA
3s1dl3cGF0+2EqBwJZhMBnSVW6VfB+WfzLuHAlJTHil32rWIcPu40elZc1pvF7l4sonaEPVEUdNN
pxOyLJVma/rh8rpWnrRZK3KeqKKxDVzl/T6GwJN16gsGsQ8iiSTIXrHhqNYWoZEq8DvUo84QRLEv
KxMiLobbKT8kT9kbE/Kv+tbs3JKF4vf3AfJHz2/m/QDn+X4hg9zyqEL96saZJhy8rshPVQEtg9Dm
/wxtq95YnqJ8SVQ9ckZIMh2tF6tdUkXZYYqNYscK6scoRWLp8v6urh6cLp0YJElAGLz/s7Q+RkzS
Y381Ezq9zinx0s0W48CaEejNRJPdpT69rGgKbYL8Td1prl/+6mbdxZ1V/ry8jrVz8tbEIiwoiqRR
0MHWXO22RqA1HLbwX/NBW1Rlwd2wgllgXj6bruwjr00g1NZo3OZfdZR7HC9nrNsLxRetqonII393
eUlru4asB9kzgDBoWeb39U0QXsRakiElyIkpjV9g4PxbSIQQLovzLSyYuuatNNR0CKwoP5wNYvvU
kuNgmkzXN6MSSbWpP7Rd+UVsE9mB8vJHPebpzpNTY2+WveKYZRQfG6Ta7C6UkaqzVP9eb7XUpssR
OVOYh4dKmoTbkECRnpc87Lsxtg6IKolXgsmkt1FWFOkjNOSGwRqcPEylq7yAmJ1qpX7j67V+tMLB
RwNRzF7CKSj2uiC0B9U/iSkMtHDbNtauhafpJJJxURaNh8cmGtIriqkDRclB3fOqiIdONEBWBKbA
M9DxFtdDZZuVsuV8N7ZvOZWlD7IyJh6TQMwT7hDO+9J3kK7psIUDGDpWY+dIGRxsf3E8GPqG4H5G
2S9hnbmS603vqxjtxtuxyF+A2H32I8vYsLN2s7Q3dhbZi+WL5ZBNmun2VAXGMLTVydp4vFYSJGZm
/yxlcdJlKzHDjCKoWxcvcnKDkO1eUT8FhGP/ry1bsvIyXuxnasVS/PKl1SWiEyinN8Zyf4fQS0fx
ZjHLBKVUJcYi8SRukVMiDLPPiS4gOlDft3X4I870T6y2tKNSPcVKeAfJha2hUz0ihvY3i+VdAD8A
h8IyUxPqbCTfrE23ExJHKIC+RfUORYj9ZTNLVPN/HraZ0BtKEIZWlhQrGsSrcSL0aP+hh+pl5TUk
83YnqSd1VL5WmvoDZfBTPvVXxhReXba95iFnUsAZdkzVb9nsbsRM6Yokmb+nI4gOJP3q099YAO8L
NQCoiGX4IVf5lOZWYbp6di+iF5dGT1m9QfuzdsGIPXSKA8zkMIH33s+LHjQVBLeGW3l20B0af2OX
loxjv7/QWwOLG6wJVlGZzUitsryPhK+p2dr1cNKMWzFmSmLfUunrrVPfdnar3bXF3RA3dtv/uLyT
q+fk7V+xuORlKggoqrFMMb0XB6SQA9MR1H2cf9db08mCn5J37IJfl61u7O1SyC0eZMBWvAKukebM
K+gvdbKlh7G+MADbM58jgOplTl2mAQwjQWS40RC7ZTnemGjAo4lWuFrlvcIE8J20+xOiuf9Gsrmx
q7+P+NLbzJ0jY25U6UzTvj88gSF6tSblxMetUooOcoGMTU9efWW2anvSSxRkdNPPnpNw9Nw6IGdt
pybb62JDoRIhZlsohH9r6A8d4CjdLvS94CR1snEwpwHx9hHB8MKSv49jpdNHtqx9a6GjEpSi+NIh
zbv3gf0fYhCVtpcpVYpUIeDry99QWb3mNEaAMgLkOZNxycwazFJgGK4c4yjbX3otZLddr8snQy6k
Qw5Vm9PmeoCqbU7s3lTmoUjlnFx7tDjPQvpoUBg7pkHbPfalp9PAnAzhqxiH2j5C4qN2Ri+1bBoV
3sknPMKR6CIyu151lKg2OAArBQc8Q3lNkq7eWikSv/CcWg+e16J/LZTKbanRSE30sXyxqg338PvB
WH7imboOvNQ8Gbb0cn7TaHGb1BRjoauXS+ufapReJw0gc5M/GU1Mf9J7FM3GpfTxKAkVoDTl3pIm
JJuTiTKI8pqK8VWjRJ1dquVtYP4KuhCgurJ1E1YvG+VU4nDifDo+78/iECFTXxGAuOGU7xWt3evK
6fJRWD8JfyzMf8GbkDhsUIDWJLIV+G52cFzuhFmePvsYQ+t//CXUlmw6zA1nIA8tCASw3rLhmkX5
WU7z68mQN0ysO40/NpYpUdFLcoVwn+HmrXCdtDo1U336aRYNygpx56pStB8G4Trrsv0UhF8vb+Na
vIUK238XaC2SJbVRrTTikruD6iO48WrojzmVNQhL/n92FkVNeK29UUpYZGk6XWAbzT2KPbK5USJY
y8zm/jm5OzkMBBXvD4VRB0IilJnpti/wQ+x0etulrWjZLtoIBlbP9xtD87a+OX2gw/WuBRnvTqqj
8J221Hm2fn8RCASVXndhw++/tlCqgn/ZCLPXfn8WuyDLJ6PUloAGz5yYbopzCAsqr7VTq7lvhPgv
ok7GlsDFgMCiB7s4WpI6BIofc0OzeiemT/5rs0V6tbqKWSQJAVUaykuao5msINA7xaBSLtt63qW2
0Mnh32wV/Q2En/DuZyTNQGLqeRIRI112mpQGOr3d5buxuox56JCSP72MJReRHAehnMYWaYKfH5T6
u+ebG2tYuxdzPDnDZubUfhFwiaUYZmUeWK4vniz5H+LofRRfq9V0iv0Nd7bml9+Y+u3t3tyMYFSE
mC4X3VafWVD4OFu7UT79xYbRpQPlPXvoszDLEnMzy2MLSgRELHwPicktKp3VbwKjMZU4gMln+BGr
1kdf0mDaCEQKc5U9hVuN1S0L8nsXEkeTkVQ+yVKROjXi2huucPU7UMmk+0e78YyaIpjaPk496jgU
WobuZxWe5PJ4+TOsnipYtBj7YDboDKPiFUiL66mHiVKEdzCBfDDrE3EnpbnoVP9D2pXtRo4ryy8S
IIpaXyXV5q1ku93bi2B394jad2r5+hvyOed2FUsowh4MBhhMzyiLWzKZGRnR9NrO0lLyiXsfY4Lv
XcrfF+TZ3OhA5ZLhTZ1OYAEybkt+O8r0Sy7mDlU3SOot8eVCXyCideEGDLXVnSpAPcXnTucVXbcD
IEayRBfzt5hBDzMQMcuIxJYcnlShradxHYQmRF76o80edeemmSxP/6CSKfLMANnDCip9YO1Dluh8
s1lmCIZAI6uDyUZ1RaPpoWAQgkbrB8uix+vbYnlDngWpiy24ZCRG0Yh7gffCv2dVDNhiAL1ZAnhA
jmKYCzoqjp6FWJKzvjhE77aQbgDWBwQ/Ys4adfua61FaB3b3otbgcaOfWKOFJu5/BpYfcOLOZpZo
Ckiw6mBsFd8GN0ryQ1e3BsiQ6EdPkzAUIXYBE26phiqmzXhOB79C9bDchj20Gr5cX561XYeGi6UP
AXhG9Mqcj6gO+ZRHE6uDiDaZ2w3qPs5C34wKSPRpt87MJPaWUOhiO+A9jE4g0J9eeFLFZJlacoyL
0V+F+ouoJZCobyT6dX1YF7sO4R6oAJYUF2jbL/r6QCGF+a2rDPK29p0FWVZ13rdh9jyE/Y5lym0i
feMg/BeHBpsQ1tZQK8KjH7iR86lEQx3kJjG+ADKqZEtAt++VLdX3pWnlu5pH5kYBLa/H+hCamJOV
gcOiKb/Zechvh2RIfKWfnRtGnXir59Hsczw28fbWW486WbLV5gk0virHnzrcM8cCWkBt9g317g6g
YbxDk8jmbhIr1Fdpoj1zAIM27dyC2Bii5huuD/UNoBCqZ4Fj2e3HiewmE6nvuWPF3TQrygb6fv1D
l6B1PVMzZZOUxnHqOs1j2OhVum1J5rV25zbZcznekSF9akrr8I3hGWIebAt6Ek/KQcmGR1PRDjHX
sg1l1rypZgRi8ESVa4HT1es1I/ditcqAISszP2X4vUArJz7gw6FnZ2Xvji20Q5NqAlJFy4jH8hIt
wIpNd8mEEjKfB6DDlM7H69r0QfpZbVs+9xhRpHlx1xhejV6mnZZEX9JiNkFWBqHTsmttv+rDwVNJ
9MeCirhfQ4VtA9Rm4VY5Vby8Z6HbxWGzBec7iuEj/sDolcRv2RJy04a6wDY37mjm2b5UnT/oVkAT
VD7pWzpWIeD3OjsMiVltmyjUfZpSza3BaOXGGZl21ZA1W1VHVQ8cGJo3Giz2VM7ZTqlj6G0Wc7av
+jnE4wQjRPVD81IzA1EkfvJ3oFoZGAihgNiA5X8bU4rOJWIBN4C4/RvIxhOEJKhu7FqnazbqaPJb
p2UVjpZJ3SSZ9X0yNe0GHUjoEiizJA7amv6aRkP9YXdGd6iBWvQYJL/dETUuyf2sX/gXdKgt9Nro
tcbJwGvs/FDMYVaFnPAiYG1zZyyoDeY8VvxHa5h3yBm7Sak8Via9tZKHytplc77rwu5pqneqOvva
kG3yGBIHyCxZSnifN46fgKa+Bh6rYAO2UOzOQABAghn9Bqprjz/6/PdAQNeij94M91LcVDza9Cj8
KeQ+Sh+iwYCDy0Bc9wWFn01YHzVmuHq7i9E9UenGExlbyRSszgCK1Iv6GVq1RexVMWVxMydjEbTV
b9p1Xo6Xezi/RexBKWX1potQZZntE1vC/WR1UY2tMRRQWkLPsOpOOBJQnLzuW5ePnLlwwYhwNTFF
DxOQT2FAxjcre25lVBey7y9XyMklq3YkhpvD93Ngxfr41ZHdeTIDy4qdGDBZ3obagBVhcEqzW/X+
9Qm6uOOECRL2PCjH9MjiGMDYIEh4AuTIbL60hmRfydZaCOJQAjYb6MIWQW+FXrUge1QVtF1v18ci
sSI+4KoCDB25grGktdfWT7z+GsrEHCXT9Y4sPFkO2hmDac0wUf9DbDct75RenguSGRHeV7aVlkY2
Yc2z0I3plsTHrIEs4L+cLSEEmHPgG52hLwKl94wEqX4gwL3rC3JZtDnfXaJAae2gBZKh/B0kQJBt
Ul0pPEQ2ENiqbArOwxbiThY4RnJLBVp2VAxf7XD5lkWWbYq2fa3T/Bdh9ndntGSOYdlxF44BeByo
VIOQEkHy+bkqyOQAptJiIXPrJWoCCl2uUf+B+IIvJBsJ8+ggSSSubs9FMBgJHw2skUL4OvUzmN2i
tAhMlKu0bcx32R/JfC9rJowK3fjojoGkNJpIxEofr2u700YzDaypPtjdrRZth+gOUAaviPdqWWzb
5rvRvAzJXd7fmmMv6VxYc1YQ5F7gnwvp40U13x4K6NFoeRBaQU9j8I/L+glkFoRl69ORhTOf8yCj
IFv2AIC7PoOy7wuOCnFeiOw8vq8m3J9nBVRru+sW1g73yRyJ5fvRLjugfNQ8iLQb5iDwYkBqqtQv
aSdx7Wv77dSSsN9aaKeNFPm5gAFUXGrmRjfAHawNkilbHxBSDhbuc5TohRsqUe3a4GDqD/p2W/PH
yIC2HXolJa5k1Qpoz9GD/K41JAxG7fMuVSIrCxJUvrTyFfQBpfq7n56ur87q+r/Xp3BADeClz93C
ZBVDl+YO3mLflcTjsvaA1c8vVEFAEiMD+N41e3J96GHUtrNVYa6i56R4gPeULMbamp+GsMJiqPpA
GifsEC44u8HeTIilG8kGXjUBQSGwmKAV4CIhA/U5LSwYKYKBeSBVh9xFqX5i5y5k4whAkSK9yMOA
jMWuLAfhQhQ+zPljBQiGJknxr63EqQnBkaCLdkK2d4n1Yz+FYLuMpHJ1lrBTge0H6uIivZOXM+t1
JyqCykzRj1G5OtpOQOYsWe/VYaCKB2eLzrSLBHxX631qKUkRxDbbVOOBmoXk4L1TTAh3CnpL/poQ
jkTbR7g9+7gIkHtDI3RjTge71XW30boeKDs8DOlUvAwFzks3VwN4gMZ8b0zgLNESdGLbE2TQZ8J+
WmnhuLOB9FDdMtWrsigDyo5U3lSP8Qb5CHNjDT1kZuxw8q1BB5+BjbdSSIBY//ghPx3RcouenMJR
Z3oM60VQNlib9ti3kn7B1cVHoRs9CpA1uShaoFCfjall50FivHZTigLPQdVkbELrS///RsRol9fq
3CJLniNtlBLXVAi643UZWcK6EceEnh74TtAGcT5VRdMjnoDCGzKi3D2qnezyWP7/y8319/vCMUzC
sEuqFjERXsdRsRvtbegP/Q358ZkV/2tGuNZVGg5lH2EYff4WJneG88/171/ytCyBLrAr/50nsf2w
SMuhhlptHqRheRvnoZ/q82amyVNeE98Ys40VQtY+RD+ENo8bZiIPppeb6z9ifdf9/Q3CFWnRvgP5
Z4jYqD6aLHGn8GUAnPW6kdUN4VAoNEBmEaK5y484OTthpMzNZBZFYITI7iERQY0Pt/csc3liYgkF
TkygxVqDa26KQEVya4QATGjdwMdJBrI6WydWhJ1tJYxDRBEDgRK71xS5B/nEXTRu/910Cftbgz5E
qLEK0zX7CFyghHf9+2th0elcCRvbAcVRG5plERTjt9TJkDq9ccovKZOcH4kZERtcgKehGiwMI0Uq
aCxBrRQlrq69jfQTL4iT8RjCHkY9Q6kHHeNpaIjViO/qWfl1fcokCy82qcUhWjHaCmNpyCJsh3C1
AQwnsT9aTX7fxX8fmMIlk8NMrg14YJLyfgaMKdO+kPjx+lDWl+WvjeWwnpwUMx06Gs51EXBt6TS6
VyA0F2XTRgf983VL68f+ryXh2MedGaHPA6MJ5x+JqnzrZuR0/52JZbAng4ksp5mUHibKaR6W/rmn
rpQpKa6v/d8nuCbYUGd0bRMc+jbfjL9Zs+3GTxxI9DqA+gaktDbwfucWwmKMylTDBk7JLkQfIGik
nWITZTKepLWlR0sn9CdAy4TSkeC+KmeA2kVhYySomvR97nUmd0uQocQSKPjayp8aEjxYrStdb1Qm
PJh611gQ/IIU1McX/tSCMGXjhETEUMKCY9ygGSUzP3EST74vvrjDRh20QsP3O+uXqn2j9W3D99eH
sEyCGMacmhDclhaDZQjFKByPcstzZLVq566Fv++VH3hlenX/+7q91UUheFYAow9lGFs4KzNqF9xC
bS7g/JuxkBoVErzmWlyG8BWdNIv04IVOnsM7Jc6dvIS8aeOWBjDNr4ynfu+8FUCnXh/M6uShpgs+
efD2QX/0/MgMA7HTxMCDUrNuge43Yld5jXb0VdM+s5VPDC2zeuJhaJxU0IaCIYgIIz6SqtavDgQS
IcsDHJhLsTsO1Zl6dkozDwgt/ZCCEL0KiuJtsgZPGfbKB7U/0YkGdA9IfUCzAqwHIB/nw0HNOiVl
4SC/g3pf9GJlkk22ugdOvi9ssjQ3aQwuEsSTqFwpHkKk0dmm9RGSNtc3wJpXPh2I4Mv0fqAgtsVA
ynhyy+hJVQowd0jwFjIjy+KdLL4W246C7sE8aKbmhfP2IZsMjxDZg2lxVheewAK7APo9kYW9iI+1
UiU1zZG7n5JtijJr+VudczB6ly4Dp1drFJspDSUedPUyODEqrBQzk6bR+JJZdgI25f4U+dA28w3a
+p9YKbSQgIoE8pkXhCSN4/CQLzu8Iw9Gi6LgLu4lh3R1LGCNhyQV1ICBiDhfp1GHGFqlkjwoUBgI
nbum7tw4P9r2l+tDWQ77xUKd2BH2AxoAECmVUx5UivctlfH4rX8djAtQ3MHRFDsa1GgKezvq8fWa
3I369EWxJ0movLqhgU39nwlh0YfYmknNOrz/v2vs2ejuElOyFDILwlKofKoNMMvhUQvdOyPg/Z0t
6zBfN4FRAHQFkKeIQ4FsU6yXCs8D7rypydeB7+Lu22cW+q+JZalODn425GWokCEPBnKT5q8VlyR7
1k48+p101XQAArjgK1kk+9Ccgrh16tSD2Q4u6I58h3ydjH/K4YXVD0b/mVffqUnhxkQKWemgfo6s
X1TfkbrxwY3njza5aUaZXtDaAi1Nz+gJ0pDNFOF3UQmdMMuaEZyh/36qXykoLFDz/PgSAfauApME
3N0FMbZN28lsS0zhwrGhVuYhskGd8wkbqIoBDgdh1gulUTPq+zQL6yyACvS8k6Lt1g48RMrRbaEu
PaCi3+9ywLc7VOsDw/li9EdNctjXPr9kXNAeiDYpBGTnm5jnNud9gXPSLsSZbiqrG8i+LzgTZayy
JIvgDY1sC8JkwIU+NvsgCYfkCAqti4wa5IKEhxeiSNIyc+ju0ebgWvZbyWUCg+K9IVoQzgRNxsEm
1djdp8NerR5M56W5S6VM+OI8wQoeWwjtsAgA1ouA91FxJocOcXdfD+SoVdF2CqMvhBa7LH3No2eb
JUG2MPHiLCrKV4P+ANwLogDo7bo+nxcJx+WHLFwL+DEoI130i2RxW5LRsvv7sHYec9V57Qq0Q6Rx
qLt9muwg6n0YdX2fJ9HOqtU3ylLmGrPZSzIQovN7/xkoZVO8OCywFQqzDgHDGhAe/AwS8a1jOTve
6szvpuFlrBigSynK/raRM5fOtpRaYHlVnV7hOAzgfEDbLFoHwRQstmlENASamvbN/Qys8i7kfX5j
tcV9M9tgb4nDnWIqX9GYYN9XU3sDzfSfDeV/9Kj5Tcb+BZxLhQuy0mfVjnMXtADqQ0i6ZtugPrsJ
p+EpqwhIW8hQAKk3+02sHBia9hm4+0trvgGP4gOuM89qQz/rAbEPx2LXm93yD9AanZxb9PGVblxZ
f2wK+Bj0pvw+Bs7cjuLtDImGGEBLnqL01NbRVk3Ug6PhqlD751yzmKdY2VtE+tS/vm0uty+CEURW
gNCidQpMJOduxOnDmdqQrbxvv+bRDY0kCAfhDKIRZOEHh8InUOZL85ywG4pkqiPeOfrRoHzyO1rT
BxDqTjuo5xV3bOzrD7qt/xiEoALkhiBGdRE+zA4Qk7Vh6Uct803oEOipsvnQjL1bWJQyF0liHUUj
wfGmeO1F0Vzrx4rRRxDuPs3AsFw3IdKR/ccGriVYoERFX8j5qnDQCYZ1Z9AjmH9mN4OgzK8yL4zd
kBQgC4K89K2RDvGesVr7keop840QUimRbciI0d6bG09OFH4J0CPA2YOxA09xEESf/5IwtSG24TRt
EHPFLTVcBCOAo2GyYeM3sAvN0Y6E37n5M6xAHBztBzvxSPJs8xcgc11i5V7WWt6g/zNm4yEfGreq
73UZN8ESdZ7/RrQDAGCCEw9+eE3MsDGQiWRVZIBUuoS+HnMbp/dLwIcdUGZ8fPFhCk4G8+Esy3Q+
HS3o4dqZ6uRIzUNmPhJZ9esdZSSMBTQ4NgTQwQN3+UwAFU6J4kBDjo2a5jdqAk16o+f8MTQ7suFm
Rie3b/MYRORjqe5btAvfJJNNtm0ZaRAVn4w7Y3a6bZMQ+jDmU7MpDRZ9iUwr3lZ1B4L26zt1Ge/5
zz3bHmK/Z2uXvDP7rg2qFh3DPtKzaMX+dyaETBrLaF6ZABEFffatjANaJ2B9evl3NoTzZkFnlzUU
wzCKR638mdPO5cX2ug0hF/TfkwRCWmSCINtgCM9LZZoS3tdJG6g5Gx6mXFWOSQ94cO8MmZfMJZDk
XHmZ8qzZXzd8uUZgYIBmhAG6OgJtD/EIt1NLG7AwHXUD98zNNG8nWfePcIu8+ys0D6ho/1kUwsUn
Oor2jp61Jj1Cw7xkPpDi14cgBjeLgffoBqCDBY4tuqE6G6amIhY/sjBstygF1S806xBPOGWVPtGU
aV/QvfBrmt7TrSPZsYp3D4kJhQq3dEJ+kPweIdBYfg/wLgAroyENgxajbxVk5UNbK8Mx0dMe2HwV
8ESbI4vYlKMNjXZIbGpOw3ybOf0zsraKO3St4UYhVJ8lc7OyvGc/RQjUjTTKtVpNx+PcHBRnG9E7
+sEO3vfRQm6EohUF7SEXAJ9kQhvB0MDEVDzQCdlY/nZ9PlfCBDjv/zcgyi2lMwjqIac8Ho1nB40M
+t6aPWeQnIOVTXpmRHAkGhoihhHci0fFcZPGTWQgkrWFOB2E4ERMsCa2WlqMR1v9mceByXZF+XR9
npajeu5uIZGHacKreDkJYqszC7vZIYPaHZtsGnQ3rfJ8gGaAWvyu0R/xy2wRdjaVM3ujVWozuOyn
D6KYsBXQQgjaLrz7l3KW2H1L54GxuKP9cRy03nOiCF3X1kM4g2jy+lAvZ/PMkAhmmeZ5NtJQ648K
8dF5N2XbUYYgvIwbEAECsIb3GwZ0UTEz9BzKAHbaHSFKzKFGkUPyaNvpj71MWmYlnju3JPj+api7
cqZxd3S0r2TeGOy2HV+0YmuwnQ26h9pEkusGcjqSObzc8edmBc+vgO8vbw2YTagxH3JmGjdT3vcS
Z7hiBYT4IOgFH7p22bmuEhbrnNT9MQRifE4gMeFf3wqX3sE8MyB4uBwqGnOTtf1xSpXaSyuFezEv
8hclT4dtGlK+vW7v8pQhvCcg48VBg/ah+KS3bYWkadphQC/hC8k9e9qB+Kbw8KhvBkmucGXyQDoM
AKgDYVT1gugmhvCmMlupdiyRrq13zPn43KGKhg5WPCZwhYrp1AqN06WlV9pxaO+SBA9yj7Tb6e36
hK2cVSi7gw0UTYvQ6BFTgkpJornAPXmc1H2d3OaabyUfyzwvfufUhHhDtJFaoukqJMc0wzvDizWX
6JLTIhmFJdwPU5t3qJ3BBB1v0588OTSyx/aKhffSPEIktHZeQEDtrFBKWkPFLUVLtl9k6FzW0Ldq
AoD/4QWBGjNebYtC2PIsOn+mgPxScZJ0QpNyUx1mTbvlUR67CWBakjlbcaEwBNk9aAuuEC/3BjTH
wwaitGk8buz5pVVDT4uLex3NSaOzuT6qxUue3354dCEZDGp6NBNcBLIsZO1QUqcMzCQBv8s/Rvg4
dt/N/hCXIchRbMnYLlfrzJwIceI9+H7yGub6+aeZHcqSu1J2eJkNYc/NUzFmhqagqq7cZ8VeH54Z
/XZ91i49zPkwtPO9MKJdswAbfBkoxmGwJ3Ckvf07A0KOJzFJ3WkEKkMTT3Ztt0Xjt+SGubwA4MGW
5IMOH4Myh7CdZ42D0z7H488aB7QFGmwfRXRwo8rahlChk6z7yoSdWRMua70Lx5Y3dRzE5rCx7OSB
Geg9vT5nK1t5UYkCsxleZOYFKIj3aNONYosFqM2WdsDbRzRcoeWxbh+n6MPOwEKnOnJJ6N+EpoNI
xNejb6qvmRUHoL5wLfOmqSLXkrm2tUlbXMCijQNiV5FmQuesb/WGx0FHD89GuL8+XSvHBKnJv18X
9rBK2rRNCL4OSpvHCYVTUiqQGQ1lzT5ry4IUsmqB60cn4Bo5PytFPLXlOJA4IGw3JuAcPyRF4qbK
bTP5jSVBIcmMCWef1Zz2VqvipaD/AJ28it4iyPl6aQTKR+NP2DJJVnF9Ev8OTpjEqnSGUjExuJSb
fghO8gTpuVjGmbO+ERBVU8TWyMQLZzVvrSQyNey2zGzSlyqpG0B1eyLZ02tW0JUNpJsKFqALhoQY
en0M/NlxYIzP/eg51vfrG072fSHknKH7lRdxDIUVTX3U8h9dpn29bmFtNU5HIMyTWlJI20GJOojy
g5rsK3UXl5LYcvmEcF8uygsgf8FTDRQzgmO2eFyPOceCN92XrrhdSNpzHeRSMXpP2lbi0dZn7K+x
5c9Piuq2oeAFH2M3q+bgT6XtTb+uT9jacTkdzTKhJwYABLaGKNbiIFSeobsYJaMLwVoXMDsfLxBo
G3ysHwgRJyoXqN+DmgfizHggntvTwPFW4P3JgvBm+pHJPM3adJ1+XdhgmtpBgiPjLKCK7j5UtSyY
XVv70+8L26ub82kgDn593CNW6jfIaqbqK4+OH896nE/TsmwnyzLrRW5Xi6HjoPyCBnj2en3ZZRMl
vGETpbDiRMf3CyhlgDpkc/3za8cQKTwwUIJj71I5xCoLY6J2xoK5tXzKJr+AsCLaNHbXzawtBx6x
yDNACgihjLCZhimK7IgzFiT2znFuiPpEybBTNOqNye/rplbOCeoGKEpj54JOQUz3lih7s5BOUVBU
kEMMh+3UaTfq2L6QqthbVD3kafPB1onlrKDeCkEPJESXipUwPBIWal07ThQoka+82e3OiPbXR7Wy
DYyllrg0/y1BhnBZprkN/CmyAAExopecHog6S16YKxaWPlJcXCCeBSJEOJEgJhkUQI+iAIqY0Y0z
Spzx5UZDXLSQBi17DRgt4UBqY2wrpq70QUVMV4nG2rNtaJ5oucRtLT/z3OnDDmD5wE8BDnxB26vn
uTloVsODMrXpQz4W3Eceu0YRugRnu8YHib33RNylQWwAdPoCjWILYYUxq1xtxogHsWW7IQWqkWzs
7lds3XXVsYnGjdKhLZtsP7of8AAEjSEwVkAloxR77nayHheobgw8KKx535QFtErzzXUTK1m7xYZp
LC8PqAiKtXFbm6x4ikceZAV3Id0KhIVHqn2JKn5WdB6I+iH6Y0N71YLytiKJ1t5rJuK8LhIh4FQH
qPtCh82xdfRyItcKOjDzfoyZnza2T8wCNAHJjcn60nWa0q0p3UyFOroRGvNckF1swMLmWlX1p4p1
/OeqX9dc4mHWtjKAmEhFL6VKvMXP515pJzSzGnUXROrCPWQkxi1jtu22YeNIZmFtNy+lZ2TI8O5H
OHluKrEpGIItqw0S9MMzqKbN24z4fPp+fakvzz56GeHCIOCOijukB87NMBsiGEqitQEEgA5lRp6I
kkmi/bVJM7X3cjo00zQxm8As3qhAg3V4hm8IyCt4m7qZrOFvbRynRoRx2MxqkMPKusDJ7rh230tW
4zIxupQRsQ4gEMWBv1h4kNugOK316P203Z79GTMGMsnXUrd2tfpIsqCxZQ/l1RGdmBTCi3y2nAng
3z6gFQFdFPmS0/4TruR0VEKEge7+sIwzjEqd74lxUzSSWZMMwRQelVXY66GZ4PtR8SenvyrtM78f
WVecRqANL7SEOhzSVldTHnB78JIs9Qsu8YSrI8B6I72LeBhCu+fHI8tUozYnqwdpy6MDgRgJEP8y
YoHsF2IIcJPijlfF4Ii0jaWzmvbI68X7XIe6c9PjBc7v8ix8YTR5TQn1rx/41VsLoQoUaODYKRUd
SxyB2bHNHdhMd874PWMPRIMQd6S7Qxxt4u5HWjd7XcaUsDaRiyQTGH6t5S9hIsEUxAiQXT1AlUf2
Ok6P10cl+/zy5yexOAOJeNI7M85n5ifda9pKMKdrPgyx0ULzgHwvAozz73foPLPpjMOoNV/jvoCu
wuhWMvWt1aU5tSIEFKAW7slEMEmhPWWvmaLrhzyMjC913SgP5UwKzzRH8CDN7EcMrrgjVGpyCWxt
bSKBC0aFFQ9n64IqXS/Mau6AjQxSnbvZ1lBkOJ/1mfx/AyJuBr1apRVleh+Upp9ovmbvPrXXTsYg
sqErVhSr44hTpXfxRgPjZ/Xn47vt1ICwTkj2xSwF3QS66N6Mt5B+5vMQ48RtifwOHk7nmw0UtZ0C
1Wi4zT3RcPPbsjzvWmyxRC/gqFmoSzQhjLGMNCZA7+Iwsh/RFG1yO92Z2oHKlA5WNxMEe6kDGhmU
SoT7xRxMYtQ9vKcK5bobtfqE9wRg9H+fp8L1QrX5v95TtfObfsh2LbR7zVTbqNX0EBnakYFC4xMr
TwFPMyBRg1ypYNLJCiDUCjhPZx+3OYIy2a1/+VxGXnyhT1ABnEfhbzk+J45MncuwyUyQFqeW6g38
MWkOfV0f1D505+IzGDYobaBUhvcShiPsg7aaB4WHbR04pb4ZKg6o9HhXVLKMzJpfQxb+LwBM2Ada
5SiG2cVtYOWJB50kvUIjMOTCM81N9MDqtmkVzOzjkS3IWBDe2EvUeZHFYlndFMSAUb0AMBJCmL+v
b4WVQwTUsAVoEFqbDVTnzldq4LhytF6rgiRrvbj+2ULhclS2PP6XdoQd0UXEHiJCq0DXt6oJTs07
kDOQWPKYXb4ivLnAEgrJpwVvdsnvW1EjzOt6qIIGcoHVIZvBsbm5PmErwQ4yDACdQHvpnfftfMIU
dD01bYitDVkV1yBPdnlMuT82X1l5iGWYwxXXc2ZMiDfCRM3U2YYxfXIhlZVqEkewdk5PByOsvj7F
aRT3+D6pHp38x1Tvo/Z3qzEUMCTPp7V9BvQCOhvwEFzCxPNpcxpgGEJHbQPKXq0YTeeolyVQw21+
XV+etRnDnW/joQN098V+1qpxtIexbYOwU1w0TnywtR1RLqoVYORzVOTLgJ0VZizNVX0unWQK+HeN
3Mbl4cM/H1k4ALaXtwDUL4U7OcXGGwqznILsjpk/Lf3bJz7/nhIHzBpin4KrjDvEtVXijEEUf6tj
EMrMnzGAa9IASxIAWWJYPiITY5NZGwOuQ91N2Yyt1A0vblY44yCrAaOvDZZ15PgFN2yTDHRUrYkE
We+Qbaw3z3XYfqNoyxu5hS4RDpmH5i6cwPTH41u1sH9PSGzZI14G5bxPUsfTMvMmzpvflW4GZcI/
HsSf/j5R24tFKgTPGeWBjlyaWlWuDBK0ssWRNwMjBarPS71GiOL1zjLHsZp4YCmWmwKz2qWSVVy2
gTjFSKEu4S1gTRfplKQu86FvFB6Y80y8yaif7T7f1+jbtRgaa6d29K/vyxXv8M7TjG4yZKARL557
h1bTiswB624QNj0Yyfr5bbBry4ub9DC2wz/Xja3N33tuddG1RVld2EARhLHT3kQm13Kb6c4pJZ5u
5Q5CuX7RNUALv03FG5WGRpXord0Hc7UpIAKq+Los47E2XZqmLu2DgHLioJ1PF6VVZ+ck48E0kaPF
8sceJNrjnD1BfVty3a2aMqHT4iAbjaSRcAMlrWK35pzzINGT7/Uc+12SfbFHe9/1UrbulV2HzglQ
KToWaveia42Qlgwndeagqs7cDaRz3evrvhbA0aXJFkYAZkPW4HzaHB0OIOyHIUhLnbhqP9yPan1P
aLSvmTYf0JGx5SR9MBK6m7L8E24BKnEWrlsgRnB3nBtPy2yA/lE/Brr2aBpPsgbitV2HOgBKhoiA
0bsnePbMStQmH6YhaCEQU7JXVT+GiaQEsnZw0PmAfk94cdywwrbjDbQ78YbnQdSZ/puCdPb1BVrb
a6ffFy6/akbuylHxfa1JDjO61IsufR1S/sVBrfi6qdWhAA3voPKFhiBLMFVWfRbNczIEhvLK073G
dte/v7ocSEQvFSM0boiXVBySUUUrJU4oqNCbWxqDkvATG2rJdf/XhHjPKKxpHMgXo4LigLmLQeZA
EhyuLQdQp6qD9megN0VUaDkpRBk7cwIx3NbOHybtYej36v7jEwXaOdRIgAYBX8CyUCcvxSg1+3Hs
+inotUetfmzjXSMDH62tNbw8lDgwXSC5EC4X0kx1GRvtFCjxi+L14/P1EayVmfB8gj/+T6udmP4c
aavyOavVYLbq/PsACKqf6Va0i+Kaumo3FxvkvaebbgbZ5sCLys+Lpn5sRodIzs/KQCESBQAX5HuA
FBO7eIqKTpB41+aATMixgZ00byS3wUrsdWZBcGJj3w42ZKXnoG62beNFynNI7lKEONBtS+8GGWvs
SjcdkLYnIxKuaqYAD4c23zngUet10zc1p1vLeLDT0DXYNmQMKiZPUTdte0ib1HQTs9aLzNBVjV3E
x12RBaUqQxysHAu8YhYuWxRL0TIleFoLal86JERwI2rlXW6V+878XocQFxuzr9d31tp6IkoHvBB3
L6SKBEvYV6qR6yESdA33jHyjx73EDa64KQwFXdfI/ILXRLzdmUPReIme8yBSbK/W7jPlQW3Kj29L
EBrhTQOgPBSLRUTZQFsESy3qG2Pymrkl//7hWTr7vLAnoW1hJVYWc+CKIq/dQWNE4gdXlgEkIIuA
1BJyX2A/mpGPRlw6XdBCHWVLpn/5+WW/nXhAK5loXFf4fMQmVz1yyJJ8fIJOf7+wjbLKjK0qC7sg
nm13+jEnsgLZyi5aKD6AGgXhhwUiofMRqDpSVMPIBrRMgevXTYrbbpQk9FdNQJoM2XwL96mYUJxG
Wg5TikdfU8W7An51HjblJzLWqNYjPgTtgQncvXBRQETeio04GoPa8CDxIusKX9tHp58Xwqeo0zMQ
yShDQCK/LLzPHDPUjjVQraKofyGyl3GrBy1eigCzq3yCvyXxxtoSINEOZgZw4ix6d+erbLFyBlDM
GIOCeyBFaHNv/njz//LixGsDNGhLBkcwwdkYptYwIz1hEBd8urLmt5UVMPFwBq3F4oqAszkfArcj
vedmNwba6PWQnGOSXbq4GuHdjKY31JsglLDQUS/2T44ynoRmMkJ0Pgije6hzuhVtPBrf2+Vtgqaq
dJSU81ZuojNzwnQhXzyPbRgOONjem/oK7Y3K/LjvQAsaCHB0LDuwb8KezXjDVWOGiS7bQh2JvVx3
TSvxBD6P04ZmLQfvIuF+73iBxteixoKPRLlF4tDap8xu/2hzBblrYisQl4JC3G00l+ZmTmv24RcN
0mx4z8A6xZtQfKunIJALoQzLgyH+oxJ3ND4OEz03ICxR3kMlG4pnSAY9TtotGw/X5+9yQ+PzkJxd
sve4nMQaYUEIos8UzxhrQGVF/6YZkh29/L7zHX1uQHgn9Tw3htBGYkZvtiPfNMlx1HafGYOJCH3B
B17kJIeYQeKksTk0fh4i5Wj4/0falfbGqivbX4TEPHwFekonIb2TPeUL2iNgbDCY+de/Rc6773W7
UaM+90rn6ErRodp22S5XrVrr9ueXRgB5FryTZlo19J5f7knFtJqedWX3wszscejQ2o5wPUPebLg7
74OcwuzKINF2cMxIW6WuAVC1atG+MLXcOCzbqfhnGNcSMgtLDqVOsODgYYmjxpHCBW8UWWGmWvPS
RDY6tHR1Lbm0ZkC6zUFDphYmNWCgd8Lejf3UWHGqj0ed5FWIE5DgRlwFMUY5YOiSJq1bDyZImW5G
68StNyr+Wv03Nu5VyAQkUIEZmzzg4MZqxzoc43pD74fdIGIBWkVDtnZGQ0iXARJQhTK63I3AT+27
bhXY1kpld8H1ZgY8oBs/zjc5aNGdVgxt2ziglTJ8o603Ral/smix4uELC4a01gfhHi42dL1eergK
iQWT08qJmAX+SwYpRPAV3d5EiyaQakdlbWZwlPF1ZuyKNPaIGzGow5bMCKi6UrlbsoDEHI4xNDgB
zCftHiPzelXRMm/u5Z7bQtY4/da+Lx1kjlLGltcRLzLHoKGh+Hr/BJ3/fGkNMhWKa2ODz/c8GBgI
pty1KvfiABxQA2vgoQbqaf77WWxRJU3PKbhhoho6lowBv7fWC7pmQbqr6nqE5IEOC2lxmr7gmX17
iq6DI9yxM7PXHEMiwytNUaVzUbgxdL/TmjyNppL7VeZ1kLmwf2Vuu6895aCZ/2ZM50alWQPGGH3H
NdS5h4oEFPqjxVpnwNImP7cgzVqT6/XoWbAw0W1CgkwcsvvDVtRg5jZDKIADRyvvjSEluRAo4Uej
ofoWNGu9uxMNWJeZFxhhHhgPZfJpzygRHbWxE/VBObw1yevtlb+OUy8/L90o3OonS+/w+QLcI2TY
pxa4jA75Wr/vgv+iOQ4t/zO7BtQspC2eJYZBe5PFkVqih/nZKn7cHsba9yUHLqcCOFZk96LJCLxq
a9z/PsSLBghjpHqQ2LlC55nFhJtoquPIGT4Rn5HT7Z+/4KgXn5emhyTIYhQdPg+GFijDulNo3B+N
XliQJoh2FjWnFhbQG9Fu6P0tA5gfhA3INcBZ0S92eQJ2yJSRwmli3HOqfwAR4colt+CmKKciSpxb
7qBSKF1BbqaoIPuvFZx/Re0XiRUysP6LxoBs7rQSLC7aAoZgvk1Ri5T5kDQ7o2Ai6xHuej9F+90y
Xjv9u7IGh1nyWFza/7EiJzR0oji9YLACUaHQ7jyUo//FkuM+wqbD2Y6XiHS+DuibyIy2j6PQZm3g
QmD2ttMuj+D/vy+driNPLRUK0DEYUFI/ORrTv7ggoEGHBxRwQ7N7SS9QtBNBmQZdElGh/HDTH1l4
+/cvbbqzz8sqQqYwRdznOLq14Uitn4n1U1dWoumlKUJVA3lJ4KEBiZCmSNCGC6PjcUTTcqtN6hMY
ft9uj2I+oKV4HZVLcDYAQY6psuefcBZ76NSp9CL1vKjK0RU0OUnAbG1jld7OgR4l2AXZyrIvbQ9c
Q8gp4s2Pf6RVGazWSjoNY9IUMxB97rtGDvqWlypdCTsXR/b/huTa0MQG2nZQ0I6U7JPen9JShAbE
bJXei5R47YBfHpVnfTB6oINMGpVuK+VoanBmo9nYm25Pp+Po/L69VEvegBgaBWZ1Plbk524VJ20s
kGZEOEKQsfE5GB5vW1iYMjTWIxyZ06TX7QptbEAuhpZ2ZLifSbWvwNCWpt+IkvnWmrLmwmBgCgqR
MyWdY8sQ4rLN3aQuOjtqn1z91Wq/3x7JwnqgeoqpAizNBhmWvHMqV0lITRyQm2phxn6xonxw+xev
4ys3y4cbSRvIno+XmdH0oxdN2kBOY1CX93Y0dOXoFxM55mnx0Np2mObDz6Hv1QPm9bNu9WFvF5v7
h4mmTuTwXAcAVlmlNinoCCbr1Im6oXhIzX367JXbhHn3n0OQtkf6eQ6/rvPDwEibdVvCTKvtIHre
rrjd4hyef39ezbNDyOoHZFhirFatF5t82Fni0Ksv6vhQVtxPGPe7dh+vMZcsnN8Xg5o3w5nRSdgl
iWsMSols7wtgZP2X24uzsJsuDEhBDfJhg9IZMDC0Y6DmgK0iOZVCOw/wRvz/t9vWFjaUDWpd1C1x
tqIRVwpxiF3HqWZjQylZZCvvVbaW71waDrgjTBQKIL1xxWpeFFDDRT+lAqI02+fxZyvpfcsathot
tnlebW8PZ2l1zq1JLpGT2G3wqFSiRNdanyZoL0/yI+hjV6ZtyQ4iQkBKIQGJ4FyaNlaksUpjS4l4
PR1aLh4zNJrndK26vjR5QJeiPQ93LHp0pFRlBR7yKakxHD2jfoy+0QhpkB7c0022ciAt+AHQ3khx
IWDAe1xGQil2n1NhKqCvMStk24LcWzlaF2YMjGigrEFDNrDSMnl+61EnK03mRQkNLc8vxo027m4v
/tIYzk1Ii+8UlW5lvEBG55TaYFZe8a2Fz4OwZu7AR53omgdFnSrFbEvXjcD8d6hLvmFsTcBmvu+l
WwHlOhS6EFoBrC6vwoTQc+hSPGg8Uwk88zO3T6W9NTy0f73H4lmstmUsjenc4Pz3s9MsK6fBMw0Y
bL4JaLXiDljxq4VlhyADjiZARw3Ihs9/PzOQ4KHP1aYATQIoSpS9l/uK8Xr3sgN5D84ylNeguCwH
UV1P+qI3DLT5P0wOcB/7259f2INgwEOci4gDKFsZEYFXH5uSRktehrowgrZxIec97Hn3WzH43DA3
vd22t7QkcxZ/bi4CcYF8tFTaIAZAhtKX3j0OAdEP/+LzszzGjAvERpROLhSFs8Fs6/TFcf4MDfG9
lZ+/tOD47v99X79c8DFmLOlinr7kvBsDe+RhFncbtTHFyotgzZBxaagswB9RMQwEhcGGBowGYk3o
aYGkGO1DyLJZgNUuiPzqk+1mjgDJRzkkW+HwR5ZX+3YwQubqj7RwqI9yWIhWpMovULxINcg/gaJ7
jTn1IxMqnwtnv0N+lJAkaY2pi5MX01FEJIzcKjfc0E+eF4OrmFr5BkUHfjQHBOFuY32jid0cJ7DX
+rwe9d9qtcYfvHRQnf8gyYuqPJlyp8TE4PLaqlXqN/QN3MlJ8qLPZFeA+vfTysPsA4V9NQkzihpq
GAs6xSWiycKxsTE8rDzYL94BL/IdrXod0Ozvm7wTO6cveaC5UFtoc49DQz5zgqltO7+q2RCqgldh
lrRZiAetGRKS0SMKS/XWM9eatK5XDAzOYOn70KwAOsKbJ/Ds3KtjLzGUeoyjuOE1cBGadopT5w+E
kIqdGGtvm9W0hvB1UoaqU//tlOI7GtaS/eSMVlQa6fD5rm2PRjhk2OeqFuI86DzLGDXbblqCsAuP
2HGrmi+je7r9fbmC92FgrtLYYNeYC+jSdlS5xhs9FV4E0t1aC3qsiHmoxiA3X00jrL6r5RY1ryYL
VH0zNSt1NenMvDI+//1stt1mBJm40XgRKafqp1cBm1ARd+3olOoVV1aku4yZbmkQC0O0UiiwTI6v
tS/etC/os0Zs30tX7jX5ffOPPQuvJ7AMIYCWX6M9KuPokO7dyI71KphML/Xn+yJMLacJ67zWfJcK
cSy8Sew0vXIPTM3rleNcuv2ufoMUU9HMFm7WtW5kNV2gkyn1K9MLulT3q1w/UasKb/uRdKr/rz2c
tWihxSNbZrftShAiKJy6kVkJNEtUfhbHYZ2MK2HJ8twCF49tARTf1bunUbW5AAE7Q1Kgp3YEQrQu
jw3gjz4eXy9t6fwoy+G9ia3AFGxlUmd3PDvJ/hnkmXHpjlQbNFaUXuZGUMx5Qr7h4JG1fnf56vqw
gbAIXoNnA/repP2YQ9S1yGvHjiz1xSvKcIof+uGkg9e1nPyebfS238S6F2h2skN0E9xextkt5BGC
YUefZbKQh5SflTihhVoNsM66emtM7C+Uf7eTFUPFrHq5bWpxKc9tSbOZ26Onlp1nR/UkKlDvqrsm
Md/0YnprGoIc8VAeOG+3zqDupsa4kyXvn3meWYWQtcdY5XANPKxxg7S6HaXDUXw2mpWywJKreGef
lwanxrSeSIrPm1Xuby386/bsXe83EHzjeAFAHMtkytxiFb7ex0PvRCX/XTToGWJ7S/lz28b1GGAD
sfPMkYPknQzuqEerGR0HOYbcJ9ZBN1cC9Gtfu/y8lDCxR71M0PWA9GOqfC/05jmpykdFF8fKvrO4
gcWGKdQ0sCBoGYLi1OU9Q4xJ16tktCMosvgEXDn579tTdX3cwoCHdlg89m30jM1/P7vIFGS2rcJs
7chmuyTFYTu9D7g2O3403LWjdnFZzmxJ81aVU0YAvLEjvUi2JYMq7530zv9M15kFKQhKRd0MqY3R
EHFKnbBAMUh4Ty0QV3b7x9U3t+duaTza3NMBOQMEiXK1bqIOUpoDsaOOaI9V7O2m/u22BfRUXp1r
qAVCJAHXA+h5cENdrk8CfNDQmKDis0u1crYgZCv2TOdt2OC2FsFcpjgkkN/aQBe+fuudLg3JUCUH
FGQGv/OS6WVQKuugVhS9TAVPt4mbm19JRobXsmjGHU6w/mvrKtanwqD5vtNiuueG3fnT5MVBpQoC
lbIcVNwxyj6bHDq0m9xpxldRCKxhnJo7oBfjx6qpINviUFQUCshmuSApiAyRuhtwIZKt0eW9P6l5
+pDTvE4DZ2jzB+J03+va/uvA+lFoVH1pQPe6ZXrubTTqfZ8qtdnVlHRhWuf8UWnNaQtwrnlsy8rq
/LjqEN0hlx3RwU4ii4k8gHQXDSrkF6CKQH4OI/ix8GbQgoQbbWhWsfLsjUX/mHtZvqndpjtqPOdb
wH7McMr6MrTRWP1qEJP6FUUFvxxAFqFnabrxYmJsR0fnn+I2ZQFUq50vsWKX25g0bJ+0Vb6tKtEf
eUVsCPEM+qFyzG/cGtJgfuf7YzklJ0eNu0BJ9CbQBLJrbq2xo1KpP5NeS8EZqbymXTv9wSvitg8t
7XDQniG3A9ZAB8fupQc5jZ2ZZo90QtxZW4/mR5Qj/Fw3P7uj2BVat3J/LJ3vSPDiCgGoDgUmyWEb
R2hWD4bFFydNt0wptrFIjtRZ655bNANSLyT4UFC4goMlDZjQ1MnGA3VA3rUs0kcsftS39n05uI8T
BSQlczwMboorkicSEzSFWth/DlT6Yh8EWivLs3SZmHNVEwAboMLld1LblbGa1iJ5IXHjl+rkO24S
cCg7r+tMzpfFZYyEswQcHh5YPFACkiMHr4wHdDE0yYtOtD0aGnfYuUfu8hBvOF8haohC/am2zR95
w55iqq68mZaW7Ny8FFm0EEvNhmzAUTa63wHH+WKlza7v9JUJXTqVwfqCui0oslBykq7MjqTMcMo4
jkq3/AXoLfMbLb6v0PThFWhXghVkGq8lbOoGyo6tJ5AmR4+/bhC/pmvJh6WD/8zERxB6djFrLTMR
x7RK1NmA1CccOLWS5fuk8T7rVXuyaydsxXiwBxxvirVifckpAdmY4wFUA66AqTmZXAsdO3E0OHRL
6A8OSTY6/iDTyjwu2kHPMXJeFpIn8u2WNSCXUtkEuE4x+rn47KlA2zqfzOLb7TNwySc+IIsoaswo
Vcn1+Ei5QP8XkiN0Y+RP9ytz490BWTQ87nAgXXeNYF9nHZ5EcdSyT65fsE+3f77c3zn7G74/4x+A
pbGviiXQd/HcIs6UCIe5Do/ojKBQoLQ51UXy1Bpgf1EF8Jhp2og9JJu1sOjRH4/SyBqYZGEi0Qg4
I2Rxn1w3Y/TTJNpCz+GVInSerGHlFafPIaB0RKEYBATx3BE4y+dcXlalWfcgNTfiaGxSvtEzewpK
gGYDCwVrxL8a/Tb2RRHqReXukEDlQd3FZMcz1cIdG6e/GwQZ2yFPODRUAbfkWkt3Bp++u3XihrkW
IzLI89FnpZJsKG//Zp51zDrrT5u35tMk9DbsSMYCxxrvpGv7ZwlR8EKOARN4RatiVlqREdUFzANJ
3DgzNgl1TmpR7m+7yuIC4TLBCQi0wpUqBKJUkHk18BQDsPm5EbFaMaAvHEwzfvY/FmQW0j7htKdK
qkRo+wmLvPIHU0esZDgvbLKAvyqOrVB8VMjDfNJ2JkjLOss9jr23T+ziYFttgL7xnTv0T5orNjnL
9hrLVvxo4aoBrS/CAuh9oBh0hW2zqgpycChjdvzJdkOIC/nVuBLoLMRVEHAFK8XcR4CKrHSm0Nrq
Z1pRJRrbT7H6uaA01NXKnzxry8aVA2BpW4DNDMhbkH/hZSu90uzc7K0io8lLxrGq1S/FnWEbuzbb
jYoe2M3hfieCehVKwOD3QGlI2oWkLSqBao4SDeMzIfvq9+3PL7oQHudzVzGetpociCDBV4pOByiw
HyztqMS2GqSWIQLCSeGTCZgh1nj6aSpr8hg7brMzJ4eGSRN/wys2CafWiDcMUNtXO6bxr4E6WsAZ
aBZ7SNhvjapzjmZdrUGIl3wKxfc5qgCw6Uq0vkJsqfcUk9K4nxM7CQyd+nW8Jg28cCPOZGv/sSIX
4K1RyXOeoc6vQgqrDch72x8JWclgLRpBjRGAyTl/Lq9vA5FfaPAWOCSE5YV4YrKwyaD+G9cMxNtV
nayEE0tbBWkGHOrI+cxB++WpPtGkxyuoVCLFJoCDpX7v/aX5c4MyTquubJVlWzP4A0wxiF+krWIY
KfNEibEp80OtTXyNQcp3snEXKL7TrSF2l3YmGAD+z9z897MwjZqlzi2KoU0E2pzazhvBUOR9afRT
Vut+vYbfWzSHsvBM/gbiHRlIZfSaRwSfA89ih1ZEzfVzz9+ZVuqra828CxOJqMNBAgqPnzlddzky
q+3SutIQm7Vpv1eS7L2LjR347Tc1GDI4XYMjL1xc5+Zkx6/7jJWpO+Dmn/ypeW7Zt9uHztr3JR+k
jmDOCNLXaAK9fApsu3/7+3K1cL7g8T8ARXU0P4NLZD4/zjzBaVRDaEWLAQjzt+6ECZQMd1aH4GSD
YxrE41mPq6+3NyrzXnVSvausA3sfRbDhfAH+7rHifB9D/eT271rwGPwsQMpxzqKwIzcE2+Ogq1mJ
iGqKt53S+LR6ULrWz9N0PyQQJqzX+nUX/ebMoDQPGjSKgTZW48hVuid0pTwUEBxXoKfdjWM4KdrK
VS8XPv+Z9zkRjo4FMLLJQF20CsZFPgH/PXbW6DtF+wSI9lYVEFx7Bbl9YIz9zoi7PZ/MXa5j3RO+
xsexOMezbuvcSXydRB2VJnVNZX7GZDFAJ8/tsOv41oZWp/eVFq+3F3Ted1KIDDcDvA3veNCbyiFy
zYGJzee3GTRbQ5NaG1d7TIbfYATxY5wDzA1ie+WZZi6uKU7uGToKLLRM66J1rjq2JdoqUvtTOeRo
8gZaFV0JE/rjnebkDN8gcKmYqY//dtO1nt+JArTOWSC0MlAKEeQsASUU3njTU+6ooQdMXq2Zz8S1
d+Wwb+o6YGhpEZbuD/Fe6fWAmEenOmbqiLsCHdhNVEKkTY13rvVM8OZO+ucs+wGRMCs/2PoPxfs6
WoepOqRDH96ebpkA5sO/4F44clFvwQRI/izSHo+NLoujZHgX3YaNETrGwUI3+dr0yx6ByNH2Omgh
FOu56Ilf5inyKONG90Bs3au+rRK/cdz97V/1wSwse8H8k0C1YCNQk7Mc0KwbbY1pXmQnT4PehEP7
1UPEn2t1UIGFZoQS2Kht+XQs+buh404aW9+svivqFFjWtDHJz0RUgZnxYBpOXeOGIKwOxAill78x
ASOdGcbVWmbGWAihwM+OGBZeC3yLHJY3ceW0hFhelOPXFIRvUrhMlfwt+inUtQel/1KYDR58Xxv+
VDJnkxubDvkbUGMZ6paZ0B6lBlgf3i2IUMbxEQoLO1o/T84bGHc7MxLlSXhfenM/De9dQw928ZtV
A1K77p6nKyHyQrkTnWpzxzjSnLOChXQ9uu5UNKmITdSpNb9LnxXxwPLjWJ8suDzhX5rqj5kdUOjI
q7Xc58JVNnNN6+CPwN0A6ZLLm0bUUNLuEtdEmf6l5U/8dNu3FlYJ9OwIzYFDQmpGdngTPDlpyysr
Irb55A3pDpTDu366s6F33lcwMw9gTkhCk+dyFI5ArpJXtRW5Ogmb+LHR1pDAi/N0ZmH++9mNPCTt
1EG4ELp45imxhE/u1MX8GAK6UdC0CCuAochHg2kXYA6zrEjvmO87aBW/vRJLA5h5FbAQeBNcpceM
AmzTAtnpiAm/2bNf/93Xpempa+EZaA23Il69FfqzK9Zq8gvXIjLbSLghnzPPlTQ9XjsaXVJUdsQ7
88kc2ogM6NcY+BvR43B0kv1grbbtLDkvUh8gc7PBpXGVQHJ6vdc6AuftiMClKJz6teyGZFN05hpV
zJUpbHwAruZ0FW5+5Jov3YvYSIJkVUtPqvFQF1/sbju1K+Qgayb0SxO6XSpdxyt6SouxO7S6gbpV
m9Ko1N01WMHVFY/RIH055xfQOnHFgzIlZUGSFKbUPgmrvtmphDi+Z5eA2hHjd5sUu9vud/UInQ16
CJiQopm1siXv0PrKMkBinZ/y7GtqP2jpjxobKFvLVy2NC3zGgE/jygH30fz3s0MgYdDHalsvPwG1
UW+blG25K47ohPmFZ9veapy/t4e1tGQGmNKQNUfy6QpDVU1Gn8SenZ/EaDe+muZvIjEjrpv3VlMw
fTNZId5mEHmE9PzluKjO8NqepvxEAXGuBQLOX1Xz9fZYrjawZENyP5JkqUliNT/hhfjbNJOvk2E/
APmA2nrzS0/KZ/Q2rVGFLds0wZUInwDHp3S5Tah7jOVg5rhHM1+kr3bPw8Z4RyHE7I6uWKuOLi4X
2rv+15zcn6rQsUu5ZeSnvktChreh2lVB8m+cwpwb1UDaDcy4HD93Sp7kLa3piep5UAzOyRq909Sv
pT2XthQgNYDe4jqalUEvfQLSzLFmEM5PuXDST2YyWV9Jle669i2LceTedo5FY0DHAm2Fci9aeS6N
jVaRUKQHytNY12FpojRVZgevZ/6orHXILpkCXS4KAuBJQvVBMkVNbmQtE/zUCpxG/ZcR8mli+oWn
wu0hLfkekEnglsWZfi3jwCy0+0HErzxVNNG2Sg6VeOiHbF2i/bZ18oqo9RG48mZlIq9ueewysKXh
ngTBKdjVpYMwVYhQHQKrjf6oKY/eSgJg7fPz5J4dgDyHzE5WJfxU+T0JAeS8PWdLG+j810vnq01K
oeglfr37XlZ4t3VDYK8cdWsjmJftbATEqmlrzyOYso0itsZ/OUHyriFmzWqGz7fqXoGG0+72BM3/
+cVLDcvrOUhPzBqwgClLE6QC3dGBCo6foEWzK9nD0G85+0bKT8Wwt/RdNa4ZXNgtuPDwOgH+GtG7
N0/n2XS19WAULamLExQ1AdZtEuXRyevR90pdCZMRWkG3B7hobyaVxmWEkrh86gw1pFaqdoA9b0te
Uf78U6yh/z/eHNIk4q5DbGIDJoGChDSJ1qhlNijtixOzGQF2ZiBK0GNPBQApuQ7ENlJlQ8o+UKj3
uYGCYW1lEc0h8x4ABNRXL7qFqiHPNNAUe3r7Vk7TcGzdNE98vUv4K5ZQm/zRpcYBdgbfhhytzzum
PnLDykJe2eqGF1nt2/hPDnFh9r4t2uyYpCQOhrrPX0RlJ36TGLGDNtqOfC3qFMtcohvQDCkSpqCx
B/fSkEMLig4U7+/E26eqOj3iJaccALmLQ6wPQbMaK7St0RtIXAN74qMOERNfr9h777ZapFbau1vG
33mmjGJLWAPwYZarm15BGzygI1Cd95kDDhuDuH81o4u/GIqq+96QoFseL/43m4v8E+UmOala6kHj
y86QN5rS+kA0Y4TwZqI9oF8v/uHlut75bUK8QMkzPaBmYT0w6vShLbTa17jCIA06GmFf5v0zGIEc
zEtfr/jWwtYHLhHVkDmHiWqbvPWdbqAGHla4MNvHP0xoK0W8Bd9FBzkguijcG3AuKYqyGrdguWWy
U2JCiXN61/KnrH/oVkmAFk5JZCix+VE1RwQgP4VIP5OSNFlxoiM0p/NHDubyVqyUWRYmC5c/niIz
+6YOHP/lxk81I+5VXrMTSw/xq7Omqrb0eQurMJft8CaVq0blaE1CqxR6cpLPPeiPDW5sbp8kixbw
GNABR19IbHicq5kC6pNTVgVW+8VeK6OufF8uXXOWgd+/w/dNb+NtkHv8r36+TJKUeHlsqSM+7xyB
+m5IePvz8xknnYFoN0RPszHDxa7OQDHSpIb2BT1BVS4QvD0YRoTYHEfdQVXWkBhLU3VuTNp4bk8t
lnslPY3a0cVxor/eHszSxpvhdMgPoFcfSY5LXzVzNtguoASnJtmUufBbUvpMC8vtbTML+w5kOugS
QvANcnT5jY7WVgNlH4YtMSWhoRWRWVv7eNDf/40ZgHMg6QB9S/l6QoBYKZaZsVNqtCcUGfy+1/fc
GldGsxBKzASSM8WxB3CljK1M0HfDDDWpTyPUBHWv3dg92ZjaUzpFNmn8uOv9mK6kIBYcYV4ixPjI
10LAUoqOCES/cq6V9Sl9UVixqcs7BWdxKn6IMgFnhkWCcqfkCcwhteuUZXUyOBJ1vrVWL1nYNqCc
B7EnOJuwaQzpiAdttpHnjc5Plh6yT5+GL/UQrvFzL3gzqAxQKQUnCU4vTxoDFAw1SmgMBSs6vnZ8
M2YEWFTF9af8/iMSlkBSCK/Gv+WnkFNoZkUGjGZgPGjxz+m2Jy8tN7pnQF4GSQTg1qTZGgWWqFAJ
XCylwRgO49pULRpAz7kOFAUIDeTlVhWc8MBF1ycUgqoQtD7h/QPAfY6HIo4v3OvSAKhWek7PakyQ
o+/bJt0a2uG2haXFPrcgXbONU2kQKe7wHEmonzh6iKBpo3Q/yzvZ5D52xkzVMyuIIssjb/c0m8Z6
HMzqlPyo0r3HV06TpZXwELejFjPjqFUppnaULlFH265OovwyVoHurLX6rBmQdgXpc96mBgyYbKep
u3iFzXHh86i3InGDFh8HlRApK2C2FTPtSuFQ7Kj/GgJRvV6sFT6vr1xE/pD0nssgOD8kZ3IpnwBT
6vnJaIHJBtLNv9uVLr4vuZKARG3aUHy/T8UhV/rPSN5s7TjbI713/2pfmJJmyxgEkkMpTI21r/a+
9vn2SBYu2ovPz4t19ugs20kvocvDT069x7kXoyzV33/0IWNsGiBYnPkq5PVWspqlTeKVJ9MuUWYH
pAfSqzy4PY6FzY28KvCnaF2G8IecfmROq5R2XGJFzGozCfEuoBbZNmwTc3b/zYrEz9x2CtAIcoLS
/tMGJwWa1+Unkj9O+zZfedosrsjZ56XdZ6NJXge9Ez4v8oOjboS26SFmdnu6FvbgxRik6ECzWTcg
Cc5PBdu6dNvv/6vPy9x1eA30FSUOP9lFkJe+sgbcWFpt5ErAE4IQZwaoXXqtjl75PC3hUlXRZc+D
0P8oGah/mzxRDyaocFYu13nKpQge8QfI7OHHgN3JHlyKsRsMvDRPPS20p6lx0kAH9Z/PxtYJNFxW
YZxn7js1Mn0NpyaNFOfXrEvr4iRDPRH1OGn7N4Rgr/QzsYTbnyzaf6JTFiVWHnoev8/xrkxJR4HW
JXauoBH2pXIM5D9+pBDMifOVfSo53oeRmcMXlP3zc/oDanB23jjjpCa9AORGFHpg0X1ZrDXmrFmY
Z/TMghIPVswhPBB1QDCPG+J+ucu3r0Yg+V5T5ySlNr6v/mEktLr7ts7V56XtP6o2a4oany9i0OkG
Jl+5Gpcc6nwBpJ1vC6KqzNXiqLePgo67xoyDnJyoSVfcaZ6Hs03zz0CwQ5GVR3ocXRaX61DEhDPd
RT+PFT8p3qHXSIhMGNgAothsV7xq0RY8CvkNw0Vjp3QfZ8aggp/WBDDZTp+8FDqe/MSbOXWqbXRn
5fxfnEHUqPGYx7sKr4bLgaGsq3qgUlGikgwbTtiGm/HXtFR+90m1u+1ri6ZQogGwGB1LVwSdWVeh
BmACk8dEFhjJoy4AUEoeabZWE18zNP/9bNP0VgYO5AmGdPqQ6YVPm0NpNcHgrKS6pMvtwylQO8Zr
8SOnLrf7c7PpTa8D6G9S0gNn5CkZrb0Yk5UlkhtvruxIDtG36OiIPYA6ncF7S/PsR59B7bTVvY3B
picFedHSEdtSGNtGBQ2AsYZaXXJIrBuiERDQ4L0nBaCJpdACTMTg50LmuOC9r/Dc75XPH422r7ed
5OM2lXfauTFpsKU9NKU+2kC6FXa7pSj4gurH+c2J2z4AQZntKt7YgVFlaqAYGmRlizoZ9l49H1/w
KKTSm9LvkcHYOGiR/52lzlcFPa5ubG/VahKPaCFmvjdS/dHSQIBfg8Zz21DF8jvVYZhIFanmBEVz
a2q8kIFfyM95kXyy8zxGP3PtHdkIkJrHis73QDYZFLmI97UatyBFMuPntECuOh417+gl7AfPh/o4
QfwknJqJ7PrBdIN8yPtDVZjl82h3YhMXjR64zI6f6pz+Hdps22Zty3wL78dAJXb3rDQCLUb56PhC
B2f1WIjmoAPeqEL6zUQml9EjmdCelHqjEaD/yNomNkFCy0zYPu+ybzMyNATbCn6wPf0ElRKy89mI
1pkiU7cTCFYAlOxTtDcwSGsbQ//Xytw1AOPVPYbEFxCCKJxCAQ1wK/VyS3I9tRKPsfyFdr5hnQrz
vvIZkBXgwlYtZKVAsofreN6qZ1uelVNaTLmXv5i7qo2mfOWVd3WizJ8HlayN1uUFvggu0grVC52+
1NYPswz6rafjhfR22/Wv9/lsZdZmhPYr0BRyZEbzHow3I6zMbIT160BCmxxpgra6UFE0v29QHVKC
xljrCltaHOTr8YgFoRxKA9L+hg6VZuX9BLvYHm99fV94/rE2EIIBSnGmFbtSs4ppgT6PuqcvJIH0
3TbLft6et4Wfj1MYuSgsPH6r7FtjYjWTa2TZS9x+Mr9X1X2F3/nnX3xemh106gFR6+Hz4B8gZham
QxveHsDVPXJpQT5fS1Y02tzN9mLH5oOo1dehJ8S36nIlsFi0g9QwKjOAiQOcdrlJdIgcisJk2Ysq
6lC4f5ruMVvjClmzMd8l5xuRdE4x0RLPl6H2za7wbaB7827l5l1ccgB4MRDAxZDCu7TCazvrNY1k
L1UFWh/lTV3rYLza8PBVwEkAbUQ+fcbMXBqoAGsnREGjZNfhkX/aBt2d2frZrVSoMQFwgZfDtQyI
EeMaaRscw67y0nfvnP9h7cpdujBLFybmv5+theJCk0No/0Pal/XGjTNd/yIC2iXeSurF7TiWnTiJ
50aYbBK1kdop/fr3KB++J91soQV7MIPcJFA1yWKxWDx1zkweiyIA/ZHI35rdK0NQgq41geue2fg+
+STv+dsj+tLMjPZglMuvKXq6zCKTSWP0oLG090Fz8kC8ZmOC9KtlXkYAuCEe9K0VSNQctwZo4xGX
LFmOfu2m1R7HTHzyeuC852QEET4eoXzw+YuAl9m0Bxi2OeRAJQa2LtgPTXR6aLKS7ux5aeklNd3S
fr1KvpSfqFyhzKEyKmASk2ig9Y86a7td3U9PLsHVvW4CVvUbN51VpzmbEuVC4GgynvWcgWuCpTvL
SwM2/rgd7lZHZKObAQV+AI3UY84Q4I0SKQGTtPMVJFZBV97bkIKcxTOV326bWh2Mi4wAxTQ8jBjK
YNDxx8rZG0E7kk0vRWl9qsm4v21iJeAtTfH/34RKNJ+BA8LuHTCb2OkHWn0hTlCw90zYmQnlBGJx
3WQj1+ACXu6X7c8+7UN3iAr2jVmu/47h4HjAK9JSkLp62umcPtY6MIFwPQv06mRMv7v4920bqw5w
ZkOJSwIqwbbJ+wRnBAnLafD18TtvhN8O99LcgnKurs/yJAo4MQKJmtwYkMRFzoAtTiY7TIx/xtLY
11r8jmnT0VaKflbAe5GMXIZac2JeCU4jRHOdHBJ5Z+cHPKIfbs/b2lDOjZiXRuYFCbvERUhfJQHI
ur63TP6rya2uki0zyvIQNsxCq1ESEN7LlEd8/li+I0tYdiMAYgCjIqFW9uWA6pwhJOjRBzFkwUT6
oy4HdOVuAnnXAgDoFDWwfOMQwVX9csosM5F4k4WWjXOQ9pdK33hyXzs/0Lu8VOnR5gsW5svPi5GA
Y6pHKBsm+hEP88eEmSc2paE2WsE7Fh9PxzjR0XV7xb6BYOrIIXaWnuxXJ/0Zu8dUbhQaVhceRGK4
qAFAdwUgSCHL0aVGg9MwP8QstIxdInbvGAW4r3SoYAOfrr7s1rVu4dnVJI+tyNK7KWnkwRlkfKja
eqs4uxyMF4UEZO1gK8N5jSQLwC1ltxQgdzA6PumPej99ymlp+z1Pvs0V+4SI/auZUVgDS0m5EQhW
rS5sBZChAU2KWk+r8OQ823mnP+LVcZdoh6ySvl1/yeJdPd/PaMC9PZ8rodRARR0cEwv/LOAYlw5o
e3FCBk61x5j/TirXb9D7OQI2aLr3NZiibhtbduXVjAIBDXlPPIBd0XrE2jQ5fVbpj3k1xveuiTLe
xIZi3+g1II0k202Va++s0mG+lYEi4bb1Fe/E+8hSEMW84oqsbGVZpIA4Jpn+OOgd6HS/Nc1znJKN
Iaq0mktaDm4F9FEtbxQLl87lhCaZSClrdR0NYU/pbPj9eDK45ifDPkM3dbxDEk3z77dH9sfrlYkF
UgClC+Sg4LNR3xG6GEW1okC/kMXzeiddDiYsk6Q7VnfasdRaM+xL/SWfy2bw3Qa8t0PXVcE8d+0v
r/Fk6DCuf6QibXwqXLRVa+iVM5q0eR3MtvtUNc3sm/WUP4w1BKtxShnPRo32ZD1BZq1NJRy1luyp
mZxXOdXlUbrSCDStH/Yoh4GHRkxDEfKC8Z3TaOmezLnctTXk2v2CDkkgEUoe45k4n/rGBdeLLrZ0
l1bC7MX8LH9/dpFJOlNLW6tDM6Buhq2+TwFpLZGe0LfHWFwmTfy3UI7gVf/STtFblMtGB+2vd+T6
PcdtIN3fXuuVoVyYUNJ5gZS4LDhMoKBjQqdDntLpjvx8hxFsEoAGID+A6b8cRzaLPB/Z4D16+SdL
P2Z1wHO4RrqxWVbiAR6N/5pREgUwZ8y9VsAMYHohqqW6+SsdQ1k/CgF2o/rV4xulGLXfddmdFxaV
GFAYhPCWdx4otGgwd17gZtDfitmuo9yPy3tj2oOHyjf077Lc9c7d7WldiUAWeGJARYHLIoWHXE6r
rN1EGATsyTWz72Xt3Mes/Tx6W/RWazEITYM6qBIXsp0rWsG0mazcJVDkzWseULmL69YnKc4RwoH9
/tfIT5Vl+1BSf8fwzswal8Mr8zlr8rHxHl3+eWgOWRrQLZ3x1Rk8M6E4JpsZYf1cQz834T/MKf8+
SLaT5dYlZm2TnU+g4pjo0uGunmACTfmVF8d6KZZrh3ELKbw2GrTd4mIJIrLrFmiXQcpVTIb7CEZo
XxjPA/tcgGfz9qqsjQX8RAgaqHdd35Y1hHE3lRBGsgZzV000ABsviIb+bdnutiFr1RJ6VnU0UQAZ
oLq3zc2+yrQE6qdt2e1l5rmBmOfhxSwp1Kkd1nxzLUb2sQ4+hE6ycW/HcXLMqpoeprZM0SZA9XQf
E2KeRlbVaDsXQAeabrYTdgqq1aaoTg4D3c5ILCOYDXN6tR2OTp1aaD6Eucawl62zz2rPzvAaM1Zg
a7Cz5rkbZudXVvD6XtqFt8cVMd+3wkKFws3ssO1j70OKToTQ9lizz7grP+pzxu4mmuFsQoPEx26C
Oh9ES7kPAj4C6vHe29g6K1OHOIhut6X3xL6ie0zc1EqK2IResz0jS/idd/XeIvcNHm5uL9KaIRTq
AdZBbnvdx5PZXc173WZRmTym5m/S/+6kG1jTFlP8lh3lmDIaF84wY0Cm/r0qTpz9aAa0bW2pmSwb
UUl8/mSToJD4g6lS4oHWN0lpzTqLRmMKY3Bs8HJLRWR1JAayRuAEFv5UJarNetFoTj6lYC2DQzma
OHpZ9WK65EjEljb1SvKP5O3vDlJmzZobMhOCvVqPL1ZzsNoPDWhu+/Yk5qdxC0u3MrBFWwyMuuhv
dfD+ehmueS5HB+ndQvyMrpHyWPJ/4ef+qD/fdrmVNQKNFaAByPmXxhElIwYutMmy1gL7t82DVP8H
z3gbIW7NwtKXsmgNoY9TXaLSBh/H1CfeYxqgsRySElu3pLVAvfSkANqNVvkrioQy7gEMAbHTYw19
jjzM8qPm7W/P0tpqnJtY/v4sRTVpLoi1mGj1JzR0uVoABpPk220jqxMFGnYwAaO17qqaYRfZZM2Z
Buk/+5nEUbZ1AlzvRnTBL0C05f+r9Hc0GE66oYX7mkg08o/g/d5Y6ZXr6oU+jJJBDU3nZoDXgJbJ
GwIxDD8RTe946/lmittEI7qNVdmyp2zIDs1zfWsBoUGK/qPZWIcq6Y+JgZf4mJ541208S635GRhR
0IUIRTlgy5VwlmlZa4OLAygh+jiSX0P/QQ5vr9FY5yYWFznzs5S0g1tqi3QZfTD156J75t4GqGrN
yxakx1I0R8BUi1pWxqA3BhKpRybrfzKCp0jPZcfbnrz28oJGTXQqoHaOuVLfPAE2b+cKbYWPgzfr
vlWi6e+Id0In9bMqO5KGn9oCrsGyQ6zngZjonUO6Xe/GX4vCOtz+MasDxoPEn+ItesmVauRYmdpg
8gKIiFRPQQlUfG3bLc68NddAuxqo2RxEIJx3l+tGOnBBWpUBT7RJ43NR7+vekv42FdmqIeggo1AM
pA4uspeG0k4Kj4El/LFzy4deN/d6Xnx05q17LLCiK9HCOzOknAvodNGTP+BHOpjsvhaZszc8BjKk
Mf6K4u681wAnyUhjPkiT1Pt5MuO7rkdfyhzbzr6CTMLOs+s2nPWh9nuR4z5s2T9MIGYOxVQnp2p2
ITAQA61DjLjcoc/C2qUM7VlTTAcU85qFeEk49NUeuRsVFS3DtOWA2yCbPhSuxnZi6hu/6YomrA3W
BgXYbwGWAYSnosNwX4AH/I52VHK/8QC4cGPuhIB0NsHAJntfCV6d0EtL9xZaIPayloVv9nblEwlF
95Y6ziHnCJBJ1o5HLV1oSmxtBp+9i7R1GPODbJh9zHQ9DhwN2J2x7bRny0W5e8Y7InigfVdo00ct
Tow7055fSvyrj+1Aq93szvOhLa1X1ym+z7nl7g1JnPukyD5YWnkocMPdZTZPIIxYi9M4yiIw67Hy
0b+r+d2c4FV/ysh9MhdTUHiJ5Xt9Mj1rNTJvge69oBFZHDrujL9ATXtXpXhO6o2Uv9hV2oS9zrWw
d3hxgIqtFRBuygDMk91HCJw7B4v0zq73tORoSy5D1tjUdwbxmebeqPszHH+HCkppBGPXOwFergCf
agXK+wlLHlyQioY1k7MvIfzkF+b8q57cGYe+juZhbtRQS206v8pxeQAQs/84VFzbWXIqwslMi50B
etX7dmQ6ZLf7AT8y/qdvHOMlzgb9RBt3pMGUk+Hfrkp0OwQ3NTQ3i/iFdnnl68jc9yXtf5fDIH3w
PJS/k578C72K6mEucHnpaMWe+4lkftuPYwCsp4v7r3B3ui3os0f3qX4a40+y8miUktI5zHYX47dO
7r2o7D5MkhpKkhRgrxB9CPaHvGLlQwl5gGDoBfWnVnRgjC7FS2q4dTR7BZwRrlTdSewaNENIDQUM
hiuKDs1IlzTol3YGV99rTIPWXpO/WkX3222a8qPX92aw9A38turE21tlkhxswxo/0MxEQ29jib20
uAiLDnzmheW2j0UNyUNiJGIPTt3hxKoCOHaA4aodGshJ6OIkvm/t0TnhtQwDlSULC634NTZxfxjG
lD2RjLGgatvkxXBGvfNpNuDhNkkG7c7l+XQoRVP7ZqKnJz0j9GhonR24c5relbHuHXirS9Afj8Ou
Fo0FgG4bB3M1pnfMbMVhmH8PvRGk8FsQwTqhaYk3UlgtZSM07aPHCKKfS11eiYnu7MaNMbdZ1Fg7
4EWsjbxpJeRefF6JhFoPUgAtbjLcYmKo6mVgFNTuDFPbOJdXAu6FGeUIidOh7caky6J29r34H8H2
qdjH8UaOuWVFyWHYhNWicZ1FMznZ4o5Yn3m7Azfy7SN3a8qUNEa3Uld0FCvC0MMtaqAMrA8t3cj+
1sqFC1kDbkeLyhP6Ii/PQt4CTIqusyyaBFojfVJ5Pw2G8llhz9NDz1F/xYbJkz0trTLI+lILLUmz
sEzyLejVSopx8UsUF6ENuN4hApNFbhya045oG0Pd+r7iG12aAq3kallkTDsnnLYYEFbyaHQ7AYWD
tpGlfK0s1zjmxMhGLJdsn8r8wQDZeB6Z7K5LtphUVwdyZmlxnLP81qpmHcfakEUW+QVkwFz9e9vx
tr6/uP/Z95uSONCWxiaiTQUlSsvKodW41dS4UhjHdOGtysGTDi6dympPA+njdsBqlyDZkDJIyfe5
j3dLx0CbgM+i/NluyTSvrNACf7RdhEhwp6ktY9o4uKPDOQRHHI4sR/S131bpHv/4N4+7D04z/Lw9
kStxAgkz2pVAVYStpVYLwWtoNknTgm5W0qNZQ0+Ay/YIelYkPsZWEWdl1WAMHceAny9TqgQlPpke
NyhA4WkS4uARW91Cq9/H8ykAxNAKRbfrpVf0TWZUGUMfSWn1O6PRn9qp2qpyrIQ8SIAv10K8LOGF
XfFst8q9hrYMenDFQWOHKtuR8e0PFBcmFOdGg0VO7Akmer73KsM3EuJXb+7pQaXTxc0NNwIPItcq
l3OBPFk3U4YdBAbeU5Nt3KFXlgILvDSjLOoecOXLpRgM3PWm3Mbe8QIn3FQ6Wvs8oDHgJPpD5eIo
gZJo+ixKb8bBAzrL0cWL6fT59sZYtaBjXgwgQzCG5e/PIkypk9RJQRUUgcoSMmNev/9v31f8SOqi
axF4WOR+zay9JBs+tBJIAA5GDRuOCrJlFTYhkga0HwwAXmHTE6Nfcvk9m2XQuXh67n68YyhntpSp
Qj5vLzKuLJL7yfqkvZGFf0n70KWLM8uGMh4qzOpMeQQMMhPPogEqJ+j/wJ8W43tUt8JqK+SvTtuZ
LcVtWWU6YsQVLTLLMg1kkn2bBzA0l51ToL2ysn2RWV9vz95KQEG/6AKiWeoJV4ggok2J2U3QZUgr
dtDiDxPjJxa/3jay5s2LnjOYJBG24BSX3hy75qQNSIoii360S7/Y6qFa5kV5AQCTCDpDcHQBDq3W
gQzKzAx1qCyKG7S24w7ZaT/0GCKt9O1QrQtDysYHeba3dNJjgfSfnvetIpYfN59tvgGfXfGDCzPK
SVVWDSR2wF0RgceJo4NHtC46a1PfTp5aYyOXWXGAC1vK9iGeSPNcN7KoF5EZHwYRsfFwe/lXTQAG
+qcVETtIKaBaEHOyDIHlz9m3ztplyC61DTde9QBAtCBmu3CjqF109lQ6FW4D2KV5MZl+Wmbp59TM
0ue6ZVpYm0J7ewkVj05/X4SUJTKmmuUN1gS9SAb1aZ3EqC+SODTseN7dnr61Gwhoxj0otSzqFVcv
D6TIks5OhzRCBhNSJGSMz7+8lpwMiBPbafrbaLWdxKuLH7t0N8Tar9yK3zPes9+ghKYKlH9QV8F4
B31wgga8eC04wFAseMc1+2Kwy944O/nmds68mGtpVDEidu38r9l6W9I0K/GIgiYN59Mirgdzlzaq
tii7ubPSqAH9VAAEyO0F2/q8sqVcKFUkSezgtdALdRze39/xeeRMQL3C469674EQZlCibLAUhI5o
4GMfdAno+20jKxuKQiLgf0aUMfQVFFPGsU8jrY5M89/UMQ+GUQb6FnvWSmzAobCo93hAZ11RPEJJ
obTbxQ5176bugCIO6kJbUI61BQF4EysN2B+q2spgXObRqqtz9BOZv4EQSLSNzr61QaAUA/0svN4Z
V4poY09FW2QeFrza8SKkfFdsBYHVIZyZUFw2rcq56AqYoPUuSUI3vL3c6yNAzry07gF6oOw61PwM
kYDrKRLQNSpt3Z+6Xck3qkLLBUg5piHe+teIcg5wreiz0UGugQKA3UYaOxHygYhjXvzb19+7YQPo
tTWm5eecRZIur9skS2COa5/jlPmufrDNjXLa+rL8b0hqZgMezDLX8LQdFc5d7h7IxrJszJgKJC3J
XHl8wLJAXSyciDxOTB5rrd95Rf/QWuVzM4LTJZk2AtiyEDcWSn1nEjUg1a3MYZb8k5i9n8URNaKs
Gg+yrX0Ahf+T8xmKb9Nx6h2txCQmEzlwAlUtSxgx+iT7jWvhhkcYy2qeecTYxxLHJww5/GecPjmQ
GQF17e3BrAXOMydX7wtuYuhNo6coEyc7xo61eKC1X28hBVb9DnD95ZUdFNkqjhl85sxxJW4lpGSH
OIfsxDta5yiYd/9nQTnwdWLinQFYrsjlwh9f0S3i356orSEoIceZmtzzCJysyx+r4/BGkbvl3obf
bzl4GF4AVbay1o1bocrtEKCCLMtn8qmevlbx2/P0CxuLv535Exhuy056oNnRKQ+q4ddsf277vTaj
3/r37claJuNqR56NRlkN022TEa91uBGMu25ufAGuAUMfIM/ShW06729bW1+av3OnLA3NOsdMWswd
cY+O7ss3srtfrY1yEABEbBc68XBl1z9k8Xcv+8Jzzx/yH7eHsUzK1aTZwB7g1AHi1lHiSt33Xu3O
EvXskkZjyu85M/yazEGWWxu3qFVTUP5dutyBtVUrQkmd1LY7UBbNpQNQymR0H6D42h+svhojrxzJ
RoReXSH0qYPgC2Cnq1pjzjsr0/BGH3kp5GzKhUXTqrau1atGcGFf1KEpCMQUN5AFOu5RRWORVX/P
4gpVwI1MdjUenxlQ/ACNzdzJGoNFLHGP3ANWmTqf7DTZ3faD9XGgUQzqpssNUfEDVhQNCFUQabJx
r+EVtbr7b99f7J+FgYbNFp9iHCv5lxpPlltMNKs/H5Tr0DIx8ASpPgS0kKhgTVviASr/anUHZGbv
+Pln31eKGhIvm3lHcHfO5yAZnjCO//Z9ZfoN2QrHS+ss8saQlrut29bq1oOY28KqBEy9ylg724PL
wQmEUvL807CnQFYAgTlfq1nbmKdVb0WOj3sE5J4QTy6XmbZmInDm4ETUHb8E4gNwk8Aex/D2dK2N
Z5EWQzUOZxcY9y/NiF6OcV6OKP263lLIKsFCM9vg2N4SMfsjx6DGRyiuoPwD3kzAPxVLi76GkUgE
rSYdDmlcfSYturEGkpV+rANgwaE7nadDWKWHsZjDnk5+XboPeSwPvLYObvrt9sjXHB1c/wv4GYVv
xIXLkScJip+Vh2e7aTy+dm9k4Ptz6Jx/XXFzs6qbYYhxGnTfzCk0t5q+1rzj/POKl1sTEU2STygN
pvuqDafq0exeb8/Pmmfg9RQKOXi/MkAocTk/szeV41gj3aC55YvP7n1fgrJ/C165BF3VK9CaRyEw
hF6BK9aKnGuy61zspzjJ/d7+2KFJND+O/FlQCgqFrRet1UU/M6ecAY3TyAn8cVmksxfcPfXu+fak
LZNyNZxFLsl08MR4RepDU8fJWewl0ayZj2Y/TmEaA+nemuNJdFZIUfZM4v61H7b8bS1lA0cZAhM2
Mcobi8OcnQoj0UhGdZAH4nTdl6MMTW7speEeDaP71Ix0IzptmVOi02yU0hMVzKXAb4tR7nOHhHha
CmzoPALM944oBWYTwKEhRoU3nmVZz0aXD4LFw8xSwFWy19rMAVLN8ShCfLuvNkyt7SyAEEG+udCs
o3Xr0hQjzWh3Q5tGuRMO9QEUWIAb3XaSDRN/mqnORqMJSBR3LkpqonrV+Zc2+SHpz9smlglR/XBh
ZKIAqAOvqgbbLrdLm0JYKJrq+7z9ltIvt7+/NgS8OqN6s/DAoLPjcpYkS8vEs1keVTWuBpa8t/Rn
4W0hUNdGgZcczUKlDiopqlQ8vAwFIi/PIzv+XiXf5HS4PYqt7ytRtBIkg7+C4stq9kAo5c1GGXst
hJ7//sX+2UIXUESPTegBRC39BACjlv7WtB/OFmHt1iiWtTqzgv5PL+nSKo/G9nH6YHcbg1iL0OeD
ULZ60udZiRdCDKL7ABlrv85+FRwg0v4eTSmCbF3Ut+ZM8SwyicE1OpiTfTDmPo+f7emwWdHYsqKc
A5rlTXrcLZ5lQd+yfU0tcM7zg5t/+W8epkQTx+3ThrUYjSd+N3OFRvfX2wb+VJPVnX62PGowgVaR
aCxe5FHu0mM33Of0nsR3JH7h7GemyWConrvmh0nvesjj6OQ0bG2ijalUieN1l80dSPzzKBbBJMMk
PSYz+rTvbo9z1ckh6IlwhsPVUiVI0sI1IG/MAeGyDxYwLxufXzvPwPD5v88ryWDZ0qY2gAuN0JKU
2fv8V5PvYv3A0o3luh4GIH1g3gXoaeG5UnH76USLcpjxdow7tW+huDn4t+fpejXQ7IvXZxvMLqA7
0JSQhngDemyvKyJ0evoj+wbypUY7yWJLhfb6AAAfM+jGYAjQt6vskE8ZXuhcEPAJ8TpMz415MuyN
wLNmAnrdYMJAlQNlRyV6WoBbjlozsKiC/DoHbeZWb/baYpwbUALnaE2VyUFgHfGy8wF66Da761Ys
LCp/oHFZ3NZRVyPTvaGb07KM7ifx0oyfb6/1ygQBJ4LHEuBecEtUmUlQlh1pTQjWuoBsDtQDBwiB
0mrrjfT6AIBDgfcGYoWgJLl6rXGS2plzOy3w2v1Uxjsgvp8KBpmIY1q2J6t78/390poSmUnlNHbj
wVp+tD+yrf7/lQUxocC0AFCANgcl/uVZKQ1ayjphIiKZ58tnrxs39t+WAeXno40CoMYOBrwsBGWh
7He313xlf18MgF4OoCLS1WaB71fim7RPYxl08pTZn95uBTqiaNYERBH9ocrOYJnsasqzOkLeIo6D
edckx1wcbxtZmypcuxEM8QcSPGUtRKPHOmUQobN/1PSLZbzc/vzK7sDP//t5ZSX6kWlc6o6IRDEE
vA3KPvTiOXiHEQdZtgeOSsD1FayR65KZQRRORG5/alLq92gGZdNG4X91JOAFAv/9/5PjvVxz7jJo
v3CDRy5kTY45K4ZXi2X9izXWNLw9nrU1ATWU4QAzDeyq2qFbitq2M5aLiOf3kUHe/CIGYMnZ1xfn
PstUS2cuHDvH1zv71DDhm5rwm3HjkXRthwB0CwQ9evTARqHskFwvUl4KLAlPJOCed9MUcbTJzBuL
sjJTeNvHHCH6AlOgSizYZIpdF6wNkaU9iSrK374QF59XEhKCg5e0BT4fY3+IaCtMrbgUwAOoLaJr
EpKtarkApDiuW0uTA9WBlp8amHgbD4khnfVuI7NatWSDqhcV08WUkpDYWlbaZjbzCD7n5yBO1wcW
jKAFue24y6pepsELxOavmWW5zlwrRhY6xCbM5OJL3UjAGalv2I+xdk9IZJIuGKcfty2uDowurxW4
YFvobb60WLcVJEJnC0svS1+a4cQfSbkRh1ed7MyGMnndgBhWLjZY8xP88GHn/bo9iJXNslTDgO3R
QB979bLrEafKi3FOIkN8mOdnUvUH1vOjNm7JpK+N5NyQsvXdMvMIAKEgagtYjoY5uZX4riyHvQhf
gz0N7ebIIS6XY3ALgVbWhZzWeNXcfWfeWVtQqJXJgsgiMFAoGSO8qMER3OfQxuoG8mjQT1YG3nbn
O0St/PmNgj2oHSPhPbOjzBWaPmnZt7BjOaPPi9d6i9Lu+rYDAyYg5WiVXkgzlaOxStgEFFSSAGdR
Y6d4gUgMv231ABA/32zezgByaU6JyHg9jPNKgBc3z7829gONd216qKyNiLnCQbTcE/BmtQAJwMmg
eEDHW0urjRQcnTq4/hv0sJZ7HVIXnXiR7jcXrOR59TkWciPyrHg2zCKZXDi4gFlU9mgO0A/KuyKJ
0D1avsrsP35+MX8W2GajL2lNczCp5m3AjKUhdiNCL6uthM6LASw768xCa2s5pQ04FNE0V4QOPxD2
VUvR37yLg9vRZnWP2miVQFMj3hRU5DSymDwrGNhAi1J71glN78B42N7p1TseSeELZ5aU4Gy6HI2q
iyCJ14BeKyjERiazuugINDYoLcDPoSLYTNAw9vYIitbmhyYPTGz48tpE4cqIArSHmvcVreU0Njy1
cpCFy2R47Tq+y016D89/ew6DI/mvGSUOdOVodfOwcJIT43Vg1qepf8/uAEBJwymJ5BVkgZfOFbt2
2/RVx6KE30/NUR5ue9RaJDMokm8kxyh2qMle25sZ56YN/K678DkaYZPRMOMnnrI73dw4jVdX5a8x
lbXf0rigFXeBUoU8ZZrYXyH14Q+j9ev2mNZ8CyV1A2QWSJZdNTqDoUDnhQszQ3f6lWkbu33965gv
HDKAK6k9XdCONdHbDDTy5ITt8EDergywkNf+/b5yeBmyq3DvAqLa6p6p2xzAzBGAtmAjKq4txbkV
5e5YJbZXWxpGYfPPe5J+ddwNA2uOBfZbxwDjB/q6rp6BNDYMLcfWcA30ezfg+47L506Tdxklu5RA
S/3tiw4CGxuVHJTVkCld7pOxosJ0oXQdIV3zP/a4St7+/tp4oPaFLy/ymFcPQlqpFRZDe0Iku5Mz
PHjggEc3CQ3Zz9t21hYGQXFJxJdDRUXx2P1cWL1Rw45XZr7Tp0eDiAfP3qLKXXNj20ahEzUp1ChU
dSsC9p1G1pgv8SEfPJ/1zsaErRtwbBs8BAhdKk0tp0OJFmwJfrQmheT1bsi26JHX0kkUKBaWr+US
oQKFZuZl7uRJxK6GhNkY+7311I9pCBKCjbGsW0KuBy0YJMcqpidpda/1ugn5HtRy3NIf/ByMDdLZ
ON63zBiXPjxbRZ54LswkI94dgH2qAe3mbXvw5JfbXrZy28MrAG7dSJUBXFFROEIHZkbO3ZLA+p15
tMe9pX9AJ5vT48YfxM3Gab8ic4Nk4syecorxGDTTYKRIogmJcgWgitns0RVb+WxfgCwtZID58XdU
GC6MKmmz5tRplgKKGZlFIIqQiA2vWNuqLgjzF9YdyP6qJ4EO9i9T51AaoPSBDVNY1fepV/9HI4vP
nCWXgzY5WQEOiGiuPw9uA7GnO3fauvyv7VWUEYFORg+7h0zg0ohJDTnmLi6X3HnthufJOt52t9WZ
oi46S1FjgLaH4tg9NQ1OIUkV9SZ77OV0t+AsB+if3Daz0nqFEoaGEA3md1zPHGWyyGTUXicADOgF
af2ki09JHe9NkkezLYNpWl7zrIAPvQ8pj6CPx9Ap3s6odvkblJPVMZidcbuGajnde9r9NGw98K6d
ROeDVPZSatmMNubSUDTeZ/yVWNXenZ0QCiW+taXeueYYng794UU+FCmiciXspXDFGLtI07vjDDXX
jVxqzS9A0AgZTXDXXEPaltPWQ20riSq9fBql80CM8alFs8Rtv1gdBW4CIOHSUOWylp9xtofqGWm5
DtAhxCemdp9nxP1tNDbbummuBVXQpOFuhtLGdT0egiYS5AnIpRsLKRvXD5W4o0XqJ2A4S+0xtPmn
3t7Ks9bOjHOjijeQzig7o9PTyFuos6oU8L/XOo2DVNvyhbXFQqVrGSDCxJVCcVvGFfhMAOwZPf6Q
EjyZUc4CRvsfb1+tMztUeRJAg/fcmwN6zCDlEiZSD9Mt6ofV44iCNgGldB18aerLia0TGRvtnEZS
c+7FLD7FpfdY9cTXhiQCQ8DnuK2BFXWiPO9DktW72yNcnUlUvpG8YFMBtHfpj5o3TLGWx8uapR/x
9hgNcXKIPfM9BxS4Ot0FhYgHFjUcovtZAgM7ppEpJjxz/ZbdL1dsFSZXBgOvBukBMF94MlfPDp4l
g2U0BboqDMiX2uRubscDyeVGqFjxc5hxoF6MdA+koUpYTcCAVZoG5oxJF4/ZEuxBTpCQp6T/+ebF
AZsKKIKgjWctT/OXizOIdGS8g2Ka0WR3yWAeOt0OjNbZeGVZiUlIuoEBAAHJoo+smCl1C5wO4NSI
iHdM0sPW0/zqqvz9vEoJaKQy64wJ1y9BwDo3deBz/DEY+tuTk/NBqH3cFfCtCcuhk9faLTITCqFs
8LZVWznQWmUS7PygKYXiBaASqh3SgE9NouoaZf1XSop9PcRBYYkws2d/ALeinn/Sjdq32NNtX1g5
ai/sKnlLwulo2x0WyUYjXcpT8M+9xPyumkFnl24dH2seYWJwYF6Ap1/dMCHRPZN6GMkjnnv+Kcoq
aNn48vbxAOCKDiv8iUZqZRP1nTMajgX1Nr371vTNTgPgjX4HrjwkxUaT7cp+ddGOttyYUSBz1f1a
uw0HNrxOoACJLN+D3Fe8m3t02M3veEJegqgD0CeYBNBfd7lhrcRCLZ6jlFFO7S6f9WMPMA2t7d3t
uftTh1bKvBd2lJO2crpe8MQE6nQiDzGxg7op91JrD6x+BsHMwdSLwIr7YECDF56djq0nAsm32gCW
uHDrVyhxo8ugpAUyQJyOnelbHQ/KHC/m8j6fv9J49HMNfFPz8+2hLyO7YVPFjmWtXgJyhcTGdVpU
Cj4mXhbIvnvoG+Ng8zFyuo1C4cpWcJFlgHAIwfFaCHCssrqrBNqn4WFhLtqw3boAb1hQh9TXmTmY
HUUywx4AYvad7tc75gywBsDUwAGLm8+lV065KUZUeZJIr8DFGE4QXNFDmn+u/4+0L1uSFFe2/SLM
GAW8AjFnRkZm1vyC1cgkkAAhEF9/F2XndEWQ3MCqTm/r3g9phocml8t9+Vr9rv8HoBeKAX9sTYO9
im9570Od0IJYXKw2iXVy6as9rGS6FzwhTCCdCmklBBPz2tBgovSQ+g6eof3JyLe0eASruv3krhWh
Ftflys5s2rTOSOx4KnNa/vPIIXrw7f6yrI1jNlUQHmfgVMP3m2zjmvuGhKD9lT/9v6dUmno+8O8E
LUNRa/ZwqrVGg/RUiZcNcZO9p+IPfLDfZ9IWQa+EfcjBDbhyGS8NDU8c6DjiisRizUz2euVxd0AA
6ztVcvaUn0QpfNZEeluHuRz9rd8X7Nf9+VyIM1zcJz6kfsEd9SZaalrbbKEJA6OQqOPNN5QWv8XJ
yl2yaAQJJKTyEbPjP7f7uzWg/wJK2OSit9+ErwX58B5sSyvTt7TzQEk09aUh+YVr69aIUw2CtArP
mzhvg8Hhwdr7aXF98KCdqKkQJs+DmMpzWw0Aw/TCAnc4Zf7JrlFp+fj3cSWyLAAbgtQaYJH528Jl
aMtgeYW3hf45b45p/fcNR0gG/DEwJ1aFs7H7US+RfiA/MneTlKFVgOYmMGk4ONH93bW4JnCeKLRj
RODruF2TrqCt34kEL2rtqG0873D/80v7Cl3a8O+of70tfgkoT3RV7WlPNQExjuLohwEr0UPXx2tt
U0vR0JWleeULUuWWSBgq+FPL3tg+y1KEELsNqPP36E8Xjc0gu0PlCw318/BA6TGRCleBl0D/CWz+
3ikdjWolLl4KCK6szG/P0qF+V055G9ejn01Lnlnn7E3beU0Kb4/YM/SLH3+/VATFpCkJ5eHJNDud
tSnqRpFJAEbsylQEiRla9srcLS0SuuiQObRQFXkjWk5GVgDoBfyD2Y2BoZ9LA/GU2waesbk/mCVD
qCKgLvJbE3EeG0iN9vnAYCh2+DFmSRyktrYDb22UsPEfCmO4tqdUBzYFxENmzjPxiQTzAdpGmWGG
kIJz/56+dSqz/jEwjfYq+vDRvuBIHc3tvQN+aLA+y39wA7AARi0baHOoFMwyQiNPYo0lNjpfcxBo
61WwsrkW1gMwAaD5Jh0XtPLORpA4oxCenHDsqaKBwBFlphu6ifzZtF/vL/3SUxagyullhO2MCvLs
gJZjXnQxQR0xlvGD17CfTt2FKXju0ey4T5LxIpv86HN7I5hce65P357F8de2516I0CGzEwbbI8ot
1vBQAufX6yeh9ZvK+Vw3WWj1K55iwYPDJFLIU6vblIG93RwU6QM/oUi91hk48tVu0PPw/owuOHFw
MGJvIO2OOZ0fprbq/cGPG3TquU6IoCeweyei/lq9dNEMmjUm0U1EO/McMmqCQ6YXI9JcFjkanRF6
XrxPbX8lzl6aL1QvkHGfNDchlHs7XwBoEKZNTJ+Wu28T0MqvRDkLnht3HVhofiee3jxLylryFrsS
BZGiDJ16F8s9eMIk8QIG4pjScVdWZyHo8ZAUxPsc7zk0Qs+OrlXWrd5WVoHnKgtVXqCiDe4Vc++m
yb5xN/e3wuLhQq/I1JGOstwbekwm4qbO/bq46CwJNEiRpdQPUmnALfWBCaZ9v4OIys/SWXse/W52
nx8tlIanZIePmur8WCMp6aatiR5CYM3cE0BPNEibxj4JOgwB0j1lRCzuoRzFWBgjvwgZi64IpNOr
o0dKEM+R6iHOmrwJROrmL6AkadHsTPxNzbyfqav4sevtYcMRv64EjEsbe4J6T2xr8LLziKEyvc7x
Wl7g1iveMVsBy2TjmmBrQKal/AkaxP4zNA8aSMG4AstXcamJPwRMzw5tnT24eEkySAPLPTKiD01f
RQM0OYyEbTWHHlqouN3fI0sHDCgqJMUnajn0q90eMFLViQQdTwnWArHrU22f/kMBEEzAfyyYtxbc
gXdj58ICZUGrn7o16ZqlBUMEhHDSwz94Fd1+32pqi+K4lZeuHI8NfeeBDiIxv//DNOH5YANVDu6M
OS8WN8yitLy4vDhyIuGJ6BrOZckRgdT7PwOzOzerbSvlBQwAhbLtaLfpFSQ4cFp+oW5z7Bu9DFSp
pdH9YS1ViJFdQBPkpNiEIt3MHw3AINde7lNwz7LQyv0wIeCbKn46WRUI9wjNZl8+EUK3bv0jA9Tn
vvmlpbu2Ptt8HZWV48QuGs74Q9z4m9JKtl67BraYYuG5LwLVNaoYSPJCwW36FVcBGXCPHqQPkhI5
lDYApdEeGqaHOK3BE0LNQ4+8QDFVvm3vOJryY6XMkzfkj6xLft4f7VJY5XkTRnpqDIVrvP0dAnLG
XVlU2Kg1moRtv+EbLRF8Ay60LkgTi60c7YXZhejHxCcL6BTut2lersatVaUlWp9VKPNWIbB7Yea+
GPLdXw8K7h0Zj0m8GY57drp9vSoHNeACbXMAjoDTCwSBHi00sgPoTN63teCrbmzNBgTNZaeMY6+4
GOXW9oPCDO9/f+EMYhhg2ZhyrFD7m8WiVodGO2dAq2BuvWSGs4n5g6C/avrYlV8gtLlizVgIP6/N
zWOBuGsAko5hzjOfDShl1gcDZK4pfXR0CFgPj5mCkspX7nWBUq8ieVHDEFWQ9e2/yvhXRbaa/+v+
+Bfn98/450k6q7NGiVZfehnkdnw25OH+51em97cvutqPtgXFn0YrKChFtNAfn4UHRaZnyV6S+APV
v9w3tkAPhIjxajCzzeJWRiuJn8Fahj7y8VOTnLj6oms/uXdqYxFo8YmyNoiFGbL8iYoDyjNBZa/E
+0tn8PpXTFN+NebaQPiCq51etPa14wFNgnGNOmPBrWCgU0qITCVnd5r2KxPKJZCobbFqhdNtnFHb
OjrdF775BPTe/v6kLo/mj6nZAekgceXoJUzp9FTmbaggf7JGE7QQISPZAJgk6lcoOM+Tm4CQ8axy
4K25BzUz8sXvvUg90LBNPt8fzNJuRxyOD9pouANu/XbeisHFhebh6qP5lkMca3P/80vLcv35mWNM
bSEa08I46nyf0Uj3wHgK0MHuvpWlFQFcCNe3PnVdzSuY2BS+sIRZXHga6fTQN1B6Xrk/10zM9hf1
25EzBhMssyOaPLIplv8HAVTkmNA5AAQ5OpX0efebXhNl94aLB0OQuQ8J/YerY8JU4ebFYwipn9vF
1ry8QxuqQrDNu2A4g85m5SG5OEt4MwD7iFfkmwZIu2tzp9Z7PBuSEnpKekjlg01WvMlSuIYYEW2J
eHajEjjvGNMNU6oqwSxx7j10RnZgOrDXzhhySAcgjxaatQbN3cQI8rp6bUgVmtCXvL/lljY26AEg
pQSGQ4LzczuVtd0z3vclheZCp28hkOZsoGBQ7osSKmiCyOr1H+wh6gYQE88TUHXc2pO2X9kNp+Ul
w4wqZGZ2Mv2EQtV9K8bS7QSgwX9mpmFfudGpTcPyB1Ar5L370Jck8JLyTIt0U9nuKQWdi54WUYX0
UOqOR4ubB1mBrd6WXx2RfxYmPXcZ33CLPJLae7fy2yZXNItg0bmDbm00ooGic57tnVJkpq5iekHW
9zuphUDkis7XDholx6QA54cs7CKodQVNHSN/IG29Ax+2XNl9iwt/9Stmd5mhx6MJ3UQ4TAV13w+j
zqDd2Qat/f6fhovtPTXCYtVnhzXF9cyt2qEXS+WPmlbtdGrsrBSXdl5xiGumZzLYL42rnoqyek/U
WqCyPND/7M8RdzRV4G5JYN8fXq3hJbECvYGCycqOW/IYKKzhlnOnszR33Rkr61rYRYVR1qElzhX6
mfVse38u14zMnHdrQ5JRp1l1kc63Suw1+X00V1zr0oU9cbiiTgxYy5s6a90q300SUl5MlNv1+kFp
fqiTYa/RY92QlfEsQRUBJf1jbXatgkltsOvKLS9u+gWlHbRLpSGS5IG00G2ep2HSgF64PNr2I5pr
V1ZsyUVc27ZuXQSvba6XJmznnROU9qv00xAEswHB4Wvz96jNrVwqSwm8m9HOjpyLHICeNl55gQLw
dmhB2qm/GkO16bpnb2oRrzeGDTXHbk3admnbOMT0J2ohHe3Js5yKbFji0lEgZ4OmDs86KvrV6Nag
uksbBwl/7BlkbibGjtvp7LnbcpXA49Zj8zo6/qmsjKPQCapZg3vI4jUsxeLeuTY4jfrKxbdgbWY9
iMEvXbPN6gCEsaMVtd4uK0CGGkjzmZK9WMODTqOY++7pqp7KneiHnxegLTJ2PXgEALbWwmLHzM39
A774eWANpuvJMN+04vjUTlqToK2IgQ2s5I91u79vYGkrTKDG36kpJPtnq0SJ8MWYAdMonRfJDlr7
EucrEcXSGH57QRA6GkiQTP74al0EE0PuWRC4MKtTKT+62UoEu3RuEahMd8lvJcxZpB8PmclSiSFU
IBNjnhPxTntGggbdDuPFauSmHMuX+7P2u4VjvuzXNmd+KqdgnaszwGZB5L6lVRGChWeXTLrCbbEp
QMGbIMvdlTRCh9OW1ek2JlmElDASwXjreNWlpmOY4W+eYA+lSB9AQXKoHB5hNGEq0h+5XWwyszsJ
0KRpZR15nYCMvH+yYvdQ22Sjl2N0f0yLO8GCNyB4WaMvZrZMQGmP4NudWgrloWMbl+3Kv+eiBnME
sqt4tsAjADF0uxMQweaOl3F093YRMjwaWTktiy7gysC8dGqi8yqRgOheiOMFjnVQIKB1BN0S7Zm6
m7Z9Ftr3BuRmurc2e4ub8M/Q5tk/C5pLaCIAArnTwIFfB437LhkuvL3ETIR0jXV08UhdWZttvzLu
iZmYQKGXQr6KVEWyKNaePIspluvJnN2HZAAw0S9RzIxJsa9aEsjGCQrSBFlmHwg49epq/AT4w3vb
rLd56T1TB51GjhWmA7gDe/Lh/v5cG/P09ys3IgvUi7yptupmYK0UqCuNK/fx4gm4mtXp71cW2BBL
dGPgUBttH6h4P4oXaw3cvbZPZqeMCC0z3Q4rlzMZxvY7BaK6hB5UIbcF+274KzHN2qTNbvq2EA53
YxwIrTtZUMnI65VE3FIpEGcar27wwfyuet9OWpKD1neEsvglgY69bD7F+TskE/T4PBjPlTx7zos2
tkFdvJf8Y0nrgLKNDXVs2xIBlTtGPxnsmxgg271SWjammXzjoq9+2MzZZMotk1rhhxXkLFkeeYDM
J81FVwezVRG3AGpnl878NvIfevVV1ts0/pW3h0p+vr9v/z/n6H9nCISOtzOEzv/KyCi8Hh2NsNbI
eQC8L8iMausgLhmFHrTg6knsJtIGsRtFG9r4ueCd3huxfgSv04/7P2hxYiBo5QCch+r+/GUiFVTM
uEIjcau6wBIHtBrse6jDtc7Kxb94nq4MTWfh6jyNfWePxoCGHNtUxwp16bZqTt2qRMDSkQJWEh3k
ICEDOGd2bIdci9OU4v5XjhOis64lfcidJICYEygtkx2N1xqkF/fWtcnZKR5VmjRjA29PWxlm3db3
vgzIQwv/ucj0cNDRp1Gk0dB+GrItuoVCUxs2pD+3DOG2vybBsPiMgLiXA2pl4KzeoCgMX7Mon3qS
qvGj4jtoWQZlv+/4kyOzQPKvtvg0FJf7m2jJsVzbnM0AMVNqyMmxOH6250E6pvv7BhZX9WpQM89V
sTY2xgKDcnq+QbtXWPHPPtGCsRWRYb92ye6+vaXnCkJIkMtbKCa+YSgVbZcPrsIuani2k/UQ9bGD
Ak3/SKa2kcJcGd7y/P1nbh6pWKbMO9vEDgLXGAe2XK4MZ+nsuSB2x/kGWgj8ILdnryrA+O/qcDom
8L2O3DnoAs6q7f05Wz4HV1ZmIQL2st11wDVcuET1Q73Y5FSVxQ4MNEPzWskXO3+KzQfInwYuf8fB
YRu3L4PYluXh/g9Z3CxXv2Oa7StPAy4MU4sFfoccH8oPfh7KNtCtTeM9EHdtzGszO3M3baebfZ7D
Vpp+1eizdH7Af2bZp0JxqAN+qJ2LUDuSf/HqnXR5MDXe2mvMiIuBLpS1sMJIdgN0P5v4UVSjxkCO
dLGqZ12811Ub5mKf504AKuHQjyEo59oBIc/52rlcArbgUT81OgFQYqH+fDvX3sjHDER2aECifb0R
tuG9CKm+5A4vA7TW/ySkphs9NeKtQ0QOoHT+K1Nm89pl1bc+b9eSKItLj12OqsKkgDxHuLj9AFrF
qWmtsZtNneiXFMKWGl5hWVNsaVNEnVx7/S2QaBuYgj82Z4cLXrjxuYsGPcA3zwA6bWRhbmjVbDxd
bTUhI7vMn9qy/Trk8V5nWQRXGXGRPUjLjP5h51/9lNlqEE+aVT+9BGzlBiDXDrNJ668JSEY3vbfX
+cf79hZ3/5W92UkzNFlp0oSb1Fv4ffSXQz3nl3Lp1/tm1lZ1dsg8mfZ63k1xa7OvLD+i3Qcu4MHi
Okx0FNqw1+4bnKLBebR4vaSz+8ypagFmf/jjLKle47r6UQ7DIY1ZUCmQ/trcDrtKblA4WbkHFu0i
Ca5b6PZF+DJLXnia1VMImiB/lHaPBm0fKp1/hsDBpqTFSdeqQ1aMkSv/oV/RxxPftJBbggzIHFXF
XOAujQr9xaZf7LORHWpg9gSwMtxxVmZ2ccdcmZqW+so3s9RgsZ3isFhUbaShvRhjF8m8XAEbTQv0
ZgHRzeI6Ojo939SRykFkdq3DTFGJoM1OJqAU5aZZQ/ks3ttXZmb7pFKdyTUfZsxYfC00+1fO3JWR
LG+JPyOZIpXrCbOSuOxHeDRQLT6mVvpg8o4GmnIkAHZoEKTNx7FQG6YgG3r/ECwNDmNDc5MJFiug
7m4tJ2D3lH0LmSCnKUKIdgRxvRKWLFnw7Sn1A3AsVG9n7qrnXW5IG4BftzqIM8//j5+feSe/0XIk
J/B5rfyisq/xGqhn8edPZJvAYeCxMS+Oil7Dzx8BKUcj+DlLmmccoZX4Yum4oNb/n4nZENDXRq3O
AMDb9qLMCUsZpmuztLTBrk28WWYmss7pELWJ+OSD1cvlEurc6qlUXWjYxU9co09a0oT3d9fSCYXU
5VSEBdUiKP5udxdLxqSp0hH5pAxZuVFsLKv7YNPkDHDzyiS+NYVcOTBx6J4ApAz/uzVVQasDxNFQ
pcMWBO4x+1IjEmlj95kxj0T3h7UQi02JeYTZlgUeWXNetdeycvTzSUsJfNvhOP4A/CEYVR5obNf2
H3WD4xgh10OyTa6tvUQXBwq+RIJA0J/Ue24H6nZiNO2YQ1iJ9OgfBY451Htu7RChNUZAwGezZvHt
/sRoUayHnh0Agea8djT0wEtzE4/6utfegxQaSrgFEj0rqYPFcU0c6Z4L6Co6eW7HFfdjXEMyAmRn
CuqlndNsqGEfaec/mGqNWO3tccCIrmzNThwh2ug7De7Cws3Bja+ditKMpPK3vImjrCw3uqifm1Ku
tHkuDhF377RjoFk03zZjQTgB0wMaJDs7aqoB/apJH/iZOBY19Pvub9KlVYNeGnEAA0b2fZ7zGeOB
O6wCb47Jf/gKKE6cdFdbiWXeekdQJiH98JsEUX/Tm2I2sVGnLRJLjhoHJLVqFN7qNT6oJSPmBKuf
pCywB2e3o2t2qrcFAibmvaLTInDKNc6Bpbm6tjALWPreKWJ34ioZQYtTMVTvEf1lsbX5+yWBRBnA
uwT8w28k2BIzRjtEh8rhGB9r7VCRYOhXPO6ia7q2Me3Bq1AC5FyJ3ghEtYrlweBDYuJD2aiI5Lu4
64PefI7FWQ1tYNjv7g9umqPbaAwRxNXgZqsEWkeDjhaeJbnVbHhpB6n+OUXDKR8LlDElCAjW9sXy
qv2ZztmqacJIGunAIs+cd13Z7GpJoxwUaSsnaSHncTu02TWWui1w3gqGynJXJ+/0vAp9tjfMX2n6
raFFVNNTb39AA2FgW8cSlNx2J0OrO7jp6/05XnIgV3M8x7EwSMJBBg3lCldv0kDvnRez6o5FQ7dd
bR7u21pZT392z2R14vmorSPL758N9YD0vq8XQYycJxk/u2vtr2v71jdv923WysRmDp5/o/9UZD91
s0FDETYs/95BQSyuwAFSTdj+70b/fH+gq6ZnN08GeRPT7KdZrSOdfQRWOuM/e/8iPdzo8WdrfITy
RkB6+n9zB3O4hIFWoSLVMGRfbEr5zI3D0K2MbTp0dw7lvNuuzv73UCIq+lDY5iFp0n2eQkO7o1Hn
aisnZdlT/3ci/ZnzGf3Bim0PMymNX+DtDpT8dH+tli7u6wMwczJeqjm538CDahYJUg3MSAJEtTIT
oKFIT63mnTtbXPruH3CakwvAAxopOIxvDtgbGpZrJUV0YnnprjDSYDTKXStl2FcsHPm2MI80ySJR
bnPr5PUrla3FZQRDgAkGCmT758jm0TBaZyjhgHz9PMQRiYuQqVeivVMAht6f4WVTU3nPmXoo51C9
Ksm5lBwvhR7EcWYoWMSSXUoiZ62GsehfwGD5P4bmvsx2M33IJ2RADEIX4wNnMpgAiGXyYNq/XPZy
f1gLFRMs4JW5mTurnTIvnGrSu/RfaQVcW8kgUf6e8KNu/WjdxzLf9/XKs37RXV/ZnPm0hKHfnyFr
BhJad1d7D2btBK14dPyVuHLx2F3ZmTkwZaV6Cj1hVLEdZAA/1MOP+5O3tlST/auYws7xNq5NjKMZ
mk3HzcCq3Y0r/UiBVqYxWZQ2qGnft7l4uV+Nafr7lc1E+V5VQWn84pB9Cp10GpZWdN/E6p6Yuauq
tjs9KzFvzjg+VV4WJZXz3FrZESSCUYm3JNf1HUrge2NQK7YXHRmok1BBn4A38zdVhTZZHdyLcGRV
G7rVQwJcEIRi0tc4l1sv/sb+XiIK+x/lO3AhowSMxrnb+QT+2UyBXsrAm2FsWel/7cs8Qp7u5/05
nbbCmwsHtYKpDRYKS/MiFEj5bOlV8FQ052Hvf+XuCvRrzcBsHNxgciQJLk2hlR+HHsrnJPl2fwyL
2/1qDNNPuNp6npb3bVnBhOOowMpevNHbJbIOmHg28g/2sBZfLrqJK3uzrZ4X7pi0DHNWm8guvUt7
Lej97brA+uLUIRUHKmeCWtA8c5DGUmR8AAtE3oWQV4q93f15WzyyV9+fuTtNF7mCXiUAUV6Y9C9Q
pVqL+JdGgKzLFGBMfAhzBqg2BUOmr1yMICMbhgKL3kZ/P4ZrC7MxdErr0kJ5uJXAWuFjILbFdyhr
3reydMmibVVHb4znT4jx2x02dtzNRaXhkgXXh9l0G9V/1pI2GG0rLNqVQH550v4Ym37M1XZmeLXn
ZgtjaMPfNtmT5q1JDi5aQBoArbjI3LwBjIua+w31CMK+3A/KDii/Jrg/YWsWZsvCMyrKenCyyzt/
fJ+7H+5/fekAAgMAclcUz32QHNzOUOyCEzUBJvbSBkzbqz5EQXVY60FY8iqgiTSRkUH95U0efLQl
gbQ8eKuy8icv4RyzLATdYlDgxFdJYOUrcI3FPeahxIRMA9rJ5qfdr5M+c3vYU9hYcf2FG3aYe5+Y
Ye8U+Xx/AheXB+nxSeZwqsbMgisGQLQzVEgD1cYnAbzPj/ufX1wftFkj/Q4NFwhH3K5PHVsapQU+
T3pno4khGm0X5OZZWPcrlpYWCawJiPHNiYZ3HubXqFqbnY6IwJRO2PZ5mGuPFTvxpp+KkOc0Lf5h
Y0MaCu3cug2dijmtRqc8WYPwErmtKpIB1cP7M2cuDgjpud/CDpPMzu3U+YzGccny4pKrTkd7AUXV
OhmRJ7Yc1DaHfox4BqY5lF4/GgC1f5EVeAlSJ643dIS4dpnIMYTcvbHr27zfaCBfC9CHy8E9ovqn
jPA+GBP0wMa+8cNmiqFRjvMI5MjoItL8AaViS4+o1nmfJY/HlR0+u29spOCRBcf/IQXvAsA886J1
b4lYK7v+3NVZWOnnxv5ij/XKDM4Ctd9GkKtF9nvSIIU+0e0EegA5dDRn6pw3GsfNBsFs1egNBdrC
7I+pYNrHwraTF4uU9ckGJctaILx0tlD9JZOSxQTTnkUHPBedQ0BCfNFSSKXo0F/DKVgrA86mEoJy
IIS+MjKbSjZQrR4ptgn8X13kgYeEcW/9w0V0bWR2ESm3ycCHASNaUHnbYa1zdnGi8J4EIBBvyjeF
EavyweafNgVoQ0h71GsHAiajlq/En0u+yPZApTXJk7nIRt/uB1s1dgL4JPpO9fyoUy0oZbVBo1Qw
cnvFNywuCgi70ISF2ix4pG5NuV6b9E7q5Bfd5mo/EMrAxBu7ge7ybH/fT/xOr83jdsAbcZbAP03A
nHxry6IuKahmowdUoA3JGXHOy8G1nhy7gqZE6vVe4FnVAJRh3G3aMUYCeWi9T5jqz7oSVahLm0Ut
2JcOriZt7B05BrrDLWSB/eaMO7eJLF0D5Y9o+k80g3hs1jTqiF7uJkhQPf4eK13GoLZq7Keais+6
VOnJH2QZIbFjbzyaoV/T7rxHD4WocEw991IiqgmJYp/AlzG8NHo17hyr+4QE1Felq+LFSNDrmQNM
dVIeKTYC7Uegf8LjThXfdFUnOzHmEykPcGyVGpHgM4dXmTY51Iw782FwnTgQeuYE0Cs6gwac7Hvm
OoHoGc4+LbNASPpZ99WXFEQvITAk4zYtPpTDO298ZsBIgm1lB8o1tS2aDtIv1Rikcd5HPTBakDlt
JWibVMgSJ4wZNMJcw9txvyyjukWvp8UsdGbbSHoyi7KwNYV39AB2C2vU4bY5Z/W/OABgAAAdRO/5
W86djtGxKySevCN4PsymDEf7I5MrDnspJLk2Ml1W15FoR82WJmkO4LgeQiv5g0n9zVhCWKZPtljx
lfOzAMOeNN+gYGsC5Yluqpk9KjBWQUV+yU0hgyqL+4ufauzAiB+fGDZ1aKRq2Lia6Z+MTk9f2xq1
tJDrQ/+IflyyteqcHgekCHYiodZKdmjpeKNUTfASQ2bvzfEmFnpvlF/nl8EfQ6qzKNPRUFS8XznZ
mNP5wfaRN0SzGmQV37Av0Crmud3gQZPZhE4NZf07hIbfqTeyoBE2eUrKTu4M3DAPhFTOyu05G+N0
e0JfG9En4E6gk5m3/+DwtV7cJ+LckWrfueq18d2wB+3SylIv+X5guaZxIkWLR+DtzuLUK2whCL0Y
6iO68uKVSVyKoq4+P4fuUgNllzHF51V2rIcjYMKus5V8Y2Xfq+wftoUHkL6D9lus2vwx0g5MB40S
uvEpiS+JmzwSUGt3dA2jtXSPoQIONBiAzzj1s8u4y1lidL5AS/aEm6/QS2xHKXO2Wrdytfwuz853
4LWl2Skk0HdG3bODJZI85V2vB51mHmLorzoqC4GIjoqWBn7b7y133PS+OKem9ZGkQ2gpvhe0jLTe
jPp+7Saf7c3fMQ9YF6YWQkSQiMFv90xq6m3cxz29NO532/7idz+dNb2mJYd3bWIWVlWWoWqeKwrm
/q+ifU38J5Nv4+IlAWvf/WO+NpjZJFOQh6ZmjcE4tgr88iCGqXt55TQv7xlM2BT5oP1nFiS0Ywb2
1qoFWwzS5vEgQxcZnsw9oC65YmkWdf/P2vyxNIu6NaI3WcxgCQ0legjCkibMs9E6mnGebWML91PG
oHSbcNyOukK19f5sLqwboM6Ih8Ejg4TpfKDgpOKgAi+nVxMg3k7pPYxxfogrZ1/n5GNla5v79haY
o0DshWwwSKrASwFPebsXYwsks75MBiDMIB9XDCeSftRcY5u3Z4BhtLjctOmn2m8Ct/7V232Y6Ufe
fPesV7wYAkwj2p2zJ8NbozR86/cQCUKQBk/h6TU8rztBVk9LkyRW58r4KAu+IfUnlVkAjv0cW/vI
/Zf70/B22jHd03vOxY04cTzfzsJQk0LTbF2defbSl9/q8jMF73ZpFJFufL1v6u0GuzHlzN7FIMxu
GFGjOhdlDATO1s83BRDGnvu+Sy61isDZd9/g2xsKdz36xZFhAucHyq23YzOoZqZQmBjPpbXNZZSu
3BqLn0egC4ZY1O3eZJc4VZZSDh3PTUIjZvyy4tf7v3+hSo4BeBOPE0qQSFfMFodC8g05WU2du+HJ
FtDcMQ+a+th450JsW/tS2j9p/6wcseLYFgf2x+zvGs5VzMhHoAJ4kY9n4NyI/5L+A54OhNiAZAGh
CDDfGyVlmTk05TnQ+4VoQrs+ZdnUqrjTmg8rE/j75r69CG8tzXw0IapLsyJHg0yFJmUL9f+t0+vf
rKTx3pdQAAV/ASOfGs/NDyXl9qGwCY86kAx+qeKx+ea6NZqMHfw8fXDbrUCzG/pOLLUt9fYDXorO
GVgtMCBkBdkA1u6+T+LkR9G5ThdmoxN/H31dgYh5aLcerbtPVua+yztmhrwl1S5xbPmuNIZ82CS5
nz01zDR/ZX0i2z3Bc+CE5pP6vSabOuQdge5fH3sPWcmHl7osG2SDNPGcetqH1C38Z2hplBufMn1H
1YDkUFIV6blPSLNDxdcpAmgqWBu3BONRKDNPHmRbgIyapBqemB3Qi9RMkkACiruzZIHehk6DnERi
W1vext2pTAd+yA0H78Zajkeb9MnBZrgH8lGkOw0bBqTzaJdvQYGwlbQ2o0SY8cVAVI+yCvqQTFsh
6hVtG5pWlvhB5+jep74qtac0b1QdOL0jv/VeT4/6uPWa7lfsN19tIK/7TNuPuRW5YHp5SXPSnFpd
PqeasHfVUHeHnLBhkzJAn9CcouMlV6tQcluELiiVnmLJm3OHYuBnx8y0HwxtLNtsyOWr7WvaafTr
MVSWcL/UZCrPZKJ8chrV7AqicqywMarQUE76pekM75nhfgTlVfZjBNvmth2RN/SInW1LXrcb00/d
7Zg5LPTduD+i6gNlPquM933qczxioWkAuAtwh8wcQsMo8gMadgi+0suwGcxvHfMqkA6oMRodL40Q
mIlQq4AWCd/rmREW2lC86MIt34+s8V4Kk+WPKTisAoaK06lyE+NJxhQcHHFTAgcCESZuJPxjXXbd
TnnUDSl46HcujZ1Hw0rQvYI2CJDRI7egzBaalZDORve8KwLDoe6ROpX1VVeW9ssQiKP8HCQIBE2u
h6Ysuo1kerXLOh2T3ZeQzfD6fIMUHZQUFBNbVzNkZDptdyAxM46a1TU7NwFpbRbjNa4pow7rNpb/
j7Qv221cZ7p9IgESNd/K8hAnduKkk3T3jZCeNFATxUHD05+l3gf4bVmwkP6wG9gXAVQmWSSLVavW
WpEsI1vHYggqCs9eOPevY6bLTT85Nq1Iq92modkj2ro2xP/K0q0PDvnI/3n7eHFnbjQk+cG2ga5Q
a6R6v7xgkFyLO1p26WNnJs4Hs92sgGySzfeR6UjsAaSppBV5a1cXww4XiRMMLfHD2mHN3jWoH3QF
1SD4/R05xpUNFZJD12TFishvtaVD0tYVa5miAb8dxPCUFHr7w+PwGOKkGy5asoJQClkxvbUeS7yU
tlAT7tZZi8bcTBY8ZE1eHUQkzGfUidhWI0O0UREEQjoytE+p1LSw5vl77/Nml9rIjGhW5oZKKvC4
giZ6mxW1/CFFXm4Kx//Zl1D5ixlyre6Q+qvKj8xDz5CUanxvQ2zJn/V+aNee7zFgOamjXphJ852J
l+q6oeJPwU2okzQgLjB7XW6VUzSIArQmWRU5HKID7QtwDjpeIpGpApen4o9IDSvQM9VuIw5loIRC
V5XlPH0sDFmvSp6wU1v2S/n7iff8936GKjeiUNy7wAlcLqqG8bt+L8WR+UkdyKq6Ryy4KQlET/TG
XeB9mnjQX2OjeAuyjSMh8jTq9TPqFwMq+Ee3sMPO1g4gq36CPmWxijyPotWMbCDB84tU2kK4PXPH
Y8/qyJijVQBFl2lslFa5ZisjecQpV4GWDR11JRjJFjYIpmp6+6L5FmcDgRzhVRGJRDGw8v2QPJI2
NBW4NddDFqLAn8nwtqHZ0ZwZGv9+FrFEaaYNOD1hSD1GVhqUxULsOheKIUcHeAXKOmjqnzJqlonR
Q6dUSx6ZORyTPnnNZavA893+GdL2FCU2MrbkgJaOB560v2vWvS6McIyOJ3OJJAtm0hqPHFQ0L4cI
EabMAv1idHSHqk+DxCn8LQf5wKtNCjNgUP4IHcHzncrsPuTSZQ9NkfN1W7eQAu1Y9g3t+8YB0tPR
OoeI42pw6vi1Mtwi9BU8oIHQ7CaKdH/XRN6wwQXxB90z7MD8nN/FIq4bIHWMfENtpp7LfHBOCfpa
VgbP+4c2QeMpQeNd6KRuFyKljVTt4NPuW49VOUW9ck8gIo3/RI1XfYl1RFK3J2eKKvpvG+H9YkH9
Ak/HaS6KGpEteuLzo+W/6NoOEVuQNmUYaRTKkWGivTdtjCNnIbc6ear9Z9UCEyZgPujTvSokUpa7
sadziLrUIYIOhccxaAhKDemd3Pa3lVsk2y5aQiTPPNmcMbUK9PzIKTVtu+GFxxUQVOljbrqHKkog
XxKRt95le7/Mt3ESnRZmd3wJT1zPAf3bKGGDhhTkFy9dj3asKEvdxVlRu9WDk4rugSHDtW5tSdZD
aWd7zIKucFYS/9EUjn8vh0Tbo6wcLQlqjV5+66eQyU+R6GgylJM8jkQQVcH3vlk/D2b36YoTJDNd
lIEA4XDxspuejtLOXEXt5NE1jBVuqoA7r6xH4bVdeH7PHVznhibvE0aZ1kO2NXmU/nsGQqMcUNPb
qzdnwR5lyyGzBx2iafGsZ37tVJ5EqsLoAs3WIQu0cMpPtgESRz4ao7DxLDBF43CaTJY/+BXPdPjj
oCGC9Aaw+pVBo2kBal8haO9XZEkZY84iODQBlUWnDfp5J2dh0SMrnfIay5N77j0e/u7DYOvD2iiZ
f0xqBzennvPkZRBkSTZo7iIAS6OOVAnY3MZM1aUH5r2iuhcN5pEYrN9mrUleC/B9PbtkKO58BoSX
g3oLBLKcehNnuFITlvobMhjxn08vLEquQBIhofyXNfLyhxheb7ax7M1jnef7tKj2S1nkGc8ZxZ3G
RjQQIyNde2mAsJLSuI/dY/lg2I/lUnP00ueni9hqXcpNEPUItc/zHWqet+dn5qi4+PljnHcWE1TK
yg2g/Nwj8r+l+gWid76kuU1mLmXgE+D12GA48aZYf0DvLKMvUudYuzmNQAeguWBhSiEAB4aA1mVr
F4oEpzH/2G9ZCmA36rH1XouAbORN/AwpzwDNjuaGKrc6ZZqhrxUKYR+Ulf03liKwChB2ImFv2EsA
yMns/3d3Yff4ANjr6BOdzD71s6HVGO4u1TdBQp0XQDF+3F6AiYnxXLiYnMkCgFg0yyka8I6u+0zv
muZzCGyMALr38E2geCDVBBDC5fp6JUABkSWNo6TQB8v4Ax7w77dHMHGh0YSN/mmAhZB7M6+gSb1Z
Gb3fF+7RS4gMfKElb3oStXiAKblgajJZoynAOBFIjKJnoyz15WjAH6C1CKsUUgyxXwR5YskfqYbE
yqdHhNMLbck26O7xYJ2c1Yqg4I23oQJ+B0ijKl1J9Z4Yn39C/X1SjDHRSKk+da6UIelgl317jDpz
nYO6TiZrR38QcqnhcnShs3Dg76yhYmfhAT42B09BnUYjolYfRHs0DFne1RBRXicNePS4l3wzsPXC
z8/eubnJ7LHKRSOwA3OMZQEyAmE3xGvL/nXbyvWbEHOGxxkSo6hIXvVeElm6kuhee1TtKD/ubL3+
aFltkGUfHEhP32qAj6Ob20ZnXB2hHV6goyI6hBAmgYgLTpWubDoY7ZqgI09Ow4LUXAiY55zcBWYV
9GEowKM2fenk2GbC5ACwHa3UDYa3iH+yqfSvP5wbmOwip2fSgo+3R/0NYvWBtbGMJenDcY2nLndu
Yhzj2bUCoZ0+zweYiHc6GMC0X6shQiJu4eycc2xAE0EejGoShMcmKaxSF15USVgZVKD52w6CMBvn
n2ZrzF0BQQwQqTlZ89h1JW8Tqo4J9zeoZQQ93hKW8/u2Z808zoAHge6cN6YZwEw72TWO8BpGDXR2
lxwbc5OixVAhMZoA0nNPbRCpvfVLNGNzjnZucjKyVAPa14wrdewPZrVuy93tIS19frI6LR7ijHiY
OB6fxPAIsfTPfx8Y9ZHxGGc00AKXPlZ7FTHQ/iqPtSeCZCxILBEqz233USjLAuoWKzMtxDdgNIqB
7ZbHJHslsRPm6nuRf/2HUYzltxGACD+ebMaBur1l21QeeYAwfWXVSzms2UE4KJChAoci2fSaEW3E
wSSuq2NBkHK/o/5GlNt/GMOZiUkMIxvHNTJpqKPge9XvxOdiVJxXY1UPGQv8N2LGJ1NUK516WePI
oy+qfS34weHPwNR9dgwGZLQhKoNgHpXQ6Z3foenBKEXXHWuxRykf2Z3b378+EfH9v+zjiIAtEAZc
eqvR9lRKYBaPFvi3lPNHokaSDPvIUuvcyheKrrPGXFyPPlqqkI4Y/352/HoQtU31uOiOvlHeFf3B
R5dar6eBLuxA5/8wc6NaBu5DBMpoSb40VgPc6uOo74/xR23uPG9h4mZORmCLAXIehXqwTbzJ98lg
ljlttO6IetiTSSQolbx6BVqQZ3Rmg0a28V8tSl80Fe+F2b7eXrbr3YOErDFq06IAhvr45BDrVBNb
0pTyKA3yltf6FzTI/DZ5tDDI67PywswUx2U5zYD+nlYe28L9o/dgVUKm6PZIxk14eSXDBOSOkM9G
1zgScpfLRA2mBIRj5DEevgvT2yDnAWYRHoJEJfwHS0h3IFZHTuVKbj3mHtcMr5ZHavb3LlPxStls
lTQIBfOOL3QgT1Fc4+kwYhUd1Ph1H3fBuIJnvh75Uc1Mt+PHumqrDSy1K71gzak1Yvfeb0m3lo6+
sugjMMBZ0HhlvM8cu0a1taEvPYR41wlJ/aCunWFdSccKIqXE3e0ZmdmPF79xXJuz32gNlZGXSvFj
k+trmoDvN2/L/QCuHMso3/uiXt+2N7fW6KRDggc8QCOF6KU9pP88hSItP8aMVAGJtR1hao2mxIPI
FzmHxpNr6lhgN0K+fZTNBfHrpbFG2qXOqpofDfJ7aH+n2lfXfFX9kwGC3RL55L1OtTu7Qfac/erM
hfft3MyeGx831tnMNkTT/EQyfuQlR9GMtB/MbV87qvuroXR2plrqI50KI/31Nxdih8j1IrMEueBL
ix0dteVMzo+5XvKx/GjsmJlC+JggR1B0MruvczN7lATsEGljxyu/AXTKbgy5wt1jL6z03PmE1Api
bd0aU4uTXS1YXuQqGcSxadEZwWvtkar8d5cs4d7mPOrcziRWhAIzUl86Co8lOxgyC7VcW2V5shLl
J/nk/5tfxPMIVcYi0rSG5MV57UVRA2RuosU/QBbDA0qz5NftHTI7b6gMAGPp4Kk/BZA5ig+d0xvi
KHz21Jf9zq27dcqTBe6oKdL772g8VAPGSx8YummXDm+EmeTERM1lUMPab8thHRnAIkVCM4MSUX8Y
Awyxis06/6LKvFj3ljuEwLMY6CWo7YARA8xFJYKSQuqfhE2OPw7ERQBgICcAWbrplQDwcCf6lPJj
CRoR1EgCM95rZK/s99uTPXO7AcmElw1IoU0deajLLcNtlMBTBTtKf++K30ZTLtxtczHChYVJjNCj
MTpr8wKgxG5To/fLhXy3SguAd18aA30i7Rve7oFDhtXtkc0cPxd2J2dfUaBCXziwy+s3ZsUrj4MD
Y8fpcxa9fd4SaC9GklvEdddHelSWPh8POpt+QNsj6Y6q/M3xhh+ebxuaW6wzQ9PGPEkiC+yYEncV
gS72w5JM1NLnJ77g6zzJrAjj6AADsXwFLMRSvmvWG86HMPEGFD2KwtTGS6E+9rjb3SpCryDdFOJt
IGUIT1lRI9v07sLUzRwqaCjAdvJxcl3zfhI70qDonXDw8Bb9WlaWWI/sFA+xCeWU26s0ZwpkL/YI
iYDQ0LS8iXb53K8MZKZ9nz64ibVLoofGXrhcl4xM5rEsWgLR7pYfIzFAReadux8p2qJuj2RuC52P
ZLKFHJejNd9DbJR4d/GIsnB2Fnm1zS+WH/5vlkbXPIsVGFhLRZ1jOEMSpu4KL21ur2J+yMTCqT/n
4+dDGuf1zJAyB2Bq9QEl76i/12P72aXmj9tjmbmPQZ/3f+s//v3MRJdDn9jUMGsO3kJx+SM1jRUB
KG+JnWN2KK6L/AdS/DA4iS+IYG7CcmwlmvX2PnZsPey0oVrfHs2cDyB9h8ZFIJHHctDlaAqKxhsn
HePVvPCfVYNqTkP1Cmgs0wtFWrK9UEPzftvo3BSeG514d9JmSReV2EJG/gCESmICdPGgla+3rcwM
DX1GLrLUwKRAVnISijcJ9WLoO8pj2lfDiQys2+l55d154IsKldeLU+bLpe6muSDVRVwDBARaTjGn
k02ldOyk3oB7DNrJ4R+N69w3abuGCtQKHWdb5qjQTg5Rkh2iqAubYeG9M3NwgI4d5QawSeOymnpN
JX0AgzPRHLlZBm1sQWbtjSx17c7MLIzgH25FC+1VkzFCk0FnBSuaY2L4+zQGRK5uHmQHgb58X6vF
EGP0wckzB0QCf0Hm6ANAvfHSR620FQWNs+bYFNnJziM9IFkDgVD6YfMR2k5pGsTKei1UEzROsuoK
lm1u+9LMZhxzEOhBQO3LumrMU3kSNX3hMxSzs+8++5a2cqndcozjr0b5fyam7Qd4oIAcirvsSI0d
8qqHrHcg1PNChiyoHfFsWf/gKVDMGJcQ3DwQtb2cVTNHR2lsWeyYlvWHI7tXJfmL1iF8uz11M5sd
ew/fRxg+AjEmqyc7mzSDcNjRyCy80g6F/CLFyUm/3TYzt0LIriDMBeoBGePJsax8dAe5ccOO0UnY
B29JW3huFHjjjeEfICRXLt+XssVKMMyWtm7ZvVIf3AUsfOE0ntm9ADIAPIdXJTokpxkV9KvXeg9Y
3LHI7T3X+GqQ0AKi3YKZGVcbOU1GiBYAMVAZvlx6QKlpyfJYRzGt+10n1rdI+L+E9B6KQouCHnmd
wMCfVrdX6NrqWKZG0QhAOPcappW6wu+7utePNniRw0EOXsiIFjixBX0IGq/6CK3QRr+Ufbt2jNEs
EvDIyRhAQY8YibP7Ou+Glmllrh9rI7RelbG9Paq/k3W5by+/P7lB8bDE/V3j+6ADzQPQCEOJHjK2
oezyI7QA17SwtrIVP0lafcWL5qNphk2tIUljDOVKy3kUDoa96XrvOEgt8BMCujHrKYvMXeZ1p1r5
2CuEH/KBqVA35SuYnb90cbwicb2tPLU2CHuhZQ3glEJbXNytI+ThBHD8pnTeGvDS462dopYu3srG
2dHWXjmauTKEcU+V2uLmXMiAT0EneNuiqWTk9kZqECfltK7il46XObTFhNcJfRyoJ/dtxcmh7Ay1
ixNiPEP2M1UBGguqR9/Sf2qaaF76mPpO4Mht5ByG720i6zzUUo8e/MgpQ6f2fjZ1g5ypkP3Cbrh2
kL8/c2S6d1GpmaaVNEtWLiChzqH30GnzNQ5vOwg4269OdgclIEATkZNFL707XqdnHugy2id9xe1D
6TnFiqXe2s76r1wOK9No15BwSQODxSGLUEMtzQ26DPd2Y4I5kpV34LH8QKtDwDsBaHITnTTXu+us
bFeWzR0+F1YQG9FptQIdAkK3XoCfEXxIpUdl2Hd4gDde/KgLQfdoJ4QuTG79Jr13H1cEFW7SPMk6
fihy/8SqJr7vquYgkwpZ45StnQp9I1m6zcxe/olNBkR7lPGwgSB1ULsgKi6jdtvV3nuZiQxwou6Y
dGUbUIOvNSO/J2PwkZrMDNoE0rnSH/gdS6E1VrQWCZSXt+sOkuJhSmlIXO2PV2erDu05XlqibaeC
/KXGAleBegZMRmlA+1RsIuSLWRAl+bfOcx5UKd5T2w/b0ruzavZoG/xgZ1lomsmzEMldF+l3lvDv
IxDopxnfg6j4HT3Wd4nl7NA/BIpeGQ58CGmbbwyHHIqO77KKfXGj5m6w44chyTcVclOD+FZVRthy
e61c7QBlGZzLrb+22xrCn/2u6t0vhhM954lC3dhv9JAOzkPc6MhCsvbDKvX3ymxD5EuPTkHWrPXR
4JIfS9omd4WmgDz3ujVJ4AkeWSep/QOSV3s9FnJV+lm8Kgc/Dro+TzaVEadoSUiPg5kh49hmz2nH
Q1NYP7TSdjcWtIdCYPVB09KW383YbfYszbaOhKgb8llOje4fsw+pzK2tHRd3lluguQMEmyu0aQGM
7EUfWZo0+7zxjdBlOhAkbht6wHsHaDtLVjKuv3cChGFOZC/gWWe2IGjPAFQG+xmSddNGwqKsjJZT
ZR8szf9uVNV7ohY2+d9y0eUx7Zyb+Ju5ONuEeMnkgnfSPug+14+RRWJQHrbkvdeqsl+hRw1nk22G
hr6JkMDuw0fVkDs9zfR1U/wxdW9bgh1XA9tx95uxUMCpDpXkqIqazDkWeoP+HScszV6tofk9hGCK
H95oZvAHCkWZhTvnOhhBYtMGQMXEWYvHxiQlnEaJDmiE0R0cp17x7sihLtXUL16cLMza9cl1aWjy
hAJe2naFOSBoG3aV9huVseTzmY5zE4BJXR6O0m6Vhid0d0ghm5B9qdmGiU8nUy5NTG7oukTPYT1O
Fy3WA9Qmte/6UnjoTZCWuPTgXkiZ63iwj00rk5lCu0odARJsH5zGLYGTHpot8eRLCUynkZgrHy1J
pi9pOOhDu/GNlGxIPYiw0bWfhPfr2pRhRJNiHUN1fFAKfDK+M16Od0qjz5pTfpVdE6JJrb0bujzH
CRsnD5mAunXfCbauObob6cBeO2hf3zlatmoi7ZvO6lOr6WgCb5+LwTxpfQnmN+shbVt66IgqoMfW
Pzt+uVbS2hJcALK2vkY0/+4XyXseF3aAHitjZTQNgga/+ygz9d02xAPR60NvGWGq6oOb13dxO6xo
4puBB26bXqTfUbxBKGPbDymKe5s+jit0cJIHAZZpyq0vem/jLmMrS5krvWk2VqKQ6AJ2LFHGPbbm
Ls2GFyM37aDN/AckZl9uX8nX71csFoAAUEwDCvQq+57kHtqYUuUcbKFiXGasDmrZP0uSPle6FkSO
s/AGug59R+g5anQ2ynRomp8kPGhPq0LRwTj4QwnGlSTxon1fduKlpT70SNFfjJ2V9OJQ8r7a3B6s
M3788uTDGe2gix4JnhlMpUdQvnBl1B4SULU9MLNhr24hijspmLlSyC5t0VOXvKKmqY1yHs6PHMCr
PQA+oB6NdXMP0YNmFCD13tC/az80qaAQrK5zK7DdBE0+HUvrAB156Utf5t2axvaPqiHxi+yrmq5I
zeOnLtPVM1749trOY5A0oASjv5Ha1H/yCLyHlhK4hrEPwFY8AJEJ1r9vkW6LjV+5/qsXERxAvVYi
zcbaB3fg0YPFa3XPvCQ9aFrKQqSYxa43QEGsZCTASWCk95J3YPsi1H3iKuq/RJHTvqqyxomNOPi3
QTj6peGZqxT9slHAEkcrQOHvxKssUg2YRDtzC3bopZzreA5MFgMHBPJCOLtB8DOtGtLMavFK9tTB
5OJrQ5I1s9XKY2ZY4pQobLYZ2ug5XeQ1nnFAULyOD1cdtCZXD0uPu5qXkrQ9VADxyPRPlb4m4i5P
UEZEE0Rlfyz43PUo8USGvyGjiAfttJKI94qnPNn3uDfWUj6q4g4U6NbSuX4dNaAUPHbAoMEVJ+8U
JMZcxerYK/tDxk59+fh5+CEgLzZEqiwIoWP3TBIXLSTEBdNxbRR+W0C72NICQ8bvugO5m89PF64o
tDGgqA149eSCAhdr4Xax2R2M7sUjGzhd5963S3C0magBcLr/szI5hOAVRt2Oe8k10wDaiNvc/CbG
tL/9ens4M1HDhaHJxGkMdLmVDkN69QcPCJBl6vr7/2ZidI2zaK4jXmdTAhPUX8XdgVsrrV1ofb2+
JLD84xN2BL1fd6AKakWGKMbp4jjeoCCZfDCx4kAapJ8P59CcZMMOUtXkit6pNjo5iMpQB2q76lda
6MOWQijqMc1MsgYNC/D2t2dvxhPGbihUoPF2wk04Dv1s9vKqaixZO+oAnk60d9OdhWGVQC5E3ZL0
+MwsAjwG3DZBSto2vPGnnJnS7cHqC9x0B8UdcjfIdNiWdc1+FYnfvZhCz1Zu16Jf9PYAZ04G9I6M
2TpAlHDITgZoRh2VTMvVwbYatm56Xd8ot9cW1m3Gz21gL6F/OrZ0XnEc22YjwdBZq4PRNv0T63qK
fE5srHtpLkEz/uKGJvcGKo6jfDgSdkCTTeJLqhsxmnSoOiSDyo6qsKrAADXOo3QYf0rqwfxJezEc
XNeOj80waB9ZQlMICjst4GZF+U0MXrqPcGuv6ygZVqUABk3LZfbsKx/P8cqIkEiCmItZDkPgFDaR
q1gU+TqH/kXQ5Qk4MjoBBnJWsU2nci9smyF+wIUvV7Uv9AAXZ7tLOv5T1JYC2lHDnpEVW/ddte30
Dq9NVYPg2CxB+oh7Ouidbt0k4PprPZoiCuniAHi/VZ3Z8cbqbNQucte/S02Bk3dISEiYZt/JEhI3
Tmbl7+gp/m10wv7td4Oz4rUQa2EZck+MNlqniWDbrGT0US8leOUkaiW/gYLXDrknSB6YRgaeEafh
7UlkUVsu5Dnn3AIuAUJnBxjQq3xSXcRk0NFdcrCEHh3aquLfKehdHgxR9Qu5tploAml1pNgAXHeR
x534+dBEtZko2h64JsvN4NjeI41U9Mg0SEOCqclcR6LKH1ySR7/xDE3+YaQjBS0Yd4GNQLXpcnNT
TjUgb5v24Bn9z0aiz9vJoC0V50uA85lT5OLBOxmnNPLEBNdQd0iiAD27Xhx66tRnj2pJy/rqZDTh
CwhYgDtFDwhitMsR5V0G5k4to6dY1wzIE8pno+hBF5F/WACa3T6krvzkry2boFUab4MrWKhXJq6E
tis9AV95ABb9S2oVoWuWv26buZq7iZlJsoB2Xg/y24qebCcKkpiAtRpJyFhbUwoiLX9z29rSoCbn
FEhbtA4EsfRUO0aYIBdVJ2jUcb7/L1aukwboay/yqqAnTd174AltHqsl5ovbAwEi7tIT0Nn7/024
zY60W/6LLN3CVzH5xcIgfr20UDdFA8ocLAykPh+6xPhWeAx5I/tkGtGjG7cvnJCFeZt3bxSGweGG
WPNvpvrsNnYSIPwyv6OnBrBbiBZVm8RB7/j29upc3b7jwEB1MFKYI6KZBs6m6bSax3R68rWv9Mmr
3m9/fnYQ6MxA5AIaZNzwl/MWcVv6VVLTk6oJKEjQWRHr9q6T/dZryrv/zdZkjbpSeIXTc3pyTbSJ
79DlBrp5NiwgqWe36NmIJucoS7y6zwuMyI38DE/RLhSN9aAG7w5UdPcKnHQL8dHsFKJF3MQjFEqQ
U5RAged7r4MW7pSgt5meirpfNa4GjPjC/TTrCdBQgMMhz4L45XKp0OEoHMKK/OR1d0a6yz97/4yO
hs4HPDIBC8Aj7fLzLnUGlife6M4fuvZs1j9V9vYPDgBAB94CICu6IsGO6prLPMUIBPiP7bssD1Sx
Q+HutpXZeYKSPEgdEK+iEHU5kCo2cxWP6yGK+HeBomGl2T9vm5hdcmDEkaj0RnKOiSdrUeqnkDbN
TxQU0wBfIcozgmTpJTtzpo2pUFDHj8gQyP1cDiQvSaRrMspOhmR3GC0JeiGagEGWkHfewS21tz4b
lnh8rsIgdISeWx3HfnasVVWeO24c05Nlq2MVpXscHivLli+8HP6QTvvQarmpknahajFzRQBRi94l
B+2uyK5NBlvWyF2DZZiePO++qWnA43sHAgm3123WiGOjmwBpjjGkvBxb3CHwKDxCT8zcDsNR84/p
0vtzxvsspKZRfIb3IWszOX5qIfOyRlvyKc9XfAWirdsjWPr8ZJdCs6umJMLnhzTo4z1bUkqf+/5/
2U0DcBawBVzOkFBJn5cWoEHCRAF0VS7kAZY+P4mfZA0cRufg83GxzrPXzl1Sc5jZmRb4ckapBeSj
r3odY49ExM+s9ATcUeBB/oWTZNcDQt2xYcGZZk2549WMxIaF9PflVKVFVzMCfrSTayUBK/H4J390
PL26RYHUuYMATRHYFwhtURSZxIERzcC+n8j0JO3qZObODhRzKwout8Cqtf/qyi1/u+1oc1sFO/sv
7GDM3Uz245CbCu/nOj2RLAeDOrlvefPaom/4tpk5hxjBTK6B4ONaF8EgVe1ZaZaeBnaKh6P5+e0y
dtUCyTz6wlVWQQ0pqUtJuhNpNt63VKxv//opQQxWHVmts+9PDpTCa5nLtKE74UFNbXtTW8cOVH2N
FxjFXvlf4ubrUKQrqA3cNjwT5KCNBUxrSHFBs2T6WCyAbWozaranAtUtu/2Zm/eFdofe5zpeCNpm
fA9Z25EgDyiqawIqt1Bmqcdxexqqkybv+wx9HMN3gB1Y/65Dyfn2uGa8DtbAvYYTGtHUNDNjQoOz
V5qpToWfHLTMeeKl/ZqKpQL2jNfBp1EjwdsUSa3p/d0xe7A1JRQOaYVG+DdfLgShSwYmZ4PvC9Iz
VIJO6BeT1cYaFtZ/Zp4uBjDaP7ukOervtjV+3yt+xFrY6SCf+XV7KWYW/sLE5ADIIpC4ueAsxRC+
6G0a1rnAUXN09HwN/tK61BeGNOPSF/YmcQe4K5PWdjqFhw4yWqRE2bcP8As2VDw13oKxcX4uMoBA
3I46Wi5iDmBgp6mJ1JdtXhm1OmXNi7011JfPz9355yevKil1KypcfL7PAwAWMhH66IyH4lWyZcXX
27bmXAHp4L/yQvjf9KCOfbvgHqvUyQQzioDAyfCGnNnCvpy56zznrz7TCHMEevfS35AhtEBFQuQJ
uAxVocho2cgEAt7otdvbw5lbGTxCQJKJq/VaaULzaIaKeCxPCfgpUuvnsHCvLXx/uvJ1CfmcLs7l
STxxI6SfZo2BY539fHMyUS1aZigYFOXJtO/S7H7o9vyTqrfjneMjQEf0CplJFCAnIRrnHdiB41yc
UmOPuyU3dxVYz/nCil83JP814zug8xg7kqfIw57mhWEURJw85KCztoPG3dcy+gH2wTZ/pU3wluyU
E7hPyW/NWyXgNzZWdry77QzXbod3HJK/EJghHkFu9NLtau4DFD8k4mThN+RgqU4AIPuoqk9HpWBL
0Ef+DRPobRwMl2bwG0CQGvsc29UFuyZybJ9kWceaXVqYuEVH6gqqMLAAltlMQE0gvD1R1149kreZ
0MIgaFa/qnpppcsqHXpNp/QN0KKu+rj9+eszBp/H3Pz1hesggLC8UbWeCQSDOytdVRALVp/d93h0
gl15RLuODUHTLIrKRB/ZqDM9OVtfAWKrltLeV1M0GvDxwASJGCpo03OyjmJdzy0aPeUPAGXifvnk
FE0+P3FVxsqiVzY+jyYKQ/Ig037F9kIstjSE6c6XKaAZURY9RdJEKzYNQAt9exRzFlB/wKYfe3yu
VsE3eayZsfSfqv4DXNZFssSodOVJmKZzA2PUcRa4OJXvFsQX/lPUVPqm4QAzoZ/KeqgB9FiYrTlT
OCVdMC4DMIzFvzRVmloH5p7KBznBwQAwkxn5qu0X0hZzEwZlA1QsQYqCk2qy7D3KM1bMau0pdcF7
BvKY6j4vtSVmmrmhID0LDRMbI7li11EFpKzbjsUnT3Yny4/v3dbcgo43vL36c2bGQjY4QmAMR9bl
jKU+0uhtCjJ/JAOffNUeMx009ouiVVenOnwABmwbtWQTnVXjzzjzgZrUrobG1ujJhNy5V7ZgQ0+P
QFQAsrhE3jTuiIs4D6bQOIYqL7Qdwbo9cbe8ya1IUT8+lSC1fcn9/E+lgAdiHVR8vGRsH4t87x/2
0LnNyWvdHIy+aFWSnEKL/zT5z9trNOdwSNDiLAb+3b3iIbZa1gOR1cSnrO+8ta9cJxziMlrftjK3
RBCbxZ3oo2fySu4EmMqeCpS/Tz75w/uPvv5e69+78senrSCFijYtbFAgC6bdTHlvy0x4eXLyXFTg
o5UQJLDsKhTZUq5mXOeJH1xYGmf1zOWAlKCdrmfJiaPB2G2KkwItdoBG2h+lnW4y4r4UNfn1D6Mj
KOQia0OugSFtmjmkj+B7PQEwDslu8J/p/SF10wWHu26THDOnZ5YmXl57g8FJ48Yn0VESmj5oeDPT
qdf/j7Qr641bR7q/SID25VXqzY4XtR0nTl6EbFfURu2UxF//HeZh0s0Wmmh/g5k7AxijapJFslh1
6pze1pzXTDOnsF/QEQBmKB7lUI38VDccMiBla0H4LIPW6gcG7kDgFy3kPnaCdIyA555WRAddWh04
UUtfNE5Dy/5mBf9dt7NyXEGUFqSTNijBUDSXrkMIVpjG7AzpEQ0DaWRllbE3gxEg/wbtDddNiT17
4T8npqQZHqC+HbBmSY98YbG2LBSKkyU6rYYkLDtowlRByPkEZjUV8emq40KjFHgyHJYX7ZpV3izm
ZGsa+PSrNORZ8x9y6CK5+Qwa+i+Q5vruJ93NxKHCn4CHRukeSKOLBk0QyKNn3m7SI1pO9tXUbMFE
tEm86vZDBmaQPsP7AkQ0Mnyzqa3Kbl2SHst5QUFo6Y2nArjT7dguS1RUma8IMdcWUZQ5UWEwEQea
kl/WBmh0XDSj4LgJ+vsKj9CdiwbjJzY+atDSaLfUaFAxbGd2uO49a46KC0jAlQUfpiw5SBmnJimN
9GjRZE9AVRK2YGmCqrFiQtftIAfw1wwkJs5PucQvJgTROHFMZ4fiTTf+HFRDWbkYMJB/JsTfTw5S
Acd17SIlx7YDmCj91XuPgfNQBJ+vz9jKLXdmRtraA3IQ2txoWCqi9YBMFT8AzFEcm6uzBajI3xVx
LJl7ovT1Cd1CPk5Nf9hy77HjzrYaVbCe1ZGcWJEyxC0ao8bFwJpYNXBtBe/KO+rbqiNXNRbJtdFE
zhu2JBhLGhThYoFbusaTGTRZCldeHw70mXG6o9QtJ2htxlIkT8X6z8Fx0pE7A0/I9bVfGwvEStDd
Z7oQPJCj0BaFVQ4anCT2ESmGRk+rLZmWZ2+GqO11S2uDARwVFXUxlgvMs+s1AL17FE/ClLxWtouG
DlNx5qwOBpAycIajKngRUpMR54021ElcdUuw6e3l92Qt6acAUAgFPGBtZ+JxINjS8Hq7gCEUSWtT
syFJ3PclRHnMztmjxy1CLNpEbqnkM1wbGCIJoF591CAuAN3dXELGucPh3c27oWpD14Uayc31WpGe
PTEiFvDktOG2NlhLK26IICzcp6J7LJjiZl8bB4SzBBOBqBDJl5A111AAMzKcmcnW/ZEUO+fPdSdT
GZBChwUvLSAb0/Q4FtSMqgRNTPbszqEzUn/7/zMlvTwAyi2cpMZYdByWXrm3nT96ffcBG9iX0CIA
kcqFqms1UcesWwQkBLc1OlP7Y/+BNIeId/5nQrpjGmY5FW9cLU4CHepWyDelivLM2l45tSBdL27a
GWY6YxC82M2TAf2+ZksTGlmz4rhcCzlODUmLz33OTbPF4ldQ0SruG/YUlPe9Fdp+mJX49wcONPSj
IAQEUZsFePP5fqGWj+KzhnFVYd2CIWpWZQjWTkyBmEaIgTMNxJjnBsxE63i79DBQ/zaaX6pq8Npe
wakPFnmRf7qICKfRYTauYWQGGm2TcPOpHN5qSMRfd2Ex6XIwj4ZPlG6RWMYzRRrEiBUfsowipqZN
xcKk1N196ll9tCxaD38gy77M2NSFzeRXt3Iq4UQD/gRnJuJQoaNyPoFOoZeD4ZZabKPdkBt16OQK
l1udQ7zcwb1tAsksB5tFjptu6gotbjy3OkLtOrkv89o6VH1SKs7OtW0EQn7AH6FWLBTNzgfjDllD
WcO12JmdzaS/20ioZMU37F/Fiq26nY8MDnAWAbj3pBXrh5r7bQ63s8jWg7irCj2s+r60b3rGSVel
gxYH6QNEPbz27brHqb4vnTdW4yAG8MS2maDABSZ5/9t1A8aqT5/MkHTQdEkfDL2wkPmRUYVGFuZf
tF9oU/1l/P0P0yDVFXb/WU2IBhHwYaj0a1fdDh03FkIBsCj/RUqcXNVgl1gsdF7i0B63pIzQ+2Ko
8OQrJpD89IFGQPoQve1SQheyOjNoB4gfL6O50SDYCWWe53r6fX0qxVpIp8OZFSlgnyjqa4uteXFN
rC9VUO3qOY2zADWPtJr+gD9J4dur9hB3AHMpqIbldv1W95Khg2pTnEBqNBjrg8OKkCJXFc2ddWcO
qLReH+CKM+IB7KB4qIOtCP8637UOOhkoIZ0fe/n0Ywmqjb60X6+bWFspAEaA40NgDUSfdMqlvZ2N
YAv24oE/meTVWp6dQYG+Xps20feJoBrAlAv0FaTlQXxD8yB2tToPaWk8aaSfw9GuvjoeOoAtO1dE
Pn+rjbJnnJoUE3vi4r1ptQmk2AKIpk97kM1A1Lfeksp/mgDCNEi603J/T/Lhy8j6Z53P26kpX9wF
veVmeeeQ7m5pVK/LS45IEESiTAN2ZAiJX5I99DPhVpDifQF9qNdGy45TVWxzVt0PCd/MrPljpPhx
LYUmI7EUO2XlzAH5EOJmcKMheJZvmhmmEiAsgtgaywHkN8kAqpyy2ZMubcDR1tYPDcl/5mWgYiG6
hF2JUePLJqIEH1zZ0sUDqSHQwSZaEBt0tB84kpiHua/0xwyNTQ+sdfJ9PRfkYezm5qWaO307AOl2
Z1TDn+t+flkkFz/ERyoJaSXw/MqA0tn1siHrUPVzM8sB2V8PjjiQyD+gEdw4ZF4BpYW2LEJ3Ssbn
rifdA+3Al0fbzv4MQZR6k9Y5jZJmbvd4B6VzSDqtfQRZZfF+/YeuLtXJ75Q25Gg0ljVlSRAD3UEi
AvGcsEaI/TYsUxI1g0v2U687m4DUqrVaOwpOZ0jaNEY7IWMwZkkMKe2NT+5Ld9lAqfH68FYCkbNl
ED/iZGfOZErccoaRClwP4H3xdzWLuKd4NYiferH/4VgCKIAwTs59FJ4zahNJg7iz7F3Aut2cqVKi
67P1PxMyOmUC8IUi9vXjiRdfKgC80Zd4nCZlCLxmB4IzyH1AmgcFWWnC6ORrrjuQIGbpS9oj6Tnb
u3T8c31V1uYL579lYbZQCJDLO7k52iU3cF7SHAUANBfPwct1C2vrfmpBci6X97qZFLBQc9D8HVr3
Z/XLshT35drecS3w0IMvEWwkMqWVF1DqdGXgx3rtRV0NAAdodcbf3IQIO6kjL9teH9Tq2iBVhCYm
CM0ZMqd3HthJkk96EJcQW9m6JWsQ7HTBHUHDgeK9+HcJZJcGHv5/tszzjVMhO9V0xhTEs+3/cQgY
LXr30Q6Wx7qCCDxxjlOf/XATM5xq/dCDH2phZjxDqPj6kFfXEZzDwGO6ojVE/P1k/zKI7S79ssBT
0O3bhTbYSn4VHdrp0ZlU/eJoMVXc5SqDUgyU553NA4fDcd64VUJa/Uemh+3h+qj+hjkXswtGbpQb
XPiOTMdDU7B75FkRxP3oTXfo4vjCG9MAN99cPrKirLd6XyybrnWdNzcprbuy4mha5GUTMXQqxBlh
dMMzH9LDvBr3dtN2u94aWeTQYIoCIEB3U0GSTc1aE0rEgJqi/kAUg1iLsxBeID2Ox7JxwbeWD9oy
dNxL4sLK95Z7cJyDo6MNHL0ZJfvAMX5qS+zEEzcwpqxFh0AADE3tNS++USaHcUnJb5/UQ9SwNlHs
7LUDCsJbSP7h/YqeJCmM0Gpm5JlZJfE87YzvTXE7NuQvghEvfQAQHDk+crSmpFBLRSK7+OTGRhFf
d6+1si+Y+IGgEDh9VOql95DfzwZrKjuJtSxdXt16KB4Wz8/RVefZkdWRH4yD/09bHC/2Per/XDQd
NGqVbrCjV+XeRyYTFMFQuEHqHm+Z88Ub0oTyVqTtLbLRnQha99eHu3YMI9hHhxqIVgFFlUIY7tf5
4LQEiUet/t4m0xfa0O1Qz2HvoXOxq5r/wIT4EZuoLaMnGxWnCzi6x0w6NAMcctIeSLcZ7a9NW0Ua
w7vwR6sTRQZ/7eCHcrqgLUHexpPftw2qHKmXYKtZPObmrxyJAvQqKYa06vMnRqQTX69dLesdP4n1
oQhrUoWqnP2aAVBSYUshKySgV+d+QPNpsEaQMMXL1rDu/FoxSarPi7+fnBGjMTaIibCpyGz952fe
Mypqm+uetrYOpyMQfz8x0U5TnlQpTCzGcwC28Glvj4q9qxqFdOF5QUF4Y2CS+iedvXZE8XnVCKTr
LR2tLPe8FAebrt+nffKdU/0JajCKZKbKjHRek4T2Dlifkjij+8TaJGMEHcYPrAVOFFRoDOAA5fJM
0FOLpswL4sXf+NqB+aihKWKB1bU4MSGNgqKncuh7mCB4BVlAySiGsBZroLSECyYAuxpKTOfuVBVu
Ps+M4RDR90mK7P+u499bFWneqhWIxKN7ErgbRFLnVqy8Cqint7gMxog8V3bYv1YqBbvVdzewlP8z
Il2YI85CBpRgEneUPhG7AZGT9Qhy41fEzkPY+ojxR179Gfm8Scc+Khvj5bo7rEUjJz9AvmRmkUgd
OvyAiiLpk7afZuo8TNR6LdN5g17dD9TVQWEBugyUiMEOKSMq8qKfCxdU3DFYf9ETr4FlVlO4x6r7
WSAegSFk/wLx95PTpgjQvlGneJp3xNuVDvqRXJUA5NrVid5BJIhwvQBGJHkgNzOAKfBCi7vMLZGR
yK03Qf29073BuE9H0L0hW5hvWIv22+vrJRxCjoAxc7jT8H4C541k2Sq9vCI+zjnK8ndU3Y52bm2a
Gd1jRb2F2rIZaR4PaZ8rTqbV3QBiOPCfQgoRkO/zSe3Bs2l5I0dlv1jYodQshAmIq/ezq+mgc+y7
3fVxrtpDI55Q2QSDiyyfboANFaEk0nAZ5Bey/0jwVKafu+btupU17wc7EqogiBCEBvn5qDyEq2U5
mX4M1NvWQOgz1c9T/Za3SPgbiuBVYUvORDCk33Mtt5CWHn+W6dtkhg0yRRByndpv10e1tgFORiV7
p5nqk8smWGLmxvAjleSX6vPm+aQVU+dqA571ce7/mNr3mztMkQGEnAAed7ihECFK565WlMhSJi4y
NkWYFiFTsdiv//x/35fWnIHdkZsavm/Q94RWYZaril9rt/i/ESAddD5BqeGn09T4fuzWT5a7d5Kt
ntxdX+LVi+PUhnQOdLNn4R0pcih6elcXxsbMhns8m976Wnvxg+mTYVcvRsHcTT2Y7zpVUSmIWZLP
oVP7khN0vYWyK27OGNI5EKh9q/g+6LyQsaemJSGZjtPy+/qQ/17rFyaRkUdPHtLDyICdT2uC0yAb
aOnHmt5mbN90aJ1La569jF1i/w7w7Hw2cobkcAMK4sfBW/i+75L80STFGKYNeWfLVBzQENA+u8hj
b1mT8+eKQOeElORrDULZvVa7HTI106zoh1o5zVBjhTy4oILEjSH5dOWPtrskNp6NExJe1dO2xj88
Ff5uxbNROBYdGqKB+SKvpi+5ZTBieDGULtN3v1QUiFbcGll51CIDDAW7U4qBeecuIGZBtbBJm1cn
y34sjt6HvV4dri/0yjDAavlvncXfT+7vrq/RkcdzP3ZAzd+Eo0pTdfUgRus6cjfoiUQG5vz7rA26
NvVS8f12h9rkfkqskNd7u6o3ILn6QDQCTt3/WZOWHk9oQDxY4cdFdZ8Xd2C1+sBsgR3DEE3/WBex
aiezRWqrNVhJ/bgNrLuk69+Y5f+6bmLFe1Ei/mdC/P3ERA8By671Mj+2Ib2hl7+Q2Irs5NMwf75u
Z8XBIEMABwaQBNwFcuE2HfOaOC2GgmJxHpWuo+27nM7bJtBKxfm56gNoJIBSJxwA7SznQ8otXAMo
HPmx2fSPzVjtkAy5h47OC1/KOzbfzDkl7jQfbHMCo2JDbuHcXKppVklA1ohM712XK4WwV7POYLOF
SISLav4Fo62jdbqTDR3i0XEp/iwo10a1VwVlOOuTtjeGwLznKINwAIzhgC26XQ+0AM4kbHNjCUnf
aCFIfnRFxLO6nkADCwo+oV8hbeRSq3uXuagoc9PeJcO8c5tNp71cd5rV0yIAvSBoi0UbonQRal6a
93lfBrHnj+HT0KgEgla+jxtcgGSQtkLTrBQuVPbAWr1DMKV/z4H5UfEOrF3koLkCVTDOVQdpYck1
mpqavcEDXA3G/OxAz9QCz55b5hs/0z4TSICHXgWpC4+9tNR6qLmKWGGt4A3oFhhXUVYyPZDsnPum
CXbLtqldwDNcP/SsR6vMo354LSoBe2a71hkiQr1I947XF27lVDmzK0UQ3JzTRoO0fVx7y8+gXt4b
wz/MNqifBiEgcd3YpeyLjWYBXI7QBROCo/Ix2RRplRqlR48JcAUbv8rIvlkybJPMXbRwThb0+he1
v21H/VvOigoHnHvUSV5uBKY9NCjV7treIJuK+q9wlGJjjSnkbis+fGLp+OaB/UDxm1fS0ee/WTp3
DbPqHaNy6LGxmz0dta/BQD4lrfEVKhu7zmIR7ZYwsOeDXzkPeVIjVWAqzslL7z//CdJdCbGlAvIN
mDadf9O0ewttQdcXRmVAuh4dRmadiDGOXxy0iheKz18eQfj9qBnoaOPG/5IrpmjLrYYGWtpHgd50
+GNTvYyw84ExnBgRYzy5H7vcL4dMh5G8ihY3Isvm+vdVg5Auq6xu6r4Ug7B9iM9s0Npj5op5urwP
z+dJcrV6XHwfJVJ6rKbv+Xhn/20aerBJvTM11ftx5bY6NyY5FRijcVt2FsazfO+1T4nToLjxhc5Q
3wE6NXjWnXrX2/8x3dtBlSpPd9en8/LgOTcvuRx0nexST2B+cnDeHcocJIMbPinS6qtWEC/j5kel
CiWIc6cAG0rSlpNPjxy9g2ZkNHu8Qhxve30sq65hIagAdQXKOHJMDshOakI2hh77amsau6Dd1b3i
Fl/doScmpOnivPbt0XfpkXhvBfsWeIrvr00U0IcQmob+GUIF6YIlRdO3xOjro5M92/PeiviMsE/R
ArPm3+ChQLELwAloAkmrERDoyYGZC0ep/8z4pwQNpHn9BSmlmVWKrSTm4/yZaiAUQ9iDkg2ay+Ul
sUfTonYR1EdvDsK0TsEl9Dmd7vvlVz0cKkfxKPv7yy/MIVaGehdkRC96NlueFTy14c1lMjDgohqT
RTnwFQf8NrzMZ51DFWcsoHpPyW62IESNfroJTYizGyaaVh4CzQfVYo4rxZ8qcu8Ce7YrHL+M8AQs
I400IGMbIdbyuQej4Kvh8nSb54EH9h10oup9+9nJ22Jr98NPZynHzyCc8j5TF9lPChr8u9mAom7m
9FCdaWu/3oxpMP3qsnyIKHLr+8VN0I02sDrsGk4/V+bUq+gXL/0XwHf0zQJXh314IfiGPMWSLt2o
x3T+klTfqlQF/7zcg+cGpOO/zgy/4RkM+MseibdNpkUoBd58BwgjuMhQn0YHl4yLM/284u4Q6PFi
UzASDRHXXuxeYeRyKyKhbIqMK+JQdHRa52cWUHnuYGpje8SqRBYk5+hbH7wldq3YIpdLAuCDSIeA
+AjKRPLrSzcHwjQ4wbH2o8qNFqb4/uWKnH9fjPPkQuaNN0DtDd83IVfk74J5G9CboWsCuyGkMFGQ
FXnxcxOzk9NCC5LsSAZv0w9BSGrFubg2CCHgjSod9rYjo4ort9GJ3dLs2PqfIJRG6aaoFGkplQnp
aGepVqANvsqObIzMOiqcbXp7egI308kopNN98ag+WASjcCFoU22rRuGya6508v2/ylcnS11nQOHW
bgl6yvK/tKrCQEXXp5gj+R6fvcXtghQDWLKvbvMf67pIV5HEqGxITyG/bdD8X8LG2EY6emWse1sV
Q65grcVCYMuh3GEjvyZ+w8lELflCGq3VyNEDIlU3mmguAO97zOndmLxVFoQZgY0Pvo/kz+j+1oI/
NDuQcVd0/e7WiOX8d0h7M7BYn1AjIUdubkZz55ONe3sHIm5dkXAJID8i2OjOh6olbFqaARSYPkDa
7p4lr12+v30Upyak7e91jHlFQTK8K5BrhVjVAZIS102sHMZno5AWLCGQPdE6mMi8d6PaavTgtZHr
KAaytn9OByItB24DI9WqFHOVbPvp0OofWG4EJYhNcWldyq1mQk03LSxyrPW7Nt82dN8b2+sTtTqE
ExPSWli5P7C+NOHZqJjTyFdR3qx+30N0irjR93RbcqdeM4p2yFxyTN0Qxc5e9UZdXeiT70u/P7Ca
sWYE3x+Dp7QKc/rkg4o4+8hCnFiR3ImO4GXpEodAonxn5p8KnPj+zRkd7LsTE5IvTcvgdl3lYSHe
fSfy/SjI7+mkMCIujPN499yI9Hic/JLygWK2JkJ3LbRdCiQvfefHaG9H7+jqcVm/fMC/ToYl3ZIO
xA8IcnfkOC+7xNvmqqNZ5V/SFcksoH7cWXzfinwrdgvFLa/4vkzGp2U0AKwL3weetf9TqpiAVJ+X
nlbWkHtdl2NBuBm27+7P/9fkO9LVaBaD5eOsJcdhuIf+HFPln1Y3nyDJQ8+LgBRL7jRMve8t1kKO
6B51wM2SPWVjSK2vHxjFiRXJhdAB601mh1Ow8COnOiTB5vr3xea92BQn35dcqAedQJ16OtiY+B2L
8+puVlXNFfMkx1ljbSZ2P2EEk37vc7ReozD/p0nebx4H2nghz41UrQivJV9qhwJdUZAPPw41Oiii
BviSQQFkWXFX4IKQ6oYAAM5yX1qKhQ2Z3ZARqFfoKgbe71afFSftylQBQQzGIHwelSUZVwumWr3A
40GAoK3NUnwK8ldvOlRjqwgQxC+VFv3MjhjpSURnWJrPqEArl9p3cDNHWnA0g3rjBhm42b9Dvfz6
2oidcM2cdIGYfjqbQQpzuvVe5XFC9kv1rbAfoMB98/MNLQt/+f+Q17gUHEzatuJLkeix4x6geOnR
p2FUbJhLLxAmkDZDTmAl6eSmeDVA7suIwSDhpfZ2IKoIUWFBBkxxv8z76q+F7FvgRpMqLXe55dFp
hKgHzaAAqgNLLa3+0GUahWg9KFbc3Vg4L021HADA39+66jCDupdgixWsj9KOhOKZznkxGKgO0UNS
DXuta34bSbudFve57UfF3lkdlY8ee+h1CRiDNCregLhqAfQrhvT4vZMloU/1UNd/XR/U5c5BMgUF
ZvBMYv0v3kJAgKDxkCBW6Mj8KW+nl97rSmTI+K8J4uHQmHv1ye1pTtg0RVMBCHHxDymKJIQFXT6V
eqxXDQl5UaFT2PtttdOhs4qbFQbRe3GaLZKMFZbVOSimG3HQ3w38GRHS9Qlcc+6T78s1w5y6GrCA
2KEo8IZ046H78QMGXEG9g4aMS7ih4zLHyJBZiwv7Nct+lah8XDew5mgAb5rY/GDhB/fK+fYBAWlr
9SAujkmWuaGfEHcPCHCL1h/LVfj06mSJ5DO06FBflUMMoN8bg2lYDNvtIc2+RI6qoU5lQbrToBVn
prz14c9680ry+tUxSlUa9S/i8vz8h08FDsr5oEQHIlOaMUuHLjdwf5gxN09DO8cVQ/SHtu3fNGKF
nsHtKO36PzVvG6hFZ+Cyrg9JY4R9roVu22yvr9/lJYtePQMwIdMHFFyXW3XMbGT6OKN3zrGi9otm
gHs8bvkHVg4IREQjYIO/ZInVl8WDYrNjxLlFqgNEXUEG34DO4vpQ1lYPbGnAmOORARoYCS5YBFPK
9F434gx0T+ln3On/TwPSGe43CWOi/xb8BA/Z/Okje/X095vnW6mznRSthdyIeRJOZKMSVFNNj+R3
LWcOq3V8XvMOrLmrdUVsvupJYLUFRS/4lywZUT02My2q0Tbixo6gzNkHz4HxYN6eZ4G/nliRJilp
q0A3qYUTuc1BZ51t/rvuRCtgAWBIwMyMyFJwF1yU0TQnR1CT6XEGvgbjlbrFnjgxMZ/MrH7o+BA6
Q7Jh5QyezWemUiNeWyMgDqGmbYI5AvjAcxeoB950pPV57Pt0k6V0c7g+usvYU2hpo2lM6GmbqHOe
fz8t6ropDc7jYgYINASdSRc5WjF+mREB7Zip0zvHWpgi4l3zDBzXhohC0asgQ39obow92qP0eKJB
CtWRkj86Pcpr9QBkIqqJo6JIuWYPlWKhSgQWBpTXzkcJhmBidWmPW9Vw99XgH3p6V7q7PFHM5tpq
ndqRfHFZ9Mqpl1aMK3nnRXfo6uXL7Qvmo8SDxQI06yLCaqEQzQNj4XGy1HuH5I+ODqlbm82PpelA
cLu8PYmGKTsxKOb25DFUEiMnvg6DtH932H3ttptm+cwgiXh9YGtzBwkHR+jZCuoS+TQytaSdgF2P
TaAWxiDSuUrwYtUCkNq2gA4AMyj+fjISiy8NKooLEllZEzog/zBuL48hsIGgNx6/0Du6oF3ImixL
IR6L9QeTYWLFEEMN8+Ln9YlaCbBOjci32lIOnZcTGKknYw4RhG+bygMCwlS1uq8bQkiNowGNrDL5
ee7OSVGJ+m4wHHrtdzJ86qbP18eysiS4mYWWufg3SOPPl6QAdW7maYUVV/Z7Gvwpb09C+XjFgQMU
rzl02MgbvzYG3mmayeO8fuz6d9buC+JE1fJyfRgrM4VwyUQUCnQ1rjvJd1nbGvWiaTzO+rAYnt33
xrm5TRIDAfsiGHRAyIbA6Xyi+i51FiSjeGwBX59V0+MwJ9u2U5GvrA0ESHdccoL0DZfCuZnG6Gx/
8XHXce1R533k8TzqGkX9dWXRAXkGcgw1EFAiyQ/seqbcgi45jrD6SV+eyj+3LwYwl3h8wKfQKS9N
lasFIP31c2zzhuyAEI+rJnjjia4461en6i9RP2DVDoydT9UyeZo/jxNci5n7RWO7ohneM1IoyuFr
4Qeo5ICmBg8W9qKcJ/A6v+hcmuL8DQKoYJsadKnL7A6wkF3Ro5VxyMmBpsad23BQ9tS/OhNie2Oe
vl6f1ZVAQTDaIURA+59oED0f7uySBRignMclm3dTSZ40p/oy5u5XK4GYhLe8Xze3gt5Fbyj0CvE0
AmuSL0ucg1VCT0o28NiZcnOHDuT899gF7JAh3NsQEF9vlwAAMHTJle/dCGmBOrHBgwhw9kfOEKEB
iyczdCaR2jofedr5nQ4FNh6nkE3tICsIpnwQrBWRlys2+QpiWBDRg65SB2MlgPrC505uqMWpSNuX
Do9Ntx4fSVp8LbQZuiO8GMm+dOv6Cf2B7r3e2X00oJNrM2reB5682Ph4UgM3hjZS+SwDu0fjVaPB
47knW8tvIK+pUu5cCcfOTEgXMZ1ySnsL1AFICYTuDBYXbdOlRZSnKkTk2lEjnh/oioUsIHDK5xNK
eDAnUJHncWBF4Kwqb6dlBqMYIN5/NwZA5pJvFBNHJowvCxqDWIq2dUWcLK4/KTOADYCoH5oTUEyS
E95BjjcyM7MlNsoGsLPvWalvW+O1StNoTl9AjnF9062tC64ZMU/Q7wZs73y2TO6RgCbdEn8yva+7
SEu/3v596IGhl0AU/UApev79sbVRYCyGJR4O6bBxyRNoUzOyu25kZclFVzluGMG3dkE1gkfc7LVs
cWJInSef8+7tI5/H3hRXPeIweY7sdHS1YnBiWn2nEE5DTeC6gZU1x+//Z0D8/eQMoFavdSWFARwF
+84EtWvCNoH/2XTYdk7biJnp5rrF1RlDFxIoS3xRrzPPLZLCnxY9Kx0kbbdZuq8U1/3KRYkcHXhf
DIwLfVTSjA0T62gPyfsYErcZ9smR5h8YwKkFacoK1jC3d3ovpvx3gWpQZnmKRVGNQbr9xiw1ewzC
i8dkaxhbvdv0ir2xbgHwVg805cBUikU6WXYrsZxadB/GpL9HarYuHswkur7OK9sbC/HPhPgJJyY0
2uqCugrTBPxspYnT0C6+07frVta86dSK+BUnVpzSN3nHMZBMP4DY21TBLYS7SGciGGfQ1wMeUsT1
tvT9wK0pYK2lFzvkh1vf+/O+yX7Y3zp+OwAO5RKUK5CoEPUMOS0Lvsag8imYQXn5rdf+BM3tSYmz
70sr3rSj4eK89eLEZ9Gkb3ugNdFu2ywKvPz6hP0bh7Ts6Pc3M8YwjsnYM/uQkI1d7JKfwbi9vvCr
7iXanCxX6DDKqSQ0OmoLEj5urDk/Sy3q/efCjvKPeNeJEemsapPRpLafuOAE8r+Syjx4yfjj+jjE
fFw62L9xSI+5fDH1zJo0N8Yz7FvLil1K2YJGJhXh+tpGwW0I/nMHwGB05p9vlLlOSx9rjq7rOlza
TZpsbh5HINZBaOQhopQfKC0PMmNeGOi8gr1T3Y2/0Zt43cLKCFBvQyFeVN6gUiNFP6bds2GyXCce
wRT/K7udXdBHzA0aZfwHJBIy3t9t9YD2zMFN2AB5n7cRSEkt9vnWMQSwgJsPZwl05OQxuBMCIXvO
zbifo8UKA3Z3/fuX3oT0M5hXQWmCtoUL4AV3nbQG4yrKKOi8BXZhW5vFPiXuzZscZlxPdDsaiHTl
IqiPRoC6MzQzXmYAPLSd6x0r42Eo9qau2IGX2/zcknCKk/OdDK5e1B0safNr0N5XQIIbQGuWt4Mw
zu2IiT2x07i5VtVgrIgNd4ps63lsy7AZ4tmim657GG6H4aCBBQV5hNngT7sg2PODzk7LwjNjkFHB
C0jopI/MM0KTv1x3iMtNc2ZITrHUSwM5H2Eo8c3tPH7vgLS7buHywAf+BmSpgkAHkB/ZpSfiUvTd
tk7cQAuL2wXEv/LpZzMUu4wVP00+vV+3tzIiAIuQuhWvFIH9OF8prU0TNhrzHHuT97t0cdR4+c1I
O3HG/CVABFT04mFsWLXd56U9x7nzQnY2UazJyiZFl7+QBkDqFi9wydeGpm9MkuLz3tdifOjII7gu
PjBHJxakqMXxxmquEmuOk6IIx+F1UQV3a4sg2ItwzuO/cJ6dL4JOfC+zTLrEebYImuSQpdbtRxkq
Nv9MSEFwlfrujG7PJUZDezTwzYT8YDkpgtSVxA9SDyDDQFM4wt0L8du0XiyTjfAm1t9ZSUStkLZ7
N92nWoTt6Czb0d24qiLHyuyhvgaufuDKBE+C2FInh03KuqrohgGpbnOK/H5Eb/LtkwcLSKSj7I0U
j7xJEhuacaNVo1kq/elDL3xuN6zYX3eylfwRmJaQvAVVgch/+ub5MMrSSsqRoVbTNI+Ls+wK9IDp
1AW1xF06Pqb1fcmqu6a+OZCFVdQ7kL4XOiFyPheJXp/MJpLsPUjVCGe/ptbe6tT+DrkZRYZsZaNi
+lDBAV0KjmuZ5MzMnMrQxxpJ1+BA2Z9JUOl/uT6Ja65wakLaqXnRoHlnbJFvHbQNVOoe+75Q+MKq
CdS4kKUA5S4SbefL1GqV0RZahtxmztKQ1cOTqU8KG2K/n0exWBRwN0D8DHljON25DUIni889hqFN
wQ6EFc9V60duxb6XbbJJjJKFWd8qjtHVcaF4gLQI+mEutm6h5XjmU6yONaShgwzl7+tLs7L6cCYk
jixE53hKSGccaBRY5jbJEtfZo94W4Qw5BZbdftWA7gIfR1griO4kI1My+0WfIqVXcm2TQzGzUj2U
VqbpzIK0NEvPtZwZsIAV8b+NqjZZ8X+XVh5oQsE9i5QONIslB27Qv2N2IB+MQflyX1eZHeYQ76HD
8tTm5pOftm5YGHaYBapEz9q40N6IXChaoYRM3bnLtTN4nclIR4RQUwT12ghynNcdQPz0i6HhQQF0
rg6GQDmVZCXuYo8LGWNtmEKnf1i0/TyFVqAws3YHWdCmwxGKYAOdodLTrNbBh2xosGM1091Y73RQ
jevaoRvuXZ8fjIFsCkr3qc/RAaloO14dIuI2XLSYx4uMMupVXEutYoxp9qbxIirH+2UEsq28HRwF
TMmJIemuWKxBJMzLMeau9X+cfduWnLiy7a/s0e+sg7hzxu71AOStKqsqq1y+vjBst81FIAESIPH1
Z+LVe69KMkdyvLpf2l0uBFIoFIqYMWcZUx6VVbtWOrlmEeBPwj+ISC+hMygPFX7ZVCPEDj4aFFC2
lb16bbIQckI+DCEPULQLR1pZPahOKEp8bR1sJXwp6b2DnQXJVK24tisxNRDnKAI5M83YhVRVlpnu
WNdsOI3iZcrGDW2+ZgaKF2m2LZrPt638mpvDJQQAWtx+ZxzB+T5ynNpzmIT1Wbm/95TkcV3yv8CI
vRIuXDkiULr49zgLC5jEQMbeKftT8dPLxEP33f4iR/7Qfl8J6a5ZARJ1UKIAryaC94VHlbysK7tR
8kSHREZOu7Jbr00X+oXBQIPTDnplixrPSIt6YEL0p15XJ4WGu7TtXvxgDTt/7SuA6oCZmfA9yNuc
r4oHoII11h72C82THxlZ60O/5raR1IQ0GYwZBdblqvOiAqt82p9MduLlT2f4iACe9McGDV/lF39N
oera1oEpo06O9GZ40coZGHbHqgp+JoWmBss/d833ekLheC1dcIWTBFzCbwaa5/VNaB1CeTWwxDxQ
/WiLMnGYOk5Ture95n1r95GZySeH8i1o3lnsVH+VmZdgkVds8EoZHa8xq//MbKSIIRaHkzAhPS5N
HE7Mah9cKR/GgqGKC4pV1wOrgExkXX80TXoUAwsjwEb3RWC/3t7YV+ccvgrFkJmTarmxm5GEHe+x
4SA3EtXVPgC7vf+Jp0Fye5xfD1qek5AzBy4B0C3kYxe2NHiVq4wUHsQd/URl7J5r9dqMA1osuzEy
tZfUpZMU7GMgs2+qlxF3ax+pDhZ3ZvAdyq2JxdVjH6CkSeiusasnvyYbYa7RFVzbusD9oB/BmXUN
lkFqzzKU3AtMCMR/eXukaDMP6O8Dy0KwiwFbjeITAocldAZZ3NAFaFOfHPOBkR35enuyr/gFpI1Q
tgGoDDSUy3iR51bWO42lTgUXUfPR1b8PMsaFEe4NhyggmqB7O99A05hbqcvw/pwWcYt8GCCTtz/h
iutx7LnmG/5KsSw72GuTZo3ZjupkVHbsBzXS0c9Sf7fd19z8lur7oH13e8Crc/ZmwHmjvPEJWcND
GqS447fG0RBWFNSf/pMBkNSF48G6X9RuPCCP/MxUJ9fZdGGi/gPDxS0UqGZEukAw+YsPaJ3O1Sr0
hlPmh9FjYL3Pf5/UeL6EwnJBsoV79QVloyUD7rfmcLK78pMxhVs5gdg7BDCScpFHg7umnnLFOb0d
8Fdu4c2aOE5BoQ9GhpNfmWC32Q5tETfFO1P+/hX+bJyFb4KIsS+6CuPQIHwwdXDX5f1rHv4+zfXZ
/P06D958DpSCLMbGCSsEtuPeevS6VzZ8Vms0Udcs2SUoTyBYnhFCi81peWBY6gUi0KGIJveYitfb
hnzFQ6KHBiz2M+u/GSzBbHwaS9D+9urk6CESFiAsgH6IlYDz2keANR6XXnCQI7xZBIKeo//ejmwq
IkFf+O8rYUDiFQ1BSEdbyEkEi8M3zJvOrMZuPPU5wkuRrwSy197/7eMXAWYX2CA4ncR4alUy+TFd
izDn11scp2evP/vPN7ZkFsDZTSOeH0DGSEYp2xFy1zQQTUxur/bKQOEylO24R0p0A59skXQV2J+f
Qx1XLjKgK7fM6wOh9yaceYcvIhEWSNeAVNF48sDiHzpFnHk6ov6LOYHZtF8xr2s2DIkY3JzApBVe
3J1GbuD/FwqrP31u6LvAPDbOilO5doK9GWI5cehaECoMhvE0iWIHLjUl0XkIQuj7qjl6XgEm+M3t
lbrmLd8OuPBiHXOIoBMG9IavdXU/Fkfefq7WDoHrMwfAJciCoDO9BBsZ2neAlTXHkxHiUEb7kpMb
UAeQK+f/1f2Dw+Z/hlnsH9S40wpYYJgdTybh7EJjLRt5dX3Q54F8FJrP0SV+voNqAO9Vl8EBtJ05
3tNhaB9COVZxanXs3lc+QZbNHPa+0OE+p9rd316ta/OI4B+pSaCzLzlKXU2R31foquTpO2Le2SoZ
1ho314ZYRASCo8UXAF3zRPhnTbOEhO9CtErc/o5rC/ULzQhAI4SXlnkpT7XMq4WFIoL/WSS9uRLK
XqsfANmLXtp5li6pFYN01Gkz9WjeBkLPbSMhP7D+qKvv2i0j7n11Ahb5xRq4ajavpXtFrRdUw6hY
XuLBW8dRfWArcurJ5yHoNg0Zt411H7Ik7Ug8U9jdnsVrSwVGYNNH9wx0MJZ5Sm7n2qusyTxJUObF
OP2qR+U5w9PUGGtKYNZ8dF58G1IsOL4BnfaX/VuguEFVCMrmp2DQWyGeCvMZ5YUtUtmx2yWSTHEF
R2+PIuqQzDbMrW/eecZ+GjesTiOHfINCq2TfzR7dSvTQtsPm9lyQazsTTTeYD9D3zmWV850ZNKFm
nY3WqMnZpdKPeUqe7N6LcU0HC+7RKXborUUkDErDr65zoO0znEXsKIQh9vMwHBAAJU21liK/okcI
mRlQbuNCBfQEAofz1xI+S2lQoRsIWQOnPoZFEElzbxrjc82/Gax89vpN6/Ko9o+qfSj4twn6YJ4a
ombqIPAU3vV9ExldtgnKp7EvnwNB4kyMK9DG68uL6ZthF2iVXd7oBWXpwAiWty0/hEEe6enRlC9T
224JLtNNgNRdugnVz9rdOuxY23cNgxpYjss/SyzSbbrKi11fgTIzjVAVePbK59vre8XW5xaLuQ4A
G8Q9+3we0y4YVVqj12IQQr9obmXHjNntxmN6DUFxZRsjv4I2ozkUBnZ/sWRlNhhuJ7BkjSGaIxW1
3qpy0HeuHkQcTI14DWjfvHRGaBxuf+TVkX9xgiJZOiubnH+ka1GXlKjpnMYA1GeemRD9KPQj67Lt
CPaOqftdN4y8PLKNAFehLwBea570N/EgI7R0mrKWULC/t/T9z9tfcxFa4OlQaJ7tHhUobK3zp+vJ
cEaTEtRvuBvGrKd5BDxwH7tTWuxBgJqtdJhcmMhivOXJNbaGGMNRnkbwa6oqtyDpDgQEsoEr03YR
dM4DzZUpZL+wuZdBwAwMpXJU/Ym0gxcLLwvuASaxo8Ao3ltDrneY7zVc1NXJnIn50EKDitGFrw+r
vrY9R56IOgqHREZ5P3FIuazAry4O5vnT3gwzW+gbi0AEIwdLYRibuYnp0ChXn29bxZVVQtEQu2tO
A8E4FjYuPBsSZWTqTv6Uf+intnphzURiO0zJp9sjXZkytIBZQCLjyol0/WIfB7UHbGXBMFLqfQWB
1pNRh4d0rDZD1a+RWF75KgeNBkD3ITwC6H3xVayYiJ+1bov+v2feP1fVwfRfb3/OyhDLvAb6VyHs
xTEEMe5EBoF58jiu9RdfHcNCgcjDxp3zTefLX6Oemhdt2pxE4Y/IzdQDgpiqeqzTyV/ZRFdWBy4B
4mioTaKReWkHVtbqUPKmQ/F4MwUHd9qLYa+qb7cn7cpWBTgB3dIzFB2B88IG6rRBQtAru1M41G4d
cUnUvjdaKyJI3dxzmVd7r5+KFSDJZZL+1xk1c+Sico287CIYSXXdF3aGj6uGO7SJNOl94z/5BPv1
CbqWvfxEi6e0PdTByua6sn3RUI0YDfMJm19mWaa+GrVh8e7kSUoPJYTe4sAP1q4Il+E1eDWwhVG/
njsfEdWcm0nr10qN3sRPWS9fK2J9HCwSD3aWpOBJB7yGJnnfJKR1dRzm5soV+dJGLYDDQHKMJJWL
6+Riq5EUvJoQLalPWTkk1MzAKWJGv0//hO7nN6Msd5tj17zNzKk+hcx8PyLvlk7B5rZtzi96FlIv
hlhsttz1QE44kvrk1T81f+lRGQe/DIRPH/rsS5Of/N9GBC0GnGP8N849b2yomlVWfcrtOCR+ZJA1
rOul/WHWsN1gFmjxNZf+YwqbVgQSI/Cf3X21sqvWHr54/VIGLKAaD6fWvSbJkL7cXo9Lj3T+8otN
C8Z/BSkLrIcR3LWv2tvX5d5p9rcHuWq9HhJWAZrFgQxcHLCZFxqZK+z6VPp3WXfU+b3nroAJrszT
nMdFr4c5I6iD+TvfLLNgIYP+aV6fTFBRRkO5YrbXH4/6MaBFwBYtEdpdySF7adD6pEjSWX405Wtp
nEunDb8y04T+PcL8Bm8+oLaGAQjDuj5VlrdVFVxLne+b0t8RLz1qXa+s+7UPAsgYxS/AzREQL7xZ
XvQeh6hufZI8iEabxpTEtxf9snYMJ4m08XwvBRfbRcRopjwYoUiLL6LpvQqLT9lUH1O3B2G3eW9I
I5ZetXNIf5cTY0MmFauWPxSeXLlEzca18Dhnr7GYWNtnIuTUrE+TO9C4KNQTUKobweXOBzUgIP4/
im5aOZIuaaV/fTtaSxFTgLrkgroALMWBIYb65A7+SYXVPhfFEcoH2w4ks3qqN1B4eVC5jkjYJLaY
YqpK1KzLpxxUumZHNy36o6PbC3JlFxIbbd44vQCUvzhD+j4U3mSZ1YnoDkCOE5QFkqpZK3hecfAY
BRqIgUtmIviFYUmfG6P2/QoQqKMOICnxlJcvOfPipqORHF86+uH2Z10dEDcSMEXNfc9L6AXafYyp
HsoaWsFP/iCiXG9b1PWK/KFz/Eg0JjIJ9PcdGpj6bSR2HVAhXHTnGAafhlLCHdjtvq82mmToK19J
T1xdrn+PsWw1yDguP9LDd+VI3wU5Rii+FNOaAtSVUWZOSSBN0XMwJ2zO3U4AiS3Lq312ythH1X6k
9Xtqvb+9QFdczdkQiw1YTI5PyeiyU2/uf1jh7vbT1z5g/vkbvymxmVKzwwfk1hGianvH/WqU/Yov
u3JKnn3C4nThg1USu8UgknyUZr2zoQI25jrO1kiJ1wZa7J626zqFM46d3D7K7SQDbJEeanvNfOdV
XfjEs+9ZHMhO4dkTZRjGm/qY0r/8qo4aN4/SfIt0+8avvvktcofMiYOx3TGvirx6x8Y0nvhT2Btx
hejXPJr1FHnGsZ2qpOSfcbmJx8GPwpDuNR03gdVGCsTK7GDVW8iwvk5Eb6dwA32UKLR+gKgkYvRj
JTQUURhSWknrkyTTZlJChCxw/zKHD5RlES1ftPlNIbEhuQUExfswfzDJ2ul7xUax1ZDZmEv2QFIs
rKgYlJVWNWtmTINn8Y1wy5U5vz7CTBdqzc35y2QjdzVrPJc2J4uoeAzQk7gGfL2yE/AN/x5hESpm
6C/X3C+aEyevQ7or1EfX2NzebGsfsfAWvRz8MOiq5kSCb5Z17Fhy+/lXzP/sE+bx32zmQXZmY1I8
fzQfqhEY3YOettmavPxs3QvrPxtlsdim5/bKsbAUvu3dI7EVZekOsVDkNVvDGDdh/+32V10dD2yM
Ae790F5fFgIJNSvDtCyOjoE6bjJIF/KT6W2bMU0s4z77bUYAFxBunE5oJQKFDtBq55PoImPiyDHl
JzXZ9474XNW/XbKfRwDWACSh0NMFBPF8BG3ZuIZmTYNL/bH0I7kGgbtqZm+ev/gCqU2JrluO3eh+
cqpvnK4Ev1fNbKbInDlhcJ9euHO76ifVdhYMAIpBvH8prA9Vi2LDGph/bZyFNw8HpyxoSppTCqWK
wu93bX+fBpCIWrn8XDUwD6QZWG6EdssykFEKCsIdrzlRL0L1R0x7RqKm/GjweFprG77qZd6Mtdii
pC7sMOOYu1QH2wbCn/1AD4MIfj9Ynckz//eTFnuUTU0dFBY+yUh3QeNGiiWy/Juj//98V/83+8FP
/9rz4p//jT9/543uiiyXiz/+88sP1hXsv+ff+d+/c/4b/3wovndc8J9y+bfOfgkP/nvg5Kv8evaH
DZOF1M/9j06//BB9JX8NgFec/+b/7w//68evp7zq5seff3znPZPz07KCsz/+/tHhrz//wOHyxjnN
z//7h49fa/zeu+Fr9e1r99fFr/z4KuSff9j2P4CHAuASRf6Z+nPO8Y0/5p8Q8x8zMzw0UZCKR4ft
HNcz3sn8zz8C8x9gWIDdzVoBICeeOTYF7+cf+c4/gOlGWQc9RZCWx0Xzj//59LPV+fdq/RfrkSgp
mBR//nEe6QP5i+QsigBI8/2ihVty5xmG6icqTLLRvhifCA/0FPkGLqERV3UYHEnbZsG2F5mhI16Y
lTwaQ038j28m7O+3evsWvxJ9/z4+/vUa4PICynuG+KE6d+79GGp1ItSA1MLgchoDCemEBx6E4Hkd
ijFFkD4h9Cn9pvrUtx5QX30XFnpTetTV+75p06eZENU5pBm62mMnz8SdRzsI5Zi6HUr8osOylfTh
gqUYFAJgdEd8AwQ/3htR/sITlSVoJ5nH7U2QD1Nk2kzvitSXj9wzGwi1Wu5G0jR/EVKWGwOdH4fa
DGhUtg65z0DPEnVl2vqRn6dBt7LRF+06/3o1vJs5d1UhdxMsHEpvYuqIQeyNi7TgPXSlVBTqrNyo
HDK7Qk7P5VTYByYskUwGIftiQu29InNH+e2FPfeif7+Ih3PTBFcYctmLU4GObatJmzsbZwrR7+LU
KfuhO6M6ua0xbtM2KKoonaYJdeLVBuB5/t/a1Lw+IM8EwGruUADO5tymuhS1lCD1sT6IzM1IDSpD
k1dfmls6BAr3v8alVcTbfo3x/9r0A5yMBhzQ5KJmby7OctF3qTkGjb1hWWZvakOFbWRAbmIvgtIv
cWOvu4PJgjHq0G7yMvaaRLpX9bNP03ANmLvIsc9LgEz+DJmd8ZLY5Asz9aagc5GisDZWY0hzC3bJ
skvmq1cWcZP7VpJJBkXyrrR0H0+eqr42ZCJ27DVt9vW2NVxsc3TBIZsL3wWydbzYklhpdDw2QeY3
3ASto3OQtIp2C1L29CHroZocjV6Vfi4AmYuzsakeCyfV7wejaF8H19xWaOJvI2vQzefOUcZRlYWb
6NDI99AoTFcc0qXd/vKLUG91IaUeOosVlEXpZoU5hhsDzXV2NN8f49ZTzVF22YNVpdWj0zvOO62b
tVjg0niQM4BINuqNqP850Fo9N1veTunQtQIamZNpbonV6BzxVGiU0Wg05ucCcKePpK+mnzTM1V7x
IL9Xjiq2NPDXBEwWoBPYzqxDZUNPC4T06GP+9a5v7g4gTSxNpTO1bYsCDbK0VR62KodbO0q7ml5Y
HTJ9Z8FDP00a3deHcIBQQyQLFYSJDMj0LKrWLu5Za5DhI0mzhLPMNbaim8oGF9++G7a2qcnRcO1M
gwmkVnInQDFURY5fVYB2ayC8VnzS5Y6YO69mkU5gVOAll1j1skJDZUHosHXQ9rIf+rHfQ3S7isd8
LJKh5fbWprZGh6hVflfDYOwDooY1H30ex85TC4wM0nn4FycT/uN8meGSs8Ljqt8iIFMTgGUtr9Bl
UxLgAP33rK6c3e3Nd2UxcbhCdwh1ebT0g2npfES771RDdNhvlaPHz6bN+ZbKynlF+pIFSVsgbdGI
RiH3wJtj2LjmnXan/M61pP/MeP0XwNbVh2Hy2khrq/wAIfds4w/ufU40r+K8FvXeNatsgAhszZ24
MGQaIcHvf7/9HQuA1jxzMwXmDN+ZD1+Q0Sy+w7AdHdB02EoBfETSOabcgB1SfHKMrL3nZHChetTn
UWFkzb6ZMp2ImvvvRtE8a6drtmGe9VGVWt6Lg2Nv4xbuCDVwO3hKqT0kDTxocvuNf5ElnJ1E6DxG
iIX2dlDSzMXO8zfuQ0kNLbtxG7Rd8dO2KojO87F/goqtfs7T3Npb2DCH3rXqF98Yv4eMh0eLozdM
oDm52EylNo5BOtWvPPDkk8XtPpGGDcYylU7648SVEzkTU0+lku99wOkOQ5c+GHaJi+To44gFXefw
qMhEV2KgSyOetxH4iABz8tCcu/gwtGS0QcnIsE17Ux8FNfrNYA/8CZGcPqS2s6Z0czke+KEQx4F3
FZgZVG7PJ9LtcUcvU1dtLaXYJ1safyHoKETSduM3MyvkGgvGlfHA84zW/RmKOa/f+XhdM9TSpf24
LYTrvA9yl/4wJuXfu25bREjjuSv0lpcxJWQvIPGK5iZUOGbuwfMBfVqyIDMzvW067sa9jZYdiBnX
78aCtibUa33QO+DcaXtj2DijD7rrHmp7NAq5CbSoL7NXdDGDi0Qqb3/biJcXBQCUwBgNykJ0YUPX
ernrRtmEhihStQ0rm+5SHZIPWQrajrACOb2SQbipQXj4Q8qhjkC7IlayZNeGn2U4QIISYDct8z28
rZ3cEhzZTpOq92hHJ19AV7AznDqQGymknShD/hUIt7mDwLS/8vG/iDjPd/DcyTaLkqDWijbChSEE
gWRzdWbcCo6YJQr60H3tnKaNq1ZPfVJO4jUcwFwnM/9Q5KFz6Ex/eLK1G4DENbBRke+bFOIkZSV3
Bbr83v/m4oBgAsAw6LKjfAKSvjmceXNOe1VfjLXZ2lsPocC+c0rriWc8P1ZW234aXfs79Lbblxy7
assqYb67PfplyAIOS/w7w3lBZ4ctej48eDP4ZIfC3pZFZxkvBu/5+xHddeNjKbCrkmpu4wDdrNfI
jaCiKeMi492ekBxyRKoUco37Zz7KzpYLL4SsaYjkswf6heWtNkun3qwpc+AnRgela2nUUWpy+aAM
On72iTz2BnMOt6fhwkQxKPbIv0C6MIZFeqWenFShr9jZ0kzYuOiFA/kpXXeCeJnn75xhrL/7ISN7
GZT4f9yAZvrtF1ighXAyomFpzg0AKeQgdF3Sgah8hNbU4HlbmdoaaX45ga2cFmjsPYDDr73ruAnB
Pl30gChT/JVjbgxoebElGUTCypbNxpvWfGXvzumS5XKgpRWbB2EO3mpZdis8bUli9f42pS00Naaq
Hdw49Hs2xtIcpnwDfAAH2xwmhiWMe7W9KwDPdeOhkN5BMXOYUe9WoPch4ej8Q+8nbg/2YKAvt5ly
F7pNY1lERgGlqJ0YLVSSWG6ACGNlfucVPDcrZAOR+5iZUJDkdBbbrON1RRoikQ+hAlIZc7akioKy
RcohB1zTRiNU5nhxbgtZxmkYqIRz5puxTx2XbrSWWu7GIhNPhOE34wbgc1SqtW7LlTe9NEULp+Pc
P4wcEcgZFiGSzz1ZFTUm3EDyJ6GVdg+yNz+2VhU+gD0ZjdYt0d/chu+0t8pHenFoIsCZOcrnDj2g
rO355d44I6fL85SCHGAbjrbxgnrTcAKtp3mkBJcHs0vbFTjPorl7Nnsg1YDLhHQ50EIXnNZIMAgP
uqn+NvdZ/60xbLWrcOdNjNIxj6ltOHyTOu64x5kKfpksNDdUUX6wKjgi35D1I598mrhZLu7tGjIY
tS5aY8MqZEPqbAo+5X7jRCO04p5KXawVThaQjl9vj6MefWeokeHgXx6seW6WhtkX5pbBwh/tLgxf
CTiP73lGsg+1wp23UkZex2mh5THUbhqTTMukUY2P7JFdDtvWo9DBWbH12ZbPbR3MX+jgRIs1zjtA
sc5XsUPKhDeTPW3TLqtEMuLc01Frpc37wnNS/lE5uckPoyZNHjsWFLg2dd95RzmBHF26YOmODMPI
0D3Zl91DqK0s3Y61ocf7sQ0HM7K7YnCPjQUVp//gxdF4AEeLqiBefvHisASLeYOhtyRQfh61YT2y
De29ED1CXvqZyVbqGHxPDOlDuw/IpiRk/NILVmTzUQ0CBtcYSB4XgpE6MvzM3/ep4oi1zTniFqR3
n3PfMcy1F59jiMWM45UhnO7DuczEGuczPjbSzzUQzduiNR0WZTaRX10aPJHKzp4ZUXILwjnob3bC
eM6sXLwGvCrBk6vYYymxsVfm8crrzFdTlLvAAQkk9+K6KO0Btw7E/FvPH/U2S+0BXcOqgN6NKx5S
4TV1InL/LuBjeMcNqR6hmlQ/4D8OvqWzFeDGZQAGAj/EOCa4QGZp+eWJriteWrVQiHAKDtX6VNMY
6obji+Hk6ZyGsO5tSINtpWzNY+Z1/XtFVZX0IGTdTL0WsQBx1Yk7dhWHYqhWwvYrHgg3IDAqoEkM
p9yvesFbl4fG6szvTIjCdelgOA8c6eso9FLUjQ3V5Tyu7CL3PxrakDvXMkZzGxjaVl+KMEMAVNW1
wbe58jl5QP4MueTU9RovCVKoDMUGRSPP3QRBL540fiubpHXTnG+rqUCYWeDWsjbVVxYehYU5mkRy
ZNagObfDoBmpXdKBbBkLS2B+LHB7Z16A3pXMSKPOFdODbSGOGIfs1cCczA353h64e7GjFQ7223b4
q7tjsS3g0lEVBen/rKK4sEMPq5f3uBlsc6+eDqXJ2COTWI2EQC80cqRNNlLbImZgOdmkSktklNC9
FdSKbfN2MPdSjm0dzUBB3EwyqANxaF9BzLtzIcQJ5ZgsquzeePXdwYpEnZdfWqvd8qyU3wquSpR6
fe/D7W+64vNxhUW/Is4tbC80L5xPcVdSbdDOC7fAlZGnnFD7wUM36DZkFf06+CCgySh0DMG7rFHY
SMMfRTZ+w0I06EbV+YuE6m/0H7wSLljQqEU1CHnrxc2zRPHJoqi3bDMkio6dh46lAvYaIa08JRbY
2XZeVfWfQpxKj/ALOlEI4gADI94Gul7e0wR+w5V3uozikaZDlyoWEnl8LND5LA3CbhWYgdIt1673
UZd1kaBQxB8Q0w+b3ODGe0f49cpV74q9IeULW0NdDJUDhBTno1JQEPagOXdgPJmzQ+LT2ktW+Tto
7KodyesaPTou/1R0ZXnfCNP7CaTn19wdpjLymMt3NJDdg1GFlEWWze5dS3iPRgjOBTqhKSKCaI3Y
8XogG6M0qsPEoMkwY6FecdAcBVqz1ppJya+kwdsd5GBZ542M9s4ALDvLrDutOms+EkGoXrRdGNtq
8qZEomzwWoaWVokxNN2EbkKkHhI44YYmdm+FB1VLYUeOxpUzqqhsp2iq7bH5wCwOfIXFSj1tlBhM
61GbtgEWHXNQ3RdFKrUZUI7YTUx3Ih5Ky8nADue9ujTXn1LwnKL0wugHrkweZX0+xG3jMpYYLZHN
pg8rRO+l3bImSrFNgG9EfNwjdnPGE+0JRf4ZCudF7OWO+uKyQDQQgykIsppow7yzhQAX2cAH0oLb
kdZx4LXGlDhEGWHCOpcjIPAcdNWkjjk++lZldLF27fQZU1fY4NTu6I8OLRfl1qCqx811yLLhfkCU
k+6tQYxdUltSCHyg0dMDIgT6jERO97OwrDGMND4uqUcN8BbKA2MQt1Ba2YAGp3108qEEi0gjuB1z
ZYBbux/DYoha321JXCqjwl3B1sZ9n8r2U5o6DUiYUL3FbckY0QjLU3B/x33PcdjXugtx1fD6bi/c
djiIapLd1g6g6TmlmQ+q0aGzn0KhDfOOcNTYNnSqci/Js6CdpYJqM92NUjZkZ1NRvWDy4A47Ok9U
SjNgZV2fyoRwz/+rblldrt1OLhLwMEi485kUESU6EzeU8y3WtF7Hcrj0TU0KclealG0Nv8N+IW3x
YE91Bf53VTVbgkP8zuE2PeD+SFau6xe5Ngxgzcm2ufCNa/OS5Md0ukkEuDFudNnIAwDV2R2DBvWm
CorHrB8ZePO8d4EwCmRTs+6+Vp27135o7FAUCTeZ1BDz7Qvx47YjXt6e/vVWiHHAU4naxLIrpWnh
/dspSzedrscfFVVNrHq/Ow19Vn1ys4pvb493EbvAw+GmNpMrgtgdoy7uig0dgCTuBn8ThCo8lmNK
7zozrz4Hw2DFhdtib2QOe5z6OjuIqS5YZObDfM0ihYo8SlyULcp8+uDprn4BUrp859aNGOPG9x7M
uoePaOkECOMwoqhjCrJG7g2XPL/imYObcU2QI50ZIcADsGwQDR3lNlZfpegx6ydvwx1ohB3aqvWq
OOhk70SezvM7gBGl2JmVPb1rYX9Z5PeTGW5Hl4wPKgvEuKOjgsYiGXCpjb2q4J8LUY5+RPz6IHNG
7ZgwYX7NKEXcPbCCNlEbdIwnhdnID2DAuDdSN6t3qT+6+V0rRMfigvJcPed1wIuIW2gQiKbGZ59y
bwL5WCtFw3ZI3gUkAuFUUe7FmEmx4aVK0V3YD3w6ZAF6XU9hmuouLuvAvZvv12FimR1xN2jo5cMB
tBv1t6Ypi2ZbVhadNmhbz7/5fcuqvRKlTRMv7BA4Vk7Xi8groJ98V05gmohI0OnjRJEaS2iG9ULS
rvsLDqKSr0jCdN/yjoFrvukzAMBx9JH6jk2MAWc5oKyXBLXtPlaB3WAjmAVAGeUwjV8dU9fWFgoC
ZQ2X5pFx13tzgQlIF5YdUBbLVIzmFWACKiB8BMhp0JIaNWipASuJmtwmGqoiGPekKSp251ehox/K
ru7tBOxFzW40x/TBsuDatdlM81xbLynYs6xICxtw+AHMHd/hgIIT+kb7JpZlUSe2YkaIeiOE02oT
0F/kxdp3ji2ZsU/5hLuEXbrUjVwkap9Go25UbLsUpFI9WDzLJKem9TkojPAkygyiBTlB78MGR1HY
wQ2L6ZUZYzdupur/UXZlS3biWvaLiAAECF4ZzpST0+n5hbDLLkkgISQhBHx9r9NPt1wd19EPFVFh
O/NwQEh7r2nnEqMrltWiaF/Xp20Ki20EwXfUoZjcRW4DZOe9ppHteh8VW+eieEpP+NuqqnP4RybM
qcsO+UatEs+o8ym/bSVbzzSxbHoTUWpUd2zSmQ8pRcrSO0r1tJ4NAnJst2se/RwH9K5XluPM7HYk
lxRd0U/mY8SWaj1VZpqiRqvUuhPQcrnVfM2Aki1C2Ac9z7vu5I7wJfTzI4dAQrtKxLUoqmDekRVp
jA0R+/SxGoAuPW4lbkJL+zHGfNx48GeFRn+phc3K5TwPQ1gf13VM8Jfj6C1QPab70xDBj3HSxwyz
Lo7ZtSWT2Fu4Q8fpnUuWAid/6SPZxFuSTi1WI1yAwVP2NEFkPHT9sYn3EDvdE3w94tIeU0eO+S06
5iLAEu7icBUWgRoI7oN98bxNebnWWekp6LFtVMPjsdN+6fCCK3xrJHDK85GOksMPtK5tAKCvfo35
LEUdh5hnNzWvBcgU/HtzqVZZbU0iIk+aVJjE1+ldOdhF5Tz6JgCQPV6w9OahViHbBYJppD2xyOz0
VJQWQiqXlPNFYaYrNnV0LWjyQvUtYGRI0aik31ouqH3Eg3Tg2Ue/Xf0YRQiZKEX1ZifQyO+woawQ
di/Jxtr1uFMxASzoBxlSi9OrdK5lzNOxWROcm09zko+Ix2EoZU9JZvujPXYOT9LOspDVvXGzhORc
Jnkjsr16Uw5zqW+T2vO3xYnwM7deY3vTq6oaRPwRd0oDRK8X1Wdg2SKgj6429rBfs3SWeTOvcjLd
6uZkghtQalXjOI0sisoqCdc4HbzvQrDi0xh8+StA1vYpG+1kMFo5X1Qd55AFPBg5qaz2KpR5x/Zp
QsnsV4cMTMgjfU2oGn70Og5LdxDtPhWge+0Z4o1wAM+LjqNdWZSVZ4mJh7zDVPplfMexYpbGZ9O8
vFKOLwrh84SKcUtH4bqBbtuDqUb515CUkeqWSucDpA75kb3Gy7zcQtaj4pPZkQSwbdYVTzwb+LdI
jVDxpF5gn9A5R7UCYt0uiN8o5MU6Rl3NpMerDiQ7VC1bl3hBXnG5vMbGLx8PZ/ulceu4DE8Y0e3m
bgFeABE+cdnfuLv59KDQYKWdQ5H0KdqzyDTQOh2PITj3ixDrADcfayk7QpHQf8WYVYkiWHBbvGd5
FfUtUvpCet42vPrnDRXx2g1yYx+9nVVel2DtyLVg/XaNhkH66+iNfnP3ENaaFIvanzYROY9FmRfj
SUZJWGtWHWqEmWBBkVbGLpW12XHO5MDSlsauvID5iZCF1sqWG28xuStvxxFzMC5iiVN4IJgvYwSd
IvOl5Y5lN2JTNd0iVKdNXimLew916nKGKRNjlIs5Tj+MVDvx1kcCRzncyJW9IUr7WC4TalNUbIv/
MFdyfgD9zF73Ee9otxdD8m7kqviywjG1ncc43v3Trt32RonjvHMqJcfLMh6haJKDpkM9ugxbLM+O
As45s2wD+DyBhNBltBy136AtJFEmhjJjSJb+xguqAs5okX7m3ve2JhgpRB6wDhzG2ORyeQ+zRn80
sAaFsoYKT1ps+ltCu2Qjc/kK7mDTpy2Zq198KHFf4OcARImI4NnVUcgO0Qw8wW/JYWi/bmu+PRzr
Gnxb3nev2h4Mp+CCiiCFrtESXgclAL5VHtj3HiCpQzy/2RmCccpenxb8EbnINVururJDcrPpZHQ3
BS4/7YgwHR4wrHHcr7akcm/GVAXVBjDTN7FI1DqlzDDOD8O1of6IvLRN5adsqSlu6/MIcWHZUEVS
FD8osR52qtGqrQP1HFHTR44UWVXAF19E9whd5rbtcZ5LcLOHtP40i3IHQLYBYL7144aDcAITgqpA
APCCc694D9nRsjZFLuPqg5I8xM8YUj7wB8988QPatWoG5Z0uvObWYnreZphVDYJsl+98yZAPknsM
6ryhyz++0kjRuVvXyq5NiVC8vM0QXbc0GLcp93rdzP5+2Itj6RBvv/30G42/00S+MrwtuC7MJNsb
7C4AmDyR67mY9YiIXh2T134/Ut/cUW5I+sBAJU/REOeiLtgYPaVTBLycVhtytdatitVlXEe1nrZM
R5jHV0raKrPumF+7l+VtoT6KLsMkcW/iRLGPAuhrDXxz9JeQOc6eHJsgOUiBaqkmQVqoqIcFqpYr
MJntqjVLEbKzTXNU08Nkv+jEMaweNV8Uvx6RpbrB+170J0X48ppVIKK6dXRYqSgpUB1NB0c57Fw/
VOjUD6YbbpbqhnM1W1rIVNXUblDCrpcpnuh6wq5ROCT1rMXeIPlGpA1dAcldEJZVsqb3JHs1hgQM
agxjdFnyYHxjsJHXWxEC4HU5Z3Pb53OZXZFqlDBchY1ACJZLdPEWqcTfAXzGT7pwUVTvIC1ljWR5
h5QApE3353guOGjNhIxx7fJErTWZxYS2mkfVSehoO86lFAsACOd4fu7nrFBdBFp0uOILFv17JA6n
VwjQ+uPJhD3wl6xccwtZXxLFZxjDk78BOpFw22YZR00WzxGSPjKVdnTZQFAqV02fMhEv9DKJpFB4
RwX5PqLr8I2LoCFol00e9jlEOypLPWfMXDLkDJdtbxKqW7zsmna6Yo1iviG7IqLmBZffWaLoR1mV
U2jTwhdxnWYS8baY+YU9HTyaY7CGbfQrwnZY+W6ep8Ge5n7EPlTOA8ckYOML9gXp0jG75GHiL4tX
qXnADg4chvJ0ew6lqsYbCdl8n38gxdHQzYThNB4syeuKHT48IsmnnB/JAZjjJcyZkFehmOi7FEwD
RnAaVBhIr4TDx29Wg9cWJQ+PvPIZfzCChwFyaOibztrBNSFTJ6LWaMyGbgUh6j2WPBQtApJYaK4y
iclSVJhMnzAtXD4kKRrNds33gnYZRc5XmvRoInAGJ8kTC/HaA30h5feFa513/R7rn0MvMQ14KNV8
7afEsFYOgNAviK3O3xtiUn3hGYlIh4alTy584mqqQa+wo9ZyI6yBqQdXstFiDM2uhuNHLDCHpA6C
sxv0ptXSbPOAWxgZHNlB+XJpYiicTH2QKYo6AQq4C8kuUO8szPxi2Qria5NRIM9DVJBLnx7qB9kC
utItzCWEUgh/580UKfNrs6jfrkg59/qc84mi0ccUZ1YHrcXcRVHP1KmK1gmYYbZj5kIJp3udOeOy
BvmELnqvpuXwt/G462JzldkP97chNEblfmmGwOZP4CvNW4IVLdr8mAfMCxu2QLA3l1vcSIZWrI4R
N40Z7Ukm8mZwZDkvesPgOgSaZB9CkrC/w2jF+GC8GR3oRkJui6Sq6OJsnsUtGqoQ4A2WedZmJRQg
mOy2pq2kaK0e8T57pM1OJUYRqHj6nsBTIzCcMouROST35TWglSi6ZVD5TzOFJGJtjHDHN3h81INY
2HQBzj01qE8SDQISYym+V/kRPwskW+ZIDLPbiekhlB+qBVq/Fola4Csc5qWkHRB9mE+KbXdT51zS
27OI4BLrfJkdH1bm5/UKRql/VHNhi2ZIE5u1HDJYd0oSg37WMiHLrhg8xViY6qDDSTCsh7YvJ/7d
09kggz6x9yDlFD9DxhRfWtESkWsYYpb9FD4Sn3ym1gIM8ry9Abfj763R8V9YFePYcVRIUx1yZAte
Ucov/JnNZhKtzVf50yXcXbKdSlLvRYT6gO5c721Gg9tee9QWcQvj23Ifuc2VbvLEJOkZlgev6xEF
HH3kx5SWj3QyuBy9u7VqRFoBM7CIW5maIg3srk5BmfpCVFHNDY6DAfMEQT7m7QbY7n0GTReCY9ej
xD6BGB8T1ZVLe2RNJMv4iHGTkX/kNCouFeq49InsnnpUz6oS76KQLmmr12jd6lSk4b2JBQADkjG3
nzWOFvoRLM9kuwpqRBgzWFQtHWGbIS8zYi7P2+BnAr1iX4kL3pjqK4EOtOshJ8chgKLluFYINwOC
nkZV0ZieW/aRM4NyIJVsRomp6I1Xu93b2GiWNXZ3cd+hvE70LeNW0NZCQYLtCUTepaTbUQIWBgqE
CV5r9uz0oXUzCCiTGj2QI5wyV/GHeOfx97AgAKfxqHRuUB7F4YbBgjJrADqIxzsshVkbQSR7Z8pU
Fu+rHQi/TArMGprmFLt+Tme3PORxv+rzoWwPRupgmW4znoSHnhaH7TKNydwnPiGtQkDdAvwV5pc1
UBjOEEtVQ+8nLM7DsfTNIIE9u1oNuxmv8z5W8iGfqxg4eTV5IM6i71+t66Py1POQX22gdmmHvl+/
8QMAw8mA8d9bDyrAvHBdSf2hMj6qnomklYCYZaAA2yHAxjFZhq+2mnBaochC2TCB9G0n7hkaG4Z5
9LWfaT+9KyNUzFc7TH16pXsmXRPtE84UkzhuLnBNYs+MpNETyg80zFck3+WWwwLt4k8betm9WwJK
n25N5vk4zQPc7cgZGPvvw1BiH9wU+ilwDlDet1HZD284ZApE5GNYpb9gWcUe9hXAZg9RLkj8grtM
f/BoKvqm6Pthb6yZt+El2eD4aNVxJH+pBKh8I+P9WF/7uRe8g3V7my6DFPmZjpoM12ML9ybRLfI2
ZNOY1AmIE9fYI9m+COTD2WbTG7LavWSQDlQcq7WZE141YQJ60PoS+pdW0Mx+Pgou9jvLmFvYtw32
Bp3PaF49lLX8ZCGSw9mUb355XvwB1TuENUsbUh2Jp42uIUG9yEtzpRbt8Msk4/ETQsOH72QdEUWV
moGzSzpgFlQjaVwYOAdFymruAv8CbmppFlJgXisKi/3DMUkGYgFd93ZDp+PB4GlMcJ42TUgLpIrf
RDWvUSs8J0kzGTP3NWUJ5zWLh+EJVp3+YaCWzjCqWzTuvVnn7Jbj4Pi6gDEV9cxDhkm6hWSdGvpp
fsowgQ06vFmwveExWvw6PsYDaB3gye2hqrbseJ3HCrJ0OsGn0jgg8l+CooN9wMIM2JCjYqVfibPq
S7JzMJIT3tHsRUTDkTf9svtwTZjWTyOPVPnJLukApUfB7U1O45ygKjSLaqrVAQssCrZ6PAFAPGe3
zvC+bE7LXystKLxRWTn8jcZeT+d5Ho/+Od92cLCTDuTHOm2xha49KZ8xoBi4Ly4tLc+JsLgeOCTH
vk5lHr1CApjZM6Aj0YGh7lG1bTLET8kRl3uLh4JCnNCIvE4Ae+AmDaz6BTGcTzsW1BBfhnkAObiu
SPrgc7474BS4k+gMEdjZjIev0D9N64NVRwq8i3KOA22v+uVUJbsJdYRvtDceUxHQcRvIw2pQ307X
UlD1C0qb41pKn/wAOAgdi+xLeNDiI2kjNFx7PWg3fdmPcUzRNu2if3fwOf062K3gLYbhQKi2eReN
je/VsqHDh7kDxVbk3I3HLhPtXLi/gXUH+loRsdlTXobIvic4nYrOQh8ynexByw2bZE9kC1Ciym6x
P1J5r3XLramiUvEnMoXNtkFaFrWRQItT41mHa97jAGupLmcIzJcD5duGbv3N7QA0buViNnWbuYmf
FqLFWyAzOjJX7gP6HY288OWI0rNNbTm2VJQoMfdcRgAP53Xr24yNaCPR1vB3bKYqrWdXHrYGjkGf
EIwmzA38dOFOnMRTeJ4rS+1zTPc8r6XfV/Q0mFy3fPfRyMFMlsGeNYdUXM5x9A1Ti8YaisvAzigR
pwWQCMYQQpy63+MDs2FAyRDt+alaB6lbJ6U1ePWXNbuDFrRsgO4d+dlAb01f4mmEDWc59M7xU9te
fAaIOavOEK2AtQhlzAXfeJjrHRJG1/UwWq03I6M8eht6Eh+3JU28uAg5FtWVDisyz1gZ98AgBGJ1
HoVb7XjKQwh73WNHOx7WCTUqmfMVpTasqgalhPLpOUJkKoYoIn9bpi9I4o+vKCwXwKlHal8Cyqbk
ElRKoWBPKhThiDYo3TfjIJ15DpIEedtyPX/BDFb6A3LglDcck53icyFN8qEnlr2uPQwZyOuJHXoG
Ow77A1yey3R2jOSNtTjUaxPPUG/tRvO4SdTk98cc5d7nIy5wNgVGhrR1uS5BLxcHviG2tWxsMwBn
X6vDlJ/ptN018j0gKIx9qbD4o8Tt3YhyGL54xX/EGsFp/Tq4/VJGoYcIp1DiJzA+f82CT+jJxkjm
q3VlDgRbVoN/g1+IJTUqvkI0AU8GmC9PS4gnmLJ3KDR2TWZye0XmCf1sxvj4OQq72Kubcx0g9lDx
cML7PBdnJgCRt8m6kO1ixjHQB13d4U8gw4E/JVu66o7jW5XnabXxL6CsWf+FmkEX30De7v0j2sdM
1dWQ+OQ0TuNUvp8hSsIYk41u668i3au1TQWrSJuEDMrVASuRvDsMipJmJBiM3qKac9lpKKh8cuMK
AhD88PhdVxx6o3znSDjaMnqWIpQTgEhiSX33hpxxM/AxJunR46e5BZZg5woOhaHfna0nPBz5zGkR
9OkAKf1t3WCteAerkOBNRNeRPqCW9G2BM6ez2SSikwHQFvKamL4vLjlf1c85dTlvo2yelp+7XjwU
PkHtQ31YtsYN9FJo7JEK78YaOMBYPXEgV689UsxmkGQQfDQVeJDPmTFif+wDXHWXDbVWiyMKJ0IA
1Jb9UFiwn1yf+LmLySAv1YCY+JvwC/h9IlhKgO1mPm3HARMc/t7yYxibAH3mfMoxVOd4GETF+dEA
IM96qJVsuAgNtqwN0L3/RDs97O2epNHfOI3RUM2Rd7IVkCvGb9OB1fN8wOU34CWu5osQmN30iDBq
aJY2A8Qe02VHXWEm1BilLZ92895hpMdeq0kASBV8LstOL0NaIe+lT4fG821m9WZHLOG+JMqfI4Eb
UCP6MMAWC7k07WJlyC1SrMIviIspqrFh2zbfB0LOg4ohPI0hm6RIowH/3fQwtA5fgj2QHZMrRvqP
IOD0C+QiS15zb5fxwa8ziRsFQbc4y2WsXuAbKxDmzIo0asLCrO/wB64eYBv+q4SXqar5sWWXMTHR
52CwcdWIQBhDiz2679F3pdjUAC7HMOhB0vGecZDONcAAco1kyHUD5ygpGu8IexaLssNp3d0SzrhL
OG72PsH0KlfCbIcXrAQ8Rwo2u2u/bqtvZLYD6XTFCKFL8MJD+5vtxX3c1hwN4ImgiW81iGDfHoUF
OLcmm1EYkCUEWg2r9Cvsjok6IS1rpd+3pHAfDLa+LzYZvehgITQpGKOFPPE0166R5XZ82rkpkxsE
wXwEp7CSAVJYEkcdmSl319LPXLXLPJbJJReH/gs4A+7VzJf767SMq2plKuZwVkqWZ8dBzTUxAtOr
8wIhM/opLRitmeu3T05R/Vfv8gBCFawlbUhP+0uAwNg2E7o8BL+W1A4tCWX2sJr5ABUbATCrGazZ
KOSo48UZb7vPHlCtwmiHyfPFL7RCZmuWctc5Og4ZyhscWNCQ9HoA4UZXqwFKDwxamC3xQwdaqbzj
omnyImcs+QbyTWyUouBQGQBltk8xxNtxh0lgDKnO1byfuOwxbHzDP3lVKlllQ7Uc+TVoyR9jKlb+
mIvK/trGTJl6XWUkb6jcJHAL+PFPI3Zif5oUL4eLWgHgAFoDj9ryI4TphdMYQiWN71mcKTSs2amU
IAFBIgj7CP4QQOG09+nfAxsJrofKLX+TlvTi1BeYzoA2VmHapfCg0+uIAMBubLT3cVugaSW12Esg
MUkhCXoqxBZ0xm+442rL+5vb5ph1zhTxNzGtCN8A8Litf9Ku3YUzvwkhoI642z8wtABmz98MCgyp
OLJKfNXpHqCSA6jSLmvub3EkVhgINfvJEE4Jqjqh7gTkIzltukC77Q9y24uyr3k40ps/juIyaiub
aV34xxnvLAp4xr4mscy7zGnM3lC9dB//uxLld8U5Dhu47HDhOQJZkef0m/5Zql0WK+iSk4b/s5Zp
Kq6c0gq8zkqu0kmwKBPdAJyCvfuT0vBuqv7HjaPZXWqJvFvQw/j/3z4bLNVRYubecVrz1L34HBq1
fkE4bj3JKpYnRNQaBPxjkvg0nF1fImXIFsVenBUNhJzgbkCGg0hV4S52nuIcUvcS2D66bGjkApJk
sO2gyBYPOOjYqwsqfBhoGo7nRAzlUKNeDSOKeEzuBDvU+x6ERqEYCj1gdF0m59We+NqXZZ2C/QHD
ApYm72y/qfmZyZ1/Fnl2N2mbQ1y3aIU+fDdL+CjgzibNdCw/CfRMDRDd6TNUsBguB06gi8thY9C1
rDnEJ26hxVRDW7rM6NJwq/GQCvGKEuUw3/nQF2UbL6DhatgYhu/HdqR6r1FsR9MXoM6whrssj2jD
cz3+VMcEgXqyk/idX3voXsDfDut7zjDJ9Zxk0F1hh+71t3wrYTl2OkTfIF2BvDxmPPPAsrOggbLK
CIg2QdTPSa3GfB0KhFr8SXL/L+HQ/bEjoz+9J0TcfY1YFv9pVQHYC/idwt8po+WEPbasR/iRrilu
f0cWmbSBHusPW41f18KIX1mv6GlixxOS1cE3K8zICALX/N9fhH/Jg2ENv0+FQgoA0l0pRPj/vCwO
zCQFdridoEKZn3GYxZ8qPiznDOksbxrc/dlgNdRAGCymZfuefMoLBMkRqHabNOXrWKdB/Wle++9q
XFwUXg3cI6S5xTGyRf55UUs6Gx/DpX+K5MxuttL+3imY4cqxKdYYOsqvOSQ3f7Ih3N+8f76ZObx8
xX3yNCb+YNT1Pz+2oAsKpwxslpuBagvrUHmOmX2GmB56EhieQaGhe36LjBQ3k62f8WumF1lOx4Uh
SPRko6R6l4+x6w47olb674/q/7o65Htgr8VoaTyw3xZQAjX0CBo0OWGHfQkjpq7WYlTmaU4xdv4P
Svh/2SxR7SERubhPMcfKgOTjn7eCg2XmxDNs2tGS/fDOZAz22911yxqLn+mOWs0InXYim/enSceA
xOVMQU/3R/f//doY2olDBng/4oGRU/HPK1mGZQ5ZzLdTL8LyfkTrDrhJVFVTmmP4+d8/69/HQplC
CZnE0GnCffz71gxw0kNewY8ToRhlAgriUPW0EpCCGtMtsfGM/AsGcw61RzHwh8/+lxgTEv3qfseh
jIR1n/72eN2GAUDxijXvRcbfBwUGoExXhQkNTroO40WiP2WHpnd5+T/WO8z0gLRTeK5ge/jXVN0Z
jUuElK6+g0MP2pUSCUccm1Ksu4Uo1PRE+PXqWRGvUP+NRjcLxq2cAWChxUdLFF+nMkNFEo4p8T/i
aBxdk0QHAMoRhQDWC0gA0vWoEpGxLtHsiWyx7pYfq0GKwqFBrPz3x5f8fg/zCiEmyELFfCZIoeEC
/W2tjBtWkeFo4KF1/oF+55jqCbbFD9j+pwfD8vDVlAYyS7VjT1OUT5CMVUAz7N0hi+M3rz1ZgQYj
Rv3J+4h82ygb/jDy4/+6yHvhAcMi/oPY+7eLhEBcKfDcZ681TU67FH7/GOuIiiZetsTd4H7zy/c/
3JrfyzXcGizRNLlPmEpLGNv/+anQL8U2Q+TPedbeXIH8zKjMsvw9arS+O8CYP5GiXy92B3tSh+ne
MAZK2AVs9J/8fv/rTv7PdVfck8QwGxSNKYwC8Fv881pYlAodg38690kMfZ2GPPBBO5c+5SM76ONc
pEo8HOj5xme8ET3GxqZkoFeL3glmYgoWo65giyctrIzV+gjFK0gMiMhs8rDOCP5tdunwJ7F12Maj
0eXPIFjkcSpI6cw1pNjOas14zC+pm3vMN4KCoy4OB9h43lJhnxRUDvQ2ZtjnbkMypv1jfgBga10A
vlMfWUBAggAyl4JnIBGr0YAeGgUteqxHqO/dFwwoNftXdgzx8KLtBEB3c/vxMK+iKh5IZjPynC5Q
Mol8iItHhqWGsU6ew5CnI4/GGHrc4iOFybtvQ6Xy8A7aNr41gC9hjbBwwp7/sDx+3woKHLfx3bEB
Tz9K4t932V0uE/DGLT7DeRD3CBmoZlED94TPjMUUkVbEwPzXmDwuVzifOImgCJRlaKpeePkQb2WA
6MfEdv2DdP73Uw/7cEoocpjuWRDQz/9Wn8DnGSN9je3nQy68XRY2w5k64m1ld6vqH/xoOEix9P5z
aSJ9A2YUJIygtUH9QX879/Q+RMoVCztDukbNXQGW6Jdem/FvRaJ57whcEdByDZCHvSKQO3yqfCnK
mwdAyF72FY6U8+hZHn9jpUe/veVQG70Cf+PPlYKurmEVW7OHEaKk5KuOJrl9MBheIjuDMnnr5tnZ
uMtLcBxtHmKU+25HGNJTr4G3w8nyvzdcIwXs+Yh7tjYed3/o6BaYPPdjiFKGH8vH5JMXbNsvzmXy
+EgT6L8xhDEj4PWQaJJcqrGazlkET1t750e/VElf/lp0DxSFJRRJdgyoHAq7admjDkFt6luqWHKO
EWVf3GSyQ4YLl1YfN2aEcQlOe0SaoPYn7gUabpuDP0dthdjhXvHW8d0X4KOYd50n0dp/dGDtzwVw
d9kgwF7/tZF4nU4QIdkSwuTZfKgQ7Qm+1UT+71ljNPZ8VEH+hbMDiI+qiFdfQNOkplm4SD7smxj6
BuUQsZ/nMWdXhvZJXTOfr++JngsUJn2v+yuh/faTYGfFFq/hkW/I6P2HkkxVuAawh6QFTe2+3I+s
qjaQmPImH0Jia53xEvnJpSR/JzKNAcWKZf81QUb5RuRo6c9xLKFHj7gpJlP7vh8HWLsDht0Ilwwg
IbBYHncAkmMzubAVNWY8u62D3kYaKLB6f8qomsCv2g24IsgfdDHQ/iClOS1FjPi0UWEq90600biK
PCY4THHHYWApB3Yu0LAeTZz46Wu5AQeuqVpT4FnF3H/DAXnoe9nGo+GsN5p36QDtzYVtw55+gnsW
luP0WNZbllhxpWuEaSEQ9iHYGapcMPzcD3N5kYg7Um3OS/cLE8XAO6qEoY80iHOIaijgwDtAubaE
B4MDiJ82htitOkL/qy/AJej0wP3MHgLCE80NGDuFI0tQvtWYBCh+LMM0zPAaB4TAJYlQqhltosFe
rAfGwGDPxmPgU55BS7zuU9qCvmTvUgH1O3CdHINbIhIG10Uq3+eGFE69xdA653UybeKhXMcM/gGD
EQHHkALohzWlnJug+/1F4ceHVmNbLV+AkUMJw47o3aap/Y7uv6juyNSOFaDcj2w88vSEMgq9DoXl
vJkxM1E2e6ZmCoKYr8g8WpOqSSeF8inwPmXdYIm4FcmYjIgPXaG3i9T0oSqG/TpBR/ATohJzLcZS
gBZOxzE7zQSBKdf/Ye9MluNGsm37K2VvDj30zeQNAETDCDLYN9IERlIS4Oh7d+Dr3wql6laKWZVp
ObzX7qTMKikqFBEO9+Pn7L12bfENQjApEV1ilPHbWOMeu0a53Sx+yKTQuhSmE3BKzzVK4NEZWqQ6
GGQpvoErHGaty55ox079VTq26k43Sg+oZdUapLvnWh8vo9fVlzQuAUZ6q+cld9Jcs+CYz0PuxEhb
WKR+v5qfa0OnozYIHIQhDTU+7hrdIqYyI9VV3FPGqo1bKMXwClRdz8w7KQgwL7NlvyhaWyjZcnNE
5UWnAw8PRoWwdJKRT8NZBUqjIGUXCs56Hi+xh8u6FSTigb0UFp1orb5Ftt+92DTJvLBZHecOwLfb
R5afNsf1bJ8PdUoEK/YKxCNhpwr5LJEDNAffn+24xgvwUk0NIYDLotVrXLd5qi7m3C9fQPHpihTv
1U6jlaFMFeHbyoE6BdmGp4KWgGxN4DJGLT6XBY6XfVB14jMuRjw0SZCCUzfLtX1Kc4SBUNs8xc7H
NJG8QSRmechf7z9KIUTKQCjJn5sezhDAM0eVmxXpz3bNVdVtvKrosNgRO5Rs6ywXK3JLM19uR7vq
g01SuvZN3aaMOGo7a+6GxHXMuNfrsz5kRSwdnWc5Y1hBpRH07037vS2o2zdztXrthWGP64t0M8oQ
a2ClCnBe7nOJIh+9CZqlPKaFjy3RHDUe8lkywG+WdkmjprDM7ZLQCo0MFTgbjf/QRF7rocjNdKd7
dzOHGkk1AtIHqnnvVhaK7afOxuRLVTGrjyYYRWw/foDScSQ0IJyWfH1cQXtVobJ78566rc4jd6YT
cQEq7CxoDzAsRavTN7HKmCLSvjI1M1S6rdVhZupeeWTWpJ5yxbSUfVyp7M5Jh+JrL1fjttSbLtu7
NQhONixtqsJUJYbzbDBXaUO/BxN0AMCgYax0U44jpmvPRlFj058R9DUbRp1urC+MetLSUO1z32bm
HPd+jSydbYppsw2UEMDHEtjrTVfr6VYLUC5F66oLsV+gGgchSm5D32qtVXE5ZQpg7soZn5+0lO9u
M3vMCBBtDL+LssFsvmF5g5o/kd1hIH5FE4HcpnR9NIneBg/TYekBMGCvnLCGraZQ5x520737DGF1
Wr6mRW7qohxvP7tWYj+0A/mtCK6n2bhR5uq7j4nL0osw/3KowXKitxXMSRd6DgKMOM+T9M7McfNg
AZ/Vrqd6IHVjxKsVBqja+ERGWp9eO60pUWC9fgoGBEAxH+30xVoKLSnDItVmbyvYJfgdaQRA8FKt
3PSewhyqK1MfOE27PrmYhVaKY1bZxqMhl6C6oG2PAYx2/fheINSqMV90iX7r65W98SbIPjFipKxH
A2bkdWi03fPoiMLeZDVqtq3hZdg9Fh8SFgLX4mzxCCqGZ2Wa3hXsyu+Iv3PBh2jZ7k4OmDjQ79Zi
uwg1PXmZnrw7xhqofcJXusmKqn0tuCiu205UzTcv9VH5kVXM2KVNEWDhWWiqKe4wF9dsTgW9MCkF
GbFlzdmFEcMZ12jG2TmFUnbq6HHlYRpsrLPca1oPl2fkCsydGKLXySzh9TzC602Y3Wqq87bj1Lj3
Y5FX6da1c/ax0rUGfl8PykdvXeTA8ROsl3NDwNMWGlB9UZpcCXjwJr61sU6RtTaOe9kmwCQjnaAp
JJ+rjWlSCR+vn69MtM9aPuaweVuCNm5x87VQB4feLuNZKLuK+6JamLO7QZ4z3W7srwRFdz5RJa1p
73JVeD3rfKCpv+oe4s7RZx0EaXtvVLmZokebhse5XcqVitGxo8o8d4gynjMyzZeWcXiVj0rb2LTO
6nANOtVtWSk8QanFla8q1mW+ZJzTvUK4wnpgKH12rjWGyjLyxWKcVhR1bD2r0aq4rg2RXdZjPfWh
W67JF2dOnW8d24kTzjJ3mmO9zOYNbjgGPLifx8I9arVVqzhvO5UfSFVsPLKL2KwvAWO07Zlxmrcb
zgNhb0xp2MmJh371Ec7NahOMbFpXGjP4K2XNow3BWDjuvd2kGo6fDJrnwSfGdYjPV2lkJJk/V5Gl
oyzbmnnvXFIlr0scFLqNDidv/BctVZnO5oQEIqwhw/j7LC0yLMCLWDXKDWhAm0VD3kvKM+Oa4JQl
3CNiYm9XP1Ky6NbrwnFVE/pWMvkbqupx3VOgJ8MUZ82E8R/2gxHnJuqGDYLJVotnVVIopjpulRdi
gpF/lHPTGRxbmmbFg2mPVzCltepQ0dB8XfXJpA08deI9cfmuI+w1BAQ0BjrZY1dZpXsN88idvw9O
Ms+bAh3/fFHnq32r5cJ2dlRUA7s+Cjc1hQvaj2pDaRN8NjK73qtM6H7I32Jjchqg3tyIIfMZQcxm
rW88mhbVJtc07G22k4/ppbDTIL8rXZnpW5fda76QfplmDx5uzLMfsrXSjShyvboWK3qSq6pTbrnF
HpLKF4NsA67jw+JnNSJo2D9emSXzjiFek96V8LHxB3SzZUwMfdxh2bpuleRIDFVJlha3cHyXaDEN
qv4OlQpKfk3eAGjtaWyVeXObjgM6dg/gnYwsyezqMpX0S5/tzG5uUT9idl8zpAGUl6J60ZdUBMNf
dLr+2EOi0kfHQjqXS1jTR1BJnQoHeUA67ZCqNScoEF+Iz3ZkyMxYj1uh/orOe26c/Xot9pkTABIh
QZ4VZ3/ojBNmNZLSuEy7fCnmp8ESIuIkyO9kNk5bphXJFAW1fAE0M11R7/6VcfzfvTwNAOhitI7o
VH64lU++S4e5ZyqhC4l8aSKjqqAba/eP0s6Gp8AY0u/l2KCcasRwqVna9z9vj3x8/fPEhv4Iam4Y
KvRnz92T381uaJ8ufY9bake7hrw1LFx0YajHLpA/jRswHt1m9Zv5rMZDVE9t+VfZ8x/bEucuCPMZ
ih2DrrRpf/gAWqoJHcr7Ai8MOTma6/SgiVZ/Dnjrl747zZ8dzuK/6Lz/gZ1wflVaQfDCXMaVlPm/
vu0Ub57ZJ2QDC614YmIjDrOsx8hEqypiPcflkOa+f8wN6Boluu872BLVX/R//vDRg8FzftATYBib
VnD++e8+et+XuIX5ZnYZZWhzcFyobkddTrOMICB267EDHVXfZZ3df62CVL+GqTIO2z///n80jn+/
/imqoJrALmAO69Ik+/BJAGapG9JUqPck2GM6p3P/pvetXL/2TifnO1Qrphf1dFOcs0du/G5SiItt
CaxpvBrzwSivSlua2k1RB83wXY5tiQlYuF565HQJLLylPE7hHIwQYOZ2LTdJ0nqKvTtDjmRnLvut
1i/TpuhQxUTaaJT6cVU+elrVZY3ctrbuJvscmFX1iP3Cbl7OgTbmyc8njBdOlkzpnhZwC/iCZNl1
X3qTtKPCpQmynZrALrGQ4zgMlWbXusQw7DTPzN0XYzNNZvUV66g+hrJHPRi1gMMe6L4b3HagppTH
olKJ8xdN8j/MJT2DuTIAGYJqzi1i68MnrqOhXbxC4iwD6xwrhDFbAgnX2OlM8ZSjA7l0ykYdpqZq
wobi+hqavLMr2vPofFpE1Ohts//zVWD8YRkwB2P+5kO+JJeX3sCHfWBc2zolHs/YBoMP50niNNMO
Y50b2tO4VHAB/GTGGYmMsotSK1jrzeRRGJ162mU8IjWs0CdFQkV/gapt0XeId4wutGd6Hl/xVg9P
Prb5dL8k9Is2sta6zx4xD4g9lXJe2snxXUpXr3vWhr7MDypHAFwCyu22aaWvyd42sRaEU2dCglVm
jTYDTgaClypZKA1Tun6bUiQtssGpmL0jdg1ZH2h+OPattHLVbksbuuy9P7ppd0HVOerMcJrM3mJ0
l1o4arlPtDxt/RiUvfNsdmtfovPtVE+vfErqz63hEY+xjPbERReAR79tcronZIqBBsC4TecpMsbR
QXJhmGN+s1CnegduP8y7AU+v+WZReT9du2Zf00Csu/7OzpHq42Iw5uXCBQTkPk0G3KxUyy20U8gz
3MeUL+pJzo31OmjO1B4HRfdlk2Xw2lDAmoSi1SvTFQTSA7LczGzWdVuiLhMnOfaS+/Gw+g/2bC9O
VLTpejfwYNVRA0TEjXNKg2xbJRpNNc+ppOA6NwV4iHNsCmgZmIUxJgzmkzPnQRODaaBhDh+y3/At
rEmMx3AptoPjT69tmdrkdIBcOSjjnAM8ZfmwndSSuxFFHG8hmzIXAZOE14k+wB7CIKnI1hzAyovr
OQdxc2j0imXuoCeaIy9tG/kO7xTxfsgCgM0MbXUEzcMcTLMu0z44X1+NQeO1UrfcIV/1CXYuBr0N
heYNL9zIqINRviCEGwozI1tzCDr3zpia8oCWyUA47rtlhm1HTDs0T42xTYwizXa1pgzniBOQNy2A
xIkTQIOEiGiGKFS9vt2DZIBGVfVG8s3ORvxQ5SLRi0mojYehVN5wWLQeJZPm1vKpKobJC2kE69Nf
HGIfKyUAh5S9zjn85hyeYn2QEkA8b/VMrCl0LeB4qQr627Un5YVqZr2oWWh/c4x7fj3KhDPUi+/D
8D6cV9Si0zSbvJ5VadY9/OJ3OD7IThGcvGVOL9/+fE/6wwyX1wOV7QcERyBbgMH66/lIBmpbAonB
Dec5+Ga8Xl1nKTml+CA/5xVkGaBWc3mcgrkJAyFtIxwDU+0YtfufTTd9LTy95n7s2oxxPRCzsKNz
P6oTKZI4QCgXUQ41l0U715cZtmj8psJ+/vP38HHqfn4LvAPT9Jm8GL7+YVflepZkUwF1L1VgXzAb
GFsPX1Tseist19QEiKbTBbyccCXs/vylzfPY8/cHO3IcghlIPWLwH8Bi+zCMbZoJWeSUuNta4LhB
vVgAyB1kjYMs0Z0pONXmjJ0ItTFK18FNkXpoMl9f1NiRhGuOUMAjakbITgNXbIx61mTuuWNibQC/
tb67pctac1f6Ejg9ucNE2HuCbOs7E1rmtDO0q1Z4Adgc2k9z+Ofv7g9rnxkAny2iEbYggk4/nKFa
PSdp3cwt7uQlj13aPd/THJ6rYWA0RYiu5fGfv6D1kb58Tn85Q+wRoVEwUjL/uhpTWIPgh9JuJxed
pneSEjfjk4PaUwRVHAR2L8XRoxtR7cy0d80wp66yYgxA1rTRR1Eskd3o+EugcwSMddy+eqqH0h4R
IAg8A1zH8CF7mYXHaGVW/aRVk3pMzU6kFyiJ6NWLJotKLsX6HjdfxZXVzseLAgnHe8vlcCPPw2N2
3+Hpxzv/mQh289uS+ZA99uH//r/r9lt9P/bfvo1Xr+1/g6yxgFvE//1nntcfosZ202v1+5ix85/+
LWUM4vInKrMf/FEXNPU5MEx++5Eyxk+4NHBNNM8jftbbz4wxw/rERNXiMTvTmh30Gf+VMcaPoLOh
e3H5Gbkt9t/KGLN/VVey1HmMHQY0eCrPSWgfk75T3YchKNPqWrLKHvxqmvZJb+VvVOzMF1Nrrp8p
u7Ngr3t6eSFXSTO+wZ69oQXmUOKOS78X5pXAB6s23Vikd1UQaHeWvojrHPbr86I08WA4Q/Ilxa61
aVoZthiWT0ajU2WpFEnJUtiPKWlnx1GbQdSb8KuEStSjkdAtDn1lFZdZ73Xvia62fjGPt0IVBXlD
vQ0azbRpgEbSWf1DZUL72DYjCgNBh/GS8TgqpL+/cP9jQN4voXr/3Zb3efn95+UNUaoWr/94rb/+
Y/+tX78xyhE1oprfUvp+RPHx+z8XfMCqZgNlSkEktmGdc61+Lnjnk0eCJjIWcipcpHL/WvK28wmu
MuJii+s6i8miZzL8Fqtnm58c12KnPCPeuVeTofDPx/CXnebfx+pRXvxyiHGEcT3y+QvZdtl1XefD
IaamuoVrZdO1mvthDensJlqYoNq/MvS1hH5St8PnUU14sVeHTi1jkRViQtWltBNHNdLNynXGG7E9
TPI1HaXxiPN2zmOwI7UDxavv8Syu0ks3dNOMdKP8UdWhQ6vRv2jdktatCXhEYXGsQApjwRj6E33V
mhJiWPTvzCFlya+6idpMM1NCWH5a+aQ5Q52ELOqUEZKTe6Ci7MA6eOaoOxsRmMFToNniucfzeNkH
U4ArtvSdeykzl7fnwM1hOMisH0fNJM/GMcl/SPG3GgLIadzVgX7wzz65K/zi/rqrzKFnKCwt9DV+
6W5QOfRHYZfBvV4FBo88hl9yRfhrLXrpJzkl+UksVtlFE4PvCg7DzHzHndZuN4Jpg5mUFC/cI/pj
WaGkCzt3GUioL/DaY3ZcBBfTzoAtSjhOd9drcvw+ZHWVHEsE1E3cFVqgxwFUHUxBqCH8DbfJAF4c
Y8/ksugLMYMLxVBudDo+3cTtzxjBNhBfkEN6CDpGL7i2MiR7sP2kg7NlLlNuD4P7RQO6IMPJq+d3
wGneOyamdYEiWHTH0QlgVSeY0/cphR4+I/rhXQSyInvkzoBpmJG98uJZL4oTdcx4IrhP1xhP0kxm
IJawyjJ/RFACypzE7gKdgdlPyRKKWphPZq/pF0XeYjowFohEpFE4fcSHjxCLxGqUIEZli8e5zEvc
C77fPuZelb7VGXoQtBONd+4RV+szzigy2eEZVNoGi/ePl9YxPJS4zPAU6bpzAwmlMuKm9Zi5kHDt
AWhgvpgcXXeCGYVvtwczSSP7mC/LkoZtL4QDkwLoEeO0bLyfMWn1UedNZmgtQX5R9kuT42/vprcS
H+UJm3zxJpQ+npTrQmWq5tS4XCVegRDNfnLPbCelYESGa4QzPBZcsr1hVQdTm6S5ccfztanq8uoK
PIX+OIzeiNJtbeWXgc6tG62KYDKKwWoxotUfsnsN/dMaThg73kU+a88Q1xcrtKZc3ZpNYtxMDETH
iLiVOYtpl5dy6/LLuzrzihb1fj4bMVxs19roCTSBg0pd48npPHdE0TlwEpqJPUe9vQDh7RndGpFd
ZQzaNCADeezoddtHaB7S5iaQSlnRYgT2V512d8EgUVtvCroHz0KV5juX0v5bLS3GDHlb8cEtxe1Q
S/lSOYZ8KXWzuLMkFdoOJVmtokFlrdw1cwFWAMiKf5fMBhKbxDMGOzQcRRafMhYXZ1PpQwzOa/0s
FjCS+la6i41XKl1JtRjhZFhTS+djXN+zwSs8mFfISfh36kijmrbW4sqZ5x2NfjQvIx3DA8TL0oxp
qdhfZVvYn0cmV9nGxKaFadCXaJbwaYLVKAHN4akfl0fIVQs6AB+DbexiqMCzs0xtHQ+aUb+VS2W8
YdYBPpXpTKo2yp6mDG8nYOBN28MeOTpJYDz1aPQoYFEgCt5lkD1VlqtANWGZdGINXcel10woJ6TZ
gWfKsZ+9c05odew0XYvmRDfboxasTY8Uw0AUSsOuzDYawXDPQ2PWaB8doYOBgtOCfU0q0VzmTUbz
IlAWagRN5bgj8lUnbKJK+/rdD/wcDzzG7lvCISuBu3tw70yv078Niso4soEUcD1gigwxFG8tKqZg
XZ1YDEFfHDw+DYUIgClIlFFdW9grV9wqcICaJWJi7LCnp662HzzVSyiurK4wS1PziY4qV7fMO1Ny
aiv17zX0UkFYuVD8thql3ImFBfPPZVTa3jJEQIjhDYPoSZ1Ije8LIRVl1KWVk9+vtETLQ7+smvbo
Bhp/POPACojU6EamXaY3+sc0cKBySLzAiNY4tL8ECFgHTODCm8LC80Zvq02aedLdYr1rGr7TGDTo
5EWm56q3iVS+Z3eCi7FvmsQ7JrZR4v8Xw/SOzkxez9rodkfkfGlNm/Y606d63vSYMYG2DEVaxMmU
ZV9+V5H8POn/8bvA3F8vxudzHZ2uDxwfbjGGJfPD3d6upcNOLhqspPlwU2lpdsG5jeiI8C20XLUD
MzqojxBVfoK8/9Z15n9oVejSAvjPZeEXUb29vslvvxSC51/5r4BlnQfB9gK+kx+3nH9WgiblHjpV
vilE/Hxv58v2z8uPZjifUKkCViUxBmW/c9b2/ywFNdP8xGANnDAtI35Mdu3fqQUZx/1SC9LJ8Ehj
ojXt0RI6d7w+1IIdMgBc1xKhCOEZ035BXjLW92lbz0NypYDRajvQNLlxldND3HaG1RzR3vYPihzA
cEjoftD7NrYCl3dUYbloLlC7UCbRfYYH2qoJ4bNxt3j+M937o4fhdje0Qu461PyBl6C/8f0ujyqt
X4+Aj+e9bFEHTIHzbtcgaCDTPHiNJNZoUk+6DnCG/NpMu0XL2EDv86BSha291O+WPpUXi60b+x7H
IzHLa32R88/fM8yf71vbT6F8Wo1/BF3i7jjcGGsnjRkB90QnmTLDKHUjixsbAIAxvk1OdrTc6paL
q4662u/DklzHsJnaao+JYT7yojdTTmd/qW+93j91JBpigMgmIo3T3Ivhq0G4xIuciO+W0tnjqpQB
fjhwNu/sRukXjb4O4wH7unspJsN57WaJ8xh2bcTJfV/T6iHCppC7kdEtobOk2NVVDYOn1PfCy2l8
TQ4pSr2xgK+QHjE41kywjSnEVq3zO9lz8rY1l/Ya6iJUQGACJ9eWRHcA69ig/sC5MSSPxI5jfAXQ
3IYj4hCQK1kSldlwswZjezFqlrowkB9dG50A+THMDbwxB0ezKuBBWGN6kWsjkpc6NR5mP6mbkMbf
+N5LlOlM/YyXlXvGkemE9aXswZNX0JLBniXzhQ8Aji+QmcHGFSa8yBZFeTzaiUsX2zZj3aOBhzoi
RHazqlAm/bYwkD6Dv5ULKCG9BZ6QtzZggOCMMG3n9UEKOAE+c93DknvObeVn2t6jkIMQODmbNmuL
o49CJNSZKOzAoPIZIkxEN4OE873xVfPi5xU0RH+porVV5oWtrPyB3VJtK1yWYeFCPkyrojlkqdkf
qZ6MCytgoNTxrk/ouv1Q5HaahLLlBrFRRqFtkQfYl7LRtaObM3yNq3SQ6JsXoARJXzavnLPzbnGg
+3XTikMZPLC7tzpfn5GBQC2FLmpHZZCkl1Y/rhdm1knWtV9ggFjORTxSQAo1riDabL1ns/ZmLMHO
wymchPkgtacAIVAMkUvtsN0Gr009dI8MOux7Fs7KSiFdanAKdWsbjbMFOaPT3h+H93S1tYOep/Nd
X6xa5PTimRabt3NqZwob3R8iLFZlKFc8z7IzKNuSytq22mpsAshbWyfFNw5OwxhDXR+AfRVW5n3v
ZNftggAauYd4Ma0QPZNPI25rR+1mpV33UxbsUCjsGcxUJ9W7Bzp//WVgk5Qiu/reW812xzI4Ici/
z4P6tYEXDQWs30t3zOO+prSTwfxlMQPtCi3zHVOaN66waLjPs6+sI6sHZHBxb2iB18BMME7UTC+e
st0nRuP51qrhVNFX2c9e9Vokpr49D3JPqiyBUWjru9Vr85skpIc07IemwR2zGFUMuB7VeHqdretj
BSUnGYrbalpeUUq+kIv5SAEcD3D1tgi7nNBr+s0ApBIH4M5x++8AwdNjozsvRjm/e2aSoo+WzGnL
9C0xu2tfX7MvghYWt4HSC1dTZd8St70LMg8mWNUd8TU8N8JggKY3UV2eNYuCRABx4Wbaiwaj68a0
tWUjRPc8p37k4qBpYc5Cf8xu8CwccPdr5OnoB5wk7Zb2wyWycYrxeThzqLeaIJy942pRDJ4XQXqw
793RHHZlvrA1YhYQD6pznO+t3ZVbzUvvgUtgtHeXo4/8HQhGUodtHZzS0YaYCccq8laHEaUn8Wsb
6NtrzOqbFYmSX321raLdWh0lHXvGFcV0EyZaUGIAb8xDZZunIM0Q+IPZCpGWr/u+RKwDVRPEC6Tk
QH1DG7VzIBSHLsO8gNGZyNEFKhuTgudk7+mYH9YuffDneo8ywAozW23Qu14hl+/jTHKmjL33DajH
yPjVvcWiA+M1OCqejNCbTfNlorTHR5RfV7M3IFMyIIxm5q00uUgF8gasWvCdgZcROsWIlnMMirDp
tVMuOD2BxaSUoEa9XbsK0rzV7DwRIPJaKUpHe22RA59zN2a8fAgCjjkJz1GfrY86mNiwz9uJ07au
OLTG4T7rAAAv1vplGgAMczcvv/k40e8CjS+N2CM1R2ZTq3DIx3FnmBWC0D5QQNDJf0oorL+uw7zG
De90F5hatwP97nsAoWUGfNfrxuB28lwW+LqOeoQmNZBb0wuSU7OsCobTLBwj6ujTvE3jLO7bjv89
S47LKfIz1Bb7iesx9EX3dsqSZqNNYHHTMSM4NujAcRDJczDLISHyqps31UzsJmT3y2oUHnHBCbRg
ZpFAdjviN/zEOeU+QmqNB06rOwgmZlds3YUbO9Ri9drp0EnifLT0jd73MFfSoUO54C6tqQ7DGHhI
2xi0qYfK5Rg8gHkoug2O+DEhF0dNWnuDCtQMZ7DRVduh+JeAM/KaEYNIxD5lqCSm5tWZsk3Xky7D
CJOThStO8RlCBDLiWU+RN9nPAAJHJKzOjc6Ux+umOGj0CeN5tyEjF6x+ekowhQVlDq9LcALgHsPC
YQvjqJfLWzsvl0gcxjhR+m2bL5BuW/cGl4NEnMDJOuIljvBC8h7B7TZJUX33ySeHQSGK0MXBEPMV
6gV7Mp21CYQDuoLyNedWSqfE9RmUwNjs1CZXvQin2nzo6/OzeY7Bpv1RAljS3hZSpa7dZuh3GGde
GvhN4TTA1zOBoEd4JxDTNu6j6JYrUBjjPgDxFDZemjJCOee+6Ihrk5JVahdgNmSxkNriLKRAEGCz
r4Q+e/DdkiUu7FReFdxPjoYvi33JvXE3Lws/HerPZL5D//Wkq+kEEsD7bOWYXDa2n5xsrA6x72j5
k+wqMFDoX+5nz/niwX7ddjWsqGUev3dVse26s86XJalVEgFUZrpfcubidO3tcYDJI8E0ZsHW6EFR
eCvLyI9tVz0XC+KIUhbpBl0rOXvLeAw098Wxq2FD9HH+gNbdjMD+JiwBlF0OgT2wMjvxNpEeelgq
2OMgtsHhdEU/v3Z5H4/cZylu8DJwsJ3ZUC4hgAgHZ2G2JCt4fKnaCMJ8NzNchG2R8n2cpY1A301J
n5/jIF207tYgXw0HjlWC7optOnTkIozqLGpYDNVzq1y6Myp7XASWP6T7yt9KlVXL1kynl3QRiIG0
TLNICcp8rbqigUBnbKYNnV54YtFviXfXYOPY7tATRLGK8kZLCQ36Mli6uugcCPBl3AsMWE/IEHI9
ssaqyE5GSzaGywa7eN8Qu0hFEENmJe2Bq7wcd4BZ5deG5GG4fS7Z4oEd6kGtnvXeTb+jarBWGECQ
6qqSp4gZY8n0VhysKRkCkH9rNT5oYAOPta5n3Vs7+pOMleZYxn4VK6DlrsE+/AiUgUIBZweQGHay
UGHpFXu6WkO0wn87lON5RstlwzgO/ZwQTbIMTPRdbBJHoWODSsNSznN/kja6gmOPUvVhEO0AsXMU
m8GW9XRcFgTQhwmEGJRLy+/3ZqY5zUVaoYg4ABgWHPhNjeUagv786ntL0c1RBUgQLjIZmPLSWFtY
toR2J+bJcZeZO4mJW+fC0pPqARqZ8xag7CZHm3lZS3IsfFcoPRjmGFxCip3CyV5H/jKaL+YNiDTu
9vOcs76kan1OrawevtSL5joxfj+hEdvUGvZ+IQjAfEGwr3mHundddqLaFFOMes0+O3aJHmzxd/WK
MNSsX2VUqc4f7mrhdsEzIBa2astbCAClpUxAIE8XQ1da2nKi0yIw4oY5h9pIRAriP4w0faftaoJl
aw7/MXWvsHEIC/mKCQ4wBTcEUU8rXOpf9oz+KzppOn1epuGwTuDZXBZWsnLiofl+svGOv45woNhg
6qR/9AX9tJhDAcp90id3+ogrn9wIT6grhl/DXqhmNb761uwPO10t+pxGo2FwWSEPYFoAYefNSRs5
/nY8XK48NGPihfhQ8boBX/XnJ1qFeovdgfj2G73D1hPRL+VibOWCYmBsB8JHtAFr3UC6DfSQlwYf
8Z3Qi+pClJUTjefTph9ExT12FlE/K6b0dR5s8nxR+8E6X+ygiF346KNvvE4vbkzsrxH5AXyvfQu+
gzak2X0OJN3bQNn25yTLHrkxsT6NiWY2vcAEfQWPXTQZQfUiZxduqJhpKuqjVlJc9eMc+7guIQst
Sn8N8AUBm/V1KxxabwyAtlnZM3e9UYv77iypaUsfZG+2LtOxQ9CHeGLotkGiRjNyoaUBsEp6aOsz
4O8SjOJcPLgqfR0L070STdBvuwQjG+Di02rOE5R642udTle4RWSYZ/ktcQp0//M2P1TeRFMe3155
3af5d2KFh9hLmyLYLm2WRtJyjU3X2QpqkpmfNesIoOCVT79xKv63T/V/zoHa/7lNtUNl8P5Lk+r8
53/rUZlMK22HlrFPOCha7bPV/+e0MvhkeeiSIG6hJOaP/KtHZRufaFqdpRvmj26jzlz9Z4vKsj/5
KF/5EZPFH3P9v9Oh+iAqpqmJIMVxmKQyqOQlP5r/Zckclm2NCV6zNIdEuet1oGPh0hR0ZnPtpxP0
6fm25dzcjdMZIzk3zv53H9a/aazyPtt/qX5++zd4yHICB40AFAI+od+Liv8/Z2faGyezdutfhAQU
41eg227Pduw4zhcUZ2AsZorh15+LnKOjuO3XreeVtra2lOzQQFHDfa91rdnJJiG7ll0eSTQwffX2
xjW07rJZrFPcn+2fOr6Ux0cHUATon+4cKWJmqfU2bDAtAGRL2AchHPQG2h4e9ee3ZL2V3nBP1CN1
9NGUHpHO8hbf3lMxgIrydO6pRo27G9d6prDltRsYTzk3kytzK7Cp74kA+vfGlicqXjvQ/1p+2iD4
rtWcaE+JjgkpEk7XtKG3Ov5jwWYEyqaqttPBNNChSmqY4WxeUfcFDizFYqdrre/QYMAVELSF07zM
uFQRRrgVaYBTt7SRgNebBy4K412P3YwKel707Ic9l9AnEy/bgn5+jOnsJU5z2VWcnYDpAPUNxyl1
012nI2m+cNGjp/93AkG48HHz/N3r8amV+i6d/U3fbR3jj2ZhljG77CRMk/mnA3hrD8CyuPj83Rwl
CiOKMkm7Y9wjHdAR69lH76ZtaQmioeewmPTGuZZY0yWORitc+FqefCW6HQvbQgCqVufneGONW9IT
yKroYMQWBgU5sD/E0nuNEbCx0f0TY+etTmz7eXRMQSugvoEAhRLn7dDpzGIoy4aft/amhz/MIe2i
0XTSvltwBEQsaI+fP5C/OrB/vwquyBRlOExGm2bx2NAxw6nLCFamr4ws48mQhUdbGWvreVKX7c+k
YDtMEoGSz66ZwoUXnhpfAaE72c7IMxvp60TqnTnQitwTdeLYYdlZWg6qvFl+4HY107PG3AI9dWI5
/EBvGkxtn9/CB8/srzMCRekGcaFs/2YKGdcqJ92HU1SK4h4d9HCGZSmLxsECyOT/+vxix/MVj8uH
yASQicxc9PBHjSCCiapyhebMOUzE17G1Wmh5y+W20mJxQnj/TkyyXYv34rjoXdCuHAuo2JMUmjOS
vlypDBKQhKWY7RVf+A6whLact54TjwGNTpKDF1hwv3Hu+ndzsnhuKCuiwALsmHq7nx3k4gdw3sVT
78/unZO7VAvsohUkCg3gxCPdKkUa6f5S3tDqm3/ranbZEupGdwCJkM3hBCH2DiBkZwVKzGw5KdgM
Wrig7ltIyEBqj96jMu8Gy4n9W/7QuZ/WxX6dbQ9fsTVozUVddZwgKNIyWw1OveZhkqX6Tc9ASc9V
2qbT2eev6kiQ+/dj4lv/m/IJ3oYV5u3AKDy/NSF48q5S8GmUNhqwvBAi4Jp7s7KfKpKavkGC1M76
RSw/6Rk4Z6sy6EzD8/RvO3/Jf81Y5AgPGUX32tV+/K2XlXPntLlz5zqKvHbIFIWJmW9afs0rovqg
bb0CcdP/31B8sEb+RXwdfaPk+KKL3TxmrnucWTqUXaEALbCgVHUu9zb92EuhxXWU+D2oIoQH5Sbe
8WhotEPUU/vD4w/sr3PamLpGRQRImyjngi7V+CScRkQTiXSAqAcqvie+xuNpfBu0//7Woxkspupr
OdsEmxdiigyc3TQBAK2feCTHa+w2kaMWBoJsAcxDSvj23fYd57wUJF04yHR5bR1B1knaLDeWnSZP
dTKWePqZqlkLy7mlvqLNWWQiI777/Hdsn/vbN8PPQC3JbM1PQTj59mfg7yNiCS9jaDSxG4LumR46
sMSHZp7cK4lLIcQ/gQ9QJNAqKs/pTlz//dzHNnBzAqKEQw9nHj1tPB62NlrsabR0HfcpjoarTbsQ
0LcjiVqvDOfEKv3RBR3EocyBHr4b9+i5z5DoFUnr1K2gRkYVNatzuvGwWWbEN/PgyhPr0/vhBBOU
1ZDeO8I/cSyqHxg66bgMnGPKFsM0cN6wR8H+nwctV8HbZmNaY8o93gmXs+935cRdpRg1zvsJ2AuT
n3tir/vhvSC+dQR1FAMV+NvBAjjbpSPMvfh+i7pEK9pI07nU50Pyo6tgz2M7r6NEZHC8vQqdYqWU
taHf/mZgtwji7c308b+4Ci4BZvLNinf8xCCcIz2emJKgEwACtQdRnk/DOD98fpnt+3n7fQk+c+Yu
weS3SZPf3oxuzli9JS9mKiCU1GKmE8ZfPSvywjnwOS1fKTuOIRgJceIG/zrIji5t8GH5BGfpjoPD
9+2l+YIF3AQmsqXlH9eB8D8OgJD2kFWqHdThBUgH1IF145GP1s++9B/ZEMVhHCMT+fwpvN90iA3P
5hF2zMnQPF7I7JlALcxO2fawmx9JW7tQiKzm3LeW+QR3a5N/Hz1xC9UEnzjoMYGD5miQOlkCe8yS
NOSz1f/K145juspH6sscIywrdKpsAjgx6fqFjTISFla5JSqJOhacGcb0azNMbnwLQ0l/QJYlyZrC
Wqjt5ZiSwjJ248qkTPgR6Ryip4FkqUWhfTPItgr6cSbtzOh0tcV31jxH6prOGeQBcU5a25Sc+Ozf
P1c0PTbGWkTBFG+E+fYVzxBGJsDPGPMVW+wqIfyEzNzxfEWfcOKrfD9vokZhL2cylHBR6kfzJicH
8PmkSQbkDOu/p3oZrrQBrdJg+n/qthpO7H3e3xmUQUvfwIYIZHxve8v/eHV9W0qxUtwP8FZ5Qa41
iISHITcCrTf0/ydR+h9PbkeI0m2jxU39VT4b6FwoK7y9Gv06ui99HoNv7hDC6W51gR2nuSDxNwaE
Uel7QiDcr8igzQeaHt2BiF89KsiqPXz+obyfLhy0rtAmqSQIPFhHL5QKZaaslsHrqqV5NhN6EaSS
EAnRdq2g0EsRlOxENM1GJk/5ZN8/8m1eR1TE3M759diYXyyWIeXII4fjbqH645CPgA7QDOF9J8bt
8RS/fZjom3BWYJVC3HM0NRHGkha9lpPWmo8/jcrSIkzPyX8cQpjmHMvAByYEJ1HW+rcvFf19Y7Sj
asPcXYsbAIpqv8ypdqVIMTtxqb9HtH/nWt4WaGGussEP2ahuz/af4ZoXdm3KWm/CBlVLGmh0Q8+W
WFCaUhhuyYYVBaGmqlz07LC5FNnciUpbolnhfYywvhNftbF9+hBHB43BpqvaKywjdEZTCB7uPfMO
JrHKLskoRQWcPZPrDBxtpTBPwCSmERy3tQS0+Pl4fP+iuC/wvXgeDbww7+6LZlIiV60JtV4O57Om
+YSkQbP4/CpH1jnX5PFZPuf3DclAHt5WTPz38S0p9RyyWtHqVKp9mcs0B2ROEk/O0c9GMJnb0gvh
c45fgIHTiK+UxlSQIkb6RtNrIASR/M2gIJJ+v6Q2tDGMRmEzWQ1kVthyJJunNBjC1ppIndHQSk1R
QxAuimAhKsJhO0S94ajJVZxY+N6VKLkz29ZdijVM0CwvR3fmT9mwtvRiwqHMH6nMw4SbkK4TtY1Z
ubdYiGfbfJgbmT3GqWqvHLMRt58/3ffvkM+Nz2yzrHL8OkZRj7J00eQTVDvFqtwTsdYwe6zJifXh
g6uwKdx2OJbBhY5nrkQNhKfXIB2MFl1vA7b+AGpF331+L+9magqsiFdxw+iCTRsmlbcjpSDdryLO
ghAzs5+eW1f6f8bMLc+J+/MeR8DrUWf22K188kxe0R2lEaERbhv4OD6bE8P2CCywDdttLXSYsCmC
I+Q8OjylhvRXpLMzOdcPKABJbML1SUBleIrX/cEwYhpjbbLZ2lPmEkcLFPwCJcFiUa0i7Hu8wm8A
TtqpbKqNfYdsP5xShV2scy26yI05In92Rumad/qYmI+fv4N3b5p9Bop1tub2JkG1tj//Z67TRScb
NCsYy4c4u3JY+yMquGr/+VXMbUPxZkrlAqwRCK4pdVPfO3q4Cxva2s3qKvRI0wwaiNd7Ki3dL1ua
ENPM1L9GMOSGa4fzIG5q57qdQWoFkizuIqCCoO0dYklx6sOZXki99UK0I+tlCvnuoizd/qyfcQBZ
DrRAEFJO9PnP38bhu19vbxJePgWm0KP9Czzz3iPgFAeftVgUsFOahTFmvN6G2fT5pd4PQ2ps1Fw5
ZLCFwWx9NDjmPo1BORA5aiLamMLYpi0SoiUEuOgk2find+0ejZ8gwTjK9My8pEdiUFVjswcOSujZ
V9v2sEeQuzyeKAECWDl+EDg1WYUdsOBsGt+Z2CG9GUOSyJJXlgO4MeMVS1Pl0w/cEzJnZzsOAt69
qGKULxZz/ks+VAPYgcLVXiTigyfYZuazVTn5F1ks3W72q/KpHM21RHI/Ts+G3s+PXD5+jJFiFJHo
FuPahFCIPIzyNGw1S2iPVtxryV3dwxgh6EVzatYCkXsX9jTb1xiRxfciM7Q/UnRYtJRpj+XOB/b6
dUD1Ar0WtMShNwb/J5tgr2FNQf25S73VwgYqySAMgRTiOUvZ9tDJ8IHFsWf3LmIaHkuwmLXBho6C
1u8MztOXNUfKurP0ZDXBftg1MUFQlr4RzZis+wqQ+PfW7idyJcDHY73SSwrYptORYG20i/2zdf1y
iBaP/jdsZdJQ9pW96BT3Qc5b0YBWVWeUsSheoSAqs4MnF/u7jVptK7GlREDTlEhJigXFfuEnJWZR
ZW4fTq6GuIHZvEXQ5K2vI41TeCwgsXHsR6vj+k/ENi3aGbK55mEUdfeEbKnFB0jPDQ10urAvIMCl
uCnmbPgqmP2biI578bsxp+G7ly75VR338OWIvSQNxCFw46c+OxVyq0UuByvpMgizkOx6wrtbNLQA
dWd0HLX2ux004nu6rFq/arkG0lQoyN+H3jZpaBRVqQgy7Esv2w+qhoDGOu++1vY63y9T7N/bOKqm
nbcYJja4eBx/DAbjJ6iNfE3QqnTlD2lXDVmCiMKvq0L265kaMWtRF6q+pZOTP7dbfDocus7owmak
D7fHf0yKuuEgikalSJX4ksRGKH2uiOV13cnNwTibzkhNOobjtIxSgm1ue2+3VoJlX4eF292Mo5BL
VBZlwhZliXOMOy6gbJKh23ZA7NBzq7oDLGNngqbUI1Knii3Je3R/QzHQFMItIjOoqhbdHMSEb4P/
gMxu3JbVlLssED1CD+VVyCrmRSuywG47kjUXCv6YBnODE+u0oKUycbfRrF+tqiOttBY3coNb8PCq
lWQuY9CBP+ormoglm4ikw6h2qUH6afeaLFBAzzIeHpsMh3Jgyjz9VnfN4IbTuqrvgH86hKXkdad7
/CbxNTmKwryK1zx9UuaQdl9HpS+oiEVDBrcP+6UnCbpA/StSj0zY0m1yupzgC50wLQyKFgrqTXdJ
2bp5wobnE6WnTME3if73nnBJTuFsrpbfs/Lcy6LpzRLJ86QeC1kRJ67hPRj5ObJ6GZSBC3JA6nCV
4B4s+HekdjCQ075Ahxu/oZ0RM3HNrtJpTuS4xhxjsCXcXr94HAHhwd5ekLsi4PKqKzU1xPOWxUhb
AKH3hq2ziL8Oh143+8iYx/mlttNlwXapljtstXoT6G43WhcNzjL9wtTZx17qSWLTR81HsUekBfS7
UEX1kPF66sPUaOBF+YJ9celXaJRDT/cQnccdutyoRctImBaw40DOZTPte2dGb5m2QnURHYH6eiln
Gh7zlPsEB/Yjhkdo1/oZYA6SAdO8mUBOeAtA4aRdk13lxf1ec1qXPHFfuzLxNTJutLh55dwCnDam
wnpXJqrxkTgzd4eFJ82fJOFYJHYBkPMIeqPZztS5TbB51QFqtFNy9mbYuTs8WfNC87LK4/3ouWlz
0OG+whOBfNic67rMnobBtNLIriQdG2LtyTtjCgfVJvyhLbFNbYiNRaKuCZaUg1lkDZgq9pbfOdvE
30LtmZux/4WGNqlD05xEF/TIOvXzGUZzu2uFXT24a7v8Lis3K/fuMIhv1kBMWDgmgsVjIhgkx3Fo
otaHbdVHZd2tKpJyQQfPiQzZ1bBmqojAm0NzrbwufR1dqOpXts+idz54eq9Ce5ho2RBOy3Yt57AL
Dn8EWlroykOIM2brn7V2pi+zqXFINBMbaSTwwTpAgB8lmnem8rH9suq5vU9b45qCkk00nLp0OzTH
rdT5TrMdwupXmO6v0kZgtdkS83iOJJ87PBw48EirZTE+Vpl7BzoTeTNjhpZjsFa3Wdu8lFZx4PC3
m4rit57leza6BxvpKWWSW1wfN7Gj04n00VaiZsf2jMayHpHG4iRIEdq38rlncbea/nIh9v5LnYNC
WtSl7ZSvOWGxoHivV/j04yN5dztP/ITZFEjDxT/h07WCazakuwx/ACuruyfntCDaozN4qkCaCWlE
DzxwG0FSxeI77m1mW4K9wibWbwk6AKGeGun4EFeuk2JmhMdKy+CSgih/V7SBq2MxD8pel3dJ7M6R
jscgc/vHUck9FMDIGGV9HU8l027KW3Lde/zBWFuslTuUX4aue2a/8dhreES9IZ2+65XbneuLe4bU
+TsI413b+9fQ9C55/w/CBJim1STgkVtcDOaD1yT3ueMe7OLJS66FjdZ/5KQGnz1LLhllA/rVP2DY
LlwOL7Ek4lAmw5PRJNdWajYYfqb1TJDr1M/Co9k4fZG9cTYpDZSSRYaFLp7iPv9hdIQpDObm4GvO
qsncx/SKgrqs9nRdvs2aeWeklNBSmix6rX8xsyHy/Y2hhZS/yLXI5TZx96wmWXTpF5GOQZp7ItJU
kgcyXXetVoIgWu8caX9TxvSstd/EZIRgs37mA7nvMdLfua/4yuerJC92/pSyH5K3yPaIKtSMA6R4
8d3LePHzUoVCm+YLgzjOJF4up3WGyZpHk6n/qhlAu7Zcf2Xi+0TbfbKX2ymxn0u+p2BExb06+nky
2u3DhN1bUZdysOfG5oRlqf5lGcX5Mqsbt0rO7HYTJ5JOFjVD92JqfR0hhL4rs+68thkVOWJKfR1f
+fBva28pD/VS1bvRZYpr6/lh7KY2iAVYYdhmI3irHBmjIeHNBECRQlVX11D39CviVN09C7P3nDJ0
rIM+2df4+gi07c/JQhHnXtNdFYqesetdtbaFTrtGIknMx40Dy4wFW9ARzWAIs485S8FQVzkCPlhn
v3NTPk6e8eJ2GGb7/odSDjaFvmlc/TAlM4dNe7D0OERQicFf2vNXpxLadxPBxy9JpPwS4ghd8Hax
B8H83uc0/AGu+/e+15h5YHNSZg/JBsuPhp5AztlPW//QDxDNQl3f5NbgpY0+dLp6U7H3ZSbCwoQF
noNPi8MlJRg4UnHjEyyequLG9VpUegsZ4c/khbO2ANev+XmkcfxGtEgOG+BasOcw4PSzIU+Ir1gb
XLNWb2S3MS5kiL98FSnIaxfL8RaEMYQ+s8EruFrzVYfMbWE56VcLK4haqLfXecd2szEmwjKr1CCj
0xSt4mQh2wvOjvGy09duMAKqtxNzpEc2OpYyYfyQulXdtwDKHixnUvkeRwb1e8h7OI6NssAcpffr
5EVt53m/yC1Ivw+WQjY54wO5dxUfF+J5VOshwcwT09eg2eHUCKj6ioIOCL+57Rk9RJZHzZKzbSzS
ocuDzF3xviDNJ/KUzOSY006HEj2cWVwePHSNMIJT1JqaT+RXkcEdrgpiQqKxdRRqnmm0s9CwZrYh
9mx0P5vemvkrm8zUxwkhA4QLGFM6lpM5aJa6KCkhNwa5lBN1MIzSHi7o2BKST61TW1pmqTD74HVC
8TsJamaaS0QFTxGMM3NumavL1l2ReC2GEg+iRMBxg9R7LkKdPZq7o7uUXPp5B1xL6FMvA6WN9p+8
anl9dTsmz5aimoGIvUxfsVEbDZD/ofsKblJd1UufDAgNxoUuImFs3DYOpSGAD5Ffk2nB0u7kg0YE
ceKuuJHyZK3B2ExJGzYu6v6QSBlsiPQi2x1M8/WpzNE4odIX8Ve37atXW8tgK2g2OmGYfT7/c9Sb
W4vq9nWBcF0eYItItmWc++0wa7f+HImhfr5ns6mSi7qV/hJ5Y+KPjNAWiQEYR/3K9fGGn1PxKeAb
OH72AFNSXpLgVj8DTlC4wbexu2gDT5l2IpJ52ukTWV+Y4kp0GyRZhO1Kh8muK5d9Biay70zeJkQO
Y2Vl90bF9i1ZPYqdwDZqyMJxg41SquxbMldCQeDOXBV6WFqYikxBUpYFZUHvcsGHTeAinsVcfiVN
pyZTtdyatMhnbMQUMV8jCvrK+5b7aG+CdfFkFZZVMx16YeB8Q60gLzPI7aj3R+KWIjuPs3st6Uc/
Ikqa9mvmjPlt7Ez+GsBXdMS5vXbqphMSDfKEX+SVc0aGPEWsw7BvVFFfQ3BM20BILX1t+D98cwqB
KEdvPbONWp/YpbCRtcceoic8wOVpD3dGXFY/Vr+kZ6cw2P+onbi+RrcwGqGvNHx5Ghvvnxob5/vM
kCsnA1ca3pnsLWiiXext+RHo2scozs2UJzpxFCN+nPDroLN00Hb4hAhB9VHJAFpYlU2ESYMk8Y5u
ZNdE7rSOP6mF6EPkEd7yxUmm6o5/Vr2U8ApZ1FEYfUkxmnHQ5iBZEKjWDn+Mtoof2joHjNM5IG0W
pPOo3ykacAhqIK4GFGZ8dZ1PQ3redVVaEoS0JORF1xY7WmgOtAx8P6PssSyEw0NztTQCqM11yHdb
LsMz8LzyOfbNlVnDnfmzhcxN2lGOvO2IyiDG3CrZUGpN0rRBRakAI5xcO7IuBzldYaIgtVctNGZD
NXBkDwV4vCRSbAMOXsKhhqNEg43Ialf91+TqGdAWW++e68aqB0qOpauHsFDSi7WIKyuc4c94kZsz
AALYVLMRFTimzqQLxbGX1E9gu4KdQptLxISN34D81OtSJ6iYD9cYf2azqghTo21e4qRj5wgVxs6D
ksgF0n2ZSZtQF1gR+NtF90CzhCMA8eAxO9sC+D47Wq3fwVhnl5WsNmY2P7XTu2WpksdEd/qnum9S
FrBETtaOigVjosUu2wG1oN4RDWBKhn3qgGAKJ2P2D4y5Yg4cCYQ/6DAm9ST02alxZteefmEMqIWA
EbnGFJLT4eGlXv0Ec+RCMjIxG7B61FAs+N2VzVmk92sF1NnShkvUC8LaAQRhtDepcq91K9eSnWG0
7ktbOeCKNtzej4X5zNzDfddfRge4lLmo5jVOiDI5rKD9rwfSN8BZTkl8v6SQjM7KpRu+aOwkCHzp
M4ZY3EHBiHLLhZXHIXqrcAk9/22Uo8FgSAkNj6ae6lMA1Q8gDRMXIq+yXuB5zi3EoJ48JZ39xDic
iS2kIZz6lYQlUNArjqRRNtRXNQcCfx1X+T3lAEu/WFi6Oj7lZO3PWrdYo6K3ktvBoBq28/SYzQ1+
faHt6rEqQfW1rF8R6fTJnd01DAanpwQZFH4mshBWK9ycUVu32LPOKL/JYbR/GTqLDOvTaLJnFg0r
uEYVn0yKbD2zVqf+nhc+iYBkw0si2rS1PR/lUvykSO9ci7kYbuqeVB5aQqpxKDR20w/cZO21SnyK
TFL3/rb1LU2ef16L/aA2jnTU3uqxFuX6Tfr+b23czFejjvMM0E1f5ZeznOZrDscnJA4fXQRhB0i6
rSVAb+ftRQzl0wyuOJ1y9Mx2XcmDKmSdnmhFE3x3XLp1EDGjASdL0ia+TBw1UC1m/AENhQydoZK/
0twg3aeufI4irWZbhEcQE4Z6Yu7MoK8K/VfnJ1Z/JRsPTLSg/EHsFSD8ZSe1xnt2COGYOcl3PZts
6XIE9/QatlgDtYhTXG5xJMX1nv50sxRrIXlBVrMjUrl3DpTXAP4T+lS8iLTEkmgBd5yviyzmWER1
2GJLnzUdZJl4IDvd9XPdjcai0eDTtPNwnQ5ua+1UMblfDMLWgFyNysEuRwqUfgkTf5sQBbNRMJj6
RnJx9OTrOPrmn3WKOcDlqfXcZy3u2xjc/5++WvtXyUXGc7owM2kSBdr4UHbS+Y36H5S1L7y5jSwm
Xf9ZdUNNM90cbDf0daI/o7kaCVCxnSl7GcyqfWG1He4KVsMFKrBVPhOUwCEAh2yDwoQtprmve7qI
V6tY2EaaiYX0FTs4QIq4sgc/LEur/AbREvUCCUHkDegrU/z5xGlGQ/Gdkv6VrWo49I3n/7Lcrn5I
FkQQu8ao1pc5RyYWYDKsyIJdJjbgJs4uCKQz/sgkZvYiIoVSK862pn3WDWt6Mq1aaRQec2pcrXKM
NnIpnQMRozGFWWnWvCooNbC8IaJ948YqqyzeLdU6JxFKozIPMSVVXwr2X+wz2RRfcXf5n6xR7Dsh
XysgxXjm/mijbA/osTr25sRdPOYYAo2gmLzkMlNlHxTNBjHrgHVQxPNbq8O36pavBpbNMBts9fj5
h21sg/1tQ4dwct9mjuR74OM+0r/UxUTktcjohJPdS1CTb8fPHrKReGeqasUlUQhjDMmcnfs7Yx0z
0tpsWrtB2WrIhtwCGvqOROz2xlwpmgUdUvNbc/GcR/Kyeo1NgFxJjEI5/3VVujOd6EP/bcq9+fno
6DZhvmNaeDq840jYdMAty9MfQunOnD0Sb+LxD27RfYGDML+4U69uO2/uHxpcczecQ+enZnbEdNY1
fkMHBLFKhqcAORnFYn0675XXNGeqbPQ/rVq763glaWpflCuhRl2u5Pe4UxNn+9LMlsDXbJv6quu6
T8xoipNnEzc3ekIKVaDI+7rOCER4pmKRZNA8SNykezXP12vRWV6YzaQthTREype8p1FysGd9lmFc
tepVNnBxYbfDxzP4jmhrADF6KhOK5CxFbBc/HwQfTLy08lEHo1OAr3NsbuAAU2mkmRBJpvnt756Q
9de0MYYT7+p9j5utB4J57FMuK4hwzbfzuzTayWDUbIhpCsl7Y+EDmnNv/GM3RV0estanLbAdEPz9
uixMlh7VxBFiQqxdNtPW8/r8tt95TtB/bPfroUtCSsD7ffuDTE2kHUX/JuzypLlekN9xJuit54oY
mgj/pnHZ5L64FRX9RJrO1U4r5aM5kgO8UCe5aC3fjpa+p+hncbz+/Me96y/+/W38LMw3gKuPIdmw
hrxKUhgBcJgZIEO6dG/X8UNFTPzu8yv95R29+Ya41NbDRMyLJAbR2NvHgOQtJ8MiadhITthbl75z
//i1xRlW1mRkkTZFgg9zdJ07Awxt4YfDWCQvq+HBcehp7gfKHfSrPhHLDkpOdeENOp2PnPJzDW7w
6cTP/WDGIuBEoJEQeIZwC739uTOKo5KFog5husjzLG8Rurh+v5+73jyMWdrBC9JgI7D1vHD48TuO
leNFpsfPvkz8CP7y8ECzIqHEJfRrb2MNBqu0UrrZ0GzK2WhPDPxt33L8fPEGIFrV0TNax2KjZiqN
aZgwcxG54+7rDHZA4te8WdP5WYPoO/U+3ysMUBjyfdmbEFzQJHj7gEZipsfCmGtYErG6ydmw72rL
wgct7e6A6s7ew93RHybXbELK53UkXNWdMXHK/yiC5/uiRc7EDGkLUcXxGNaNRc4bvya0jXH4DXeT
GGVvqvYOdfeDxHx7Qq62vfmjB41MHJEfBWDu/i/4+B8FxwyOPAWAB+9m7Kpbx+qrb9JR7tVkETj6
+Sj86FKIrJk3LEJXdOtIB+FpKbXGiWYVra3aCjITIFMRszmEh+f7JzQj7+dnilw2DxL+M6nnx4o/
yx5nIZiicLthivQ6aUWpZEL4z7fEXEiADhBq3KfHdi2tyTIqgmnDggbZ0Jxn7Yb4uuoKFqTz9fNL
vf8ibBYBiMCEfMNWPHZHtCoGxeSthMhNhTpP4S0dNEM2h1bQ5C9Ecwq6/tH1tpkNiynW3XfXy0m3
bUYKKyEUVvtsGqGD0WfrdjrQW9KxMNedmL3fz1E2ai52JSwrqGWOtf5qMCbX6FlRS3wLHK3N+Etu
eu212xnuWdEX1KrHZPiyGN5KM6IqyhP6lA9uGHmJj76FZqmBruztFNDEVWNxJpChzCr7hgDYJKrM
trtIhE6DQrDR/fyFvhPlW1vCAs0A4ji3+CX36IJTUuupZzGpkX73sJ7b38q9PIvP1z/lxTTQ0Dzx
fD/YtnI97s2xkOYg4Tw6w9V5pUYTeFMYfT88/H44HM6CXXg+BdH9FJz41P+eO99OK2+udexPXhJO
ZLAsm/By/7jnQmdnZ3++XN6fuMz7j/ztVY424rSwJGwErjL3z8SHBpTjTjy0d767vy+JaVFHv4UG
+3izXE960nNWgdSy65/mqzZc7tS5fVnu5xCxRdhH8xlajANt8CRa77S9//L5KHk/aW5yUUAbyNKx
04oj6RuFiw43M+E6FmW6YI6Vd/DNrNlDefP+89PkUvAkBQMEwd3G3/+3YNHEo9C6diCDrTWT555V
kuXP/69qfqZlfRMRexjeMDcdW1FMkFbCW7qMw1NWPrZJZT8s5IfvYJic0hK/l0puXheYrFzFtNDe
buPnn8VtdSaIM2B3Qs4N48WMliTsFMX+FoFGSWNGT76XUptIFTUI563MdIzA7TjX//0VQrNzTaRn
m+Hx+Fc0GrMsL5JytDHAnR6ng5VXX/0u1U8s5u+/B9ZyfGw4ejG+sCi9vV+cUXntQH0EQpdNB9S3
K+a900Lmbcy9/bgdgzEJdQBLKnLwo8sgg/FM5QIlJ7/Ed8NemfV9y/HOJM21lT/FbAIlGpfua03Q
gYFoU+ovxMp5X6Rs0i9pYplXdERWVKO226PlKTfphk3nCUJMPPl7staHUyepDx4NxUgOBdjksTke
P5qe9K4Fpc5WKOupvG5GSrdu2hMvYJuyj58MHRFslJxBMDMcvepR93ug0yau81XJq9ghyzgVCiiU
4eRPHYBu+HjD3J8YYB/dm2NSSmKwQ1E1j+YIryWupxQUAe10tA9+6zbR4sbyxL199DWZWBpwUjBH
sJAc3VxG3vFEp68Apg0vnBNpkc9hYrU5xQrp9D6bc1KOd7FIJPapekWE7OWluvSbRT+VVPnBtGgK
0kIowPjCZN1+O9K1rOgh6iN2ZutITrlJmRUR53LmmV0aff75fvB0TUw4W8CHw5B3jkZ7O5uZL7MU
66899zuUg2DYJ9zmn1/lg4WGV7hZK0yUKMz12/bkn7kq8RWQKJw24KBgDPaaU/xYKId1ASh//UC1
P9tBL2x2sxbPYQX7MFLYg/BhNOAciw4MoNfP1wPq9LBBp5UFpFfqV5jmUV52PsxU2Q0X9AGaqNXq
NpKKbsznt/DBO+F0yeKx8YEdtjVv70CgV52N1AAt3rvuvuoQLyKyuqRx+N818EjOTWpXHA45KvGh
HV0KPZVNKZeJHTRYgy0cjRem5eZW46h4nyuL3J417e6LbnUOKPZpWWrAJT+/3/dWFX4F3ATQy0zs
lmscfRANEfVZ4lFankkF7gmnbdZru17IgO/jnoxkL/3TzalA4lboZ0S9ZffMQYQheyCfELAY/FdL
/FMtMQPXpXXoVtygBiqW9ixWguUeeQngYs2lS52XZbZT+iYVBP//dV6M6sQI/GDu+msnwGyL+QZu
x9tnGhsth1IDMJ1Vi+UrLRPvC+dFtaVW5DtDn/wn0AjpiWf4wZjBEavjJgQszX+ORn1ZD6iXJ1Zo
sBxIQEYjv+rHFk2el+on9vdYMriDo9kZWiq1K++vDP+4mEYXu0hlmmvB3CLVCWxDaVOQppSqCaBE
uaarmuZ8jxURzIIsisesWH2AfqK9r9LeR2sgosUftaturDI+1EwC+KuMNX9cHZwn9M1KBKL/h7Mz
242bSdP0rQz6nBjuy6C7DshkplK7JVleTgjZkrmTwX25+n6oKTSczETm/FNAFcqwpSAjghHf8i7d
AhD2q2TImh1EYEX35KDUjOsQwZg3NS2VN2HO2q+SOlbuS+2k3vcA5iWaAYYJ+TigeQnnq8lR/VDQ
e3Wjccy/YuCMxL4uSs10LQ3HzxbHKVwPOye7h+FqfpfSwropU4Fb34wB0D3GzlQNe7tS7kGah+1G
71Up8qy2Eh+d2ZWlO+ZqCVZ7spoapLAkkH3sEvOlaw0FBdhRfNcotFYLU1ZMTxIepMFW5dzvNlZe
YU85CLqbnGTJteNEE40YesdPmRyauguHXwsAA2Hs6VI2kYyHMkVixA/1Vk3d3gjBrFCFvqbRRzu3
wqv9LiKTRtCnmUWAJrbd8DXZw+AgBSDz1Eu6aVPWRfMQ08QcmKCTA8LyYPaDAjQxoqFeooaYJsoA
yAMEQ6z4wQ4NI8SuuZFyfN+H6b4zp1TbTlIPzh0fadQxnSxMXusgx1yQ/nb9ZpaYV7g1d1ziWxlE
MSzBC34rWoSzuiHAq2/BXtnSBpcwGRvyAOlyuGKtGm+lTKdpwe4SAKl10Y/4XLdzu0NAAYwiOPkZ
f3rYMtdYyyNtKYTdf0WdBdyWRMGk2gxjIvaZEVj5bT72KFjltJiRktabd9o/84ykrhxnG9Rio7u+
i83ShxjQ3WWVg9N6A8oLNB2K6rYHutX+iGiisba82q0lZFX4etY57NUxbQwwkH0P/nLEAMYdB6kE
FaGLUfcnObXfqRKN6XWtTrXqGRmIHqMTEzqrWTgavi0N8w+8UNFQbOV+iPFo1DJwCAXxtRsVMWhc
dQT6CV7BpviJfUz4ILeTxibWAw3/hgHZJk+oNET9Ujaz35wo1BWqMi0kdx6WqS5NpW93qAm3ua+k
Ku6hM6zHyu9EU1VXAbQyG1B30yQeDetq3ubmoAv6PWVvXs10GOjENYrQ2PkROHg2IpqRmG5pN3Mv
6e0GPb3pZ417ZH9tqKLtPHQGM8vvPmv3BZY/wp01J4LajL8H/cM6cwyvQpF9RtUQpWl4m0op7u0O
OP0Oz3kjuUrzYAApIyRL3aQ44BT7WfQghUM+38lPant4Dq0y1K+4pXQLZd14uEXC0/zWc2G9RRT3
a1x4Q8RP4JDhsw22VCi+FJqd9uB0KVJb8aiG8DDi8D1u5eJlKFNyFgt9wfJWb7AyB33YsVkSpMNl
3+71Djx4HQS/9GlqXzE1wd2Lj8n6qAjQ6Nz0TTr4BTDX20GJS/lHb1O7dxWZ2jDkhMD5ASYyABzU
J48GWJ2vqLurT1E+UJ6Qh9RYgKlF4Ul2NoPZMFrlOunyWvNT2QzfJ+j1X4FYlK/n79oTxRIcsZBn
WCwSZLSRVgEfMClKeg22qihwJjJ6inEuvKZTMMClVRfoeCmG0eNAn/yHFGnmtdTDcN45eGb7AqoJ
cX84xxcur88L/vBCoXoD1RG9OYrrVAAPr8wysrt6ROQKOEijf51ojIASMWTjxiwLJD2bXNd/o4Ep
NAAtCGxBwVIyx1XjARxKJ2v5mxHJ03fdjLXJm6ZoMRI7p7VzInKFLU/Hnt49WeG6dmHAIjbymdoB
LAnbywjO73Okf9/Pj3J8hUPKWxZH4/pGA3AVBcVTCIpwZBT8Q1y1ug1Rr6qS7flBTjTCDkdZTzUd
1CFWGCV3fz25+x+e/+XLhSEuvcgqFqmF1dXhMkTqWm62+QB/538AI3Wf0228gX51IeDSjtfn8J2W
iOyvkN+0QxQNWgZEdsqfN+1GeNmdtkeKZqNtim1159wrOyRXr8araItA1dbZldvMV/xya/gwo9zi
brqyfcA3Fzb2qQezdSo1i5giX90qFFRaraUuT4gj4C36VtVzCmvOJULgifkGMAWjji3qUJ5ZLWnS
AFOMkFeijJDVe6M15K2ZjPljI8pyc35tl9Rj9aGqCrBHEmxqW3SXD2c6xY+AZ6gzgMsl0K6wBuch
erP8NQSzeZ33I2QeNCaal0qqw+HKSELpwmKfQNBYNNwdnQanDIJkTZWl1z5ZSg8+X0mNpLgFzgLM
E5cviGhIyKNzmlp2/x7YgVW71dS078YY2JlfCMlo8W3W+jcogPVj3zfzgiJXp4KIsRVQxZV53mVq
quVwjw3ob1aFA9ROcqJ0b9qBXbmRqCCnVF2FWPH5eT1S86K3QsPKhmxKTZkkaJXzFfMcdrAu4Zum
KWzWtE21uyJo+vd6qodHomoReH2uOh3p+SR+Fw3bHdlBoT9L0Wi2YMW00dcGjKr2hpJ2T5FJ9d21
K8QCvQKqhe5feOBl6652AvxTFTvPpXltO8vW/+ubo8pYdaNDWyNbuq5o/c3PtpZ3XmUV6XPTdxPg
XFn5Padz/DOipLCd0l7NL51mJ56C3JWGjkrmg0zkaut3Aj2eEEEZSimDI91YHRUvL4NpiI6zRuyF
W0k2/RzbMjXdWMzj4CMKXr01c5H+ujAhx8U80iGUY3SyMBr7a83EPkPtLwXL5Rn4Zd3B1sNcBPnU
m1DVx+sE14e9Yleynxbx9Ngm0fiVHQHJB9OSB6sIgs2A0IBP02q6IpNKt44SmDtgMfpdS4PvwnZb
TuDV4lEK52CCQ0FFZq2goEgA7QaEybw+1fRF+6Ldg2SBuDnN2YuuZpcqGstmWI1Hs5xWlMIlSut8
tUx9B3MyD1AkNikB3YP9FVdVi0rzhSU4sRtIfm2bSuriBrrOS3GayJ0kjLGMjzOKO8HYALNRQgOD
1mqU0D7X+R4K1zJbKGmZ3BeTa9B4/IGFnXnh5D+eYXtBBlHdI9fnaVbf82xl40QzEPZq53TfY6W0
/SZrp1djNjS0sJX464V3X6bwcIrJgGl1f6ISwFOsTuYqqEutLqglW70jfWQNSg6c1MqXKiG3pqis
3+F5WkE00PtNmxjJPrCtYaNlUEwxGZTyx1nJpivkjiipzIF1obKqHuMC0FIi4V/6B/Ql1z1rpysA
sWlU5YraboItmTe4uDaV5D+JPcyRn9eO+dvURIEvBICPRwNyxh8zzet0I5FVmW5jm+E92KqhBpKo
oVcyg4nl4C8XmhldkuotzOrwi45E+a96MOXFyhR1hwu3z4naLYhuDi6WlXoLB/XhsTcltaOGEUXM
Ji1BumpBJPV3UxmOLeIqlvYnnqTmCZvW8LWmbguWvpbUO2eqy/HCk5xYb5VHwRQdvR+LyT18kEaV
m2SccOBrR8e4aiFuwedq9RvaFJfgQCcuJ5s2FuUeQAfLlasejqVq8QSPBdHGZk7MLSLu7XUxm9mz
YaXxs4LMTOcSLIQ7rgOs/Gylecg0THYaxRRXVoHqPuiC4j51WsdN46rcS1IyXynkXemFyunxGYz5
Gy2gBZe3pBOreKuNAJ62iGJi1DLIP7SxaaEkyu1Nia36rdVIEfzcXuyxZ9MvaQif+OAJiYh+bJyD
Fz3/wznq5ECrZ60EVmDV/cRBjjrONgUwFAIMLC0cCR0YYEEyt6Aqrcr51Sf98NWR+0b2ezDZeFlJ
RXMrNXYXbYAvIJ6a9fhukuvgW3rh/D8+j5GHJOXSaJgRmK7PYwsrmjnikPS01M5uKWCEG1Opp/+P
1aACyvFnGMqCPzqcEqciO++Q5fds3J2fUzTpkYVUzPeRiOWxbSpsvuSgwcWRoPKCPs8J/Q5uNbqj
yJwg783lczi2CWw+kwY79QIH7TYDHaCbxkx6r4XN9QcwEobJThmMW0jN00PmAJ9xk0CrvkKEMHdx
3gRfqnSuL5WGTz2WgaQ58Z21VPfXcLdQdWq6mCWySWLxtxvkAekLvQgoQ6SOBu5PTX7ptQF3KFc5
iOtCeelSOR19xJqsfVDlAlJf2FyC2J84TAyFz4ZuCfcHX9DhbEkjcKw0gu4zJ938nFN78akRGhjJ
6JfQEyeGIhdC6XIBP+IBv9oU5qRoCKoEjVc6aFnUKD9s8NBL70oMaC7sv0/d0cM7EeKA/VlQ+Gz7
r86tKOhwTIyw5R1Fpk8PsA1z36HnmuwjJRT3kMo7FDEjAf9LwrONxzEDeKiNo31Lk5raTJnP0UsF
/BhTYrmLHjGVCEHNW/zlRrekHhJhMlfXFvZq32YUE6ihEOdgRuTksnVv961mbltaUD+BwCnfEGtp
vmWwPF8VSfmtOkJ+bZVe/lmbzTVt0GyL21Da+7PTx2igFPjqzm2lc7G0WRXuysRq5G0Qt9qXxmlk
nJ1wuevdtuIDgMYZw2CCxoRai5SBpPUk0dO+7KU86t1ROMGHMsCz3KWZMyrbiF5c5y59Vw27j9yB
9SmH/Uglv0hn3KbVllIvkLnXOKjxm4UGM/4a8M+CcD+M7QjOrJ+/GRN2fXB4oXrx47HEZdyaFeim
QRv/ZCoHyk4H/IMJbW1mL1qITfOFY2zZK6v1BeGp4pVAw5YW0urMhTUPzUunEsp8BnuKWDj11Bhn
idRQr9A/CaFG4jd4IdI6PukdkEY0F1EA1WUkwA4/lnQYu7mpiaWcCVaeAaz/1oBt/zgnsklRdrTM
TQMhFHKFhL0mja0NHd9ul2m5+qWWnXkLGUDfh3C9SObkyrktKNddCD9PlPk+AfUWGtcWVhJrFUvN
CHKpo4buWVD6fRxJMcLCv8Yv0Az+GWMQdA+Q3oZGQsdBIyZ9KAkCb7PeHHdKFEAjPD9pn2Jaq6VC
5BZHCUTTwFWslyoVg6zG0cLpMJJS2VBD6wu8MSOaKIOADVVVutH60ShrTxMUn5fJLmPVt5VCoQkI
3+EtrUrUduD7xyb8mBjdFUeUyUsUBxO23PgpENv2SnOnKT0qLYGoJWmjGAh0wKAm9aTBqQ3GRq+6
2LmC7W+ZOIahleDZsaO9x/MAS3RO0+Shnszgd9MWXbcNHXN60HW1ui7iKNJJ5zTpo23BZV8IHk7s
Y/ppoB5JWdD+WndhYaeEiMVUDVbPEu6epda+U4RVNnWOuWVCe40+VnQJl3h0EFsUgQGdENexIqTQ
h9s4aGLgy4iYeHUm5fvASpprSH7EL8K6FKseB5AMQK9waVCSA3Lsr8bCISriPcAxFIhQ+cEoVe+0
KpSXOIiSn5LeEUEaISLxCLUNz1Cg8J2g1mrcRSoeN7Wq/DHrTnZz/PdejMqaPiKzab/QEpi/nd+n
x5VoyrsERtQ1lvAeCOPhkxL2t1azmNJpEnio3Ry21eB1wzQYW12ppvhOSZBQ2whFYC1JxBcMqCWM
A41N4jbqfMg5zl5JTX/CAxM3JXwLhXYpmTo6gSzyOxJcGSsAtNDk1UMW7EFWT4MxPenp20iF6s9k
5JCtnFwNvlnGjDCvNZrT71AkyWs/y6glwQMnxkHCyNa9UIHz52VWVsFvUoY83Mu9ACo9dMgl7tGi
JHZ3PrOyFtj4jvdD+CTUBRQw5GnSfoOIki18Vc9oGdkS4M6do5WzfuF4P65Vo7QMWwNOu81KAJU5
XAzdagtrSEEYNX2u7/tEodOiVbi+R1ZPhSWzN9BZer9TUAuLOjoHDhxcyHu0ly9si6P0dXkSoGB8
m0upeQ35bLk6tazgpom6/IdN+9NVjWYXqdJ1GIfKTu3HLTCevTWhglnNOY207NIh8XlkHxyhn8/A
VQcaG1TBetUDTqqysZZnUJvhfggBVCKOrJo/zBCzPrcJc8UDMELoYMm0mEL0ZQZZwTEFnMPjAijZ
NFEx74cisK6aMJLvHJ3OY0Ct7LYejG4bF0GFIs847rKKqtAUUM2jhSajAZBmvlnq9RZwT+jnVQ0j
v2mrrV0gplDKLZLlpa3e2HXdvp6f+ONDihelzAunYAGdfV5zf1UZMRPN2sYxCGcaJ3iZ5bH32xIb
ZkRfq6d/PhSpLRtN1ZDLMlaBKTI4ad3GEDA6faDFnJnjVrSQyOEjllfnh/rUyz5cSvIu6i1L2ZI3
+7wt/3qt1pKmsKoSrqxiRrC2GiYiNWhveY23KJxma0PIVumu1lW2B/F7xJ6WIsmgLEJj0ji5slXJ
CQxz86cssm6PnyTU86GsvqkanE0cVquNHSr6Yx7l0gOlbuUxpO2GcnYsrvSqD7djmncZEg6FvNfM
qdoXGIvcVlMpLoFFjmpyWB8tl9oSLQEHX6fkyoTOJoXB3EutyfyQoyIrNqg2SY9pAHhkC/6yl3Yy
FiQajp1xNMPo7FH7HDJB74scAmoxeoKV7pHtKVdj24WRqxSGITbjoMtXQrGhi1aDFeUol2TGq9oK
7ff55Tq6nnkF3HCoWy6fHun94TGkOZzz0ZyiCJT08b3SBeOD6Kxh78xqCgzVoSQyx5eOnNODIosA
WRhw1DomwIujjXVMloDcDu0jiVuxaYKw27TITL/N6Ti/6K0tLiCXj8NGXhXXLwJOwlvI0KuMCZO5
IaRsVoB+SEvsfgflStQE8XBriXqCVC+9mf8hpZAQMJwWIZxBjlDG6JQaFmqC6fL5uV9C+NWXwsnL
fcwmoui2zkw1fAnbIUOH04gZq6Kxv8OFQr7wQZ56b758ky6aSbOOovjhEuNrkaZ0r0CiT7V9i6lg
+HVSq8yDPBXtW6cxNvi/6vcl4maPkw4sEy2X8das+2aL3NP04/xLnzj1eA5aeXAi6eut5fa7OR4G
xNRyT4m75IeZ5Ahfh2bwUw4dIpPzYx1XNBck6l+DrWKzCTo/24wPNMSI0I9i8xoqzpY66oBUSlNQ
HI5/sMLIK+F7WebZ7sL4y5ZarTDRFg+g0T5xsEs5nHotSwGgIgBDpSb5kdiS8y0xqsjXUYMBZM4F
I+Zk+DbR5HwY6R481Q6lMQQltZdmMKYLodWJ7cZhBcCdRGXZcKuyEQ6hlVJoUeGlCmiW0JSMKwPx
8Evb7dQCw3V1iDRJJNECOHxnS8chN+od8A5ki9gH2c2TOqk1wpigIN2+QA0jKdmufpnnxQ4GpRZj
ssVjjQPu7m6jpRk/oCNRlBZymFCSzbPKP78wJ6bi8x4E87+0VNZwhKjjXCos1iU0qNG1KKHemGll
7M+PcmImKGAjwYzOu8r/WZ2t0IEmS48x5plsZJjmPsZqLkvAfZuOciGIO/VCRJJkO/qixb9OQe3S
ocnqcJTgPeDc6AjYhWjNFPPz+Tc6prSSyH22x3VzoQit4d1GGOO/riMFNGIS8oyMcJ64Mobh5iYB
tXI9RQNgp3xspn4blXMEG7uPcGTFNdDCKivqnzVnjIsdyls4YEudAF83h/ZEJljoqu6aQ9Ai1BYJ
irbnn/zUBIH0A+YD+Fg7IrfiRoH4Gy7AHs73sW83unODwM0lB64TK071k5IwBAJYYmvEeRmVqt3G
lDgTJSwQkpMbX5P0HL9Va1YufM7HLOuFLAKAFQoonD9z3XaqDXSDIprngHYGEgUJ0VZirOKhyFFD
zUoFgcFZmzd2UVp3qobNYoqrsBeEuvNAN1HadHJPYFw77ZcR0NeFtP/U00FD5IhHRUCjFrq6bRUx
ORGEtgJJ0TroXPpu8oc6h+YvonjFvpsC2TL3CcIH9yLR9NJvs6J/MjWb3qbFpxKgAyXnjWtbI1GS
prLn3Brw8SXIxYl9YauEh4uLB04C68SjDGNqhmAmPKoX9b5Toe/O2qWL/rg0TnMJNx+bQxHdbYyr
Ds9EnF0c4KFd7RWYynttP6KvK+Zuo+IdCKI2jjcWimD3SdlE9yWSu9kGpfjoB4q732ZF0jZAq8Sl
c/o47YMWgUkrtFf2Din34TOhtlqDZNWRXyqt4YvQ20XJrkr/IAU9b/Vh6q7AwvhSkn+0JNm+Pjpi
NyhUmc9/mCc2Cg0tnejEoprNw6zuixEadwOlokJlxZTBUGeZT0creawpCj8V4YwGOObJu1CW8eis
Ess3czF5Eg51z7VcQUoHDOObVTnvlVSrLgSNx5EqTWeUbqDtgl7TjdUuRiDXMUTBmkkSiNe2Ke07
VFidm0wbMUGCc7eTssG+0OA5MSgLQutqmREqSquoYRZF3xgdek1NMHM7IZ51h4YPDuhjOXlVIBWb
MkIs4MI6LL/1MFahx6dCUF5ICiqR+eF+6CMzVVHqq7yxzpsfEXvmGY95+bstBv0ejUjUMdCNc95M
M0KWljKLqniFgVwWGjNB9mpGbfSrQQ3gXoHBuyClrOlHpxbmt/PPeeIxyVNIuAAT0txbr0iZdY3U
ygLMuZW3267Uo5uqRj5wKBrtJ5D1Sw47J+p7OHLANQYbhnMS63E4LxUIiyoxGFDvgVVzj+AjmCn6
/B0aUZhzmav5L6En06MiheO3Cbm8RbBIz+1NIFrDj2EBqFclwU7i19xs13WQpB/oRuLRDTcK+enz
83N8BS23GxAyMlKZYGAV7WeQ6QCrUKxXJHkg1A2j+7ClqNHZSDD986GwqKOoy/cJ0mY1M71BBA8q
lRMEiSIf0UXHFXbSuxNauBfe6sQnwcEJY4ieJ6tgLsf4X0WFKKWQJ8n0JawSKVHQ6aX9a9bU8Fpy
5AnVYFSzAXtrtXxJwuXEdIJbI3xb4iqTwQ8HRv4rQxxRRtBBqSs/bHpnU+hF6jp6H14IF4/RfxZq
rwy0xLxIH5jLJPz1knaRAOHRl7GCtLDR2x2jj6LG3HmxPG1bNx01cmYUsmdnO1qBMfgWJ9J8JTIT
9X1JQjTTJeDEddasHAkt3JxWpJnbmKKjoFer+xA3Q6S5w67ynVCtgo2E1upPYSK37fZg5x0cFUgT
LpwsJ9aOhjBdcnDGEIbXnCFROcAk8kB46WhErzhLdjcaF8Ktgf/gE/AReZPPSfLl/N48vteJiQxQ
qYSr9M/Wwmp2SCEPcSGkHaoy8AUFUFdLBvlSDKaxJKtDc5FbWLBxsMwwHzlcslHphrRRHMjl8aTC
UZjML+Y4w9WHjTK7MZ3YPUKcBjVoXb+XSkivQGlQEBGETRBBJHs/OnNzEclzvGsxI6TjrbCjKLCs
PxcJz4yJNLL21Mjm2kzIODa4MBgOghrK7HhJNIDjj7B2lV091Kxtp3TVYohUZRmaoIEVukWTWT8j
OU8f4qDpkJjsstfzS3R8kusg2ehG0Y7AlG7da7QznVaVkCEWYdTw08wi6BClrm8mE4Fat83MaHd+
wBNhGLuLu42KF1gfy1qe6K8PjDMX2yEJ89K8rDQf+SET+XKAEwkicT+JhKMEbnFtY/SsV9dGNg7b
usFssR+18AkEq3lD2/kiuG05JQ+3ECQuvg8qMyYdq/VXn0uFgkSxiqQXAlQCXqRt/U5FlPyIDDF/
lCm93q2jd4ispQJyid+XXfdMiSovt0FgY7KQ0TCBAYq05TepbrV3UNmNvrGbWZG9cQYkrNBm+H1h
Ko+jR7pqnIjEzlRYWMjDqRwqQHhyLUto3PUYkvRNRitpMsa9SkfS17VJh64YjVulNof7yrFaY9PL
QntHNdncnn+W481uaCYQDwrOYO+oYx4+ikC1l/gavcomFG+wnJUbp9N+wwdqLwSDx2cKA4Ep5VIF
KAZk9XAgKbLinO3FQPUQeIqSJrRR6U6cf51Toyz5iA7SiqbpEQldDZKoakl00iZiU/SF7Y8lEtHn
RzmeNM5G9hx8wuVIXnMq1b5EesNUUi+OytpbkIZbxDLD60Y13s+PdPw+FAxM2lRMzdJ/WM1aRU68
qNNjApsWxQ2FQcr3Q3NRnOnECxGK0H4nQiBgt5fH+OvbbjHs0pQqgGc7pM5dLMbhI6TyvKkbRGgG
tua3MGsTF64tvsTdDKBe6foNAq2VFxY1fU0EEW+yMEY6Pu2sC1f78cOROyjgp8klyALXxl8c00oQ
ZBmkUr16D9JMRRmt0Z4SO21/np/tE33FpczBTUs7z+ALXX2YGoKNHCGp5GK51fL5zUrqJoraXAPq
TPwhGfGkl7gyPGCk6iYwo+ala+rwlbhV/cdSEwgpLEwsG5jwApNbrUlSUBoYaAdx3YFs0OV53Jtq
mF5deOXjNoyDFo/B4cnugcW0euVQ6qYgrTAYK9Q6/epw97uxTSsGdWbwKbqcUH1AVT9t++5da8ph
g/ZN/+v8QxyvMJV8cif+A9sc5bvD7Qc9GR4jdyREBjPeRhOZIYWLDhn/6tKsnrjGFm0evIgJubGS
XRNVcOfjzM3xJ7SjEscgo8yWMlqctcoNFioFer6RYfzJytmKXYpV+t00EQ94gawDjNLxoEUNUO5p
fMyNnVje+Yk49XS4kRLpIa9HArtm+M/ZgPYZLotArWz0I3sE2nYqnN6XFo79C8rv9XUi93LshRoE
G+Au4Q4p7ye7sOGGTOQPeLvMuIqef6zjU4jSHx+FumC0EQRarQ/eFFkktWnuNWOXgVvT872JYvc/
vYoWlCFMF4qMZIxAqQ53gTImrUyGWnh0oKRfIovLGxrmM019Q75QYDt6IYaiB2rLsIQYb70JkCzV
RQGGyHMGTAv7RAt3pOj/uK6Mmq8BI4m7HlIlfzh8oSKQkNMc0HuHeSCuAC8h713b1ub84izTchAC
UW6nEEU5ii8YBOnqA44zax4DRBG9zC7Gr1Uaa181ZGRfLa2R9+CbTTc05fpqRMEdybu5/OerRkl4
8bzkG5Z5iMOXjIPeKQuT1ApIylJIdYqdsDs8ZEq8ns6/6VEuxHrZC2h4afgvn/DhUIDICPobhEhU
tUS9K3cLVcHF6joiNNfaf+70t6i9LJj+T3QaYkqHwzUIzDiiX6RmbLPY59zOfmUONh3O2dyoadLv
0qrTPdz0xBY+GzmSDeBBofnrcm/GPmre/dP5GaC0f7zaPBTtA2ACdKHWN5Q9cPHYFVYmlAmwuxg6
tJs9Knky4JdCHRzPSEesL8ZcCx94ALz3JuDkb1lNic61S01/j0MwiLvICIe3udWmGzrY3a5COUX1
csVUwennBddeKIwJoYGmK2fAQc7cckFkgEjnUOmeAF2YLWyVSjaeTbPtdBeiAxAx6rCYhkXKVL9E
ATLMnh4OCFwE7YBgslUPU35NEAostOAQ9mB+o/IihxI20O2A241ftHoabyKzVO8byQkSdEf65qZD
yArl/iKyP/Jo6q9MMWYSHk3JjIY/OFaI2b1Z39O0shPEsQdsGZ260yIPIIH0lljxcONEQPsg3cca
ezQMMezuBkv6WSK2/S20AhUrv3r63lmN9h4mpfRTyLFRYJtuRKXbqanlcBd00j3+vBLu7vogEJ4m
Sqpu+0WCaCP6Fj1iIFkoO6fyjLYSKJtE2s9yFO9GHVWkXR6a0exWqkBlzy4FwgJY38kbqVGdnzk2
CbwgxLTvAstd3ZU7GQ8uaYIx9tBGOgeVgtw2MMB8xM2pyybT9DujwiIrS2ZERxHXZJlGKn7Jlga0
+NHnZa6i1d7M6Ke1yfgCUljVN9Yo11/rYsiLTee0+KyA9q0ttwT8Xm0gCtHiMJQJRanGsWThDpPo
XmdcGV8QcacflYiqLbYZuyQEgijG0newfiyvZ7Gw68Rc5PQfOi43rBUo5m96ZGJ7l11mGhs8TOnj
1bWJOddYCBT/yKDVcWMu1DiomXP2nszNyIeNHL/qhiOGPJpSOoUbOgbmSIC3utfOyWcZieqeSJPa
c4rj8DiU7xQ6u/HZkbvqNUUdDDQhACx2CJnoLQ0BWfFapQHFHRNERWCxtP5RblHu9orIqhdiPu0H
MISRWAzXUwQr+J4iNwwG6ytqIknpaZFj34u57m81ZpNfZ4WLF57W67M/Q6jEg7eC3OqV2eKtwEa0
FpRfavtTWRqjS2GYY/j8UXB8hXFZEi5x8C/4mXXcFsxjUiepAGwcIvcvyy3XjAPU+/woxzKDCzsL
jAXfDrqR5CCHh6AqLCtWy8ULZojRtR2j9DkbVBPbAgCpQaRnVxQGnC/KqCELXRjQXFSpjRAgFsaj
pWTJ17GrMFOiJOe8aJlj0sOuhwsPeXwDQlFYRGUpIhlUONXDZ9TpoM5dRi6iVPCQvHiRJXbAat5W
cax/mUdj+gpqCH0Y/CLdnNL7/vwkHS8F0DuyePgbUDOpyRyOD2hrBkqho0osC/uhLLLxuWlk58Jb
HseG3Ec2dy0JirmEFauLnkKPmstRknvSQJdnmLeB7mD7LL8YobG1CuMV8NRtYs/oW2FGO2HLifKL
/FDn/YXC3VG4jlIXbsRQzGjSks+vLkZFFXY7qHC0Am0Kfjm4Z2yKcm5uKhMjqH86tXx8FONsxK64
+p1VX2XQqyEjCl8sHoS1E1oW/BGN9Y89HmhgLgkmGQjcVwAHhwuoO5NhNTTPsBht0+2gh/pLHDfh
hQrIiWkjEqT8QWsKhN+6/Y9YPZ5JgipVHfQppib1vMUHbpHrty7ksccbElz/IhcBOhKB2bUCZK2B
XrCwHvcMm1Alja1pGwjgx+fX5hgbxYrQowavsoRJVAUPp60zmqhJYvzqHRRWsJUqqF55s5zOtt8F
REUuBMUBTyKyKDzEkmn4lhmJSLCY0kBBB6Lq9p3WZf2FD+XE25Om0JxF/ZXK1meS/1cxo4mqTEcP
HwGVujB9KJe2nyroGp1/+xOjUHG0F10OAlKgOocvn6pVg3UnVWIrUzCcc7rhXs4y5cIcn9gzdNgp
wVM5Izdaw4uNLjX7IVEWATbkBoekEVsqzLDTautSkndc/Fh495R46TUsALM1IFMEZcm1WZFIWL38
GOEr85rMzvS1i43oSsVy4LHrlPRLGIQxsuaqielYarxUPYny+an9xE0epjQ8icahSgfXYZOsDvRI
IF8cxABlTOTC4uspmOXvUdq1vwAoxuDRoME37lANhX2D0Jf2qgxVEl33ZjxlXm63+nNAb+arkpbY
AxYp/IBMLbv91Fpj5Geolf6Gng1wVKW+e5M5k2i28zzI72k7jBoyNiEV/ETk+R87GGp1U4YltcRY
n82v59/zeHFVWix0WsAvLvqkq9dsE3MUCiggDzHfZEOpUUd2MFG/Q5m0Lwx1fEUu9V2d7iW0FDCT
K5yAQfUYMg/Sz5Omxer1LHedb1V6E7oiKfX7KsfC2i/xbP1OVUIAAx+M6pLi/HH6hnYmlwbIm6Xe
tH4Gs64m1FgwIRqxqH4tEkxLcI5vtppVaT/VKB23elClr+fn+Dhf4iSAsMGKUuQ+wu1hY9Kwl5CG
tecGnGgwGMY35LqMuyaIZ27S9BLT+FgDbyHOcOywoHRJnHVjNyXJkDMd0kSaKtVzbs+YKStzjh1a
Fdqdtp9CLazxc9Okp0h14ATaqcieLafosC5rs+gxHgLSi1JISHYpoLyeU+xYNloLsQB4AZq6e/pN
1e+yKeqnaB5KWoBGFP/A2clB/BQzkccGbjN+kAXtK2yzpA64uJRkvgjLNL0dg9SUXGwjK9hQncDy
pbKlXNmYOmiZDXmP/keypqa4SvCN1kGNNKjpVjWGpvGcTt9rqbaiBXoZdFdjyC3pFpxbl2hhR58G
fUE+fJqPQCXINZa//+sMrw3MSzE6xJVsbppbCmYdzASMlnVICZvzO+SohUTd4jO0gODDd7jusIaw
qmw57jsK21Z2l6qQ4xYBrvoKv4LqihQ3hC1hqfdBmSL9d37so0uEsRcbDQ4Ayqb89/A1oXZJIYxJ
xFHomFyDPqg8fkDbf47yv3+P/yf8KB//78nZ/Os/+fPvUqDsHEbt6o//ehAfxXNbf3y0d2/iP5cf
/Z9/eviD/7qLf+MzWv5p1//q4If4/f8ef/PWvh38gSw9bqcv3Uc9PX00XdZ+DsCTLv/y//Uv/9fH
5295mcTHf/0HhhNFu/y2MC6L//j3X+3f/+s/Pm1B/kewa/n9//7L+7ecn3tmLt6O/v3Hf3N3Jstx
K2mWfpW22uMa5mFRGwwxMRicSYkbmCiJmGcHHMDT9wdlVtcVVSlZ7sp6k4uUdMEIAg7385/znS+D
+M//MPW/NsMAMivBnQ1zyn0hv29/Ylh/MffFf4v11Ga7vWHea07gKX/k/GWwVdyY8uwUGeBxXw7N
+OOP+O8xMrY8nniHzR1y0X997p9+Q//9G/s/9VjdNlkthv/8D94D2+r/95cg6E9g1gxkto02l/tw
bwyj1aOIKnqQYVxIIGPS8ybSWDW+UygvoWYRGyVXlg169UWr6kENUKfHneEiYOxKqphb32qFZJdu
F427CWTVDORmHumEqNQaM2fCD3AlQW3oAa3g7leoqSAo576QKzmlUbjKCRZnJlDArCmzjoYax09M
EQs6+qZeJXUJIn1bQDJa82isG1VEqZDKcK3LokUTXf3V5ozv2n7bu6lX7TThAba7aAwCx4fMEbOJ
FrKIGZeasKEE+olokurdoP13MgKv84qoGw0xHyiGH4f7OYbh4NN5bxlh1/c6RhlP4It4N5hGuUmg
02BVXI/e3Ku3LsFfOrFVSwNDusA35hQ+17l47spqrI82xbH6nh3BCsY3jzUdMWrqSaHCW1hjZAVl
yV+3PrXHEvLcDTqfb46xFuhyTiBXaOlXwtvPTWxcECN8YJ7WWS/FfsGYkM/Gd/Iqd10pwefSW8QK
OXYcjjuNbntBwxsFtNeKXsmnNR221Xfoz5wajMhq0sKvKIDnx3ohUrHVZLfdNZXnJwYOV4kQX2Z5
WdpkV9fpFZ1WYdE5Y7D17x6zNoeraabOvS2sswcZGg/Y2SxxTQvz4DTFDnuMQUajfV7W7prsxqRf
K4zyT7IfbtYlhf6yLPAqHZneSbrid0m5FdI2Aqz7PFzWWLd2g2PSG2exdzDnpfi0ms18oZfbvIyT
dlbF6EHMgrkIqKiwHiQ/JO+vBHNbahx6MIx3lT4Z/rRMyDtefEhk3++reUmimZc3bV7mEzW0LWER
WP+VnsZ78BeF34n4hPEbk80y6NfFTKfigTI6GmKT+oFTQKj31XNbiISibawPRb+V99rjjDTirm36
NPV6c7Lt3vO1BegtZ+L0SvW+g06hfoIBUUXDHaT0QvZnqTDPXJ3AUBU9kvGpcZdLAjrMihoy5o8N
AksSYa8uKDOnzRhqKW21btUeMqu/Z4PY+44T17upny+ZA1iKXkKqSdfmMhmYafjdh2nuBZyVqC23
l/upaw54IgRVHKLes/170kpJPk+htD2u5G3fw4BoKvi2Wgp9MsMbTc2uAcmtaKnj7KoFFRHXF//n
ckrLcb2Ka9vYDSP/4wyORYbTtm9HJUaJpCvvglJd+96SABXXsvZNq0VIJ1721s+FySEuzb85LU1+
gTDXL8NgGWch2zlkuGGcMq/Irhy7Na/tTGJ7KeZDCxWj9L2RdLJbrDotejGhz7WV/W6ox61Z27gm
2ru1Cyvx9TCaXgA6lply73q3epaYU+Tlmt3szGH+QqrimzS0eteKiho7Vy/rg0ny/NxMrbbPy3qG
4Zfyr7u6pQ9LqkokFSXRT06ii2S/2il0xMq0fFmLIwWASMmjTsRRNxgVh7Lu9pTdWTxsxLdZCVy9
IyLqIQT6epFMI+nRPK9uwO6+a8p4M6Ttux3b+hBAT7CN26URj6T53TBN58fCaSkUGSndFOJJ7UB2
kH1sz6oVn5Le/LQ4dam8VQal177t+r3bHHNNlQxVqdLwtbg2vg4eCDCV08tlVnrvmt3JJWtYCovM
4zAcN8ot7WqnPmupuhnMK9Zzf4RTcVOS04eiw37OWiAzqJMwfUXdEPG0BQetob3XeeOFdukWmEq6
772s4ncY7q+lp0TG5E2+ZxSVj7HL3S1z/EKn67VWqMpxFtX6pNegg9XY6475ZFwaUm9FkDagqgPC
38UX6iPrG8BFCeF5yMmQOA9Fnd8aynRZioRWyqZwxW5yFG2n0MIQ6mPjBqLoXb/NQN0wX8AfZPVh
W8grLV+vB3MyIp4n/sie1RetA1Fterg27rSks66Yh9MfwT8cOaA8OCIOXZTfsR0OxVZv56E+jm4q
0SHVvWG21qXgZXlsEclDPLauPJAS7H1bKu9kBAPWHCtEXa4YSw1VkC3OQ2ykn61YfnKsxjkv3rOo
u0Pjdrt56uh+L4fzGlO9nq/H0bPHT1Ueq77jjce6P1srvrPGn8rupugW3qYS6dGwuPeb7jnpoQol
8eyiJblehHfjah6KORizr6x0I26yxLqegWHdG7OZfDOm72VbRnga+QaVYShusZQciF7deUJC3Zj3
Ii7O0AHSENsurUDm4JeVrb5aQ3e/ePW5TI172/2CWXY6J2pOeW5/IHx+03XDtdqMw0FZqphzdFcS
U0+bNy8Zb1rHOslUu64gyy55eVfoR1WZKW7NCHadtAQsilGzD2jCVJXXmMXPycJ4o9aUJ4bhF7tV
bjqRcg6v+2OlJ99ZfGVydJiEBLqV3iC6lrvey8+u8t5qd2PDS2Uod2wOXiZvxVths8M2Yi+i65C5
SlbszSor4X92xdeWdbJpH3XjzZW5P8FW6PNv8L6ZBzQ37A0INMlApQExMwLkNL+lhjjDjde7GkuR
8Cn9DYZBCyBLH2xx6ZWHSulfEJoyPT+MvKq9Afv1+t2FKUNOPLDBgo9zx9BEHqp6vNgri8/rCip4
ZEVxbN7tNpF594Jucs0je8t+Migrtjy9e+jgRMpR8hpgMc5yUIvtnu08NqD5ILRubztfy966cTPj
NqWqtyCyW+kDtxEHDOWzpZwrw1wRrZlPuPkYrpN3XY3bqvhSlE5ocyYrvUg3v/WqzjqlZ7cjqWMn
S05zg4oGeD/iNBhY9DO7Snf2ynb240ROEy9tr7lb6XYzU/OEMLBLGZjWs3fTujF8suow2rfdAHiB
x4FRX5rr13UzWn4nPe4Vjsd3uUfq2WePDO7a6mVAxq8PGUUYBzWujquxt5banydjn5Y0u7fcLeXy
tW2S6QSNtwidGFqIa93IORX4abVY8MtueQ1TYXy3dop+tExZnxrFyg4JfWyRO+42V9x1kwue/Vp8
GhbTOOZtg7hkO0AZ6ezM+jsI//dVf+OkeXOYOMGGGC9vdHe40vrpShcRyucS6g4GDaaYDktkU9xb
RtU+z4bH3DDhN1A4NIIGeVeFjfnuLMWt580wVxrVlybt61X1AJeRkLtljQc4gFmQLtquKvqrntm3
L9vl7KrpQ2eUaoiJwOf5O5blvoEfKgJTwgGXyK5F/cmsZXqScuDuNlHM/N5m25Ors8kJL/2S6rQm
OPlLk9CrWkvjIV5SIpbe3sCNAjD+aFrlo86V6x57omKre4Dfz1hQQtgyqb/qF1Pcdfp2xxtl2I4G
IX1s6t0QVrQlyGY5a5m68Pvli/HxLh1TRyFsNgUUBh+yrFl2ACwiGgn8JbNwQXCzZvMBK3SYlqrw
Z7Z425Awjatdq6ifjIy9JtXj8dI+VGZzATAniWUZT4Pav2z/yu7LZ3UuHrJcecUMde1M4l7R1Heh
TE/S6xjfsSXwvRjOVleYTPCwWIMjf2iXeNeV+a6au2u11E6KUZ1ouOVdryY+o+4HzRyeZoaFRvM2
lDxezg8pubpSS0jhlf2qDfNntNfPbu9cA0qN7LU2/Gz2doqe7OusfZqb+GKO1mFsEnuXM0DkMFJb
USJU40lCxAhsW4kjMmnUb68da646+8rmsLHSojzqmRk5ZM9VZUw7ZuL2ElYJRbP5Cu1pTdAjMM11
kBHI6LyKKeuvUn2Got5rkEDwC8glgusUkUeJhFGinZ682vhMTuuq4F4RM9CEOGWLlKr8sNSe0My2
I+B5SkhwKlUL4tqbD5T6RUuefl5dGy5lvQwH5qdfdNUIoTX5ePpDXNE3eTzhQLfDdHhPhXlqqFBU
Ou8LcLtHL3Yek3La243m11VJMb09v1nFVazouNZByPg6Dcd16t1AQpuJT1VhbKxXwM63znfrhEyW
X9kzu2vTag/UxbAKGeyUD6lAB/cN65Mq1T0tNJEOydWRrXNKG7lznOU+c7KjNpiXNaWzD2warc4B
q0zUDc0rFQFRy5tdqnmkO0PoTFPgWuW5ja1Tut40TKAd8xNCdWSI96RRonGt77JlCrJ29JumZ/Mn
YCRA76xvVACDVS0oBWVnTMXRtZ6od6tuHyxrOpi83YrE9ZVChGqVvzZlf63YyvMgIKzOD52VXsO9
8LXki2Q/GQLo3AGlui7SKcyFfG4mshMpgBNAQErx2NKekAVE/xmTJ5d8ICEQZ8q7DWcXKD/WLQY7
8ZAsV7Y2W2VYppyrOLx05dciwYt8jh2LbZ5aNJxwaOjG+p5gXHhxxsJhITRn9uJQi+KvZZqBqUQz
nNf7lJQtpTR165l7ppicetZqUb87Q65/1aRI7vu0NvngWmZ/Sdu+evVU2OiBUYrqvY9rlvUuz3m9
4NpaHsyldAx8F8tWCyG9/GgIVKVQoeKgCCagGgMrv5JTN14V2s3EGU7xF0ujSCq3jR7/fSz6Lypn
RHZ5qVsacDcTCj2KOKZbuQFOuB21kkTyzqrS19JtKg4lJsWnhrVMdoD2jEOAWt1ihpI2KGpQdYCO
doh8TkRN+bxz7F4laQ1TOo30VLvY9ty8GOtiXI96qr4anUdH0ognIQlKOECULCjL0kfdXEdpzyY5
NFJTwOGvrAa671g2BX9DmWv6z/s4qhW7bq9qvlx2V5OuuuFm6XxKhtVh6aZX+4JrwcUhsflOef0t
/SezGu2W1vEyTkPdGAfKl6csOdMbOosw7vLswg8mHzFTtmdJgy+u0W51HirH4abJprp4zOe2eCw6
z3pavVi+K5Ym23BVe6LeWloXWQDioJJkc7aThZxVXq8W0zIY5Sa94IHemPgmVjOJ17DrnC4Nksmq
aAphwXAIV3Hc5KDc2/cULFiPsOcmVpaF0hVfay3JWHjwqF8RM0U7O0i3suehW6siMtZ6dkPLziwJ
/dYwoFq1JU//ODo3blfSjVO3zXjFztLVg1UDo0wQhZdlYLpLua3j0hJ+kmn5gybIVbEl8KyVHX+z
rv7gTsmXrKiUZ60vl81hV2Tqg5RWtq16pvpZEvawgkHP+yWUyvq1yaySG7CoMstnlIEZZZGL1v9j
pPZvqaH/UuP8SRf9rWb6v1AN/eH9+9dq6CVLvvd/V0N//P1/qKGa9dfmI2H3iqGd8cXW5voPNVT9
azuobO4+/Odoz2jk/08O1Y2/mHFs80LIXcQ8N/7rP+VQTfsLuxPQSNhlNgIrru1/Qw4FofuzGkrI
AyED3wMOw82D+nEgkDE8ypDqozgp9emKGi/Opb26FmUgu976hqcdNsAwEow+KO2yteoMnWDFqTi3
7skKaGuQFhPbPUaDU3mK6a4wv6XuknW30jWUi5oDctnHeVuvoSm7+KWkd1n6sz3XX615S2dSCn6N
fKm5/mhBqQvsoTNOo9o3yZvUtTY5K6SDTq4ucOyqdrwr63hyrha1hrkUaxUHl9Creof2ek8tcu9I
mUXbXy8CVMjBwm6OL4s94lYp01e+ntcd1qIhxXRrJXW6vi8rvJyzPRHYgwSftwc3t508aolNI6Ch
scg1xKZrqvsF+wFKBy8+9XvdlYhiO0qMJtNFh2xckqhsvDzzUC2OMCKRx3P86gp9afzSYjp4sRsW
viCeqCrK/MpO0bHWqTcM31Gs+Ns4NuNLV/Bg+t1CLTym41rdjRM+vUDa7nS/OAmas9pR0hWqo0xv
i3Gw2L+NSntuGpNWtVnvun4LbsM2F6o6tkHcDDDt8la/b/uFspwkMa9imxFwIJby00KIG4+a4uUX
sSguTTDQb782k1lIVrQ6fcAbYmAEK9iuMK+dQnSg/BUDJFM0WXpjFhJxqchnI1VDSlU6kEOens7s
7FWg31oTm5eiTOkTg/hn0JGVj581KbHbTe56M7CwRwUi9T5rdGPXs3O/z1qz/YpjZSiI1VOa4Rda
/WkRWnpYeb7qsKJg+nktK+tbbRUeSd9UUieEAqSUO8PEQBmgORdADFP9oTLGCXlIaZo1Pkg94bva
QA5FaEBKbh7LSRhtuCWsx1dieXNxrpJGuufaFO6MSo+OaMTQ6OzB+CJziJ2aDxxuWHGrpcWy6yHC
UcmZsbRflO1VuT0XRbNTB7N5XBcrv9pGe6FV2Oepma9XT7yPBJcxN4448WIEvrTMjslULpQFxJxi
MguzWecJNNvxXBJj8vu0rN9yq39c+r6P3CRRw7FVPapUHfer7FtKp2jX8TkENL42TdaB8YK7Y8K3
T3T4jiCzp0NOuDJoU+VZlCoWvtjYN6ZgKs94lv6sttyr3XiGfIXsmhU7wWc+0AW3pwbvmYFI1NTZ
geSXwoYDK3CxaDm6WD9Hxap+ozrh07rYb51dXmWNHa2zzbZdmu73tTS/KeXq5258qyyr/lD3Ku9S
uQ5+1hQ8+3EVxS2dm8ZC8yMbcPZy0vmWqNng20us+amOGoZ4FRYknPfuqIGGmBmWxApOwJnJ6Cpk
9jbx+76aY29vV8nZGzpuGmnpL3WTvDDtoNsreTU750HmZhrIrOT4xJa42yLQkzJeWidPPrdpdYfN
57iizB1yLe+DcuxPoOTRahFjkjRmWFu+pAlnPKJsNSZkVfJiVeOnQqvs+6Ftn6xWflYqcSNX6kDw
Pah5Uh6sZrzGLlw9saojl4+iebdzTdk1kpyfnlksFjO1GifZ2vc4zka/nKiuT5MZJ2fCYakkTAEm
0tQjfa3m3KfXefAnoFd+a08rnP2JsA5O/p1rc8Cu9bE95KV4NbJ+2uWW/c3N++K6W9XyUnv9bVJP
MtQmg7F3bHvnoZ/4RhydeilrcC9qbfdBO1r3/aC9lFLlnGRQHJaaxR1jpUOO6usbjXXEeRcRDd9C
+G+1B6oJLKcalub8ImYcrxUj9B1cfyuyjSG9rrGTd4XgBGir+SGZyOMhsYcjFtCT1Q6YRDLj2si8
/irp9Pw0OkwkHFS9yC6mK7cYHhhM3bZKzhLSZmk4OutXUDP3lWZ1J3sqabB35KeyTKoHMPxzUJKs
Y+tVdmEmdP2AMHLQtWm+uH1phAnajt+qapgZ3ZnhWCR0ZKOhUPLPmTT2vZm8VXI0HyeJFkzJLrMZ
WuZ0btO807xDlWYo1GJqD5bsn4hqfMP+fV0g3NftkrNcj89VY3weXMUF5BIrl1nAeOWWY2OotHdl
hlM10+cnoc7zjnT8SZUr9GUWelnunTHWA21YmCDZjp/yRPmlE+8z09wX1HAdiELtRMMBzjSafWN5
YblgDBOdcjuN0zdqpE+A7S6G1h1xPSvHqTbvWN+qCwO4xBdwX4hc6bZvWS0NV/OTpdbv+rCcbDMF
09om4dw0ZxhA3r7XFnjItXJHTUOClkYLmjIrx6ozT+00iLd0khRVYkSuGpkEDFfzwCxLh75YLBPN
cltxHgmSVnx1EpODc5rVV2ZP1QEhpMYXg45/O7nfrBShM9iUeHrflHm9EaI075rcOtnSuV41Nti9
T/NLVR94tYOuh/VZstzVqiW6d7zFxaNouBkZNpWNauJPxwLuEzYxd+Aw2ZU3jqo0X2dthqiFQm8M
jF/Eqj2bKYHVOHGEJnwIMNxTuwGb/fzV4bw5kN0XutbXEW197eobGFrHNvRWN9veY9ItXefRHYtC
ngVoxyN4qUqxglowEbPvdLdqvG6ngvQam3ddG52mOoKyyfU1AkqZ2mpAi9ekEWpMZB7m/LADOyeQ
kvpVpslkfYVJzAki4hiPOXs/q1So6HujVsAW7Wle0Od6PwgxK/s0wT7i9eakP/HL0xtGBAAITuqS
erewj+a7AdbFW6fyHIUt7wqdzjHqRueH3rGKxjo4CmAIv6omPDM9LjvrpZB1aQfUBsKbwXDCPXRX
6jyHStQohlQFfc9NMlDbwwlHQcgBJEg9qGpi2P8UM/5VQ7dpnlSY1KVyk6l9NmjH0S3Uz3Ndykkw
lxNusPLis/R6RUWgRdTs5nOeS5fSnzgDFn6P4TAOGcJVs1/Qhdbl+7aE4p/ye5AUUXrEEdIAR1s5
hiXM/+W60nGkI/hqpVUB0Kxa+oe0gCOXZfgxcHEtIpCB0GMVlcE5yN24q2Gx8qK5pHHfD7dDrGKW
LhmYuXckmakJMIau2s+CQBZub2SIz5AVXgUvguxJS4bGeZi1XCRHkAxt85aZ3KgRW6jbHuQz7xPc
pk6/i3uRXKeDYjQoPRglHV47q0xJeuZpm9bTfpgEefZMLxNh01NhxeP3SapLdisLdxafRFPNcIEn
dY7DtGNbFswzX7ppQmuH91lCIKQZ0rR306DI/GZ1cXu6Ucbcz9kJyRQKSHic7qFS5LWfO1M+v9To
4vdxZSVYAAZb25A0balzcoZ1eUmnmRRGho4m9/VcogoJLxfDySgV+xB7ZefssUXkKo+3qTGiKypa
P9GwmPBpHuSjKfaKQKbsaEKe9KoKW8MjzYaqqnuQUjsqkzpIXFajpQuU56R2djHR/fKIrq2bz6kU
Y4xG2zdF2Fbr4EWzkzYNX9rEnC0xtiFAk5Wsr1vuo1fs/hO0pMzXZxLxhEnLUyX0YTdai9j3gIte
oEW3n8cSLVLjhcUBPovmwdL3iGzMZ2OKCsN25mxvpLM4Alu3Ak4Hynn2nOZo24V5LqZRHlZzlkdl
cLr7pmS1gymOgE+uPERnZN1cV+e8zq5+cEorPakuyxafUiGwMbih09uUrFDaVxzsLuY9tibFlVvS
luTEJYY8yi8fh1IRwaC6jDcbxr7K1JZfRO6MpzxV8mfwdOpZGZP+HfYtu0SHPf73Mlbt975dZ+aI
jq68ueNIN6TOU36Z7ZKK20q32G0VYwgsv9N2dN+M7Hsy5hNOle8QR/CgZESIfHuOsWDG/Z1tsM8q
teqN18pbC9QGsG1Jo2fTubedZhdvHFnTCKa32Dou88M8N6kZDLwqj32mzjsrXd6UxpLHvqiWg8VU
KgsyCn/wecx5lCWsi0pS2MfENdXd0k1uAHXnE28dCpiWuf1kLggpHm2QCOdx+tyq1RwSzCQkP4iQ
GUBOVU3L6cRB0tp5I8uNX0/G9MKYqQ/7JXMIM6UENRfbPJCp/z64XbIbSBXdAXK8rWo6zOEEOxzJ
DCcoXF7lBZQ7eiqdgvNY5emhLjvzac7GpxjqxDGnOTeiC3xnJg4ko2Syo6RVNYZ2Hj0V5B2+Vv12
jnWq5vpHjEsbNQZT+VA+dEnP0VFihJHm1L7wSdihUrY77alHXjhI5owkYm29yGpoj2PcO3zwad4b
+jKHfBKc8f++Le3/TyHGQiL51zoMKaCmevvZmLb9i38oMZDm/iJNYmEqR4wDjeJhGvyHFKO42l/Y
zXEMGnhoGUlsf/RPZxoCzlZvRZIbZD9ngc1M/E8pRjH/2oQb9B1yG+g0yCj/jhbzsxIDzckimYzD
DY+rg/X/o02cSEDL+5lO26z09gsnYiPhGP+n6saffbs/rkIUf0u7aDT2/JLEz9xZlu44MPD11F3t
Fmc5OxQQzJdy0u7/9u3/03v3d6/dL5eCv4Q9+IfbD9bOR75cPBgGcTsr2zms5xxCkaYjBM9DA8zk
91f62e7Jh/pwpe0n+Zur1ZbqZhLiSpNxL82Hcn76/X//A25ruwCIhC2UsUFTYSl+uIALUooW+r7Y
mQ0cDNiok63vRM1x7gWqQdVdMKE21s5S1rh7ZxQ42w/2YHntscDxMD+3pezY3TtrswxXbaWI6YBf
0OFQvAhzeq6YXRmROYEkvP39D/7LPQUbyiaWb28wOxXr1c9fjDo3CnFT3gHZ9LRUt0yb0Z3/kB7+
9cvnhkXp2/rmAJB8jPOWs5FV08A1Rry+s3WyqAr7/af4QMz98fXzxNo6DA0XlsHHTMjoiFyf1zjb
xZb41mp1ZKBEcLg8yXh6QtjcpAm/M0FH1X+4hzcz6H+bRf/ryhtehSvDbNo+/N/uLLW3mTQgmO3s
6+R+uY5vxSm7nffy5Q+f8NdnhUeFr5CULlwvEOU/X8caKJZudC/bGf5r57dnxkiBDKawCbxo3SeP
nM+C+g8ZmA85o39+OKyaLAU6EYKPGLHac8ANe0yJzX15bC6Umh3i3XqCPHxQjn8K8+msvL98lQSP
N/o6ujZi888fUVGYOwGGyna4HvbmSblpLv3RDGb/u4jkboro4QnmCMRmgHgVlX/4sMb2n//4m6Qt
jKcAA7zFo/zz5Z24II6c0XeeHu1Tx4edr+KjfXRDcZgOSsRo/d6633xRdM/7JBhI5X7PvyvfjFv3
Yl+co3fECBmqV87xT0TeH9/zb360jyu/bBMUgYFvhrF1mkYJ9/eA0WXPHpFu+wmMUuOzg2WDXj1g
4aQS+vd33w+89S8/AOs0iEWbaNtHLKpTN3NuxDLb4eM6GDsvVHbuSQ8kFb3FRfmkfMquxA25sy16
dhvfmDv9CudjSBv4Y3Pbn8wDqdw/PPO/ripgWrZlyyJmZ/Fo/PzrwprUOl4+plAxmjq9BmDQ3+ea
k89/CA/+eh3egRrbAkqmWVk+zj8ahdGjTlZ6lzXjXIZLqY94YrhN5z+8o35dircJCxoVb94fWImf
P5Ac9K5ib8qFEhP79kjNAM8KE2l8sb//df6yllDp7dL64ugmsSDGRz9fiXCdUrvtokRJp+y9yo50
jz6dAqDCn97wPzIcP90426UgHIHKYOuCiv/zpVKN3jYxjEpk+cX9chE3ypt4sK76m+LkRe5NcVtH
3c36NFNg9aq+uX/4oB+6Y1jAABKSoIb0RZYFiNOHT9qyjVKoVVUisWuPzCBOaZCGXlAd9V174Twa
fPv9N/vxZrF1FkoVWAuYEyZ3H2Hlmp2t67I9J3XWR30WrJYS/v4KH393XIH5A3O4jb1GgFP/8IWO
qY6hZ8l2S9AE7m15+FMTxi8fAc7cFvkl/0c2hpvx5wskVClS56MUUTKTC0gt8JgmduQ/3Owfr0IB
FntMV+dep5PVdD/cF0qBb2lcMNotnAl3Rtdhq3czcfj9l/XrVeCVOGyZeXWa7MC3N87fXs45ChU3
J1UpOlH469zR4vukKpv9v3kVImfwQIgvG2TDCbD8fBWvlOg2S1NFdT5oGNVw7XVuH//hF//LZ+Eq
UAAoQ9E4fjgfby0wB9Pci7qK5thRGgBhPN8EL8jX/OGh+bgO8Z7fYjkkzInvbd0TP38chCIvibH2
R7CWYaDrHXh2s5JBVqnmHy71P30mjzuB/A5oIQbNP19qKkvoHwrfXKpb3ZMyqu2lhJ38h6sgLX/c
WlAbRVx+236S92RJ+LDNdTCNDKWHShYzxr4YKE16emMPtVjcLKTCkcGvQVwJzlJrctdbBXbJEG2t
oolX5PKxRKdZERJ7Vd0VlrrhC5N0YALjGbTptY6038XSGjdshLUjLCuh7hMqXt6MtHHSSF0S9RYH
T4uv10mQxxY3bXeu6sBJzk0LNd3s9H6Bfm4y/RGjTlgiSw08hkBXrEe7TzX8yzhtD0m1yvKqWxVP
EPcZrRnWzZLTOSDoVcTvD2fjyqkIZuIpg2wLqVvt5ue8M2I7qAoo9g8GTlDNQ+JOiSPlRkpfILIK
dDmrqmY4W9Qd3uEF1/RwzSkpwik24ihdN/r6mMlHt1j4QZl9q5WfziY/IoGk8kuHIKWiuZXc+5sb
6d4ecVt3sSqGqHQq0wkmVNcptKFFaAxNi7Qiu1TGNwhVKHj89uo2LI1Ja0OMiws+e7WdvjFIRuFh
ouZgfR6nOmL+ghHfqRGPpjZfTcoxV7VCa9Im5qXwWC41PxSJCk6bL3Fn9AXfY2LQ19io2DuzXpBk
zDZSNH8bpmWAdyZjlQZUUwOjksUZ+4x167YuIfZ0ESiMK0/87Av4iaUPEr9uT8w/uZpck4SZFres
EditXWu0o8n2tTOWKmO8tDhq7ydq6bxjzB5a4PA5kN/RGYVKzIbJAkGcfEXc0kxlCai2VMgWZUp8
WwARo3XP6eMsO5IH95J830sK0nP9B3hJq0QWgYuEX4y6jmKnrct87UEWHvBxe2IgY0FmKRxz7PXR
YOaeEqI1z5/TgtkNGSm17MPcM9gokobaZNSxoWOkRWDevGcmntZaiiXIs5p+A72q+qeknbLWh7Jt
rOdpMXMS4GPcZgcHsdCNLDnNZZQy60DR7QqITFpDwKuqpUuXA9l6vzRrrAbSqxMaBcRqvDhaTeGm
WZXfGI1YX3A10YvJTK0yAoEYzG+YFe4gjUwDLeOt1qG3jVyLMOJW/5e681iSHNe27K+8H+AzgqCc
utNlaJkRMaFFZmRSaxIE8fW9vG6b9aus21V2Bz3oYYlMd6cAcM7Ze+3P2q+ZwloBMx+I5oxJ0zFQ
v3i24OiYJnEFZoAI1nKNNF5tRme0R5ScXhacJuyy1T6VpKjGha7Qo848TmuM6FdwvRa7f4+8VvN4
R10EVgvIYvjSM8aqEXh5GAH7rrSbo9NjHNouM2voxl6Tlsmfo6KrrkrWFM26suft2nSDuZGq6e4K
j2+K5WRC8pZaeshOOqUgB9gi7R9jUaPIsvvKerLl5JEikuW2FTttwECQUUqCy4c0Crnt/b5CwBsV
CJ5zCXwG4cZa4ltYlch3RRHa76XTOg7XRQcvaLXVewfwIY1TCw2nBVoH/XEqq0NjVfNtGKw2HWsu
/TURdcW8bT0MNbN01GM4NQqFY+NHMy4nW4+H3i2mq9HqGNeDYCcMAawM5g9cTrdFR0shllaEWzi1
0OI+ZXq2Uj8WSeplpz5zwnxbrHnxq+Rwbe+c0l0S9CgteyPYK7Uychb1sPPo0GP216SlIXNIxm5D
OLdbxBesUBcndX3Wk6OfAKZaD86oljpWOfZMkLKW95NkJGAsXelmwzGMJl9u0nTE2aU43DQ7pnYV
pKMmH6FRD4yFNuyj4tYZc3REURM1xCY145JtStljmssm3TE1smG6xHMF7HJjJWEy7NOWYRgzo65O
if0RKFWnYsBAPloqI+CBVFumMFlXzKcgS5IDhulSxJPD5OQCMMo/BoONaxe5lqlv06CsnyreKOT/
C6OLbbgM87ItVD+xmLZ1PmxDrFesSthm0m2Bb+YznWfX2+nareTVvIImPbq90JxlO8hcCxw1XrVi
HGZoyb2P434dUAd4sh/Svcp9Q1O8QwxjrRHyRUhh3XU1dI5AyBnCvy3CqkLpLlSy3BBIm2P91KLL
buc0JOYSAabCqQGbINmsZZSP/HTHfUtxeXlbucz5r75gaLjjTce9ORPyXJ7cBlNojHGBpR3tgkX4
dxqOcrMqe/zZMYYEx2WZ1sJNpeV9lRVwihaYOvUGdmDuo/Fe0TuF5IpuqZjUsM3cxQtjP0tDh+lO
yNLa5DMd/9JtPMRXOphZn1bbYrSCVh3Xnk3S9Xaso/YdqdYkN5kUKCrXJC1yEtY8p8NE5ARXLCiK
B6OrJ5d/H4INKFN2iUi9p7MEslXU4cpG4BXTHHdJ75cgZ4f8rZ1KFp5kSduvZCZTnm2t7sQ50z4M
IKcvkMLBKsIjTOnB8Jq21zMJwpNGRuqJrwLgwFUUTihsrIInChsWyZbsBPVyp8KuzuCOLvLLdKUh
uoISuN8WyRqpWORDkgGYm3PYHzbSfgtxGMhkOS7YzpbU/ay9Jvi5BqRG8dHZHHCcSbXcYLDlABFk
ej20/eVfL7OHISlA1o7q4XIsGcVqMxObyM/Yrn638mjVoxA7BLyCiLfGcI+30lfW+xQIk2y6kdSK
fRZ1zYfVBnMPzqwGvMATV7xNLhbXjc18y9+6eig+lG5Zf/recLLil3Q/ld/hmAH8MZkj4/1Wb3vV
G3eH+ND+hVuDcXKwuIPDZBaN3RYC6/Q+1JLJnGWNJH1Rps+v6I9ztAahJOTSK8TwVLDRih1iEvWU
6Dmyd4nrIm4Ce+ZdB3SCPt08ubwcwch4dmtV+fpV2Bq3A0LoDkJFBHy1ux1ypcMDu2/L5JBu0Oeg
aySMklfqNA/F7G1ZWL1vVYklZFtNU3bTT2Cf4EtG5iLBa6ptsJCo3kzZ8gNxrzNgSpmGZjsVXsLE
UCc83/DNnnPfW2M7lWG+z0XpTbgx88Y5mmRQKRbHS0gBcJts/lBMsvuHZraDX4a+Q7YbpV87KKKm
emZirIRgoLjI8WBYK5BkIR+4jnChsXsPNollXeblZmfTvHiJyKczB2ml3htQF4pum+iWbN8Ssu1t
Zh93OyN1E64bdwz0/UW5iBi8dvsf6TqaKe4sUrtjT0vnV5+tzN9xqkXNDtUcBk+7KNT1LLyCOIW1
psu7VFAbsl5GF9TLFF7xsCsUgX6BBlGZLpL7JS2naOdVsviVYGf399ncJLs2RxS/B7Oe3Nsq4RCz
irV+9SUyr/t8LawyPSbrMvS/pj631hd65aQE4ZGr7XNjF9YPU4sJAYiRE6ImKPXRcrAc38zHHmmY
/04d1fmM+ftuuVGNHXa3kkzf8kFNsz8dx2xylkPpY4PfEAq9vGENitwd0h3GExQrzXroh1BOcVHy
7oFg721OCvCJ0XblZZA/hDAV0WZWDYb0qBIo8smKK0lUl2mG8kWFP7U27EnY6jJxQBJZuq9TALNp
izfffnf5uumpEUSN30igauLMeCB3x+0apZW1LZ3R4d7PU4JGIk9KHXnbmu362tC44kheFehmdoHK
LSCABfguMbCmJvghSxg935WjI4kvfTYf05C6r0hxZXcoKXEIqcnL3rpBd+GFRyyQybBl6QZmQBwt
+7yOA6SqNHFya84PdlGJ6dvkqWxFpuUSXMzqMoi3MpwBQfqVqdKD05k6JehSyeVoEejB4o6DmCzY
2fPN3tO5Ws5+1LKWizX0l7M79kNzCLokZfFxURewqibR8xSSvffWpM36hlnAiQ7J0gTmrBvL/hGt
BQKgurCX5egnysWBWHmoejdeRqLXoTAoBk89o6FsP9dGoOia9Coe6Kqp4NZpMAXsINizitjTgI0C
kUhaxbiIhftY1DbeRzWSdwLroHbHnxCgG30YBs455yZxkupcCCPyuMHY7N7hy66dA4krjvcU+Gth
f1NmgGcfjZaHorEry9I7hRwO/ffc5rbEzJ1Jvko4h043I9RJsZlmOQ6fUb9Mzo5mQ1RuSr/p/T1R
i256j5A/QyXGc7zsqsIGwBjNlS53WCNJFi2Mg0Ee7QTZ3LgsRl4dkNEXrJoY8OVCZ0go87omgeC9
rmrHOhLm7/OcADzGu7POj31aYwCacokHasFYIYjgsFo39mUTPJH/ZB5VNIf3eh6RmeGDHX54dWDm
s6foryDQksu3Pp0j68BqEC0IRQbcp+uI0/Vmtltl7/pAQw21PJwL786CSPlYKqfFLl7PGIlSNxHi
cSqJVKhbJye/N0yiXyI3XXV2DfXR7Whzq+KA22mfg9JhEg/FIMUlEwylOal6ALXB6zyWwSaPrEpU
sbbDnlOiFVU15YCuFaIzm62xCEr3S8rS6s892gKXlr5ZuuWqNVZuxWR8dpwEbcU2m660XG6x3kC/
kABwe5aALE13KL4y766tSMq4Is3M6E1FQkW4dcnEQqae0C7niGOjUMOEYuo5OUunCt3X1rXZGqsu
Ud8xjHEIyWX4mhDnKOO899WL9IZ+fvK6DvF5pWT2s0uomPcm6scfjgUsaJM1qzlXYW6VBwJRzFPb
qY6MH8zNPyfoqEPsWgCPvuqxVckrMaH120rQdx4bk3c3UW6cdOu1JTOCclioVFzaB18hGuviBJkk
R/mHRxTVdOe1b05rSzDdIXqHq7YerHeLs1R00n3bADgxXa2oRfLZv2pmnfJGi7l8cZspwum5OMtw
T38pe6m8Km3Pogyq8tTUE9am2lbht74x/TeFnUnhTyrIvJ48m2AXKIzwZpVnkVaQ2uhsCBJYOHj6
Poa842WFqu8m5bPHOkO3CHxBiipi1Y6+rshAbjDUVp7cVuwu/LaxJHQ7alrxksFpyrYWf/kTIkP2
ejAZ43QDBMtvnjTR8vm9HQ2Ncy6MmcZrReRJOmykj93purPc9rtny4BuytQh+6gbSoY4RQeIbNHB
IrtvHT97qKkXpk0TtEzm4VoU4KXYB0lg9ci93/X9gsU9tNXKvtL2LjyNBn/rVY58JP/B+ayMjkAy
8FUNqlPT9Sq85n6uspCgeWQyVHLGn91yM69D8wPwvX/v+w4hpMWkYacEA3ns9F3W/gI1mYaDGxYX
OC+ZgnZsZgjDO8k2O7ESSMAY3SRx8te91NlN28+q22USef5x4siZbSqf88omhXRTxGGQ2PiAqTzv
V6cdzHU1Z/bgbZSFP+E9yNLuec2kVRxValFcrbyqHghazx4vFkGS2NGiYkernNXHrk9doDZhl2Ko
0w4UwhiJ9dJuLoPwj3EKFaJ+i3PFRpezfF2ywrz7leO8LRj+UdYFBZFCHrlJ2AlTXBdo17M033YT
wp37VTcub4Ak80V54FFoOmS+AZdRpBEQArlWcYLszGC1WJR9Sqmi5EZPffijjSTvb9rX6Q1MXgxk
Y9KIdYd+cCqOK6C9+2QgZyUxWfLoF0mSXLkQVXScMKo5mMxaGHnNMEziUpZhiA8ekPBhoHY/A9jT
EwEGE2Qx1ePq9lRjzlkadRbipIYbRJFBudxxrd1NXY208/RshudclS1nsL6BhWv74/iRNqP35KrA
PCV1afjiQofjFhuEuBj5FvXZuZ3+DmICzENGjxLzfJ2PJwGPscI8xku0E0nbv6Afsd9lwr3bjUDN
EF0o3fM/w45gb1nV5CMq4QJdo4oe0eH/gXJwwlXcy6AB3GEVPbviiLT0CdFu+DCkWX2nGyYFmwHp
7RtcD0y8Y6ubngZ1No4bm5y7+04Wjd5oGeCW7DFfEwRnrV/oSokQgmuB33O2Oe3jCaalFzS+f5tX
yeQdlA92fA9bySJWvUa/sY38YbhfPMVeronb3oxGW7/ytKaWCjOZIkoNV3wDPgwLXKWlHdJgDZmX
nJIB6OHOy6aG+j6jQcCBJaUzM3ai01vqqGg58/oYbL5KsLKMjQtDiGaTe+3NY5DGpV119cYe1g79
sZ/D9B4aoiK3Vp8W4cHh1MDBx48y5B7Z8iFqKbJtj9Xg6JrWz7bj4LhPbeIHH7PyMQjrwuXmcu7p
fwWpxaJXNAYqTE2MCh7QaUp/Fsodf0So4btdDRLhly/blS61WOqXqYv0e5/Z9R0qe93t0QFPd9pp
gBSwP42kb0nrHaliX8Y40NeKZrXvPbRMFl68bmooHJG5zZvBmcFNTRA9WB78xYMuUy0Z7tlkbd8m
Oq7o4UVln3NywXNyERLOag7hPT96dGx0U/PcXPl9j3YnyrvoXMnRs3A/XU5MEyHq7o4Nm9OHkXP0
RqeOzm0YjdWHP7r5pXZtBDQcH4nt1gX4JrZVOrQ/xrVs1i1nL8FKAXZq3cDeWVH++8AMuJcrNoGA
WLDv1dJGJ5iLqtj6Ics1jltdJTuzNs3DmtuAIjRyWSceqLTzWKULZ2h7luBxFsG6eo5aVT85Af0L
7FZs+Giig2dY8svzPEPLwWUBfGjmbClibSRVopwARNFIrtRXloUoSfpg4fDXpp9Z7tAL5KSHF7NO
nF0lkcT7Q5rue9lkM2Ja5lAAH6KEkOrEX74FHOmgsi9FcVeHYfQ+0YH41SXLeHSwsM47OssIWh07
sLaX2hIn7sUVPSPDjrrlrqUiezaZqu7osyXXE0AI5O6YeT4cl57RPmCXPJtUB1+eTUbBDumTbK/c
omORMW1hnodwsq9SUhhurMXuJkIiK/NlZeRtb2jRjm+p0fN7Oy/hJVO8WD+jUq8Y1YeAaUiOw+ua
ch5nSUCHmRRySZLktiAO7FMwP+elDaT+RcaZzd9WzPpFq1Kiv2GABjDL2NF3d1K8eLx3EKc0S6SJ
TYcn3bXyCibHkoAGokuRCRbAJXiSM0Usuxrc9trKDEb4isPExlaBX3GgDqESYJ7pT5UeG87Taqi/
QrsPXm2CGxAdqLV+zu2xeXEm+hmxcDX2jWDVYMIVCYdqS5RhjQPfnWzGIWWe4HQbRlywHSdhLFhN
9BFlWRPQHUroZ0C17B8lzLbvKeenbkO/49KmsIrmp5GDfiF6fnjzFt3wZrrZT/qULHEJo682VpE7
XBe2aX4QtcLvgNidaAz0AtqGUEW/wy6YvxTZONtbu3WCRzctqINzk8AskhNKuThFFCz2XmApQi39
JQg2TbjIbtf1wuPwm3NG2M6d636tsJnMNuii+svQ7uBdXQLjbMuugIfhk1oNxGTIJK9SUo4/AMaT
qQOlqL1BswwrzaGNb8WmNCkJuI7I2z0JRaiAcPFj9i7cqOGEU7KXW34BRtn4jrpfSOke43ISgrd/
AEwetFH9AvGox4Rhg4QjR3ZqNiSvVDNjrSCiSnNc+26VjffuOpdDGdvZ7CNeEQs0Kaa5o4NiNkMd
12ornLYhRVp/mZEB7uhxhSP/d+nl7YSYE7NbnLaoYz0vuQ2YYW74zQmOATD93Tphj5qLFVry6MiN
rBPlx9pfR2z7qsvyHZNNmJoTpDWIWi7lyA2rPz6Ivx8TXxCFfxIYBegPQIjT6ibzR4R/wHf/xzQ6
ZbrliboHBxoQjlUeisI7mf7OFcV5dF98URycddqjHti1bhinUbS1vHE3iysacrfCafCm3Urafky7
Yy+d95464VGEPafJyLgx1j8CVX//vr60mWzDV3eiAEHWbwqbPpyUAO1T7cArJW+oRoJbN4Du//eX
5XdBAyZlUgjAmYOoheXzu76mGDE3C+MVO2+qzLO9DOqGNkFwCjn67cLSW/5DPc8fn0fKD9Zqfhsh
mX+eOQdYuzBu+Rh45UD1vkJaRdzp/cPN/re/CmElfxLtCwrgP3/KzMgVqY9bQOWEmFY6Vnd0PQ6U
rjXKY4fw9R/UARdVxv/U2TCwB4/po8NHiCzc36MT185UXlDKMK4vK44mttHG+crJnTGD41t3MNbT
f/iJvz/OfGR0eS5sYqMIRLB/+4m4B6oM5KMXt22eHFsLDkgwjV4s7ab5h1/314/iOURgC43TC33X
/w1Gb4243nw9ezHYlGbr9h2Td5C6zJ6rf7pxv0sSCAuK8BOBviZ0weUZ+fONY1nx14mfG1tJRlcs
GwiJHzA8TP8gSvh3n+MiCOdx5AUIfo9OqFYJ1DDJ3bhcpDx6ARt+qwPnHwQwf30spIuQB4SARJck
g99e4W4dGU0jKIrp/ctHFtyAYxUEzH2JW+djrhoGFnLW9j88Gn/9cSTZMWRBMk9SH3jdP1/EogpF
sqx0jxq/7bBCV+LUe122//uV4999CtAERMs2WqLod1h5XrAJBKZ04ywc1NnLQWSyfPyn68UfyrXL
EoiBjAmn/E1D5Okyc6qocGOFOIdKG5RTVQz6HzREv68XfAoyQ98JMCBgFnDkn69YPlHUzFNHZvpg
NDOLROzzCBQJbWMvrm1gCf/xtYMH7uIlcAHpB78re72l9xb6kDIWBAruB9AMj0Gr9c+//5S/Pn4u
+iNkf2DHL3vfb8+BaVF903vE0dn4zh2uZnkgPGd8TprAuoeIqjdZGHJs+/tP/etqcZGoslQEaKVZ
4H+7lkQqRvjmM8laKMwmSumbJhcqTaO69V8f9f8CaaJ+DtM8/PwvKNDjf+3n5utzgqn8/wHq+cI/
/r97akDajctn8/knvAl/4l+eGieC9YzWlFA5UoFQY3Iv/mWpERHcE3JMIp4LAPl/PPH/21FDfu5/
o4pg9eUBZZNmyf8/lhrH/28eXLYe/hCwkpBghv8AbyKI/f7zzulfwNG8BTwp7NV8zd+e0SWcUnuY
alqavHkqHuQwlt+trITr41ZiAbjjlxgDCa6W4Z212q0fbSJvDOd7sqjyPPZ6axVxK3CGxikXwb7J
awuJMOlAabJX8FW8XUYQPSzHOS2js80GzbheY5l+CTQb0EmaIf2WzxD5j75Zp+SGEVD1ieIbXgY1
PWqt2lLhp5SEsW+yaL4Hcul+Boi3diVOwrc8wFniLz5FLOzAd1eRbx97Sf09ihZkBBpzehhUxa1F
LPgb0BGxCcQERK+K5Der8aoPtHHNzu3niikDoWaBENPOtTW+VHcd6HwPRXZP5Q0VZOWWgsnzLeKq
Qr/ssBuuIO1ny3126BbdDbWVcObu2/SBpnB4VUe5dzC+0bdIyNWWkCA66QUNlZ3IYJ0C0EJEF/ba
/7L78T1yUrEN7Aa91jKI+zFdGLMHS9LugTA1uzUpcN1zPtcHQybihWiX4JX35klBPWjDuzFI8u+i
YZaSBNWz1zXZCT0Y3oi0QyZv9SHadZ9QknXNw5dc2fw5pGCcPENorWH3Xg+EEqwMAzbc2vl8ES9t
lxXhACIO72T5oiJMrCtffLnQc0HM17rLuJEEs+2Rif/R1PP2bTL3V1OX1wduGFWUHMeXcurFXZaI
G/AWLznN1w3CQ+gfDmGbr2Ydkiu492RvtYmqv4Av5LFF6tZRyFqjSxir7MZfLNR5jg8ELCiofzO+
W71FhNzdjaPS5zHgbumKBhr5BVF2cRFip0K19kQ4IFKXUbgUv0W569iSD5S0Zo8SoN/OSIHOSQXB
oQjVupcl7QuVR3zeeOvDBqFFmeU0ZAsAgJ04jXIN4lDJG7JnLRLEopVRs39L8rW8otVHZjf0gW1G
t+swVU56kzhL99wUQQ3Efyq+DFEeE1OhuT5VU64OWoLoS9ysf6Wnbz+apu+2fRTC+B7xbY9GFgc6
LF48Mdi97X1EMavlXA1ctnsmJ+NprB34Apbpz81a5vuhrq9NCRW6SeErupiywOgtFIoFrGFgE07H
TaiDfoMuedwU3jrv/IFNNsOb+3zZlx97a3Goy9L+4OTri5NHSDNZOFBWXmB/5Dye59oTV8bKupgM
xA9m7cVpgnjzmBQRwIbUhfHXdn4Zk3ul78iFzHYXjWVsW8qDdG4fDILFu8nygFX3hbxJhBXdjWlj
bhs6iYSLeuOVQcWZQUyL3C9I8XK72gRBjL3Or/o8C/YiGN/EINJd2zMFXIO1uSku6FjKrNcU5ru+
StOoShHcYa3fa279ObUtfNFRv3aEYLjPTAxRRkbZgN96TvXbBPSOJNYVcNlFm5PlSfURaqfaJgV/
DPEC1G1Xc0BloCpoPiOjtaGrZhoRJ93OuBkYKyU0qenMD0NBs9XvYx+l7beFgcO5X4R7VWrqUzGW
8tyKZGcHw5ejyu+56IJ7+BjZHl4CzPZuxWBDEN/4qiFNrQf0tWaIQF/UR2tp0pSAdSzB83fkJ5m6
vGAeyIAB4iJQyLzJ3HhMPXGMlN18li4JvtUE/LovXP8mUQpwaFHZkuFe3ovHgKS9btNx1YZyx6RI
XBtc8FA95OiOm5QpT/aAUVeH0AmpneQi2rhRYIQu5BaVHUcoiUfGUEBIyzuLGLRNwgN3dCD2Hmj/
Ev60vnZgWXsQ90DQy2uiLnbwIL+7bncGObPvAndfTEQA9O56tKvsNmWgs1Vt9TRJtEI6Id0ZLAHy
wA3/9TAKe1+jnwN8DS6Uvn+w/nDzJxuRoBV6yBrEVqf2HuzooYUwHzrDvilQl1X1TtbAKovwqqO3
jIbsStXyKtHQQjCJJ2ZgitGf1qI7ZGMDDwXG5ADUGh0BksF9kxh6NOuuWeZtFGUsGJBlLBDRAt/N
ptMgue1xPFue12+E7PJNaSWPEhcOjIljydaDpOOaKNbYctd7KPO0ZW33mSUND/5Fc7Zh36JDtDg5
0rSGTIFtMPvrg6wXUA1zJ3eQDB96kPY7yIB3vZTXbVo8lXW5H2C8DFYxoN+2naNH9MttheX+y7q0
QWlaL+KBGHf7xLSGmLQw8RFzpgNKCFG+BEGQHRErs+xx4m82hqKPDrcx+4G0vb0XXSwjZVdSZgaM
DaboF7z2+kAuqb01jQAClf7ofBYRv13MRmWJy5DJzKdIL98TeNg3SWaTGTMP8lT2WXIHRpH2TSDx
6Mn2rEOqWAC9884hSGtPcXFmIYRavvSgFzpQAvbQwc7KjmkX3bXBsG7nac7i0grbmAjSbtcmQb9b
wsu7O6mvxLQ3ItenAIf/dzCsvBHRXS2Nc4THiXrRbZ+I4nlCzj5uOa58kn+UbpidEtDAsI+hikTl
0+2zqt8vhXUrtG1uKhiiyFuWB8VOGGHM2+qG5aPS6bdCKbAwKjjP63hOk/EBFdN1D6zEWKo6krSD
1mCw629L3eYx54blCHq2uembNfhcCBI8X8hoh2RKyGCAAYylsacnCOxBvGfA2DufZRuzW0pQUk2e
Xq268NcoOufarwFMkCJVvmWzbb3T07xh7wCePYdNRGs+cn/mfCUqXuc09XOzY9Vbts1FxBL47kei
nBB/8Sx21D7Vghq7ag5LFr4LNLlIZ5MnoGUQZgvWO1pjTFtXqERxO2DXX9wWdyxo9Y09T/tCshXl
ECWSCGNENFR3JdjFjsH1x2RGVj1JV3qQ12oxBQKe4aQW613k0Jjsfr4Ii/eZho8EIf/BM7VzWxfy
GlkfQ0BHWAcLiOQucqxfIy37m9Qsj0S7Pc64hTmXCJ7f7mqq/L0FVkNnUfkLNAGRpcbyYcdC10hz
cyjIBkZfoaAgcDBFAAg1CBVDtJl6e31ByNBuyoqjFyYwtBoCMK6of3lJ4ez7ugiPa9dd+bSPt0vd
f8NV4AG9bDuI4LQP5qQe9n5XSqYqLqr6fZgN3U2HkuWMrknEgVmeHYdDE7OzzyS8DBbRMZ1KZaMh
Ag9oYSMHhXFH9xNhc9KL9RoOz3g/BhBSmJUKZjhTFfeMaw9lWLZfqWMGlCx2tr4Ie4owhw5J+ukR
wrRRMFDhpaQ14tLmklmg9fTQcsWYSLm9vbW0/UpoW4TBYJEXkYw5rZbin5mNGevI0B3jpJW65TFh
dhVDdQq6Xc49JbisV6t9rvx+3ZLRRct5zXoaakXTyodmlBXzipQPdEx4lxTlcDN5MKn7RSe3qa/N
/YRgWgI2J5wUi6bf3ECb7T9AETL15ZR7KgMbtS6YT2TSTEpWBwEeZ4Hw2rICj8mc4dmGeCUPddih
G/DL4KyD4q2oQR3DDDYC5Z8rrlCuuxC7e444VQVxdfLg6Oc1XPIsvzeZaDee1t/1MotjWWjd3DNZ
sqHa0dZSrwyRLVA6UxKwaFtIsMwwjPpgqwLj7TqvV7MQludvhF4hPiF9bYLxUOjWiC/tGQD3UZ7p
GzEJG1xTGz4mbl4vxwjVcx27sx5estDmhfFAN37Ck8leK5kYhfKSzJYuYHIebFw1LYc6SNPhS+IJ
A/ONGA2TpXCyatfgNZBnG4eIf9O2bdNcsVYP1oFlHJ2OlTflhF68paJYQ5dceaMY4uSI8u0E4Ivv
FvbeCcbe27Q5So5vBM+E42OVDdySTA/aetRjMdCXpYFGqp1uGP/zsjNo3Ol0tIIzhpfOeSuJinOP
nY/mZguRJ0AZnjXjh9ZdCFG+Rq8dlxguslPAtuPcE0w7sbgacrxw06xUZJve+MXMlESEHS9smoF7
IkrhuwvQ/bl3rEEBl2GleeoV08NbSku2aXROwKSa9aKNioCl94ptdlCfgCQbZM7J7OYPGaid7iwz
y2tPBgD7cFR5hf9hVbk+l6rs5qsl4YAtB5DrAx2TjRnWnhlySmTL0DBUl0Wb/1wblQIiFuX3KmsI
SjGOekisCbna2vjw8+E+tmjwmP6A7i+CMQRR6dNTsdoogn9tZffaUdVznoZxFWRbHstTCOcgLrHY
IIcYofQF1gvZHHeyVnunFP4pkWNw7MsgJiSkvWPb6ED5U7/W2fBG8xDG29z3u7bm6SmjeY9Bo39E
WkXSrttGt+Wi6re2DT+TcQyPrq9eGw0nuraCIZ7dVtw7SZ89gcR5qmq+59Axh5qzFvQtGpSkP0dE
RG+LeblH6hUvXSf2AI2uRDkkfF35PKKML1yG/WKsXhekyvs1R2iHCEswmHMfVlBuDLjO1AXJNoyQ
vVgd5NFy+jlBOdTt+ros0e2yFt+SeXVdZlV6omNQvHKr36c+u89ajwLP6j8rIsamEr/Y9AN30LH2
12uDWvmIQeid7JtTqLGqTmBRsWcpfxFg0MkIuUgwQAG9Oo392I/2PlPibo5AzEx1c0Z799OOOnTd
adTeOtb45FYMGyu7vk/d5bE0/Y3oHb0dlTWA3VJACMerJHDuoYch9bSnXxHieK8vz2Wi12spM06h
iuM7JqHcAqmV9urBtLBBo/CDenw5yhKXPLYnMhuoiXgNfbs7XDZB0JB1/6tI6o3vJ/fI325SIBbV
dAkcYBlYbP+jmsxVhoxx0yNvT8zo7onMORgKjLQKv08r18NbYWrJ9zXK6N8thO0xENwyIzutJnmv
wuKH2zbOFcziDzoeoF1hxbNIxvWamp3T1q86dezd7KoD+ulPevpVbJENzvg0BylgMxKnEX8c2AW7
dLoNOlfprXLM50QQDFNDDHChqrdLM7unWRMs09uMWIm+jNuRr+zwNzlj8y5shsUoD9pNGFZfQO32
7ZTZiDWABDiiuIKddR0SeFF0mJss04XNphYKzr58XILifzF3XstxG1vbvpV9A3AhN3DyH0wEh8M0
JCVRJyjJspBzxtV/D+iwSYgzU576D7bLLpcpE6HRvXr1Wm94TiPjAQG4Lcqx5UMAKnIpLEbZQhbI
Dq7gGzsWTnUjP49yXWytOn7MJQQAkMPMRbr1QvWRFvet3COKHvWf+qJzn9GUWseBuxLqeKvZ0bMm
t6u8tnY+6Kcsl7bBWDpiNJ2yLGKwOs2iF4ivdGCXZLW7bmvXKd1hhzAlp/noOVZlYBbxWkHeCdbM
o2rBk3G7eKfQQ1NaPdjbaCHVOAaBNrjSKunZxVluidTsH71e6Thw4Fwh6zUYm3TtqfYB/+LK8QcW
OPs8cH9fXxeg4Bcs/GU8lPfWKFl3rVncUTm5okjzJayCHy6J4cgWvYI84d4GGpLu4ClRNE+yl9If
tGs7V1NHVsUKxmRxCNtUWYX+0K1CCtz3XQdusQ3TSemxMqFdZZ/6XtHQTVR1GuQ9wq9unTzEvqdS
IMivg5Ltl97FAHghRvZRRrGlWFtAGDEmu7EC98mIDJRSbfvQeD6VCimCYpLLy14pqGzYW1T0lqDg
9N2Y6zsFIoPRRms9qiWHkg5d6hjxTt14rEfmLaRF9jZvhUju9VhY+iYaqCBR6HhwtWZHOYtzNzVJ
B4gqJ0NpHYStY6RJui1ksVGxGwL5Y3wfdf9LJdngY7E4GCwWSiAU4DXprRZOqs02soOEK1RIF54p
diKG1JSAUE/zqxCMuGfFjt7L0o1U3pZZsU9AEC06yHRRDS8GTbtVRFM61d0fKVBYOcfbLp9EzH3g
8O7Qfio9NBEL73OVaczYaluxZWecGWl63BOvMWJD/dzAcLUmj0+EJt2oRnRwXRvJZnM91Ic4F1dl
YT3L6ohmXnKA+LDW7fIKjXcnTsnRFVJSNdqYomkW8gijUmSajc6cQaupHbsNR/CMHKL4Zvnj2hu8
p7LjKA52wdwoaMQvDAnuXCUXTpupf6SJ5IzK+BOeErKuEUKYpRmzpt3pBlmzqPv2KRDtjQfiMK0K
MujYPPgI9oO5s9ZValAFlOtiEYjiR1ukuy7qvkahfxN37qZWoJ3F42c0WF8UVPAMNydZyU1KMWm2
bKTu3vK0dWrU10Na3HTkHKLBICPTPyFjUyNrHHwOk+iuRYRdb6rrlNY/Dh/ixkiIHQYWSosSdDj4
DW9tDsYLktZ3kVHepgOYCYV2PhE/RhOvpvFmRp/yzNrIGal4k71QQbvqzWTrNrCzItfTrly328s2
NoZgq0kuJY6EfaM+e262qhNw+xaXWZhRfxOOjVhYafBoycmLFen2KujlTdUBpMD0BHFnzdjV0PQ2
iupp27BIviEgB0QIRH6DsYl1pUwtVRKRF70noURdtIPnQVEbfl7JYSsvd3miMyx+iqlZFHyHo9Ki
Dd2JbWfivTHoLxFkHXT70SmMwQuTkuJaV9kPSRg/p25jd19QndZJZQN9sMd6M8ZxFxdcNQB7h0WT
KPiYjoXTWyw/JpWfxMpasvJ+aKSlCIABLhsYfdFmtKAzrdQ8wlGiw9DwUKFYjtWLlQUTlAq9yW3s
hvrzmID543uYhsB/xlSekjzGnwm0Z+FzhMvyl5JcPd6Ag4MeGzEzfmTC7dpNFNXGTxwqxSEb2+5Q
yBP6yrelnnVO9iSgZ+bECC/WG2qaWIhXa9Mr85dO85RomZeDlHGSsibIYNJFt2PYSYeiM/IvxmiI
DmXgrCiWKsZtX2y3QiAGfy80I6C1m+MSwDqKx4FuBc8qdKQJ8VqBBaq1TphLD7KX60RFwWe0+zBl
RuQ6sPQtUui444R2ZirYvMh4buAF3VDCTy1p2yN/8FUN9fqhs8rxTukjWBypQs77Z9v8XzXcTroD
vPMROCpyN93vHxvW/w1HVdLFk322oPzP0zc0gd822l5/589Om6b/hlW5ZQL+oev52hf721VVw0iA
v4SN3gZ72QQ1+KvTpqq/yfyFKLVAosXUJl2EKnt1VVUnxTuDP9Ro3+NOAFrp3/TZ3gswIL1iCNAF
Brp1iJeA9Zk6xW+wT7plRKqFj8gCt090EVz+H1onY2SXP91c8wvK8b5dskcqIRgy3EA8vcehbmxD
FhgAuzbyNmFSGsbhdRD//82n/8GZok6iL8c7ss+P//kUlF6Q/ueqir+lP6q3M+b1d//WO9R/M0za
FwJ+MABn0Jl/N2cl0/gNPDT+yJS/mRUoavwzZxTrNxBhNodiHcADbVOavX/NGfq2IKtVGr0IlKgm
6iH/Zs7MGrNMYWYz6kQI1lpIJxqzKSNZKirvqequEMPc0I7ZDpa7fjMw93/io94KEP6CFJjdYoYF
MxESsbWOW/S+fqPmOA3kaBi39uPp2/wC7ni9zaQHxJigETmDkKBoEXkItbgrF5fRTE+wYxiQrrc/
SVlzdfpWr0KD74Bg3AvpIdYsNHUd6M/7hYaCQVnI8Kfp0rXXvlJfZyQMkSJTUIO6iM1QoLXXGaYw
uh/tggRJpgF1Lg9Zf0aXFtZWlswzrz+N4i+PJEwZ8rZh8Gza+0dSQl2JsxHNYmD/h1yLHb/zqGJi
bjN92NJ6hhBye3oYzt1y1tQHTzoALKBbksje53TgtnVAAXuyGg+XUkhO0tv/UuVwmq5gGP95y2mu
vYlwtRWZbJO8ZY6MbCj7O/TxndNvpbyPolNUtwh3uKabsrAmucP39wjF0GYWvJqV5Wb3I2fe1NId
iXshFXVDvfWmNZvrCttofE7vAdOduz9x5pcvCXoVNLEMGO8X4bBSNxosUJBvMNuvuV7ejXWyGqoY
P1J7b7kBSvPBLjTsQ2fHTpFYzz4+X6eH4BUINZ9M4A21SWQTBLyYHvHNMNvuQOJMoWw1JN4GjYwX
lIqoJnqoNljPaT6uMmTtsT9Za562Qw2o4iwX7CzO/Q19x5Tyu4cwfcjCYyrsMSm5jmyUquXIafNu
YTTZGaDVtN5+fV6+2SSzybKcfTLoGymixhmfbDBvapT5Yoia8NfRTrAf8R29tnXjJpWr76fH6aPI
hgYZyFqAa7o5hzEmrmDBQQ2d1Fy+22Vyn2ftujT9w+nbvKJj5q8HAlQFwagrbAuzIK2hEYGqeejC
j3nKovwejRV6jKO2zmu8TpDth8ayK6BCyJG0n0IMjfS1PUh7dbD3SMs/YPtDT9xYSMG46oX3QNlz
ndTGosb3b6ENxKOh31qht0Hf3LHz4i5H1sgc8a1i7sk99WGlXXPzwfC3p98NYbMPvh3qtDJ6uGgf
on74fq4hvYJ2ay3sVarYT75I7mlrXHsG6Ai8TGFyrDCRB16rtZsxqDlU5RgqRN+aCuHqJNyF0B6k
LHjpoTHGurvODWRj+ruC6ddLOq2XdqOjIdJKkCvcsFuLMnFS0W7iUiNCms44hoehZF6WGAdF0lpE
zRKdBrhGsUPFdd1r48qr8FpMDPobLciOkepLuHRVIistK6XqvouqgyiFgA4j6vFz3+4AaxR3bvIV
Pu6tr5HR98l+UKVN0/sHeGjA8u1xhTNJs6CsvYy8ZG+Ldk1/BFv48KW3PBi78COS7J5Vvm9osotK
v4UCtqrN+AVb3utEWD86DeIWzYQCDY/BD3djr+6kSWR9HFeypnKWA78ul99UPdgFYXqPqVuCd2x5
Zyj0rr0B7pe/NbrkGkGPrfDcR8qv36ScA1qOx7fasWx161OiBAcR1XdBERurfIye2oHiaJnG9yE+
S7burSXPXzdefWdZ0hVH/B8W9Ec2o23mBWt0nNYQuT4HIV/UtD6B+1iQjWDUba9rgZM5yKCtod1E
pbVoCR5TIMnMnz5jO8XdaazzId9oE3bqK4E7X1IwXOaa8aP3dCctqHyy7SGTlB+UMNmXbrxK8KaT
uu46pkRIBX4/XStr0W8dqzuMX3fIx6yrOt5zPN4lHcQPYQzbCV0V8B6t5++qouPQDjNNGp9dzbgx
DSaeNF5pQXtTe83Umd/DDtumqr0PU9MpJPthijpSgCKZot1YIAlU01vDVHe8qajT+IcOoTcqOfSk
y67/PiTSBizQ9M8il1K2zaq5CmP7EYjnM337dV+XPQGTCdIpyT4s5G2OAH4iWLcKkJwC0Rba4XHo
76S626RRuDMNb92J9loDAoaTCVIq9VXc0ubCOavCAcYS5hXtXhpIyHMU5Z3Fh8vwCJlYmxAzV2nH
73hMQtEBc7GV36sUtFM2eXurFIcqHaolwqi0dAOTxMqSPkltfdXpsB6LyJE9ELuFt60yCfH2ftP6
E+/PZh63zRX+yQeS4100jNh5uK9zoDbZyXTv5xCN9JrcdeyPlFG9RxPpVR0oyLSxmuqTpaCcBHfD
ULq1x7CW06fBHpGS6EslICol3SJhnrRJ4hiK+5yo50DDHwV5YM+wDNCsFcArZ/GpxFoJVQZ7Re/n
TkCR8VAoQN3mzLavTpj3eZC3UVAUHBQhGJiz1CZ09TgvwHiuOrrNPqu4BD+Av8o9vmVIx+i7YMDZ
OMW1bMiadSGl91HqfZn2VLzZP/stMwkH8INp1Z9FH+8BDy3xsV2dDtfKR9GaAzBnWcsi0Z5LjdZa
6KcJUhcrScF/N1dk+oL2+Htn6E6oaruef0s2gv0mGAlNvdHxwRIh/sZedk4u91UO95cB48z8miiB
xJslKapB1Yliob0aOv8Q1NaTno7fm2jYUviEnFqvVa2+TrviG+L+y0IQLDAXOD0cH86NN48wS7r7
NgHtgSfaytAAX0JSXfhZ/g22zdPp+3w0OQRaWkC8TQG8dn6yh5tNX6jWbBQt4pdc1m9MgdmFhlb0
aL+ukbR114BJVg1hqND8L0N5p9vSBiFC4FDllSS3m9K29wgr7ZKGZes3Zxg/H6XNk3YxTAGTGay+
zpw3OaPpgWIVpWKvsCKeNNPwKiXwwMoPkeYw43ajYE7aSPaz5FFYTdjeTo/RB+c/kM8KJRADfpOm
zNapBMbIL3rZXiXK177y15ar/h6QB8XpuePfB+ceIVvIacIBIi3T5neiPZRFcQGyFEGHRlvDz6M0
b61yddhqdCGk+uvpV1NfdZZnc51b4lKJ/QFv+JpEvRnc2EQgqQ64Jb2zdcTG0RhIH6A8NiW6JY18
etnSevrD6dQZoPbaaBZK0V3kTDNi4FCmF8Zu0Lr1oLebBNSSMcSOacb7EaxQNZZXVe19Qexpk2fy
tknaddG169CE7cfvJH27FmRB0G1vLDPZJ4H0CQH9R2gbmHNVdwraQK1l74OIzc+nPl3iYuwZu6gK
dlWCbFsZUj3uFqI1HLTTvmIb+RV66CecwvYlDz39PlXoDS50a/gZTs1uY2XGAjmiNb4gO6n3v0zZ
WMP90qq5Nij85nGNz5Z30+OMqTT1nT6465YscBjpA8nj1uKYPa2SxubPq/JOJmLase5MyVIHzq6J
vC/4+mLpw4mlDneeH/3E8sbROCsDrDgU9njfpLB2orCdoDj0/SH7kwdPmZZgs63blt0tdlxfWvuy
dLAibwsKastut8NdBQfF+hqG8O0Uv2kd7Fz1a1C4B8RWYNxJ15WN4Y4LO2NKRdzW2muhB/LrxvTT
r0rjbV2czovM/YTT8YoNY08ZYolQ6XLKRt0R85qcWWAHDx7ZZ0HWKzKPrMbeDwIxyNLfdTi2T2OI
29GdnHgHe4AJjrTP9HvBSGLIjir39MF77Uay+aeT0BsIfvaMXxY214n1VKL7gWvtUgceUOMZHrDh
q9GwGlFyirJ4ha/qYRT2uqzJn+IY57dhOyUy6GF+svRExdVeu6mkfmV74tnlPOLakyX1cNsG7bWO
1qsI+abMNQ/bJDlK9obZ3xrJ3SjCQ1iSdFdfoRMsiy65n2pGFrZKqtFtlVzbdUl7hYIakD5OMfq4
8oPoYcTOHvdIvI/J94zoIeXAGtoligqIGnj8so95Mn1C/3GqhUxzxESszSNMtTQLpjk4bbGJXV0N
ItojxrXV5YT52iEqWF+ZRNfaZX5aOjTtcVv6BmiRZIX51NpMzCVYm0eRMUASx84A88E+cpSSTK57
Ykk/n44Iv25+pmzgaolhLeAH6B0zBp2tyGHDu9sMrfQ4nQdUvbkeySqnaZCGuhNE3qMQIxZ2w7Zy
SQM1+8yx9JeAyyNQtMS31qDgbcmz8g9ir3JJh8JeVbG3btMas2pk/ozYGZJzPD5OuvPsaCrGwOFT
ZQv6JWHwfRampLaUphLoF6jxO2mEdY5ybLkIKv8g5HGl4Wq2qPBKlPDULojDYaF8Kvz+K5rXB8QQ
mwUV2J2bS/vW7zYcZHDV676berC0EAcB8MKRk9ighGxNoITAq5m4SkfBrh1BTdbWlOZMg8shLc+9
bRMYqM9yKAgAIyBlBgJ7ORW7RpMsrB/7rZkP267T3UWWAHtzkSIk/c2EdpOBzTY06kciOHD+OFQs
naTsbm2TGTV07sKvu8UIWWOBCOxNFqN7GPjwtZGBWjY+sFAL1LppgmRXhluIHZxAY2KUpk5g5pQo
OCZ7vTRvutr/kmrBgxRl9zDF4YT37ro0OFTkxMsmEcRY5mrKwVF1D6XiPso44aYdiNx+opxL+xqd
ujiVHiU22yX44EOj0rMfZLrXev1dKv0/ht7UFpGlORiO31tmc9WyfCVKEZUnHaIwMldS6z5mprFU
NL4AOvj7JMIWVONEyMkxRbp17RYt3fpx59GI74Jw51rpfQ3IBHSMsfM5rKkpZ+Cs3QCJAVDjeYei
xhuzhUTBXlcD5VPtx4h7UjJ7wG9yI4/xvpC1nQpHyOI8HUtYd/DpKk1aayk2VcqwYprtBg77mskS
5ZzRGO2mzv1dHnabqMRhhDArcvFM2w22bbNssX5d6LD1Xy9uh07Qxzi3NsFSAEMzitipVTZFwB6I
rSAfVGG6adWPam5MW3CISKj9Q5jgwRrLoD2LjXztF5oDXYqedxYtPetnE4OTr3C1Xeiuv4ulyImq
/lazhpVRI4E6Qe0j6zEom1stjh9MYouos/108A4Jyjin/8xl3CFLWE/oaZdgDcdhlw/xQ12LT4bq
HyrVOhQE57XdJAQsC6hS5T5PR2zknOhFI8Qilc1GIaKpCH3Qn8Znkr53zE6ZGcum69Y0S4EgSmsU
5q7AKvqIo301A47x5NuxYiN6QMwEMeBeZ4q2o+S/i4X5VGExDDqvv41ED0pQiHQJbxvCkxW+IA3r
bzQkBRpaJNfTTl+m3pnc+YPIAXWVnNkmJ8TQaVarrylvJUMlw6ixO7IjBpON15yWoJ7uI6oTpyPz
r7fD74ESNQuawicnpfeBCmVVv9dqIH6IAF9P+QnSZ2srTb9NMz3vuzO3+2AjwJsD6vHkIA4F2ZyV
zwbME01T78QqI+jHHLBL0BQLrIG31GyWiF5+lQf/sbOifeAnToCKcG+HD6/v/K/6e0e7wG+bwP/v
KUv4e87HfPe/HL3Q/2KTkK9/vEd4M3xLk2/lu84gv/BnY1CRld+YJqT6UwFZKBanjD9Jm7bKH7C5
48+ISxp/zsb7dyvZ+o1GHSIQOhRLpN2mM+9fbUH7N+oT9H2opMKqp4vxr1zQpr37v+cNrNx1yv8k
EbPZNI5pXxKrc8TA42zvWuSTem0RvN+Mw/2fF3rbEnx/gvrv5We7eIpadhHJUe4Itcqu3LDfDxoN
nKGD94N1twCC2VuiTxdFmp7pHL1fl3/fEjGF9+vRR+e7zSuBa7CKPNwyrqz6CyAvgEaxmRGEmwIw
ByBVfBKXp1/y4zHEcOH9HdUeyR6zGDPHl2xqdJ0KlcCPm3Rcnb7+7MT931eaXvXNYbBAFtvX4yFz
9KqhuqbmYN23XWl5n2NPNbvrsgz070am3lVxC75sCK37XGql32t2HvlMD/B9BeS/zzAlh2+eQUI5
lhnaFI6p9zoqprLuyeuwi5tnNtl4c/pNj91k+vmbm/htbZRxLTKHNlP7iNa98hMtWEtfmh7igWfm
5LHPNf38zU36nAouLpY5B8OUunSHdPoTlEuzuHA6zGpEdd1YPY6YjBSL6zbrzQ46Cmjay4aIgPD2
6bMgr9sadw8HfJ3+HA3JmGzDFDEROIujom5P3+XYGM3CguzZvmrSDnWUySBdUmg7wdM1z8ylY1ef
RYUwlFIlEGHuZISeh7ZFdRLAVWGU5/bKI/PImsUAJHF7HSxX7pjR0Hd3XmAM8lVYmxbKm2ZrWIDk
GiClnpy1hwhdpuBK6cw434m6ygvk+9FSW3coRJWLOrBNCaYuB8eFiFLEu08P8LE1Pe0Gb7/jEGBi
aAnClDtaUk3KJVPCinRPTzY+os/yS4AC4x9K3kYKYqsteTE7B1xJgaz6tipoaV32MaxZcDF0v6MK
4hUO7saABhu9EAcpbezvp1/0yLeem9E0qIZGYRcWjpd56UGTIw92bQnh4LLVZs1ChgdfLFIyO3fQ
RIWO7ipp8iwS3/p02ePPgkXNQa+nBF44iRyHz7TSwt872B5n4t2xwZmFikbxylhGWY4S+lDpCxDU
JXppvhCXLWNrFizisRR26lu5Y8m17C5sxSs+q6FKMen06BxbZ7MwwQY7utg0FM5ARQgQseiQmpTH
jm615HrSz9N3MVkSv+YoOIC8XyoqglNDLIzc8bqiv23koPqjkxrFuq6YuvEtZxw3OLM3TJP+g1vN
lX0ae6iFW+NHoouux4VaAVj+KJS+F8j8urWyanhfKB21WvjnMvsjk2BuFtr6cgHF180dOzZDeyPq
voCeicBKeOaljozfvJeglX1XU9TNaE3mqIpCi9M41HWSSPIVUN0AfVuUmIYzNexjrzM9xZvttbWk
HHJgUVCHhpGxdvOKLv0Iu+v59Gw4dv3Zgu9zmgJ6ppKxgn3UIX9U2Q89lgkrl11/uu+b55fCnv5s
EeQOEvWw+y1I9+wN8fr01Wfeqv/kUfPCPmL5Kn5XYQbqgmKd1tVW/LvvwTNeyxKaSC8StHM8IARY
hUWa+DB8YwPVJwl5YVmcCflHlu0c7ZOqHnQyhU8kwUf/4iaa+qOTR4oASW1Jfx4VOcF5f0Ckigcv
S99m/sc+0yw0oGUizAJdV8cosw7DlbHTUUAX4kxMmHbyjxbqLCakcRtRA0gKxwqGqJrQ/DpMi1jC
n8HDvR6QC3RcijFQZREij4boRbim9vvpj3hkQc2P/H4fREOhk16gRa7id6h7Zng1qH4t3VG2pqwu
/DrLDqdvdmQgzVmikEuq56KDyxGqopgURKZSI5gLn+FMDD92/dn+b8KVDIq+LvAMGaSVlviTknXR
Oqef/khANWfRILFzvxmm7dk39RQuMP7sYtF4LZIfRW52y1oLxM+2N8JzxrPHXmcWHgYjKUwdtW8n
kPFPaETxXDZKcmasjn346aZvYoMGO6Eqiimv7Nqs2fiu1z9qdpv421Ea+2spC8Xq9Lgdmd+m9v5O
ajEakCI4l3dGnKTPymjJj6qR+AYlWjn4QiXVeq4lAGkYiptusqRtGWln3vLYEKrv751YgZrh9Izg
C8fZKzPAfWIptxoyB6ff7Uj4mVew7LyG7ypzhMkHD8UUMlxQLlauwtjGnEk37k/f5thrzEKEF2u5
WrtK7mjAO9HqMVNE+ZDCuejqCGa9mwpI9ydge1iWveaCo3Jz5VFqxuLqsqvPFr1r1gEy25xRc6/s
dkbdAWoM6s1lF5+teJ8mdwG4gIv3Q7gohS5vShg8F159tuLbIlOTFlKNo6HHeS2swl5qWXxhxmzM
lrcvqYWd4HlDu8vHvc+D7AiKzKwuHPfZArcKgHFp0OdOmAzZXWZIw7qw1bOZ2JEpacxWtTlKCG6M
SCkFQ/cTxzllGUlluL7ss86W7ZBGMXrgKSehMsm2kPO85SjX0fayq8/281DuXeom6F/0YbCDFUgf
KjefL7v2bKXWOnC1PiYg+EJHp9vOxmVtGsmZLejIoM/7AQ1ypq6qNJkj9Ya3qbXKvIITF3+/6Nn1
2UqtM9RZApSoHQQEsHCUUGMOMmS2Lrv6bKkKu4U+l5O6I3GkPYyycu2RVd1cdvHZSk1Nr217yiSO
N4xY2FVNSUk0VWRk9i67wWyxIs6FL+lgUEWyyjXo0nRpkr5fFoBfFQjf7MWFllvCr9TMqcviXkfP
P1SrC0d9tkz9tNZb2+w4kZkjpqR9zezfp4lZdhdOydlStYwC3fiiREymNsEb564U4mPRVP3nywZ+
tliNfjCUMs0yp8L0i0CcVQck6fwzFfZjC2q2XBXRN+hpMSmzAo1DaLaJi6MRWkLnEoQjN5ib0A8I
II+aj3YDshYoxdRxQWtabxTDvCxUarNFa0CJG5UpJCRaqjlYoyl7I7S6y0LlHC6Gjkngx6hHORod
vJUoMhDPrldc+OyzVVsb0GdDgxIFkzN8dHVjr6A2eYYQcmzkZysWA0Ehd1LFyEPwx/qujn83c7w3
zgSEaXw/OLXNVUEzXfbx9e4ZGdVVWbh02TkdfEnpA6MG9jCCa4EkWxtnlsH01B/dbraOkwqzp9bN
2VeCPBTLoVfCYZH2VvcsFehkXfi5Z4sZnZVJqYYx66XewmTD01Fq0cVloWIulAwwzseAjMnEghab
PIdiY9dw6S8KFNpsKcul22p2ShDNLbPc9k1W7oTVX5isqbMcWZUyo8FaJXMGPVDQGUOlBZFVvIku
evi5/bgq6lDRBkhRVYWZtAe+a92LtDo3NEfWAlTddxl+PslZalGVAvzpcBfnP4svGACiL9cWcoG6
Rt63za5HNC67DROvfEiV6iAZYbTL3djbp4oHYCzDtCpaDahhmIuxRl0JwadsquZUdvhHNLb+Q62W
bnhDlZxCE4prro8UXgS70G8iY3K4Qf/pawE2LHDoPvTRc9SN8XPYxwWYkwrM58rSR7oYUCSdEIcx
MEttFsg3mlDadNt7McqFZl/DhpFCPTJ+t9Em0K4qUZs/27yvrId+RNRloZul6JfD5Jzm+yrOQWe+
0Qy28E+9a872SW2AKV0FiKhAEgavGg2HkY1fVQAVx1HExdZLdTAacq17+V5t9BL3LcyBvRW+cV3v
qN2gvGpz6Wl5JnGYZt8HUUGdBdC86tFjTZKUs9VYP9UIVN1SqPqGOO64SEetDRchgpoW+J/CvnVR
l4jPjMWxCTULrsPgB2kQeJlj4oOIUl+3VuM0PhOFpqf/6K2mm75Jh4y06+IuCjJnrOpCoJCiDisS
9gTxryzGY3Xsni5bdbOgWpXI73talDqxpSbPCp7G16MtWecq8McGaRZN+woYxKjniYP027iSUqGv
ZCSVLzvfvcLu34xSjBiO1Ko6ZFkkiaTliNomJrMNKsUXDc4k8v32K9TZGGCYCdBapx6zhSFeL2u/
Prd9HhkbZZa2DG7bdWJQIyeMS/PF9WT7rlBKsbvs2WfxzsUqqO6qKHZysF4g7oZya6S2eS6cfjw/
XxnWb0a+6VBSLJSmciKcD5vtUBXqD4xOIbSdfvoje/1cel/CujXW1LFCaieS4YPmRcsSDiKMsBoU
WT+dvsuxLzD9/M1bKEbQRTpmYE6UJcZ1LOfDoxUH45mrm0fGaLa0/FjvDcv2ayc3PJCWrVJiCh1H
mrqImhAYXZaHZXMmCh57k9k6Sw3TaJowlray1UT7sJJ+BPYYXXZCeG16vxmmUWnCys96d5sOcb8F
d4NWZ+m3Z+LosU89S1owmaQXl6qlI8t9NfnIWp4BVhxl52WSuG52ZoSOtejl+WLOcxHjwVY6lYuL
31WEvaG6lWM1eukizc+vDb2C7mC3ecg7qnaUrnScOw04UYaS3jaoIY5nHuXDjwUrZLZz4DaSNPRm
MjDmUF5W6IFkn9nBJf3M5nHs+rNpbegBFHwA147Vx5/blvfJzO4cIOvDi9vwft+vGWyQFUCSFbK7
RaE/KUWGQqd94YKU50ErCzROKgUXT60etQUtWCtqPVwy7jz6tFDfzGOj4nOKUsNUd2RxLjVi+Usc
FSK5ZNy5/uy7WjW0Qk649hZlX3kdBTKmo4merS4KVnO8vtIlQ1Ig1b11A1P/0vWKvUWbdPx8+upH
gtXkQfF2bHpUNYUuRaRrGeBxr4+AsGehWiPSnmUFeG0ll/IL32QWrBDDb+GfyhZSGwGCU+3A97Yh
iJ9+k2mufJA6zTGQikYTvM47z+ll1wj+EG1U5Dslg+O/leQ0r9fU97p0J2RJ+XT6jsfGbhbBqsSL
QsQZ3W0gIX+ZVtjXQBUOCh1EnYLzI7Y8rbc+fa8Plx+xYxbF2h6VBt8IpW3nhqOFGlaH7m+iyZVy
Jhwfu8Fsfftl78p9JEnbEqNobaGLOopWSV8k44U3mK1x8CpqmYeSC3vdDb50STo8QESxLxyf6Ru9
WeOFgcVdD9cDUFXG6azFdiS01HP9/mODM1slY9sHnaoPKXoiQ3NnDJ29qRKE5C77trN1ESVFZGJW
ksKENtyrklz8pq7PYtSOPfusimh7cYLAOQbsCkDJngNLkJZrHRvOS6CMzMzZKtAKwNCE7cTpkHuE
W4yE23cynjHDPhII3+qiMZpjAa146Cq79KDt4WvvTKTbK9kN3MveYQ7jSz3JloA1RE6i28lCl6V6
H3ey+uShPfDzsheYTf98FL7WEpQcvQvyXS3MdJOUtfftsqvPpj9WIuiQWGbodCnljE0a93qyIEWH
+nPZDWZ7XFI2RpH33ECuRPNJTdLs0I6KkV54+Wnyvlm+IebrLF4XbQY9G27VfuirdQqmLtxc9viz
BZyp7tCYfhU6IxCWeIl683htGcm/tNf6qz4Cd2O2hNt+xPEgdoNpeqabRtZltHS7wRiWWWaaZz7y
NNa/7HDcZLaSBX4LWjy6fAPsD+iFI3/oLtW4wBwErRntHGjhSMCYA/VAjlYIvvShozW5vs66Ql2q
eIpsL/oSc2xeZKISkfVl6KTWIIXIQyb5YxwW5pfLLj/bxtTW7qMu5fJ9qX4rfAoaXqFf0mlDY2m2
hGOvq01VJCyyys/vtelLDEVwboUd+bpitoQ7CLxjhfSy4/kFrEEFFZh+mSLx/WSHmJVfttDEbB1j
4jwWeS4Fjin7iMPjyu55y1TCMOiyQC1mKxl+pvBDw/KdsG6qddGA8mx79ZJMni8wW8YI41vWAOrf
Ubyh3mqFi2WKGC4qdHP12SLOI/jEia8FTtOagJBNlASuUz+kSHzZ3JyvX9lQ4xKmK+QL6WnAMXuv
lNZ4ddnFZ9twDyC4VzovcNRMwb0h5bhD+1B7On31jwGPFgzx9wHak4TimbHno4td2Ihh55aPEnfE
CbYtcttaBn6jf69QRAqe8MWWvg2JImPHO1jUqJ3Tz3AkLs0hdJO5UY7Su+eMUVN8M7o6uk298BxF
+9jVZ4tb0crWiOj+O3Gnq1eiKqoVagAX7m9zAJ1ppmOPPLHnlKFnX2udYWztAa2i/+PsTJojxaEt
/IuIAA1IbCHT2C7bNQ+uDeGq7kIMYhBi0q9/JztevGiry+V4bL3ApNBwde+53zk2s3wITd8GNBQt
PnmAHv43vEQ12i5Ff6SciG/vLWk4zfMSYP3yOkqKX3zalxQ5E3U+9lX9JY2qBkNbrboeZ6TSwwJX
fxiBvLbkXthUAd18FlfoebcVvHqLvACAHpa/iS4e1HixaAKDHcYox36Dt7ANYwRalAkzc4UHUF4n
eppgBtVOrxz8L81Nb22j6zCuaekCwL7gxDJLYMvNWp8OvbwvgUOzDPJG3RzA6WpCo51m9anei8/H
Hu4dx+OCrbSWeDgaBxWsl4YGfE3Gj80dn/Fk2gGE+zpIcpiWVXd0c+ENAEuH9AsSCB9v7qDq5vpB
JvlsdXwF2Fh8VaAn/+CwX2bsvyLeSse8RcMxXBdt/0v2bZ+hSfhgppF7K5bUC1pRggnD3iXqrter
TGGyVb0Swr2wqHz9Gx1N1MFWHvmuQaChihFT2lO/tDYfir1fDw6Qt3RRZHMrWg9wowcD4npZwEXt
p3U+Fstxb8nONZpIk7pPgLmq63NhkzJfNeleKcK8NELego3kZp0tCmw7ZgQ6ji+13eBbMS4kVV0E
is2h1eVr4kpHyKLQEpTHSyeydlP5hmL3sU3Nl8SJecNxPlaXIwv49ciu7VkU8pDAWwKJ7E3/rl7G
YEBtwcTR+s3AlOHaKWrfHRsYb+kKh36MqqZFvg4rA75o+Drt9n9x6/+/ngi8urdy+4FvcPjEw2Hv
Q0CyK76wOvhx7MW9hVvMPUQoMKi8HgDruaG0VHdBD4XEwW/qHbbJ3lsngI0GIaf7Ge7jTTugmn/s
1cnzL2olTBdoVSV5stbN3QSCIyzHK+B5Dj7fW7Gw9oP1z7jD4gpGiF/gDp88tQ3gJ8fe3luxHWNr
sqk4yR3k+nfw09iu1UwOnrG+FE7LHVa5G47BdWTmRjcsSPeNTK/sNpdZ/Zu8gK+DIx1ha1QNRU43
GHqAV02xKUcTvxoavZ5a1cTH7hi+JI40qoPkAi5jpEOzbVE196uDcd+hL3Ah/j87EGGrUZMC+307
AAZpG/FBz6/eSl8aIm/NkgHWNDWE25g8oX2Udo+aM1l2sLbYgB6NOz5u6lArjgRh+PkPqduBLutc
FXk7RmXGGLyQBPQvB7+Bt4Rj2BUyNEHglwgDPxNEEN3PMZLFsVifequYa0aSXUC+09U0vIl5Xf1E
UqI8doXzZXDg2cEvy2rsPzwGKizsYZe2HUwR+yo4sF1CeBailEVkNZ7hGV6dWj7vx6anr4KjVRe3
NVNBvtgddokwyD3R1tIjpXagwbw4uV+LkS5QliH/SUEgjuH9avq+PJbe9jVwgFCZQY4oHrmohA+1
BFuag+0TdejcEoWoj01NX5IFp0mYsRWYO9FCioyqcr3Zwli8MjMvkcFvdrmL68K/94dxHfvEoW03
r2zlNC6JGqA+C07vdKq1YrBAm1r434B+29SvjNtlxf7uX3or2SYB/BmrNcgVWey7JIFbK7Re64c/
b3gv/SBvJVNbUcfQ2p0Hlax/9W7nn4Ypjt6HCObCbInaAaDFdvv25//mmSD8X4r64nTybPxkgQ3W
4ewHAQ6s80JRgNchEuqKd0M46ndRrJGMMsnEozsVoDEntasjyZXsqfvabnCrz0rt2uS8N124fCjh
JWRPbawqeBhSFa/HDmJfaWimHSk+AB5zbUv23dgGCskQ0Kwvfx6Glz6pd84nUV9GUb8hSoExbwoz
1eQa0ORD7bISPiDPx5gNLQJyNhZ4+eVXwuq/YRI2HBsYXzYG7taiQY3AZTfc9HW4mvKGlO3BBJWP
YR11KKcSMtw8WJa3cRu8LyrQwA+NuS8am8A9WnexJHm7Rj/LNv7Mi/HXsUd7m8IKfrCmwHLmpJih
kVza/WaDddb52NO99Y/20GqzPV5cRtPPitSf6ti8ErO9MA997O7eGNQC0WKfj7avbmkTrifS0fDY
7fYfGe+/kgv9AihjEXY4Z6uefaUCDn9IwMSv3P9fencvEi/sbtde8CTvSrAcdbSZVBkYih0bdG+F
buBDclTDk3yIzd92mL7vS3lsWHwpGDa8duoGCFAiXLK+dhEY8KScDx5/vkJKKlUguod9ZGRl9blS
xfR1rApxLELwJVJ1AZe1iiSIKmVs75Gv63MXt/TYTPclUokoO0iPC5mHpuMfnTX9WwBAhmMTxhdI
ETSNr12AyW5sP6ssSFR7b4ewO1gW8iVSOiBzoxfsAmUc77nZhu0hbln/yth4NO//Ozl9jVS1oCK6
li10V5vVPwW0CO29m3v6XQX7NOR1ub8j4XCGDkI/FUsC7HDrqu5MFNi5wPYBKZCjy+dnBS4QvPnY
3ABohBMW1rm005nGX+zJOcM/VfDsZa+89QuLNPSOe9hn83nYtMx3ypHX7YPEdGk8bd2xUN6XW21b
MOumEjjqKjZfoRbN06lfm4Mr1dsEWgoo++oWmZdrhbgjKR+KWR3LPUGy8vyUbuTlzrdHRS52lPn6
ARInzd1waP9Cmd57+hK5QtbIJMA8CvTUqCjOYcUPYckkipTPn75YUUeR5kWOfMLwEA9KflTU7R+O
7L0o9Tx/OgrNnSiGGe8e7QTe8TG8FqfgmAgDGfXnTxcwJ6r0hu1XgKv4FFalvSKDKj4ee3fvsIa5
9RrA/y/Jwab6UhAYTjgLj4xjD/di9WFhTQhX4iSvw1DDtTr+uBbsmDIOt7/n4zLFQR/IHZFdgLaA
KwHizv3mZv752Kt7pzVdFCFhjcgOmYom1+guSoeheE13d/l2/70iSV/9tbkl4GyYoYEsFvuVgmn3
RNwcvBlNMB5qmJCY9M/HJ6h6F09rIvOtNe3NwLvpruf8EAICT/fXq4btct9xmVdz/B1ubI9CH2ry
xJO9xbqyiA+rHRD4uliAVG3bm2JowkPXbfC1nw+LRGMB/GsR5A16Da5gIlQi4UpDeqyoDD/D589f
a06tCDTCPHS8nYIwvEO7xGty0xcEBVL6y7WFxiiOGsTWoWlhrifhAeD4BgOVizXqmrc0YHNmAtXM
N6Jv2+4Mv0WxAjE64K5/aGlIb1UDuYI7sVllvgZJeEbRBu4tOJQPPt1b1sEcg88dOJkj+2KeVru7
69At+6ELBEDCz7+O3qKtEvDEy1nQ3sTJQE9jvB4rfcIy5vnD9yUgmjXI5fdwwUJjO/k0tzAHPDTq
vgIsUPGSEIP8KNPJeJ4FGolhD1a8QsX6fdwjfQ6b62MHx5IJMf5YbiiuanJWcfXl2Kt7Cxr9D2iT
J1bky6pBC9813LOhJNCTOTZnfBFYuS67Xtgs8972YNDChPmD0o39dOz1vRU9BGgjdWSUOZdGXUPi
ovJ5p+bQDQWs0ueTBpm4rWzge5Cvqq+u6mppzyusjQ7OGm+tugIu0UmM78qNafJ4GtDEg3bIV5KL
L80ab63Cr7yPQeLFuAv5bkvokHVxeAjpglPAX6oQyxDINEU+FlP9FfJu+n6dh+FQIP4fiwVDgSYY
4AQMfber3gvZF48J7e2hq9t/uOgknMN1CBVOR5lMPSAa2/IY6wpx86Ep6Yu6wonicsVonMt1m8tz
hTtomQEsWn449nxvxdJCRYKVyMh1cuaPLYvMp2Fz5ftjT/eOYFvakVlS4ZqCU+kjzAflO7UM7thy
/Y+qCxa21cX9Ny9IP6b1Ok1puQzH8ixgWDxfrnHhGI82JfIeHGqYMsLnRQ+FeXdsZLzlOhYJbWrF
RH5R1J/GMqAnFzTRsTnvy7qWDtvvdDmfBk5POgbZCXbd+8Ep6S1XRvetrTfcbFdt5zI1IEfdaDP1
wcHne4frUs7A/A+Xw7UevuzD+Jho+uPPo/5CNO5ruZpi0y2Aw0VuTdV/BWXY1XnShG2UJ0YdjGq5
FzBPrmvXAMZZ+dogHrODhlNiDc7ln3/CCzuxr+lCZs5AKBmLvAxpg6tWAv/XFA5AxXLsIPFlXSIo
9kr3uE2MWzSmi9L5lBy9yvlgM7bRbp13IXPLZN1crIhjCky1ZIco9YjJvVU7w2+ztUYi7BMLePtD
KDIFa5CDg++t2oZCHiJL7DgDKKbZLJtvZA1ew8K/9GXJ8w1nonM9jBui7X2NDPD3UOwBoXooYSR9
PdfYWFABLBJG1gU61V0Qn0pnXm0ivszt31xzubdmgW6NW12sSV41iSqvp7rV9nYi8fY2kENT3Eq4
eN+B7j9+KffFzVm9TzUMXQMdfksGVJuimVr7GUTO6Fu5glp+XTA53NTQz/3cij6BLVHZbj//vIJe
2AR8lYZe68BVrcGxsbbLZ74EEUxvYEJn0shtwbc//5MXPqYvPRthoLdot8m869EieEIpY1dZaYqC
HlumvvyMD3hZsiJW3bpl+kx23j0xuxxTe0tffiYNUqNlSbCMRvUw8m1CB417OjY0XlAw7XsQD1Mn
czJzd8VFJb5OAPQcu/f56jM4ewGRAy1LrtDCByhjtzcitckAlcmx1/d2GGRBSDsAmpLDm8s9chbz
b7Kjy+djT/d2mLYGXBwsOVz7N1f9WGrd3EyFPCZQkr63aAFeCgTwCrmuoiltWtaQBKcwBoBh07HX
92KDnQizJT1OJ7g1sbyihgDvXL22zby0qLxdphxF0hQz9Jw9PIAa1KcHkDAOvbivQEsAPJhF2PG8
GAd9Jcx4C++G+NiU8QVoVHVbuRQBz9GivKLgEI2fJu7GV6bMJc33m73XF4a1k4NFqFpFToaO36yw
nvmbWDOFGeX9VYc+jd6tHxUc7MHI0Qdz1fSyuf6rgoq+eDC93chzGazuNtFMbum6reuxkhX8g58/
f29Y7AytOXLhDaIPGe78cW4jHZ6PfW9vnYHcDmWGxKCFyK9klI42o8FwrHotfZXYyEa2kYvUioZ9
nKq1/2ki2Nkde3VvjbU7wenZ4+GMgeKebnOzsVTDCfhYEsfXibnZwChjQ9dALeTwFsBAl/KBrN8P
vb2vE5Moo7IFyVpYatN78PLdCc5x6urYw73QWzvcBtdaxHm/71EOvmKbW7DFDj7duyvHe9UORrI4
Bwt7SEtG/yqa5DVe1wt7my8Oqywde2ojBpPadjzrtoTWjS7Hbpu+NmzY4IhuAcPJ+T4/FDS8ePKp
1xRJ/2hgfrMBEW+tdiMibmWKOF8G1vbXKHraWxvDkCMlbhg/gOdkbcoVGwZ4rjdBkcoYjn+nSwUE
nq7d0IxpUjf9kAqxuXsYNXRB6oageKtlB5/2ZpG1OpbHIt6yb5Ex0MHokKCMIVurawBhcR881iAp
fQkZh/4f2i8V5+NqrnDsfWnYdPDFvUWPvtRkcRyZ1dUVJE/UOOe646+lVf/5/b/7hN7JGofduDOH
mGyhsA86y73R5SMgblMJs93KjulcBdG7KmzGEh3VvFS3S9XhdjtdzMZSy8s5PMfRvMEbE3rq7bSI
cf1IiA3tuVlHvqYSlhzr2bh9+xFSKU4Bid9tM8K+NOoC/SQ6HZpDqkThl6+jQCA9L8I4XxOlxkxH
gBWmHTXs7z9vMpc49b9jJfwCdrCMnRpWJBQd4IlBqoiSImPOJX/FomefdtQ0Du3Ewi9ms7kGk1EZ
ni9NV1/FajbfExuZYwUs4VezAVMUiHYIcosBXE45MPvI0x1sZBd+NbuTw7TrkOAEXzFRs8ZG/YOc
Q9w+//wZXtgwfS2hqaD1gzIUQVUPQ+Rq21TaE34w7+qrCaseEyipGc97M/+MsKhTpKSO9SVJX0zY
XHK6pYt5HpdFmWpXfkwi+fPYsFxm7b8Cs1ZYGiYGGZZF8ulNB7A+lmQos2NP98I+5IpJJIyJwVNT
9i2xAf+1wUXm8djTvYOEV1MtHHzi83Zh5Mfa4L1PJYRir7XIvLTN+apCtKHOGvmHGAVn0d7RZl0e
m5aY5typQiVpBDntJ0jA5YPe2p29QRKjs1817wBe3dD7/rF1pHuoYzmYE3IX6zttShWe3N5sLlXl
LoMMNccJhdpwXh9gOcldthRLX5/ohVl/sgbYoFem/wsFYpF4gwV1cRXD9Ypjm6sFxMhx6X6pnjCW
Qquzi5vSlW1xrwAL+4LKkLuDDKZHn1oVwTX52Ociz6caurvKihVo1SZhwP+ZxhZ74cGZ5h14W1k4
iMSIyBtqAgc7aD1HWQQ/9IMJlH/G9V8LpadLAkUvKiuTZSzvgYg519KIY7GiL6VMmqWEx0fIcyeB
8NPAD9/CxLI+WJn3tZQ7MIAIui5ZjrAuf66DQYoT9Y/wGKVC+mpKUc7GLuvGESIxkeIER7ZGq/Hg
4Hh71ABtebXHNs4LhaAX3pRl96iGojlW4vbllLuYUXyeLMZel+MNVdxmsKnuDoUX//GHH2C7E252
wubd7igqomR2248Hmyelr6WEQ1mLUEgy3Bzh0G3AE03h8FKe/rxiL9v0f0MX6Yse5QTfEtth2rAp
NCzbVAdiMkHnc3nb8Dn+9ef/8sLJ/B/p427dOK2o585kXD5ui1IUhOhIvVYvfiHhEXrBKiiR3LUN
jgljxJPptxbk0LAP98yhczDbC8X/FmHf/2g4MphoG0d4duSHwXn7+YbXypoiltx5PtTTj7pInow+
BmGEDM/bTOcgaqUcVp5DBVu8BbS5Q3P0FB5acejYeP7mCWMaMSvCGTdH6k6yMrqeFW8OJVPA5Xz+
dDXpbem6iOZyTpaHVdXmYyKL+sufR/33kxYCiedPpyyu966sKEQlQ7tnSlX9dkLfiH0cAfLeDiUA
hS9zA4xqVklf4jcgsEyLsfrI3MCPTRxf6Naykru6XGhe1H1xLutqv44GduysQevC8wEq2mKL5qhj
eRHX0ZVewh4NleGxzRqSqedPH0Co7oO2ZbldJj2mmwvM9RI1B8vJwhe6xcgW26DE84ckMPc7D6EG
h9PcoRhF+BI20ISmSJU1ywOzxBAksb+niwfpn2fm7zc64VPN8OYgyxgcNGvl6jdRU1UpNX38Ssnu
klb672YtfAXb0m9b1C1ISYdTr11m+maKM3CMdrDBiBzY1URm800txP748895IZEjfFlbUcAFzUWS
QrIfIQtQ7ROf0h0dIL8uqan7uZe6udxXbDtfRVsRDzU4mEgQnmgR0il1yDFF54l3ZEld1zf9h1mO
+k1T1GGbIloU6y266VAO//PrvrAv+Do5VSt3cTuk+dpFdktjyG4+h5Ak/BjG8hAtHEbFXkJxaoVL
dLhiV4A7+WmMJpYFXbe9chy/MH98YBqpWdA77mjuVrJcGzrr9xztmcf2fF8r166QoFkVkhysk/EE
zry97UZTHQqDhA9KWwdamrFnePrSupS2pLqnwUGhvfC1cnSGcigWHc3BUqE3tEnIe+mS1/ptLhvj
b1aWj0lbatRLDNjaeTckGrmbrhm+ds60TYrWmLk/sTCeDnlbYQaR59vnBHLKNGsa5aPrMfVhBa5/
yIXuB6eQd7DHpS3qrRAklwpcsTNTHE50g22n1zDkL81R72xvdI99/zKL1iSpr2EqUJwUpBXHXt/H
puk5HEU50RD1QikzxWJxwsc4pqQVvnguqEyHfCbs4lcl7HkvQn5q9XjsAilirxzQTls5xSjC5xzH
e4YSGJCcmh0qYwsfiNYGrZgcLGtz2jfdYw27vlQUtP/8563zhY/qK+d2qRqm+zDKY1Mvn5G1r++b
Tb/mDPX7+Fz4yrmlk8iH9FOUl8MIvfo2Tt1nUbLiO+gYY5DaKSjmNJjK8FOoxmXJS5BND2lshW8o
WlHC93pZI8glV1Q7QADNUDS2N8eGzVvLK2earbWNcmb7Oh9bfoW2t4Nxlu8XuttSynYborwx8/qJ
VTW/Wgi352Ov7i1j0wuSCI1Xb0tR/RX20a7R3Q1Iw6HH+8I6x1m3wQEEpwFS/l9sPc1oTyXk6djT
vVNYzXIZEIGEOdyQ2yuNnAGKhs0hgLwUvqKO4niPsHeE+VRBjJnCxneCr6TjB3dQX1DX7hJEq2gO
87WNipPY1ArKSnJM0iF8RZ3gppygXopyyACqH4OKOeo2RxNNwtfTwcaK90tfREDrbePtCs+kfIrq
8FCmRvikNMFr3EK7FR82GMRnY2j70zXVol6ZlS+c89xbryJoy6HS2OYqDWhlGgZJu6VLAGVTauqp
fkSGNt6OLTBfYKfYFJQgRuEk2+l+Ax7G/lCOy2uaqctM/03E4uvrXFVH8I8Kwhzx+bbeUVKLt7Fj
O7D6lC9lVsyiG88hmlDIafwnVj208nwZW7PoZhm6LswrWOU9hNSVd3ZW5liE6mvYnBCLDEug18FS
K9/2E5wH2n1fj00uX8M2V7oELawC2F3M5jxy9QPGe+6VqfXCCcouU+5f2WM+jmA+O6yLgi3Lz2l3
+hO37WteDS89/XLl+dfTx07SieiS5EazMIVhYJ8lcfeajIpE7LLt/2Y++baiAQrrGvRWkiv4cRqo
AZZ+5ym4T3U7p1BZreN5K+HHchPuDPRavjXLdtGYBO1pdyR2H2fwmCGtBXDsL9k6atOK7Ug+8BWZ
rWw3nV7OxdjFRQon2goqP+7i6s4l/Vyl0NQLfkrsWITZJNDplCFbNydZPEoxwzhurOpM2obsWbnV
4ZpPdd3brO6nfs85Xeh8nZQk4ed55bNMOQzyZmCI566/2qmGWGXfXWhu0ZK6mDemnYY5a2pUc96Z
Ekbc17xCRuCsZgfvs4bEPE6roCbkzewUaLaqXJxCxXJs5ncVjEW+hojy7PdhhjE1HswXlZF5DbZM
1y5sftKFuS2b9FItqQZfsPqQVFNYpeEexSxvcP1d0xVil0eoWcFxiu3Y0rQIG7vfit1hgsKuDu0p
H4suAomssa4ar7kIwuINHQJHMo0ijrvn8FOrT3vo9uKp64aLagJb/EbSrUlkAtekxjRPYMI3f+PD
yeKcUGKiHxEpbPFAZRvjTOP11qRjYIMo1WHIcD8vprG9nS0ygdkGkHN4Dfw+HW8iIEN7vGJoZBYJ
qzuEOXH0BDNGtmcBXA5FVpdB9IHwgCXvNKynbmAIafj1Dih6CftAuhVfHGHhcm8IqVGURTaw4rc0
mOYiq/oyZCfYDXV/VcNad+cyGOoEjLEqsg9TA/lvFu7J0pwtYom35drA+yuyju7Xzjm5pM1aFPYM
WplxV7YcybeoUfF4W64MqDUyjfphGwr1BW9YQc9VAhv6OLBt/1Ip+8QRlD41AfhHp3HYsaKGnZhP
XT/vH7Rt2Zd1n2x9JjuDWGWmte7Toa0DoJwjUOLSVsfkNIs4eJ8AN3vdWtwmkORIRpONluwfCLQk
5LqoLDImE49Xft2qriOnyHBkhUAkq6a0UnuFOvLex8N1HBl1DzPotvvEgGtOzsmo7FdoJXV12ve4
tt9qOhTVFV1Ft1+NMpLkQ13ohVxtQ13UVw3qmJi0U7h2HyQpeXRD4Wy1wT2xNdNpQ8sidPU82KoT
Q+90kOppm+pzIqnZr3tjt/aGxhxTEnO3rMChtlGRZBL7O0rpQbMPaasEspRjPcFparNJPWYVGyIG
IUi7klOAm/+DcvMkP6zdWN+O6Epu/trNQsRVL3RYv2EKhiMIB9WEwpeJf9VIJP4gY8zfRgPV21k4
fN1rOev5vmR7jO/ptno8m50Ny/vFMTI/co6hyRoDCW9KIjPvd91OgsdZNA5ACJDl47dwdK502gNp
1ad6HfoQbw+yxYOycMw88RXr/CqRc7fet8Ym4Qkfs5DnaFLir6Lv2vlxJ8hUn6B0k+IqSsxwJ5IZ
uUgoI4InNEBEcabKrUVWq6qG5ESGKGnOYaCWO7g9ofQbaPD/3+jeNMnbi5+vNqkZ6MU8sxzRPbEz
M33kGEJ1YjJsg2wqoTJ9s89ub7Ml3jZgpqKA/pgNljh6dMbLbtJHsTpfaI7j1aow8u8LV63smsIS
d3oTs+GLaoKzrpb9KSxHfJcOYND1JEs4B9RpzPsLdbNfBZFnNgcM9ovdFutbAJjLBp9MoiNoBl5j
u5NzFKH6U5DF3Y/ww/4hNznbNxVk5cvXeibdfF/rqt5u2iDi63Q5HUQVpazvDNLAUkFQGrqi1dkm
7KKz2BbxV8mRtDwHoTZ/hUWznuYAmQ98/4s0xp67tkhOW2VtLsgA33YLPn3s+u8XCUFaz3TMlGl+
qRAKwRQ2C1D9S/6tAGPvim7o+ezQj3WqlgVXSDkkWajnKtubxaS4jfH3SFMEp26FrHlL4vnHbnkH
3sn61cC+jKQCi/lhjeSYgUDVnUpUZbNWrQgHZcDPmDKqxFAwhWu2FuWbWgXLms0mDt7CpRTy6Ek6
DOvao+s7nUKmQA6ChCCFhH2+NtGalTDExRFgyrMwMz3Bt+0zTjB1u5meZCGoimValsm92zpbprC8
iE4c1doFlLng4zqrJ8Ki4gluQuR93MZwWF+CIe1DHDdqJdjRQ1VlTE/7h3Gy0yNMm+Y3Q03Cb+2g
pkcqhiIzVeWykIn+gzEaP7ANkmsabd+6TXyY4TqaamF0xmIVn0CCISkmJbltoY2CDH8TgAjX9WfA
G8TbaOm/B7pCynbXcHCo1/XDptEAECfBdFIFWCzjUKA4ZZPrZkEqlLeQHFBavO/r9j1tmy2TJbN5
0NsvY+W+cxOS84YuwLwDXzINGjvdxnWAGT7o6u/AFjxtuvJ9HbMnY+O3MKJ6kySxvTJb99a5LbGp
W8LqJ2A4xJ353CSf64SVyBKBI+OW5cz1KK/bCUbL9YB6DR3HNnOr039jZcdR5hrzs+8dGGmh1LcI
Tsy5VeYu3CUOK9hUPDIYxn4v5uGGku1tq82WRW3IHuK1zUfm3jdU0BscFOGdiJW7WjgxaTjL9cO8
7cujaZo9rQMrM6yx+b6gGCeF6CPtqqa46mPcZEI1iwzBhvpa6H3/0KHMfSsCTN8KjOjTWPRtGpYg
fi+L2XM7kO+ujDFoq0p50k5pT/XV3oMERAFXzOlA94coSCham4qpTCHHs1lJIvIdSKX5h5rpDzCz
aAaxypSHg/gKrWN9PUUBQCswpr9WcE9NqWDuOt6HoUkFAzUaCw3DY8mjqhIYjsByAZNuqt6Kot5F
CoBL+diUONBsPNlUDZ1JzpgjZ1n25qS0Ig82VPUTG6fx3sUBOS06vGKiHB8YQTBpbXvLEahlUdwM
5zCuQ9hyaYRIZGFfJxS5r02ntrQd9Q1uxvyuWNeHSgWfGkXYNRbPOSq5OO+rrVJdRC7deEiyZlS3
xhafirJZMgqb9qyJtilt4VGIKkVd3a5wucswHN9YNz9RIGyyAbLDNl2jbTyjZmCf0MupT70MqjKd
12q6Fg122mCX4QNgY+ItjRTDQeHWrw5K99Oi+gneODRJbVWaIXP7vNbZTsj0dwXdRXUK56mvsrUV
6gSjiS61QAFib+n495Jtssw3VMxaKHNKynI+B3bMTBS018TIJdtVsaU04jzdEBZkxC3fcZe0DBqj
SMZpj2b0FtIXIg1cW7Y3vJ5Yd9LN3LksWUSdEYMtMdqi8naGH9P2gHbhKoUoMT6FMAk9zRf9JpBk
BM2C9LYqIpWvfWEy1VXfwVxqUjBPSmAMRXTaxEw/jWCXZdUOiyH8EyLc9UALMgOrz9hVYprxDdfz
w7InnyvXPoxa385wO7qOk8rWX9BrmtwhHmT9+w58DBxycrXfYMG87lm4UT1jtQwQhi7r+6Fs9voU
FSMOB06HBEheWUdnjZRadbe4KbnqrInu27rjKoU3USwzum6sT1nQJbhpJBTxhcZek1YWmGODobgr
4Kj1rTRblI2I/D/wRNYpXcPgrnPyrCrxBgHQeB9QPamULdN6VqH8NpfTbd9amFq0CNIaxH5vwZxn
5zHY82HS+i1QD4+WQrecDDpJp8WJMYXpvcyWsMHlpatYhqzShKnBJ0RJYXiblGKMrh3TgUjHLexv
cTshGlJavv+qAJvJt0J346kxe3mGTc6YBqTb6dXS0ArB6wWJLmXZXFWMDdncsIcRJbQ0KFWbCjI2
V0aM/8PZly1HjmNL/kpbvaMvABJcxm71A5dYFFJol1L5QsvUQhIgARJcwa8fj7p9Z26lTVuPlVlZ
mSklhSJIAjjH3Y97+MJBCiLOCpmjPUy1kqbw8VvodJPGaVy7thvpsarrIStwgk4pFWo7WI7nFKaU
nsAEXqs/G6+2PK1ZaR6KTQIhEejBkm6O2zgrVhgJHK0I1d2m1imPp7XIGg0fu97V5s347XTdLdGE
sChVIs1h6zLN5mFnG4kiCFMEOwbQ7lnzbjhg19B5PHQ6Vzivc1Kt9YNiMbtnqClQKjqiUxKG8bFe
TfuMrHEI1ZCdi9TTpquPkz/aO/Ro843PGM7FaIv0iBBU7aW+mnGJ5zryH2c79p/LCM/WXhl+4Mpr
aFLoLjzWKMSvYSDrpfXa04ehXdTeUwwDMhMefAYtJmzKu75PhlWwhMGL0Sa17swHZWhp421+Emss
MmllB0xHN1fQbkpMrerypSlg7YnpPlPRfAoZCZJAKvk+lIt5BA3ZXttlRnUcDsMVD7XBI1ZWY4Lo
KnKMN6/KFrmSK68Y5VEzE+ZAaCN1Z5d+krnSoBywY4crdECwTyucX1YZvGmLl0VIEyVYluNb7CoE
wvoRMzeQptTPSzHSb8Irce0q2+gXzxsYGmliCYr/gIEl5c1roLXN5vhSXQ9tE2xJqMfgSMshOPVz
2X0XJYh+9Dmom9BVRnkRw59raOFBT+Cud905LcZDMUw64Vq2483qwSE1gb0UScdonFVajWTD6STb
Av1OwEJwAAX6J2+N0b8sw3y1Oh2dgQawH5dInATBlz0e5lItiBWy5dW8MiMSqwP7gkMn6tIgGCCx
hE9mGSYa9sD7dhnNfsVk6BFbXPQoq1C9soYvCHMgN8UAEX5i/Q1p9CvDDlh0S5ipIcaO6fer3uEo
XrpU1tOZQDeZoQiPPzF125scT+Ugz8p6mJu6zDOlSw/AACL1EEcuj894Tn5ipHNBlHx817kJz62T
ay6CKTaJdB12uCrc5BPCBE9biwDPcjSvkwcQIVlnSjX8wmTn5cxX/J6FXje/zY3Q6w75xz7G2RRD
PJDZ0mWp6d3atNiJA97XU6YWKjCntIz8exdb920h5awSZ0xMsLEVyFpc6hKdSUHKp0rUDjCIR6DD
n7uS7CIviLdk2MRwrvhQTdkS+egGgYcImoQljImTGQDQzncEufCQoHUvRb8NWSgLhMIISA5Ojjco
Y7gnPgwKkbRrCp1X2FnOauYK92fwkLJWsDI8RH7hrgoMGL7MYJfyyvPnk7DVCxRI0amrABgp7AkJ
xsfUBnM5ADnwuukzA6Puox8uCpeo5uWhNarc4xyRN/PWjlnAnc4Gv/R3krYBZrWoXybFQqZ8bK0+
9yCZUhTJ6sUGvNtZfJ0CfpHZgjjey2FogTJQ3n4HTDp/h+DQ7oO+LTNvWNrcYcNMvW4sj8DY0N45
4KiAXiAI7tzFQ07YewkniCysAvVYF12vEkjnqy6taPcyI0kh8eZ5MwmsW4MdYvq2Xa+wI89s6LKJ
BV7ewqv3OE8TT0bsKLcimqoEymE84UOzyARuiJ7KGDbZbOAFOxa+FV/QjooDCqX4qDo0jnjBe1/h
LcHH3maoAEXOpvoFfSvfWTWF90EY3Ya6K1/Jpr9NvgT/0qhMtMEA86imeELamDzCJ6oZk2ZFSGoi
YV+Mss+vU4xhoNnxKYtO1ejJVIZIPjN8wS64wLsUyJ2+gftLm/BQzuk4Qey4qtphinxSP2fBTDog
G+BE+Mh3ivjFLpCY+OjHonsrB4mCekV6S01KkW2smnKYOw73uh3EXYcz+Bkxg7D96r3l0HMAFdtS
HEJb1WdpqxYz6jBuWpv5afMZTXwozbCH+81VjWD7166vc43i81KNqWSrhyBnGh37CC4Bu7/K0DYJ
NFv1fdOFNkV0cpWvFfsIgjLYjxqPSM37g1x5nHAPJRjbmjmHverXBvPZHxGaiqvAR3qar1STdILq
HGyCvWU23Esl1tSG7ZvryXzRXvc7wbiXNkbUCZnckjfSm7NixMei0nN7IPPsqGJ351By7e1QYdP1
zCn0/XfXLtPe1NEtDRd8grK7m2pxDn00iouYARsF5K2MBd37sQSqCovA89wHLYARQNyJsuW+IBxD
ONGEeRzMsD4t2jsz71JACclSuDe3OVRK3wJSo6SM1HdvjsaUjeHPWpo54wgTP/tULVglw5DIYZu+
NbASy0OHCaxa8XRxRqQLJpD2TmuVlgauttUawUnU25ob1Ce4pzgcEES/0TYHDICqywj0ErAExM0Z
CQz+abkr3BqlrcXcWQfX6gsuyhLTWv4qCe2v6BLVGfIDdYL6wUGzIt9sXwJpWpXIB+3fdrNCWSr1
E1u719iEBhVDL9O55A00gaXezbaxuVbF94YqiIoDP5/hNHkuOaIayczuLWJn7gs/mPJqnlHBVUom
ukFMm2ejHSnXOEMgfXSo+4YlFZNvsujELgyW1UtFXJDXADcBUPVcPcE8+DjhdicxgQQYj3ywY36B
/aAzbTrwut/BnfwhAu09yLJNtmp2Gmd4E11NyEy7o7GK00ZTbElixgTUWpn+OCA//tTHvcgrUaI9
MhZGa8sA2rBgfEiF6qdrSdTUJQHcf76h2vmOmlVdDZ50586bSBoQ506YdqruWN8POP/GDR8OSLGx
CVmEdwbIqm6m0nu1S9Tcjl4ZrhesWK/feugB0oXrAm9ceWd4vi3JDCVMAqXH/H2VNeZfQtnjUo0Y
5VkWgNVDKxfvqi1inMszxMoEkFcV3okSGQP7FX4TmKIeJymBghfzvVdtg9mtUg38o6w3mxKDqdkr
LZaJp7IAtpcUHLVOEtQsNud2qZfq2icDT9D9tRnurMUSxJmrvl9SSKrj6IUIGYZRuWaPM43lT1fo
OXz140t5kSyNiM5GM3d0MixnlCk4AL+PbTPzK+Doc5hiJOmygCH63BGkqW4YXp5CH7WsoV3msxnt
6AWOewnMFNoM55cPBZ4g4rpi1MrHIgwb/eDBKHLdrWXZFXeIEO72E5Hokb1BodWc2rn3bupN2Ksi
gugaC0HcUTrRKYlBFVX3K0YRNZC6pb3pfd9Oe8fZaLOht6a8ovU2do+aTjhnG+Umux88n8pErXwt
3obCZzYHBAp+pRn7ZwhdODqaS5WVrJIhaa1HJWDu6cAFJhwxl3cLkydYdCbgdJZdGAJs/RhG5L6f
1poMW1Y65B4nFdmm+YupDYcw1kiw7KK6ts9DHJeHqWjMg/LMZk5ROMjbEqcSFkYgqv44Els/TaZE
8+/Hzn+K2jZ4tHwx276cL9VFWYew9sVqBCbaB/2CXFxYy/vo6NbYv2uDkd3Ki/X8zgaFAfw+rsbB
rw86+2NY+VLd4Ozu1YF3cDE+trxmBzxfOL30DCWSrNv5tgFe8G7YKK8xltiB0WoYBheQ0B5FiGh1
CsEH6JeqZAo0l0h4aKTMWiMKffCwWwAkhVb8gD8rHhd0Mt5xgq+rtydBYO64GGAlY6bCYdD94lyM
HaroP+AEOz5JjIc92LXla1Z2uEPg+K39GMVESYa2m5M7xK6Hh1axEBiR8cWj9UstvxZt4H+C0hE5
OoUXx0NS4NI3aREuHoJrV3AQvWzLBZVaV3yrJ6OrG4UMYD+Lbd1jmVTE6pMmSl7Ffa+uG/hA0hwp
Kt2UIAWsCO7CYJjTho6dd+6Ib8fMVTru0o5UHx5ID5V6rJBdjlT26gHZbh6mpXvlDmhkOUsmwQH4
TDaGh36Dwy0BV6O+SsbBilRxt2TAtbclKxa1fk3Oho8YguRuJ0HGXQlWNeSrZcCP8yoeLIaka1nv
QwxiXyl0uf1FyBS9UA2u8drVo1vSzlvZ+G5cHfAyiaRc7JlMmyHHYAuod6/EJqp80XDL27Vtx6+w
V4fzVVfCgy6J2WJ16uBVKdI18MI73AyhwLXQHoVIE2ESFyYakc1aKR6QO2MVNrqKAWFgmw94jY/m
MAX9rFOFWgzCpH4panka/SKgHxSYcrAzbiqji+8mTFbfBUgPdQJ50nv3hAAByqqRN82dbjZQhCvO
nn2gg9FdPke1E5sOYfPnU+yd0ipPpwHSzF8gKXWv8Ilvb6J5iXZTu83PECQAwB5weJ9cKAaTYoyv
XhKiC42oH3/mPzVKxocOXNlTN09tfGzqbkZ7z2hIH6ywww1xomszrNnqE/dg+7bISIQHERACp0e9
6pQT5d9Oq3T3zQqevWrRXSaklWgleOt59ZGoAlgTsP2qRYUKwCZrmQxfYjZMtyj+vTvQQoVKqlpO
El6gc9y/et1aR6mNN12kASDcS7FRzsMnY+tMdh6rEXMajzy+r+S07UN0BgjerjCv1DaLOgexAIHA
tn5HF+E87JprBGi/YqxLqRQNOY4sZDVo237gChBLp8irDmaOe2dgh4ps3ikqrsEmt9OdsywEar9N
AX2vham/xwB8r8diDkkaw/zCP3War1D3A7eW6QoICZSijPgL+rjB5q6R4mkkwXB06IDdPgxk/OKZ
BW0tvJO6oyu3tv2UsOWE7bO2F7IXrMCBrnRDj+U2hUI4EuVT3Xs2KRihVb4FFxvkbgYzn8xLMTzC
Xmv7EeP/RbKVYvISD3PdH05VVO/HEU9tPqNMfeiAQqBXU7VNHFGY83Zi7dlViT0MW4CLAIl12Kdl
DqvrhqaNdL2XQDRo6oOehXtcljL+2UqF8l3zZXxEHVo9sqLBhSimVWMgEUTsewvVSJ0oHAcD+Hga
xTlcANHdCR+US1MW5lgsmOlP/MaZO3T028mKLTwtjQevOsSfKMGzpveKLTVdwz4xCyXKHV+6SiGx
wTUI9oOQ/KNq9fjOTcf7C72up+MGNPWz14UsctYCkt4NDB0skOYWZ68ZFMVR66/sodE9gGsWdrbL
wKcbleo4wHbRegRH0wbGvgBSXcdzUpIifgUwV5anUmH/ABxlSHmAnq6H7rNeGBr7vmy+pkD2P5XZ
cASADVw/5h6UZSpot9zz2i3RNQ5PsBlsbMEGejXzUMeOy5GQVtzYxVTTlbVM+mlFWkTsDKMDd8Rk
IJ87MHQcTzSUj3tMsLAtN7QZPgSQz3fShl57iuH/XGRuqIAbk1pjDwfAWlZ76sGYOI0bkNop1izz
s1KDDkMZudXPbeO3P0Y9d/RqawsV7YomMh9g6ucw2aa4ST0V8Y9L+xGnkOC3c9qZYrml41iodBCY
DE1BpGOvp8X4ErTQX+z6JprafTERHMu+KDp4Im8BQGACshvVVohZ0qykS6tyCyM4L181ALAc1Xn7
toJmTrC7+GC1h7bbRUIt2Gnlqs/YhMmJLgSMbjSvP4EbxyZl/rQBmKRF94jYUTwx/UAJLukyB3Rv
2YB56kWQsAQY1wzRUw3rAXHEJuuJhAVkhBqb1fI5XCb6YgmZmvewh5IDAwnbNgC2UIXOtnXA8PfU
dtHNNpTzkrG+GM+iiuefG7CDLXW1dmxn7IIOUa/NCIJ4EfA/3xDmk2KGjJHrdaIr2l/gSLtRT+60
WPzqLbArwPYYW5PRQcvG6GuFt++wK0qsiCrsOrAZTQexR6/xZKAvX1dETiwE6ZUz6kyNPhs2RZ8y
ImjC+sFf24SsMRM7HcX6YyoE4AAKjxs/87d2fgJ5vHg7Wql53l28dcqMbOEEhYynuxdYGZfbvsDI
6ns5Uz0lKogtz+cRxVsKo0rd3DesHsBLqBrIH5EAJfBYKw1Mpukh7sWtuBkUq687v4XMnaqgcMnA
MGZ2HLZuGEGP9Kjbt3nx+jyqdPOC9UHp0xw5bnCdIhtlK9pvngrODQQlaDNeI72x+DAuFCZSdYSK
JikwlmcfVrf5I6pRtXRfrGtdvMOfsN+wuSEZu5INOKu+7X3IMsJyCXO40ps2gUtAHULBI6S/Y2Cg
pxT4hXkfvIWv+YAnYU6A5SIdgy5gsnK/HAOTVSTAZR3DrUHRHm7uvWSlJ26aHk0b2s9u3C7QVLBO
5xCw+ynWYMHS1eNqzJsShMeeuqK7XTCb/RwV1cULZBz9N4X2dNgNUIXMWd90wmQTuhD6Cqe6cbhn
xi3hqeoXH2PJAGl9sSNj6dB7695vn0GPa/xLF0TtBwkrQ89gAaJl5wjmUA0qUsxPJcAFcDB5gaej
11qhjIDiBMaoV43D6ZIhpM1Hox9B75EGJQ6acwsinIAPqcmYCsgAyxsnCTZOryH9o99o/83wdfoO
IehyiJWpQny8zUBLwHk7HxfW+k3qXBteiDkX8fdKtrOHE35ERbeh2sMV2nu1YnZLRrpFba43xaMM
5+SFj2j6O+Ri9k+1rkB5E4/3Z0tqvOnA1FUFTHieXnpSwq+wX+2LC7hXZ4gzsdsxKtvu21qGvklL
ulZbihuOrRRB7MGKEr3lSworE4jK6DyVKPcW3/fvQxbS7rYWOpoPDjt4nJOxNizFCdDdRFpGURJg
tPMDWMxSpCFKcgAA0vbDJSvIHzI+rd14PWlZ38otFCRZLEfzu2C7zbBF6e2Ecx/Ps0CzOCYyAGAM
OV/8sECdrtKpC2md1g0mHRKzboCvjIda9SrWkgKYdnPbX/FhQjuI1hPbbrR1a5MAQ4JdoenwaLeM
+JhPbIbmxp9d4/Yl/FL1t1GCyzuCPcShEkKP5BIgsUznUVTM9JK0MTfZ5jeMnWdcC9hzF1zGCY36
cX6eJngO6KSO4VWFY0MG1R2iREpo8cpxfILTFLvvIk/dqahafuBSoSwWGBuYjtHkKoVKoQt+QETo
QaYQiNFhLnroghxcaIwYMecVn40NHE2XtapECtAg/M7i0oEeVXrFslNkux78ub92QoI+Caa5zg1X
/LvljXukYSv1C7Og7Q5DXOAlgTGG9rBQRIh/RZNsMGhc4LblA510cCqpZuttVFP7NQnr3iNl5gIK
p0ufTrAXlLvJcL5CbkdVk42hx7OCtqXOCcxmviLmg/cOBr8jCQ5a+gbp4Ib32MoA8eVTMZUpQhT9
g5MF8rmCUO0jT3zpdUGSzBwQ2iGOmeDQ8wb4kSQebB68TEHr0d0V4xDJG47lHeRNzMtXZNKY/ima
CiDoGqGMIlPU906owHr6AKkMqtykcKL6WorOnMuQx3622RLnnN6aVzr7nkkrt7Yk17ZyjyG0AzM+
RInupCyNbHMfUZhlxr1NhGkX1Bt2hN6rDOL6hLbJogNAngznVJUw8KMCkHRgiuM4EvVGQVquyTT0
igG+WiZYxIyyX3NbUZA6C1bjqaY0XnM5Rt5NUPXNq+04ino6gKbnNCw2CP4cWKFl8zhNBVqWx0IO
zjtKMlQF2J2+KA4Qumyo2kLGQUOX4CTfMV9hgCPHeJxT327Cu1Lm8inQ5jcP7UqC+z5WwByFh/tD
C5kZyWsw7MMcHTsJ0Rhcn8YelwHoao5A9WHBGe6FFijX6qmDIpO6Qck1LrsZTt0R3mTM3r1C1E+d
NQXwi5VYAHt0IDucO7XeNbHfQLDQYYAoB08dvVZzaUHTh2GPUgw+nz0IUdF8Jx2dXpruAilB9t3q
g642XSEMpQM0KYeotruYzdbuqomEdeaBSyihW/EaHHxjYJ8wfwBtaSUHe7nuaPOfmqjqH92EMPv7
QnhY1lGA8KxE+pi6SyrISXQWxH39ibptRPaa1+Pyj6JCuR4FFVptIIbc5dgjgOpXkZJAhAfif0fl
6oPGKmoB27uoYS8Fyq4a8CEbPSCsHW922xiuZ43AdZkOMx9+LNBDvhaTx1rgG96Y+Qia9NN+7pEQ
YXihxkzVGjWKW80E8gstJHaihXnPIRkBGpeqm24uEdlyj16pHBD3Db55B2ZuM1eVttOagePxQT42
nU8PDLWjzIQjFxf4rem/qqkKH+YAzSikCBFc0Fu94WWJZ3HxN95UcSoK6R8J0gH6U6xckMYlZqby
sTdA4RYMXLfZEJX8k6hmfdyGaoCeyTKzZRPUp5+NP7cm7QOB1ENPVADQpm0tEFAbk2mACHYbAKWw
pr6tICS+XPqgeVdEDd+LLsRCorOA+AqWKCeI3HSTD1GwftWDHWZUXh0MWQZXmBtVNB5PydQTlsUI
U5p3Hg9Nn5czMSjUULQEOwBc67Cr57jRaPK3sNsvdO1X0KuejTGub3R4LqKhqK+resSuxHUrVtCG
fleCo1atQmjpsj0Y2CDV5ynSHQeR5PN1R5WMR5zQl1K7FVPppyMMPsxLC/Xo+m/GZf+VpvwX84Ji
EgyfKL4MQ3QrKmxo1n/6kR4+/9qkwC+zFo5s67pSsBQj29qLHdN83a7G+zeTV3849Py/BOu/zDli
Yh6Bmq6m+6BAwXokJVbpfowhBUgQbVb1Wev5qEvRArufaKa7d9Y3vs3qFqGkuwotVpvjfNfhcRUk
+GvDZn+I6/+HSh8sYm1CqG6xiUAWXVeNy5j8dzkd/2J25VdDUhT/XEUCiEmv/fabbJf+5wrIfEv8
se/gh8N6wE1/6db9ak9aVn2odOxte7as5cmRBuvOt/zxr736L2OSjHoLLP7stucOQ5jCm+mRUlP/
tTmMX81PY13TkiO5eu9kR3M6Mr1DABj7a0M9v7qcNjY2NGrw3g2LW1g+Bn7IkcIjq38z4v8v1uSv
LqfkErFow8XtQdj/pM2cTL2+/2uX/Zfljj7DM8hD3fZYim8yjnMkSZu/+MD8sta7fpogjb0QgCpo
kMvJWY6PYf6aE8evIdgrVBWio3LbI/1PnkzZ212/+X8toib81d1UbV1To8Bw+36w9UfQ2ebWeqb6
ZzjCf7yv/6v8NHf/tSUN//hPfP1uOmdr6HZ++fIfT6bFf/95+Z3/8zN//o1/7D/N+Uf7Ofz6Q3/6
HbzuP/9u9mP88acvwG8DIb+fPq17+BymZvzj9fEOLz/5//vNv33+8SpPrvv8/bd3lADj5dWweenf
/vmt48fvv10m/P/jf778P793ef+//5Zun+9VjXnO/3qt//6Fzx/D+PtvLPp7JGLux4z5cUz55Tlf
Pv/4Dv87jWngxwH14W+Ijve3v2nMH1S//ybY36kQAiPzgH1go31xZBnMdPmWH/1dCAZXKp96OCB9
zA3+9xv70535v3fqb3pq70ytx+H33zgq8T+NQYV4R0Ec+QIvhL8j8LJ/nrdypYpA9UB2V1sTPRot
byE3iqFp9J6lJsOxdzEklBL8G7QqJrVT+KMHFwYCx75aTSEk6D0FnXwsMxv9pL66r6FNKBHug7pp
uL5MryZk9G82I/QZfefp0jOlaoX4I0DNAFgDHdtgjlBvpv7sYacZ1hMGOQ5dxUSyxbkUAL5ic2NL
c0M0xBuVuQFy/j1o6TvC0Q9QyH0NJL4JB+8Kut8HBHLvJj+vmpcq/jTraY5fxo0eRIFZmSt0xtcs
ela9dx4kIK0e6ABaXDQz+xitUe+J97j7iXcHcv2GIkINYPaGiYP2bozXjHKVR7JO6v6lmfUR3nd5
NO28ojzBLSQNMSYkt0foAjiw61EVSyLIu1T0eQu24xJv5yiGZ3HfHkj8BHPLJODiVtq3TQuIiigU
NygZWyC6FVgec+P81AYgj4KfKD/d9AI8YY9rCcV8EtfQnZ35eNUDLx4BP2Hu5pOU5GnsYYPmSJEx
MjzZ8kckgOgWadk8Yg4jbbg8sH7dOcYzzKfdLRVk5RXPIktvYFF72KDGTtrYFzdmkHsoH9+lhc50
ti0YcZE5TF+GdLmtnIU2rjrMdf1T2d2qfpgOqgNQrKlrmkQjEY7zfV12906zQzwTSJZu/VF2KRCQ
8YgBKXlf4s9WpZcq78qb7yx/kTFaJeHSbrlrxispuwQE585NkI2hiK6O1WSuZ8WgfyYlSmr7gJ47
DdldoaEaCL0M3ONdGcyPMHAGjyUcOGMtkk7iK+KA35oSjH7g7ksTnXAOQ01aR4mOth0dtzhdqb/r
FjT4Ald3U+qbh6zhlEN25m/si9FPH5qRjJsZ4NMLHVpwuw0G+NrUzq8dbBaOY6dSKVRGJcQkvePP
w0XXHKP3aTHK5oB4b8d4nBOExp9q/6LdGMxt4G68YPqS6GgGjOxoK7II0r4Cg4JCvbVwWpwnqA2i
9lSj2Pf1yVWPtl+yno/ZJH64qXm2ZXwoZZE0U5sJOt9BYYfhieh6gINa5OFsGupUVx8V23bIL3wd
+fSI9G4wm3Myb1GG4v08XtrxWtwPYZeyrjk2Pjks3nLjDH2PG/FWOYbn4Fu8HQbSQdazJXFrj755
GY09gYM2Bv5+AECDiJ9mvlLMoFSYtPPvXDAfIlXcF3P7VYHwgSzKYZRjYSBzoPfauDgDvxh/YA7y
PbZot/64G+NOV5giqDGKtxIfXW/VX0VOvlWkeI0jLA8ivK8hpp+M0xnY6xznDcMGUdR5BScijrE1
wBMZxCd38VbldI3u14n0u0uMKzBiqnco9R5DWb7FkAVnkAaEt5hb5gni+I6VAbjlSucyGFqWu7Vq
btcwNhm642ekwqZ2xa5AG0Ssm0Trt63LayG+KcBPS30AajBgB3msx3cGwvyig8/QKsFYpfqJ6Ztz
FQL4uqC7mMwC9dRAxlMTgv0HPNltM4n1AZsoYPzQXTONNW0rKOAxx4fmmJ+gQewfTUWuIbL2McAW
+/vePU/QJG2w9rzry/BbwSBdnY3/qFCphVtd5/4IQQiKuD6h4N8cNNRt4Ph9O+hbuQblMWqWaReU
3XYoIOjKDUS8u63Cmgwh8c8XVX9XfDgZkGOTKW6jGTlHRF1HcNR+Ei19tY27A+V0kqE4Mw003j9N
pNyybq4/x4o8QM8GhXocfFoAetDNySgbnKwOiD328wWWclfWb9cMjeLdPAny5o3xDOAKgEDqBJ/Q
nE5jMlsMgwV9kIUOy8iHXUaxbPZc9z2mctGxQxrTXIeIjT+AVF4gDXZ6PI+9X9/UbQF3vBiWzqBX
EH9J5iOPIOqkHbr/rmyPsqDBMRrj4JFYMWXIb8DkCaE3hSuKbyN40V0QrPWLHbtlJ1zV3ePBkKC+
APeGbb2eIAsTWTn4mABoQFrD9rcH+Ex6jONVW9a7AH5n0P2kPdtuQhujlLO4aQTLbqr2pQdlI+Pv
gi4g+qD7wnghVY9lVGAScLJRXkJSdWSo2eBS+AGF5iMj5OD1BLO+/GGojXddQCeXcdtNucVWdWdD
aOKCGdPSZ1Ar486rxvlnRS5jRA3G5Y8u9BDHBLdibLTwcg2XaMsQpNzfDt425S54IpiKPK4YCEw0
VDfpWn6BLsCwC//ua0qzKuJZvHjtler+N3XnsRy3tmTRLzov4IEzhSvPKhqRlCYIUiThvcfX96rX
viN60MOe3RsKUSwUgJOZe++Vw8KucZ+LTLbKaCOmK3l+GOzKCKxxK/1kJTWwJEqYZE7vstP7rYgR
rxT9HC/NeDBW+znN1+oCQSv/OygwzxsxZ8cop6WtS9PxWuj+/qqWK1k46dyDl+pubmsr5LpTCFga
Ai/RARK83LBWW4Si7m/MSMhEEbQjVCtot5pyAJhx/2n6iB2eY+yKG/5DV4tlZzbYLXom+ESoXmZd
u5rQ8z29NtvzqFAa2K/MC9hzEq+617EqBNPW+qllBKrXeElPjsn4XemddZ+DItiDuGg90V7WZads
1EnbTzykzFJEhz5tdW9bVX1NVoybo1WCxCl5BWjFRV2zX3raH/p4vSTMsTdhh7pe7bHQvGhd6asG
R0m0/V3s/E/dUqCJZtdx2dO02Jm6s4NWzrAhjIzzAnxcJU0la/OYgueUORGXNHczdfbrMvJYFomI
6qQulp1dETmcUO2lNvOjXMprLEevmK9tb+6rSjzUTYPaZgViylM3olTrDVKNOY+GoTYPXHtKh2fB
KpVjU1T27zrqp9N2l5+RM7j/E2VSrwWSJab5mbkewkvv5WUnFW9TjOhgY7VlaMDgB0DR4g9JjSw6
zEaVMhLDQ+lvM0qZsfUNNsV+MvexbWM0T2uS8WanymPb6PaJ+tj6zAUlY8Ko/TR1Fsb7GEpK3WzJ
I657jsREq5HXp1KgJkYMT9jSHmqlQexxGsxA7zXV6zcOJILM22lKDPGkJjLbjfOG/SfJscl0dfZn
Tbf2qSaAH+AQozwi0R89s7O+nhFqIzJiWFwNr2qX6YoDKD+0mGX3bFhv3zoDa50x6xaaIyF5j6BH
tW+UZn3JtlW9dNIcj70xmPiF8CrWDH4fpSI+zLs/ikxYNjw4A2mbJa4pZMpWEQ9ZmeQhs7P0Bcay
ckDZrllSptiPtA62n02xeSiwDOwXfFFBLabOA5g/8OZLdB8vJ0ZWdS6PXapxatitjul9gAK81xt9
v2B1Ok4yfdf6fkGFHBTznilIvW1SE7+3x+wmrQUCHiNffeQdDXY5a5zolzWN8kAs6T4JwjTJmifq
k5Ukilr24lTl8+pumdTfSJVH76XeF0ddn+eKCMtGjchk8mObKIVFqxK/NmzgObNNLnqpRPbeycI5
LKq5kE+dGQpiWW2mLwRPY4+/BhxdMvwxrUHhhagL3xajcdFq5ymV5s5c8NLFcerTq4dtR35dEccW
C4bHVLHccSWFq8fEJSrI7N3yagDun7EFaayL4FaaluVEwd77mKM28kLInSPuWt2Yw+IuMel5dU4V
9SwTTsDVKQ7KWL84c/lLL7YwG1ijjSGRuPAL5+pR750Au97gk2ArAjPOfgvix64l1BBxuwlapd6C
Oetv2ljEXkuuAtRN6krel26WRZdCqy+Nmhxk/8E9WHsF4nIgrfi1zhe3KaNr3wqNyk/pD3WdJMfM
ySEjaBMjd5HFSCfG2zaTRB1xgOroDR765qdcLEYuZlK57PZIjxnZ8xdNa1Fdls142QoMChj9pWvN
NH1Gpmphnamd32Tdr63Y5FOe54NbxZvjDYV1LG1J1s7G6IxV8trePa1Nzo1PkoukNHvjg6URR8TQ
UGvk06r+qVPyqg2K7oT8oVQeJ0pglz3vEMy4hghQE8+azUXKKCglmYlRLDsCOZ6jImmtadCSgR2E
c2STpI8rlRT3W4P39wsh42vsTXyOlNo+ikMXFim3vmoqYuYpwy6KhKo5NANzflJwHvrLVKOO2jk5
P+pRzg1RnogqHx1Ve4hhNxyxot7YGaK6qQ0MupB35Af7cRuBO7Y3Ir9HldzIW/VLUExks9yis6uQ
08K+5JOZ7zZg4bi4dP1N6XhF9IllFa6a91ZolIr5UAyVFZR90V4TPZ0ClXG+X0axc+pHjYcCNbQM
tbjIQnw1xp4Qe3IUaVH9WoSQAfGn5FZoxd3tottvejGuO0vpOuSMJhUgSxf51jrxdrMmC6OdtRbP
NvaLvWJOQzh2WF89p5DmG7it4pJMGCaKSsjnClel19YFzp7eUUlTZjOADCUt32YmQi8xpOaPxS6G
z4l64ziw1v2oWInah2OrDr/II47XkcUNR5E4xR8rzhfikNg7dkbVTatrErJ7kLM1vA+mFj3nXRY/
EengYJr6iHpXw+n/Muqr/gd/TsKuRMtWgalpbeTrOBH2Y5ZHnqZV9ovZtVroVPnykDM4O20w3qlD
uFEtu1SfI60Vfp124lIZ8XooCQ8+YMk0NcLgDa/+rICs5aPvW2cOge20GQbtm2N21duQc26q5rp6
E7joZynN5B3rZdchj63924iPWQsNEHivjBCWA9YYIwARWgfCzA74/tPDEqcdebeh054WVWxIoxS5
TAzXnEszcVA7vfQ0J01eC3SzoLWq+CZJ6P+MxiRVt4/JXrBAGq+XG9lJtNvMdvJAFqjYv2xaRJLU
6ym/xy1dmTvHfpkid6mrgLVXepDN1Tnhrk3lclAx/Ok9oEpF7f18YSxhDNZLKbob5+49b0+1EJkR
FALjWSG31UY5aceIjkZdREmsXCSujt/lS5aT5eod0W3Cmt60ZCTNSdg+TEV2SAF0sEpAJgFiixtH
wglymb/Dli92mp2EszQCMsT03Xn6mJn9XfebKcPy31WNJIOb9L0ry4fGbCuedSV+cQxs74pJim5C
hqOOwDDRVNt0KsiHl8nPxrTEsE13GpW3MYkOsCswm6oj3oJpcjttOzpKFPlDoR+XithSOiMm47s8
16iIE14dV9KF6ZhG6UrvfeSjY5OlxYo07a1olP46PVrbrwwpci0YOzBRYlWnX4/Ji5KicjJjrn0q
1oPC9NdEskPpVWO6PrW5aM33oF23msrLZHd9kZV02Y2NldIyvYRQrCdmRhp2S6LB8aU8EZvAWlLw
DKVockr8nd2H+aX9jcG0+FVh0+iXuQvslqU0soyMvar1VN1QGzBxNlc6qwOX8kvojubqYySCuB8Q
MZcPS7NuvOR45w9IU3rztU5VoDTvLGpZPYu5CctTZ9zZdAZDe2/SsglseJGDeN8Ufn2VoKMlxOuA
NAoCmcZUNqeRiOsJH5Uatkmy6yNLBizIXvwNOcrP2dzu4sx0lS4ODeesF2GcZb9bS70itv4ViZx9
FgkqGBfzFdtf5PhkqI0dp5DjEtvEfFeXY4gdA1jNSl6wrMt23/IIeaVW94/xpma46RxeLSX2jv4l
r5dzNDpUmXn92sWtLxvnw2BnkDdUVbpTlfwy5Xs52s/jIBZXy7eL2iluUpZYZ+QlxjzojeWQA3xh
w08T9WRudHzevVw/MZieRxlZD7yz5yCu+pORTihQXY1fVGKlZOjrFWZyVhgIBVZsZB/xlnETWm39
hgvpR50HM8S/iIzaFcQOHe0hHwxC0tJnqPFRpKlyNmLrPPbkIXJFVa/4RORlmfXlmvekrea68eGP
neomCsZ01DiVzB+FFKtb2PJicR+4tv0MvaV+1efNDoyCUe4shpnLAPBgmUgkKwkBpaFYzLNg9PSs
47v14nbG89UPD12+7aw0fiyhGLr6pL2CetKCdpMPuhZzvapyUxjNsNKe6H1ICIG7Jf6V13qxk9Vo
nSygC+5QJZjp6tCJuEu7ZLmxs8J8KZkzpo4uQtR00qf4p3d13dqhVq/ZLsMd7lLXO4/49/+2c3zT
NuPIb4JD3LzgFeGRdz6QmxlwrRqvQrbGB1GcHkwy5+C+Um9pKiUwRX1jozRzRlNioM/TnRYRYbQq
nBar4ZwkFVBbLesfDiuIcTLFQLE45zGH/yI1EAGzsna3KVWxXXXVRR36k3V/LqbZ0EkcZ4+5FPax
j+JvdUryYLK2v9Y9HGypsfO8FBuPfV4/MkfjJdktYxgXXf1o5W1O7VGP+KjUyQl78gvHxmzM81pI
aG9Cwy+kyjRM55HZzArerDV0j4PrVliEqdLGetXHfDevzuBr+C1vHDy7qlXkXoVicx0gebHWiQGo
mV1Vq3x2zJb3lf7FgvF/nkp8IxHgY27RnCCEnftV1v4y7SXfwyLFDDGEikFTATFvGNtX3fqTGsyi
40XRQfkccD/7tvY4JUVQKB+Cedwz8f17w+OwG7LbOpdOzHhetRWLEWL/SxXhfNicZbxmlS4CtSY8
H23KxUzGNUgz5zc0MArFtHttmYsxaOfFO1YVPI65iN3ins1o14RPujTnTFlIL0b84agl+YndGH6l
XMGBLsdMsOu8Y6epY0+BNoG86QD/WfAKcoBT2NnujAqxFhQqTGfHltBhdFBUcZlJlU1oFo2zeFr6
iyJY86ZO27cd3GAT0Gi20SAzf31THKu/JD3ZSeMeQO7bUXXzftp1vHPzTG1clvPC0aH718t9NzAk
aSwUi/e8HSrXbGvzVNX96EfpaOwrQyZMECi76qHvLxyXYOamlXMwa34S0fpLnbdB6pDizNnGHVoa
OVWm3cI8Aq9AkzAxLfZD+VeL7VPeVmdGdvoB5Nk77ATlNI0WqZJ8PpRl3OyJBtvuGG3EGcqmIBmx
kesae/XbUYphN2vjubhfdlHylOh9yw6zYgjUdQ0mTedadp+STAyqTnTPFZjzmUii5qaRfUSoYaGb
Y0w+G03jY6n2f0cAvS9ZZH0nlYn7yTiOjJLnpBLhNAJoy2OJCz1DznKJqELWyMv+s3XMj7zBNAi8
Rn9pnPmF2+A2llbqN3r8TfWjnRs5HPXZMk8YFU5AoEpPiRkFy3Um7MomEEqOCONxruA1wIc8ivkQ
N+RKtI2Gsi71S54tN7qGqxXHbyRRGUEY5Q7wCMDaTDuWMfmljsgQRLPkrGXz0Sit2ROarGjjmZ0x
+RzJkIFWKEyCy9kx72fp6tkF87td7u38pcovQ9NdaVvBvdnEOm2Ls98qQpslmqSsvMoWYC9gt/gl
3TAzxNBpOiJcyXUy1McRYDhsAhhv3SYobuRVt3GDbvOyhLL4FiD9Sm78WqmFVy9l7tXQWQgY3pYh
ezaHMj6Y40wItz3iyF89Q1sfxhzhqFW+4Nfzpk9Tc9emQ0zgZq6v9hizQtAaSm8ziYwXkLcL+4/S
KT+U2nsbEiJa0RhCfnmWLemxNb0O0fhVGal+dnp4sCkyegBhbb6uuOq6lY6usbe34Z6dd5qag/uh
FMWjJOHP6NBLN3kUAOuqwcj8TfY7a5HHWfbS5/KnnjqTb2/XR8CXLPmwzrPyq7V5MKvEw+OxK/Me
Y2oRByXgML5WcrYoStFEkdRH8rbeRcdG8mZWeeLKLr8a9XYaV823+TZj4BQ4sjg17Cj50pL4ooJJ
cjVFYyBc1IfYlG+sNQNOgwppdwrMsBs+cI5y8TaaqRUoa3ZlW9XmOyzNcces3q6siwItoNeRT8jc
PDBjeZdt/VhPfJZlkQdMpskYAzeHywGBfFea8rfOjxy5p2edWMEwfk0AFOxW8TszLKwHKcswtpJQ
2tqljVqwj0kISztoSBQV6u9CU6ErWp9zEv2JOdusZg62KtA09WXtLlYlLsYyHpGGPUcR+3Gyr2ka
nbAKthzFWUYJmHogDtWAiML8bAF22Rk1XuakbRnHWWApCmV7lmi8L22/mM+NvRLI0GP1haQP+5l6
M46me9q7PtEsHw1g1rRqOLHjkf5uNUy2HXAXZ/QfTKzvduN2gL6ziUN8j5y0qvMtK16Ndw4f2Zut
8IsaD2424RDP2s6z8lL1NGN1pyYjEnhvghpcaYcWT52cxiuRHyoqKIjUgfCfolo85mN3BGX72GUJ
83XjmogiP5KO34lcwWcvh5OmOclRGmIOYQ295U1yXWG3qHFX+E2x2Jg8TZtsR8/i9b6YuD7LqWSm
+Cur2x9FYcS6srrSzTb+ATHLe0gJ0Fo9MPSqgOEJ3Wju6f59ZhR+PW1Ppaa5Dp3K49Qb2SPcZ5Q0
KfhMTUoxhS3vDJYsLPMBPp/mJmtGjbPthvXvELVXxXyq6mhPPNYj+U8f16EJF3Wo9drOWKEZduwN
HST93Fc/JCFl/R5UBG8WXl2HNMvCapx2inTClPFbS/B+JH4tM3IlKmGnRvGBSGXq5Nn1aagaPzFe
rLy/6rzOMTo9pJrAz0kHps/N/VszfgPT6oOxJwA9jLn2egeCeLoV08vM0CaBXox8OgVwSWq9JPFK
7P6VPFQYmdD0jDiMu0M2+cVyNm2gcPFfSRs+riaJj7s9ALBGh8mv+NGa+2m78KlkYObpuzUsoT78
TYxQ0Zt3Iu8f0Spuyny3Geh+DPhtS5gI5WXQDeeCEL6SflRE8xrazYzXcDuEGWiHgdWWJUOZwvpd
lsU9tZv6FPQeNeDRNvn2baXwWzONXpq2HtHxmeTlhmp71lgoB3aTTYkbNZbylBV2/AxKur2BbuUf
3trp0HdC7nB1aJ6md+mnIiNjV43c0Zh08TZ3/awGaPVslcOjhhmaOt455U5k3N0EfNQ1WS9NM/bH
SK/m3TCZTVCXlfFapaC94HXxqs805ouyM3LADM3VyCr1t2nzBJsN/L5DUcQ/PSixg4IvOMwMBZSK
Okwr9WqC1zlzmqeliCxvK7JrEatYAVOynjhwnfW42FnJj+9vOeXAy0JR78VV4etqj7BnvrcSzERZ
P2ed+GUP9y2MsvgdrU0AQxIVrOAlWmvjY68YDofVK8p5zVJh6FMRAB63pE2oUiL3jgWkgdv5CEYS
nlNU/MWMdkO8ewVvdtASzOHA1Qa27bpDVzAmpJMfrafBcY4SgM6uWcwrrv4YbVK/KilPyz1sHTQo
YeR+ecunfl6PzIh1n4yTO5nIgnYEtrBVeFrmZN+gahhafXfbDo/rvNzF0vLWzcN+k/oDa3WurWn/
EZr5pM/imOnDeSu6HXyOjhnBnPNVbmJPZu5WsM2GujB+XpTsWOrDu8Hp6q4dXJOBrRJ74t4h89LZ
lUby3C76rVQwBAum1DVgpXlBfwQwN6j5JYpq8kD2+GnmPx1mYdB74A/oUvGSMPLV86V36UR/BuIP
XE6OthhQmK02viP5j3WhOC0mkzR6AspsfHTIRRKPZpn2kv8ZJdSGJm6+xyj5ZLs25bWVHrtFq7CL
iT1e6cGdEzioQt3pRhvaW3yUFjJQZNYo25AdI/lKYfigqwLSSZfeFgXbKHBrQ3HcNcKvm5blOdM5
Tmvd4enrYmYE93eyWvpWlBB6Xle36pmQ1C0fNI/y92az2b8xHVVjuQuMkdtU0lfIRO5gx+yqaPiz
NuU1i/Ap907yDJxIeG1LjGWKnkadHHuh/amM9WAM4xVSQBgzq4iS5kczhBLGmnxJa0wUfcuw1w7g
KSq+MbY7B0r03l7Bww7logfwuyQbNO7r+goDDm6Mh1i/TWV/sLIS4EIff5DqdeAxiT/quBqMGdWf
TF2lRzbjiAoeu60z3pJFvQJ1eNCU+CrmyLf64V0T/bWaulDY65MtP+UYpoXygHzYePaQAz/SUxoY
6Rez6Q30Prky7Yss/TaRR0lZtCrPpAKlnL1AqgDphmBt9IxYSu2QMVxbgGWs47NjH9ZU2ztV+biU
z1ou/GGw7n4AE1SoYnaggTvatig/xHI5taudB8msAc1LSMNmVXqyt74IWjW6Zljb0P2YWm1bjaxE
Z8tEmeJWGYiQN2ymy2wWd7c5nbssiJQRxPDi0voSW3nGBvJsjmlAFhOy7AifA8rb49DrCDTZevcS
8xxypnlqPMDfXI+FbXzF3XC0pPqE1AY1ybkw4zjSrq6uvqJz0l+CoekIQU2lvdPb1bererc2JqH7
3kEb6lQ/G0YQmSrh+1RMpNbg0GJewa3Q1tN5dJQvIxtdx9B/tU35GdnlCU7y91i0X0JEOzARsW9h
K/C0sfs7OJAMTUJInK1PDitxk8k6pM2M1yo+y6xHliq8ZcxQ+H4UMUyBYX+DrPjVLfkDtLD7xKsk
qFG052EYrsm8gWzsJhwNsvQkONOYbP6pThhBsnuP+VNWvFPkHpS2+yjG5H3uI31H53haZvV1ndqf
CmH37oUXjL/FC3Z8V2UAtdvWb4hUZBlr3pIxm/pGx/pgfAwgIAUpkybtjbP4qDnrzXESjwKDhSLb
3i7UEJEfBkGZrHxEKFIO36i5auesKqHiK3DJ86R25dycRYmFCV4uSRwV9N6IjtVRqQ5w6/xCQamF
D+7HIj53fcPqGSZmbq+RzUrZBeHZMC/cehUHp50UyLr8S626HNOYNMJkMLnFoKKGjQWj2pTKOcpJ
EHKNyl+9VZC7EJ/bMOCMSl7uXnUCjPzEKQN8SkzrlCYrl69BJYs1veZ+VE8VwoMH86b2hg6Hd8Sz
yvEgdg0en11nTYYXaemPmcnn1QAdWmQac7uSZWnTn8Eafcc4Vw0SzNpxoZMs9e2p+1N1y9mgT0jC
xlgj12iwaFjmqxxSkJaKyZSjB3k0CdJWVfIhuuyXSczzVAFq83MWfX8C2vqx7mmkRP2YITbTWDe/
tTQ7p6TaUCPiuyr1OfTa7xobpImSmg2mJ3gWcBW1vOHeN4Kk/lxQROlaeY6WFmNDejAc7cbXdRIS
TxqS0o2YmN8AKCETk3oFHogiatw1uY79RSYPy0BYNDP8wbIOmdZA4Ov2bTs9OUXRHBSiQZ6pRhD4
LcwSI6aYVcXWKOejpS/vZtZaD8qi2T6K7jO7cd1YlifoBA9Dar+0GpdQ10KbrQYGEzF3Li2xG8gk
ilj/HdWPncD01sgtFGw5Q5lEzyqTp5bZNCM5kFTyUcXZOMTLW2wVf1pgzLthzp57kf+dcB5G9jfJ
BLBvxXE2dfQP86hBx513TQ5mAFxHigqbF5f7Y5HVYUFIMs5+jdoYyvEpZR4wB7nhrx19rYLIwcq1
jYkI0a1wWZkZDWV6x+iMytGZ83NiYw1zlOAXkRs4Y3fFvawYOT+2iZXAJUiip07hg2JKVY7aOqTf
OP+3fTnq4ju3ixw27lQ9b/ggf/TE4YTRhhDEevMDkCd5SEtzXn3NVA2k13V4y3FqPWCoLXeVo6w4
DMaM9MDgHNat1UNSxP15pQQ6l2aefEZVAjVK0LfqUWfROi1KWEZKtxesHHRB/0XvsxV/RBJvi5l9
gHYyAtgcPVrLgNAjbC3AF9icp2TrgIIm+YOtl8pB7afXvuIyKhFT0EAX1avdkA51NW3Uj+zUjBE0
868u7gB14l8gy3fP2C+j5SeVys6J5G11Jsxs1muf4jGF29fem6ibDXDYFxXvNyBXzUubgX4no/3X
0j9qCguvSW1Yocola/Jbm5tuPEZ7wQBizxyJmJLdlQH8YH2fTsOtTe0njGzp02w1PvsZ8E9BXTp2
eKaBm8EitYvxobbU9zQdTrX2NyP3nU50ICgzA+rzgD6f5bt8jcHfRtD503dHucwRjLn5rFpxSDqc
cMKttqc9IrnbUtjZ6reY0RYTsc9G4cNd+aNnn5uUzJBfeW4hFtNjGvH2R4ASD0fBtC/u7+vseyw1
0Cw+dDs6DXdkoWnVlgfNu6FatI+5HQOrzx7IwR9MDRF3jTEOaulbJ6Ph3r20vFVif8v6wFgom7IK
e5a41Q4dAy8+DSK9dqjL8tbaxgRgaAx0EAHvULTKUK8prAWmx7lIfHZIvSXVbmrSU52uj9l9mLRk
VRTMwgHR0Us63AUwVTc9F6M8RxO7EOJBAgVw0uWgsXAzKOzud1faH3ccQqF1+WekCOeV2WAS6puk
8gdVARlECafqrgTgZMubHFeoodu+tOH/ssaZTFtqea3D4Voslu0WxQwJKrnEOTjoRX3bhu7UD9h0
2dRISgnDcia/pMZLkgGL+G2r0GhXmF6XzGoZzovtJOp5NxEMzgXoTZHmzp2hMFFpaTPR0SVybRl9
JZDQxgHLq5DTpR2Tsz1833dLeEymtL1hrps3LsUHhy4Pz4wfrob1vdVBXeF2BcIZIJbn7izrxp1a
SrNS/WtnfzsgRcBm5WW26QBG/sfEPOqalNlF090xAD0z16LIeJXMTpDqTfKAt87l7SzRImxmo2Md
xDJ+YV8VDGhHt7/Lrql8hYkbdP3miAHg0qXKKxp34o1GMWO+Nss1APFQ8lsg1P4zZvB/Clpcm+/q
eei+v4fLR/P/IEqhGsTX/vcsxRnpdPyo/nua4p9/51/jFJr1D0LL/5aX0HBgkMz41ziFpvxDmjBt
IJvj/LUUkz/59ziF9Q+qF1p7MhjQ+/hb/xGnMPV/OBI+pDRN5f4H5v8pTXFP4v1nQg/rmjQNQ7c0
1bKAbONk++9ZChbC07aj8/g2lheYepXK8adUhvYhnHhAPC6n9Q1u/fTSLQusPrKeBHntPNzgSavB
qiY2Cj2D3tPUZ4xet760G1evhSOY0cdDhQTYTvJWxdnanxY00dXvYDy8/pdL/m8pkf+aCoF6/j8+
iGHwEWDJAo0ihKD9z43ATs/NDayBBxPVXO63uE3oxPM62o65hVULFb9Iv1Ktu8c5lPabBRGOddcU
0afTJsXsiRn1TnU12VLhT2w8+DWUNJwggUrd2xDGToum6pk/LPHwpOCWpDAmKYNrwlydPGz1UmMe
RwY45pC0lnZ/L01hcSmKiN1sjmO6Iewp7xFGuONMRCF1nf4+w9S7bNZukqTBq7Gmi+3KXilwQ24t
LmjwjcXfxkmwKkDTXQo0Oqy+3qzUFu/SdACNCBLT0eETWZkZVJBfCjddpzzxSrY54K62dAZIRi7W
ibwMuMqEaHThySanTuztyWnCPqavd5lDTufFHpxHCx4JGVyGblOQqSnSyFRTEeEOt9SemE3M5HIE
1XWuxnZ14MVXUbNTe21DY7SL5stJ7faIHGueMjik7PPJ4F4X+KZ+Z3bW4a/OYp2LJFrehsCrKtuT
Ol59PFjxb3Obh9sE2HQMi0VLJ59Nk9ODA1xFdckDz0huYhOANwsglXcrGY5FQdoUykCkZhAwJzYF
TaCDv6Khw8wCsUj/afNO9nyIYn5Ri5F0R6En2nestZwSSd7h41xF9qAmQ6Zda/YsndsZuAXWi5on
YOY3LkHQKl5jI1m5uJ+3l1yP9fnJtmKyBWkPlSFcWrO/KhBgB5jUG8POmiGW7uttaqJMmKrqJRGn
qo+VtoxDtTPMVyjjzt90jkhYW4JF2Yx7KwgBNSvlW0/FbMpvF6OJ4/4ChM+3lwAglzQJV7LwYO5F
pWQtR/dEMyGEg/l3KTLWKLVdtv3MzcLdLIH4MeDLZd2TwCcH4BY90hc49Tn5mJsS9oiuKPL3ag3U
BoVBB07Ry1PDIp1mjiFem8azNkw7zbpLEfgfqLNsSMsjheGdRb0pyVqHgFla4aUpQib3H3PUucOP
IYxR4SRPRZ3RI0TzG0z6bg66ksGFbFWaGzHRc0WwNp5UfdnmF13rs3fwPTZ7npxl/mO0EzvgEiEa
bIN4agDaVJWVHFaxKIylMP7+CPTOvyO+SqISSbXuy6Z2nB0uv+KHzP1wKe28frG0yctZaUSxwDsE
9hYP8UmJuvmzTGLraJYGAUYWEEXka5zfA5xe9gcka8S52fJlJ7gfXWwNw18QQo3EuLP2ZEs0MfVH
rcksxe8VQL8Bvl/1cx2zSd2JvnXe5ThOwz5JFpJCsmlYTCSRElP2yjDlH/qcPjWLAHjg2opmqOwi
svUgn1RW0q1do6uYRtqFl5Qq7B/ihGp2mLjevpOAcqEGtIf7/ubRcbATdoz/BO/uCnuxRi/GYq4e
6pSMATd0RtF/gtnr30ywzUDMqOCOGEvbfFcqNub/Ee997U9FHBMJ46wCq4b8767WPI5+BUnsvtiE
JTR4Wm0C25GGZyvCGJpJzYgfa6a0eaDy7wHr6+sKKynYkiKYjA6RIRPcNBR5HR0Ir1bUVC2FN8Rq
Egh3wkxsKxjSadZPil0C6UrR32L+HzO0Ff0LdWe2XLeRpetX8QvAJ4FMJIDbPXFzHkXRvEGQooR5
Ssx4+v4gu06LtEuKuuiI7rooR5lFAkgkVq7hH7LPyHxZ80GjKYzw6tQwjq5BnN7FKFoMW/B3U7S1
W78szwMx12hfuGghrAD8EHG/BMFr5GAkyk1GT+Tt+Lgk9k0U2gwC4iIBtiVoE1YHrC6YojGowOO9
y+wiOQCVi64SszTdEQGLkBXyRs+/KIIsAbJu8vHFcQzKsrJVDFDzTL85PTqQe4GW1HCBkPZYvOmE
4jDmG6fJu4QdcBpbriNN4wTLmQUckukVcjbU0QDszqPR8Qv0I8X0kvmZfZlMHch9ArP64ioHUQ52
Nfl6GBCyqkS3YtMj03cfJLo7H5t8/hTPMsdYo23LW6Df/rUXo1nuhFP7zfiV8zoiomcOWYYqIJOS
nglN2LbAWcjLHYBtFioMADCQztgDlYX4lI5xhKqWx1FRIQCqVuwvc/ImjOwLv+7aF1DmmbcvaYlV
G1+iPbY1dd3N26Tzuk8JNIlgM7ULMuPt4LnzMbQsGlPVmPTNwZ+H7rmJBS2y2aRAx0FNJNM+pPn+
JXZdd9qVg898salaJEl8pAEeknDm/50X3eCfdf0sIwgT0r7ReFPBxYwsxrwN0BNMz5yul+hH4P1G
kYeoRzhFCPI60RiifAunNLtwgELdjGbV4qEr3u3KbgxvZtMA0spo4Tlbuykhs/znie9l8sWw9t+6
j0nvO8rx/7n02HUEKgH/PkG+bjtTDb+ddr3p69/+3297WHZV1/+GSPJL+fYjB9n+80/9RUOGN+wH
YB94KciF26sT6180ZEVK7QZKaxeCglSrBMJfebNyf2eDeDQhBHNdL1gtqv9FQ1a/KwfKfwBYzMWU
SAT/SeKs/Q+Zc8CX4nEDHqem7/MJrizlH/Qkahw5TGXl+pNx7bdyyK0NIOaWejLOLqslcPaOTr/F
CCeeZr53RXt6OYRxcdEJGLGJPVz28azeRtVESEUtiANOnXM7Av+9JdVqrorZn069yXR3Ycq0BGUb
91oAx7nOh4hGAJ3vlhyPVgS+L0tPXhAFwYwtYvglF/LWq8GY41nyVMR2dsBzUa2a3m+znUTbCfwi
nhb1fTFHpy1IJ3uQt3Wt6IXotka4lc5n4ZEjuIW8pSx97av8OSTR2sw+jBa0BR9M5WGyYIP/c9Ez
pgJFUq4SWOgEc/ocZMuj00Sf0C96ruj9b7zaP3UK6yW2vVPVI+sYgolKcW1KFvQnwaGdygqNcs7+
z5x6eJyZ2n5C3Os1sf2HdlbH2gqAntDG3E6tvgoVwO3es/ayrGEblPF53LfVzlKrBFoDTgINQKTH
7aU8Ed1QH/qYu0ttpFNRPEGeh9vMi/Chx7mL+UaiQaWxWBiFfAsd5tEo6T1iiDafzENL7322u70X
8V+jSt88TnUACTw3BXR9HToRnRYqb7AS5U27EIrmjhRLFFX8FpFXcQaV/RHZ/PB5rN3wKUqBFfeo
p93kQx7fDNBCduAQdkh+MbyYchCQfd1uWwNAKegWcxrAVwPRhRWTjfQqFhhc31tE/YpxnP3U1+yA
VWsQym9er1y9dqdF8oanHr6H1pk98tBeTG/comlfWvG3REbfGC0w3JblRYXCOx0UlgiWA8L1pgd6
Ns0WTTBr2rNNEnoskThGY31H45FpWG3jHIkI4qana8KuVc0ZDGt/x7cQb8DKX3Y5RgMA29SucqhM
Imd+HPxYnUDDJCuHknqadnN25pciO9D5kJ/zGTQoTjnPIb3tk0WMjyGaMFuvxYvLtb1buAo06xBs
OomEvrJgV10ltWq+lFbZgI1j0BfV6hY7UeQdPfs2q9I3TFoegcWKIz4vy2WN/eenokfVtuvYRRH6
x1u5lA8aUdp9n1vJ0eO4BgpR3ZQG8eKkYd45jbxFJVedVQX8qYzwrmrSV2tB47vn7Vcpa5DVgOG/
r3lZw1klgN1adolHnN/B+G/i8zGrgQgMl4POL0g8qt2ylPUWHVVeymralDEA2LQQ/UEiuSeMhZmL
VWxd12Y/WtbI9KfwT4NSsLmr8qaRXnK7pPrK4W1uzFw/WZMDHnUAjgUL8Fh11T2TfOtIJ+65aZfH
yJtXBqPzGHbsk3lEiNIqQGcmXXmRm1IdEkR6TuqkZNupVG/qFjC5Dcb/oRUc7T6CYA+QXNpd2hRo
WfkY71lmnyie3Qh8IP38Yqm5X28OHlqnvqkG9pMIvCt4CWKDZjKjrLhAGxXpryPjtxGEZjdscTf9
ZtX9ZZNX7Q7ALp7vE+l5KkKcAo0FHkg34fP3+Fe1hYZEnuMoFtHVM7QDGTQsj5aegVh0YYVATYfX
XYO7BxI7ZAz5tDqH8KnoPHltHXUrLGbEdA2q6xIwA/p/3rQTqBVSXzD6FJagZY1qJMUyb6QyEA82
WLXA3vFDlqSy+flagsOPQNKvCAgeXmOeSts8IcmKHUtPyEduAtmxubz3DDmonFR7l60vsnD1wWWU
sbeSAsi4tzxmmt1Top4aDpwCgpvBzMc89TEnRR2+4Pf3ja69wfkDWKVXD8jhrn+7hNS6E4uLK4n3
AIA/gm4rsh3K76/zkFN9VEW7a6NqldJv6kM8lgAYRnlSxvMj8tjfnDYBGRMK+ywYRnhHDNjGiE82
L8nPqji/aObsoin4fU7Pq6AdL2UYTvsFNtvWVynTbvNk+sI56yjXMeZeHmssUrfYEBOtXbIuCSgY
tBMNGnMoAwv6c+pZJWjGlPZ/gOfEIcGnZTN+x6EN/pWs5e0w8t2JqL4PivK5sfAzbEKM7+K1VGuC
aOf1vFpyb0k9TShyFwYrGYg0WHf5MV/K7l5mtcfUAZUGx+JdOhwHU98+oSeanY12+lbb+Pc2fYcn
Rm/N21E78ow2RHKMHHL1AEeLB9tz3C3VB5PwRd0CgQtOXIRBTmm/oSUGQXxsa95tqB+qnNp/gs23
GS32C2Cnb8s6fVHVzeTic8BtQbTl/5y6yWs086uRU16kzbxilK6GqmlOUmfwjom/ztYUL7SLzBO+
c3gL4lW16XzrK07J2S6PvNMyyJ/ZB9hBsqk95T3APvoSIgYvfFwg8FYkeicjpL55Ce/CqbzBdOAx
yiFJtLR56ik1lxLrnI3bSg5lbX3lpMEsrUq+WYyQDw1mXByCxbNthWcz1jNbsv03K1qXvoLv4dYM
ZJPSQYxzap+mkTEWPnpMB1jmgRrkFGjB44SSyVkGw34P7pMRdhZxlNrRuRb4AYK6gBWhDLfgZm85
vOx5ig5dF70BBibUIM58tOq8Os41RZqMuTt/5KxjcBVsSuVPJ0osYPpdD9Ij/NkNBxbmVNGo8AFg
XpJb6bcg4WszFu/OHjkDKYq4wz55HaR1Vrh8zkFhPfQuobzvYWSvZCSGIwTnHi7lxq4TzFEoyaPV
36Cc0SkVmobbiE76llYY9XAH8BE8ZlUZrD/C+dIMtnq0Y1YDeblp4yKdPe9Ulby6kpOXIeRNXSIQ
DJxxaySPHqTAdPF1esyoetDH4Pqrojl8jvAhVuKWFiJNjMXUe99deauNJ2FLL9iWdXYLoDCOr6FG
TGdrpNz27fSYlH74YgbNw+Tt05rfMfjGxC4by5N0sTFDIrfawrZlhR1CDt4mAdP3SuyqljgbipAW
DongHgn8i7awX6o5wyltqJ6LKkEVBhYqnF6Uikv0WrOW7Ue4yjKiv0D4ed9EZI4S/ukRMUNzKSpP
HmaYqvtYgZyFyQOMAxPFjYMuCbuWiTMQRA9athmuAA4hjOCKW5FCGY8c+4Im8jNF7qqpE87bfqxv
qPpxmhAUxjQ4VouggcOgJUYmMcstZPJqAF9v84KDd+qQiq1mftPvCGew6jGU9OL7wWIWOyNAzRx2
gny2ni9aRm/ovTxHYwA3bk2xYwyiLzuJcDchC94DJIttOIFSiEP/wY8l6TTmUlAR7dPI1GbrDifL
a2hAxKRytl4jwWGmarQr4MC0W8z8ptPvwZCZJCoIIcDt2P3WlcO4T1Ge2JL0PA512B3HyWlPglBm
+2TAbzdwIXgPHTvYUTY9gJLzbQ0s0cj7b6ZoJqH2HvBigVO9xJhxJFrtEgi/u8ZwEqXpxDJmWp6J
OO5O/qcK1n9b1v4vlMVaxwL/vlJF38tE7wc56y/8WY9SdHqIwlJwUvcprfz/L4ulxO/CFpIDg/JS
UVjyk3/Vo/J3Fz2sQDBicZXvO/y5f9Wjq2JWsFa8UH8kmlnef1KPcivvByD8eTggKHAJVGvgyPkf
6tGiSbHZkD3GLX5HZw9xajEcRq/Wj4QZtDXiPkTXAEK51AetzPTJGXL/hTueTkMf3VfUdXRMGh/3
yto4enHAbQsvzc/bTAZPLhI/dIgQuoTQnAR0d0v8/6DV4Op7DVqDwiSKHPSoiqj1nyFYw0tA8maG
ShY04WXpB1jtAHQE8hJ7FV9skXmE9UyME7glGxSeb9PejTx7yK7HASvjZBDBBV3pGU+opnpRAEO+
YaU87lIrFi/LQhOIAYif/VEFJec8yS5gfS+PxVWSZNMfXTN4nwL8c5KTOIzhiQDmCRAbIZMEnzjC
2ydZQh0YtYKifYH+hPVBWdDjshYow07Hq4bmRJcf+e+lgMpr49xJ67Vdz47OZE9AGZdznIPBuFiO
3Zwkdn7tKAPXph8Dc+bEqqC/2qJPYXIX8Z2gStO3OGUQs0EkbT4zug5Ik4eODmg8zi0zmWwdE7jO
Op9RxhqGnSsDdCO7EOIUOjK+g7RYjnnzPiz7ujxoGCaXFbMrzhWrd55VW9p4eenc3HrCi6iQW1E9
pR0cA7xlYYggbtr51yaTIBrzyKc/2RTthDQWpG6yVEuZz1QSwWs+DWCHEEmLxAZcvv0yWLZtthGA
RJgFjB7Ohtj4+hiKeU1Cas7TLQ4yHR26RoGURA4B9jZyFe6mRKKgPvqpSkmkqSLVwRpL54i6Ib70
WiCps60giH2CRLLWqSEGUDjqZAzD/c6eUSbH88I66eExWzulrHWw1CI5uMldcH4gmasGs+AqACs/
YAuNKVCTgwhRQcWBIaQ/YGoT401gEuieHMjGuffHzrsrpy7GxHPx76ZwihnpO6WEXSrZY0gwzLTB
23b4NCGECTTdS0F/2QHMnzNGDCmwfAgNL3k0M98PPe2dg8Sk+z+vyvjQo0NGZTgtoU7kFjXd/nix
/EtvqRD8UHSRUVSqQ9uma4J8NnYe7bIcSRMBNavE4CKIgTCY9rlEbR7GZxYnkALt6bnspuCP2nKs
Zqs66K4MD1WrN2HArA/BpHFmCGOCV4NNO9BQMh6Q/LW5XGRpr92QVBy7YgAzNKYVn63U0+iQGSKK
sQ+w1PqWodn/h9cv2C96DGVWGQfjzqexDpA9CAQRglFPY77BIczlNkX1GA9EN7PRkq4cniaXFr7O
EOLdzwC1UeuQwEnIagOF1aPH3AfcT5J/y4fRei7ajqx+NHX4tatrlMD5AscrdwAEsstr7IVJdip4
F5DsGyzz6LeDhU9sLAyyAEr1KBuswj3EegDNMpvvt1my0piDHLOCXbuo1N3mtk+7ebbLCtX/dfPA
EEtb76xEjxUYWBfjmyKzgRSlVrhnnLiBtdz4uOwk28aFZ7sTflcI5gZ1bzaej63Proyx6zvVLQzL
E3iBaYgCns/EAI8tZ8QwICI06XTR8jgzJgCQPneEQxlBCt9DQKT4TEgZmFLRkkC3ekk9rCOaiQxA
DJl6qtAFoD71UW8CORW8VaHon1CCVBb4+QQ+H/iBCEmLnr51MM3kQWk+ZPrY151T7gGutvYhtFJv
PGChEdVEHiHTL9zO1J8mGu2ng9CtesbBq1/d4vL+LvayKN4XNXrqWHf3Cz0WyKHdnTIxOwSbA1ff
oF6mwr3bLTQOS4EP6mFEBBy0AOIPbxachm3qkWOmhS52dR3dwuyYiMI44jLvrDzg/QM+tPCDQa2E
wt2aJeG9SkzBvclFdC1ykb3RboHuaaUulqq8ZBauNk0Rnrq8ex9fVr+aERmQezTuSYBsOJ0YWmcR
+jB8x0U9XKtGfGnr5BbPZCqr1D7DavEEs+AEL2VsEnXRHddki/T0XNcM4tICm+lguUavB8xMVJ+3
xn1Couxtbsv7KYNLN9Y46zkvdnQzdM1lgTkOI/WjbGEM4/1bRwEgTIwCEQGxo/x6SuZ90cRPZvAB
QWNOgCPm+NCXoZ2A3sLLScPuLcs7dH2IbY1LC8O/LJEc3+b4BwokErz+i18k5RZb1x05Kg1KEZ3A
h4MsEkI9kOlnd5bxocsFCWiKhmtYHCzsckdsaKGw57tWzmfJUmdnqqX4YcT8EGUI0bkQnupqrI4j
bmxVwac6m9MsApgWl/7RRMUh94e71u5PGYueBXZN8IF8rKbXZRBweEZvPuX3P4cm+tym1Ghhqe5z
yCqDF5/7mbzIhpnOl79gfSDmkwHz7A1CCMWhjmjK5dMX10rLPYLPJOyjaw8eLNz2sWRwDz1o15pu
T9f2EA8MlqblHEngs7y0z0fbsgFC2owRsb+KR3YNIQd7lBX/qunM+M2TsaDypdnXCiJ/g7pdn6IP
Mvv0JSgX9BKb7VxA61gEw29dX+PyuLdRM9ksfnFJMJIbnEhQ35tSQIbLiHxOaT96FYRYKi8ymbz7
klTOnWkKcM58jbhUCdR68kODx8DgpE/EU8RmEHm0SljHI5TPrgPVZSWo4KhGURiR+9w3sJqaJn9x
8vjzFHY+4yHbfphKmsCQqTZagoGjQ09fzp8uaZP1uzQAhuVWE0xm/mbNB7Sv+mYEUWk56rwALu4r
mBBAB+3L0QY2201PClUrdrX+yuV2KOlcxdDCvR0MngChupAcrbAvU1vtZRzCQyDfACFrvS2WuytX
uh6jeabYpr6HvENu4iyQVq0zK7tRDAHpjt+l+DC0eQCuk2HmDDxoUH/0ZlgulizaZc2I+kIDMLyc
bx3UhvCn39mlA7vL5x2mJY6BJSpgBiGuAc9eJa+wK9kid3aKdAIciDJ5XZL4EtvgzQLwD/PlK0u7
p92sb7wu3ZJhrLx5sSsLee+4NJXicdw5OqLq9PCsqxdKyBqIzQxQm758h6shEh6ImRbHrhcbTNQu
ZxOdZ5m+ceziDiNAYC/QIAipkQhusOPYuoHZZLZNkR0iu9Cw2YIGIxDk4zKG5c9MUg+WaT+RZTwl
JWlE/KWs/QuV3yYz1neG7VzdM5Q8w9UOHczhhSwQNAQ2gRKXDRkt402P+fh39U9zCA0qNsGbVXUX
WALs+y5EL8m456JLDxZNGVwtw03vfEXxH9tRlMyw+6TQjCcA1haBvV2QFQcLQUu13aflIHbDeqk2
KZ/DoLpBvV7YyKFBnZRC76JMU2KOGfBiDulAQ97Ehqtyli8ZxvBQ1txlZztqncSSjYileyvb+FCN
9bCDNEmOXKpjoIur0W3BmZuSFhzhpE2eEAw0GP6S2NKPQbzJbV7IrYdjUL1MjlXDFIUVmWyg8sbP
XscLOo3A+r/JvLumnweLdAm6zkeiTDABmFoflcsK6uR8NLrIngMgK/421SguHhjXTnuoiiAf4kpj
8g3j14KviFQcI4k+uVLDiNMw2q4KOVwm6l+AJBcvtipmOPdYDdZ77YUaH5+6KCZ0Y2Ds0lUuk1Ws
NLePrh4EHgeT5kjsPMcDdx+257VfQIaxplaeUcH0X1nbDDVGBNSSnU5CfMGm2te3iHYW33LXDqAA
CFPfGcsspJ4+6hDMm6LyUdCVGC4skG/JtQ6T7sYLhjjeQ+xU9yj6QYPDVRumZjwVKBel81S/8Wmh
yTeZ3AC6Hryl2PY4XWGw5fNgkAS7MIcUMoa344j22dbuuvk6t9ZucWGj0QZjspjGI0eP8FHAjeg9
MbziBouSDOlM1BoKaew7a2YZ5I4+q7LE+jwulXVFZjI351g+ZKg7zd6b3eHpuKnrvqP3aaXL6/9U
j+H/2lDccRGl/veNhhWZh97Wb48g7pLyr0l4++Mo/Psf+LPxYGn1u+MJGG1aCunZ3/sLf07C1x9R
oQc+ni626ztCMqX+q/WAjLenAvoB0pfMGr11gP1X64EfScZhio6FJ3xAivZ/0np473lAx8H1NRUr
+Sey3IIS9f0gnIGgqRnMBhi+m5rkaWq3JZXJsJz0+fzth2X6B5wniNgf4Kp/Xsv3UAhj/O/aPMT7
a4kW+yiApogkwaIA8xile90ICA5x+wtEqbPK4v83MvavS/lr88Yn+dN6/fkP8/1pKQNgRDzWAti8
lMH54D+WfFg7eyYNLgz4zWkYTnUWWrAM66eZyRIzlps4ieinym9DdAdkBrEOqxC71b8tBMEvJeRg
AOsFzmq7ny/N+ugf7zfQynax96HTpOg0/Xi/KRRvdxxtVO1mugVL2wjGMuDJPdCImxp53x0NBPUn
rAVAyj+rsau/rRJDE3aYUgLUhbblB+MCDjUX/bYC5PA6dfcRG4ia4VvuBPmtngysh5iWkDVWl3Fi
TZi52Xs1oxY0gDIuEXTZNXWKOqh/G6uOxhK6RrJFRjlqLuvhcbKy8ZCQ5UCC0i561EgvoDbRbP0o
eKY62eSMeO9Ho2+nAUmCTqHLOceL2vbaj/eul5xkLodGWHDk2zWtYgMMdIf0yL6F7fkZwjTZxpD8
wl/E/oclUQ7oE7ao52j+8/5FmHGKxiTrAtIHvHhQKWbAMWdvkFMQ7cLneNe30VMBWxLoWnghwuAs
R2KfKIvP/c+3xAf/FfawdoCP81YCJkq0LT/0BOcq81QxgOsWQUIHbGRMONcToLwCXO6CYCf8CBHs
E+hjMa0vu+3wtVF4hrvNZ3wfzfnP7+dvkeL97XgfhPspPSsvG6oAmdkaWy3Z0D3Ai2cr+0czLun2
51ej6/r+g+Bq7EvgzZgYgPdZf/7DBww2sFB4MMJqbWAGBuPKsqj18IsvgFj598u4gg6vJ32BkuYa
sn64TKHqGTfHIdhZOdjDYeqe5YR2oJf0l4U1oY0PthCkhTyrY2nB6XfPZq8GEQlWGqJ2q3GYolJe
lUeKuxp/97WuR9aWVKkk/xqCS3KU8BI5zGhrgYoOS3zJ6ioBXWtpejyQgILhSjIs2TZxsIKRrvuw
xTtX52CD26xGdSHG0zepq32Ng8FMPXxlzzvfTvrThuxlBwIVv2VIjyUwc1hALeSrPHyxRPqWleMf
USSaCx9mFeQ/tEYm6hI3IKRkyachob3ig67HW7CFCRfDl8xKdM2CAfbWz9/mP+5letwyAIHKsSU/
hP54Yq6rszyA7p/P+xmnv5SmjyzdCvlh6yHGphbLqJjm9gxHz4Nh6+PzjbX8duDXNj+/mzWYvgu2
7C0CnudqH760sx67P750LyAl8kOE4DxYUhuJVdamEPDL0Z8fAVKMaHzHnfjFhv7Hi/q2DcuBDon7
8aJiGaFzMoPbIbtIjy5AmGVAUcQ0l0tikJjKgEgi1frzJ/3HcMbwwucDgvupVhjej49ajjQ74bpy
vLv9aRsQwX20s08G1rQarACqev/sVYgDDTgRznRlzws0kP0WNc5f3Mn6JX1cdOpDMiG5Dk68D9Es
7Nylqnt06CIzKgp8Maw2ukwLvRHdpRUEgoqCx4hjMmehSadd01JhOJ51RZNvOvM1OJqVlTaZ9Pjz
W3P/dviyH9iXHskCFglgD98vErDgKHJRlcAN9A/pNfk1Y4sZuVl31Aecmm0+HoEXhpKnyC8syPhc
wl4lWrgQ6kD1YfkWcUbZ9HdmB/IoJcEfbcFcELphsU0l1FJwJnGbAvEPEHCzgOPDkNRbCfsvHNCS
9eF/1YX1B82oXYS2HpyBFy0gi1kzu2PKL7IxPQZIpDCQjsptjzg1wmOoOYw6fnEJa5t4mQ8tvfgL
L7puvHLaWkXhgH1qzy3R9LuxoO+Qs9ARAvE7PTfeDvxeBliWMhif8p8v6D+dFOs0a42qpHnBh6Dq
xk1d9qGHRlcaDDvZW9vI78B6JJ8SkNd/hpb/iJT2b4eY77G5w1cDjPXrbzDX2t8Offn2gplp+RHP
+79w8MlR+MMbWP2G3hkCfSqT7uvbb/fdS/e1fVeHrL/3rzpE/x4w/WR04ePWgAk6b+0vRK7n/E7e
GbCV10nmd/efv8oQz/59Zb9JouSf3Lf/rkEgalMYBzYYX+Sj/qPx5/c8879jw3pFKHQUMpji4fPz
fc76Y5SCG2FKe8zcr74ddn2wd2oU9TGqwNhheXRdoJIvyjJueyibGUzprnMmN2aP02Z/xbRXlciX
OVPmnQWxO/c7JBTL5jgGRd5e5oxxGNohXe3WqKR0KfN3/IdyVNdQZVL2V3xe5/4uj1EXfqGgqMMv
smBGcRXpZIWuFHbSciuqdpHzj22wA+Uuyl3D0Qy0HvkS7DMabpmzGBCAU8gSgBxZML/zwyu9+XM1
fiTJvQ9SSgfoHlERago+Xp/zMSHyYDb0MMv9r+GIoFbDQEihzoxfI6qdR4aEXTJulwTHrW8QRBIn
PPz88h9OEq7veXzOjqIg5U1xM++D5JJKv9Xoxb6ldiYz0KUVGOsYTgxDLdo80xiZbmfiLlLQihVo
y/IGScu5BZGvFj3Ks07DUs82KHJKY19R+zb87Bc3Kd8dMmsQ18zwaY1R9klOuw+R3G+ctpvxrn0t
cxcb9G3KeixMTGbRze453qbspDbqTfZSpG7JOzJ1YcDFYhyO/8AG21CUbdhLFCLwgyFJDud4a9dM
Bn9xo+tp98OO50YDqSkwPJ/mgKv1h3pvWo364LnJ1zZ0tFXgHdvWeX/TLF1So6eKXwI3Z3nFwM+q
uSkqcr5sma37sa5DDnLEXVFaB6o5nxfA1Du4T4HQYUf/WVj5nUZ2kc6TI4OJRXYQU7HLMwFQnb+a
0f9CLuLnD/Q+5CsyOimVz8eraUysAeH97pgoEJ3YSOtNw+IUDr1FD6FoJhSqk4KGZ6f1M/Vc2J3+
/Lofvor1ujBtPYeOCwc0GIr31637ufJwdPDf8FDO176FqAFXxSp0aPWOadIn12UYo60CmhWrY/2L
x/74GjnhaGcgoEFDw3eIXu8vH4FHtMQUyzfLwy9Hbt1RaPeFEEaDvIJpm18lll3Zl5J+bX+ftUIg
Ct3GSc6i/Hwh3qdXvAB3bRysRaOrWQ35YSE6jen6nJXhlzDA38ucVA30ynlvheCtgMP7ZuKt/PyS
f3943wM0o+lSUUAFH53cmD6HeToL86b0SHzF5ksDYzu4Bh1Qhc5oqPSz6Vl1GuCa/sNzJebBBHsK
D1GPv9gI79Pr9csntaTVA66cY0l+/PJ7Zm1GNMv0CuvCsLoCoUruQkzAQ5GlN3Kw6Njiw8Zu7MZq
/UdSR/0v7uJDnbO+hkAooiSBmvkPNeWHDREsqRvUnfXKGMcrgHN38RoQi6mKYUz2Y6rocAD7mwEp
I/yCCPfGTUTc3xe1TuctUlqmBFMbFzTrG7cyzl0xJGX7+vM3972r92P4cbQNDZ1c15Y0X7jZ97fJ
nQEwLYf62XNBdGMHJwAxwgUJ+wCxJnvxLEI7aqPfv+G8V/wMUAKbmlYUSklg7DupkQMc5a+3lfoY
SxyyjYCFhKso1+38IYhnU9YWlLX1c21YxWYvEUzCacOO5Xwu234meAXhkC+PRTytHk19bEYAzISd
Ud9FzRJaR7NyQh8NnsX6ygd3R1CfcDbOg5OM4R3BtGoRpc42M/S24a42KbSXJdfZiHcKBSoxMyFW
Ek6rMoj5l2jAkIn4xTQRaaWbzvyjxb6ugz4BTBfjJq9fI22GCP8K8Pt++cCPLJQo/WpK+RMVyQN3
nljlmht0tVtkLzReSyDfAfojw72S1dJdGJMx9MvzwjggahAdmpBQ5nD9g4FcqB4HMdgcCZ4fkWcM
IGhIUX6+Nz4GElYffJFn+1LBkJL2h60hw7mMbHjLz5Ce4LKgOyS8mlFSlVb5qWScyVf18yt+/HQd
ECTCsTk9bNKMv12xNaKNx0KOf2ALtW7GsVfr9ncY9HGE6KFx9XOYyoVNODrgyqNLjzSAffrz23A+
PjktNu3QFECAQDiKLPn9R7HIoW8sxmWPhSoLQDRd1bvW16qJG3KHOAOftTehVyU3Awba5Ad17FZg
Tf3OoemJt+YINrxzouYciIC+nyTeSTSOR1sPd+DDGYQ27jJV52wilFSgUIW4WakQeQmOZgSihrtq
iDnjTsM0A468zQblymuHUwcZJZkZup0nP39i+0MEZ7TgCw49npqnldQE7584Q2OvHKH+fhp6PEdQ
yzTGIYkdlnXfKo56dYztcWLbTlkg+UfUfc9sLV2vW1r24D3C+3DS65Z2mmQpzDGpHbkmNM3SCgT7
86FuE7wk5oyvLhyLNae2Z7/g6/Tshs/o54/kvG/oget0wWlSmmgAm5Ka+0Ni1WBku1Rp6Xzy8Sfh
2+oQMOQGOrpv66f7/Tt2wDtwbyEiunzixMo1pMD+IC20YjrWCFa567+qmqzNXvIg9dQxGfN1HZp5
rGCxYQ8woysm10ecUbNrD5nlGXmA1DRIOCVkdzzuLx7tQ67DowWQjB2GRQxqFFnH+7fVTZmNeFE1
f5KQXFj+zjRsLRAASfWlE36Gis3cYUb86Dnlms0WVmXzQiZdgHZDPVTbXXQIpNWPn8iVDMsxeqlk
98lhIZoA1QvYYmrM6zW69YTNYwIanLDWcSJxwaQDhOpsqbFwvgErqliKrvNiC1+dvE/5JGI8Cvhf
f67PGgqzl58vwodv1Ce553SlucDQjMbwx4QLcQalZ91YD0MBDasBv7UmWU7sA3qkn4IQc/mrsPDh
OFovCcJXOIJjSWhSjPfLLtKKRKaevIe2t9kh3dx1bCgyddZHpbWqXMjPVgXzTKN4zYLnQ1hSYBD0
WKXRTDljY91CSTqEnQKyQy7sDHcmB2j3MhUWH343MXO7+uu1oWpSspRTjmk9mJdWrK8DR5v1RVhp
YvMPmJrBcCeqouJO3CzjbEJ2e61Tf77aKpA83A+JAg+/HgIECaRsqFk+5tfkTq0VwSt8iONZ5+EG
3V4JDW4UYXoF2ESZGYQDQDtIqZBs0UMxpkmaM5H3coLuT21inQNVstRliFyF3DZjNUVfBJqWxzFE
TXiXIRWWI7iYL+auqHRhXsbFxh5ODbaY6FinZeDW24Zqr+2BryGhdGXQVpuqjS5EYV9IYZialaUJ
7G060f4J4WL6zZKCkhqMmrbRBLcRJNtiVk7bhF2OSg+BY/fqXufdrKKtmOx+RB82QHgvpNoKo+60
iz3qqK235OOyUNayFbEqzGZITkBYU30YAg8Um8uQYHkYdeUkjwgwRfgFqc5BhIoqCU0HFEYQIw8S
B5BSBHDh6Dmy2yFlOi7nIdxAcWKPduwc/ou6M1mSW7m27K88e3PI0DmawZtEm21kx8yb5ATGJHnR
A+6OzoGy+vdaYKRKJCXxmmZVMploIiMz0Hpzzt5rpxasUnsvy7b2n2cxpqX1HLe2MR9Mb7yedIq+
sR6ZMcLhq9BBoJ+XcEzxOMi2dbLuITZLVR7RJxTmsLR+VCNYJjEDpE2o6SVGb05dRA2cK4nNb8ej
Mqtv8dBPk70tq6lzigtUygqEKItmUQXHpLZK6OFOaJXUigPpdlX2LYsar+cqG8eLNPnKXovQ+7A4
4ByzBy+w+8DeYx6VMrwkwiTHmNYIU6p0T1BcP403kyBNIyc+sJ4G8UgnBHpZUPhZGh14VgIA5hLp
BNN61UU5HPzU8gPVY+rQSzFfTgDTsvyIzpjZBqj/5DPAwisbxGtrDYHoLnk4Jgu4jseyxTkN+Kj4
Jf3sRSa4q9ww5I/+/JcWiYb8m03fja9b2s5Xb8ugCEO6KgItU3cNIrLCcDsTsTuER9MUYDwR5I3r
vGgLK+d0Uk8wqXw2AGDsmCzeDHbqHXLpSYb3BVrOCUh/6VmuJEFhjqPxLig8kcegEtcIpUOoe5GV
L2GaEI1z7QP54EpZMIac+pZRW2XiGgiiDivcpwgnq/uimIoIIFvBQJDu29zxOHaGrPWQ5tGq0IDb
aTbnamfLstD0GXrsk82ri5ON76sLqLHPQxoptdXsxriybgTdKYDEEWTrL+H4WbJslIrXNb2fEZ3K
xgDCD5aDIpvWK4b+p+QPSH699dTU4Trk+zitIiBAkPN4ABZQfsGxj3XN5+T5VDNK/1w+VdCSCZlL
6KVPYIAddmQNjlXuiyP9zBUEAJr1OpNjUVBLsgZLcyusBmmY/00pNjTqoGk380umyJlDoDpRJqgu
88gPanjpi2bIG66XlS3tkdBb3zG3URGuh5xzp+XyFPBk8Q0e/6TeEsusD1igrfXOi9ni76oYbFq/
G8FBR5CM+1UKhOAduzPn+H4+WnueeqPglvF35BC0wVMp/CRetacxZQiUfxk1+f3705MsXcyvDAtr
PTlCY79fDBKJuH/va9xYLKjYKNd0orz17FxbT++X2jp//O8X+fw5dopueRu6suYAHKzh41uZo47V
xxwhPCet3MXwXeBO09x+olyWtkh4zzeqXZDFpqTKErmaoqKPATETDpeNc3AXw/3jKo1uXfERSJwO
R8U2N6EVQULIuuhNazolvKMhjcU3xOfrFWwlbxDj2vmcMjdnj4auvwkm52IecCrw0pxv7fnxgA1T
cX0Cf81lotVfrSdv6PzxnKaOXr8GiTd21O3cKjvMnhcr94f+ijP11st7fpCWYR44Sk5y/S1Orjt+
zhOhx9OFD2s99PMFtZZp4f+0ldf6GNps0ZREpgFuMxIRIXUVez/lQ8s7TXjPWiboJu5vPoaueoP4
2PD4dIIVKyevRxa7dx217PUXughvcReOacQfFTwnPlIvYj1+korSbHoGd1Ol+aFJI35vpjwn9S5K
tFlOf+2dn5W86OI+PL5f8hgCFIdjcq/klzADtHx5gdmReX501BLYz6zcighCsLL6Jt/a4L/4ckFI
PVumvsKndllR3qO+wW0iWyds0/V1Hphf+btyHoIiOpQsFs18hT+lMjRg/dZGuVghZCPuOulS9vlO
7Ax8PutVxx8sGkV1qtXA/871RClH2JNDXUVRy69OY9knFAWwBPPtToaV+QVbIFluexIv1mefMLaA
IrHxlMsIE+msGqI9gEKbj+BSTOLuUsRMVeajHZCHEpBq1LZlefFeTi5guesCFkTFfvfL7Hc0mi+A
ZHA5jt73d0a1UcUF65KpxGEOT7Wd+mflTdkUXPTnUzfQlLhEnjSEcjM9phPBW8FiO4xyvfbXy+cY
uT41VJfXR/xcxSOIauIKYG9az7fPc5c/yJtUfF7lFOSsTV4tVDcxn5UNSRJZTpP+1pOO5hPB7Kx7
2FGQt/X0XmRZHFHphPaUIqYaVbRa+B3LuU6VsC2naqSEX1K1S5ySrW9ds3dq4NlTmBDXdUn24wQn
HpVKvk3LqGeo9OhJMud1gDq5zOz11os35HDX6707RCW1+KJqUn5cI3cw8uPE8iyxrqakQwl1QqO+
FqnagenuNixJ4+0ffIrOc7I3SWHN2SGAgFF1O0oXTuBvQopAwSc/9Ry25EyGMTefeIeFswqaep02
VuUyV0272uHhO1/Jom9Zqnu5nXvjFSkZdRI+lMswWU+axTRVhUWqOPjEeMvzZU1y4QqQQ7CeQyIb
i8Gf7eVapapy1qusrGPMxPJTQPaBct4wrAbVKQiUnJMDOIaut/6ccM6Q4MOMBoAFETRVWAu5sxPq
F/oHU9l/sFNVYP1OVoW+eYS44XhEeo75qNyPXRJRmjjqchhrGuWkJyBJ9wcX8dPA7IA4pHecljUl
QoOYRGae8hqm1nbkLy3gwOFEZ8rs3s/kfC8RTFEg3AqBEZXT+j7cgGtex794TtfRhNX/+vKuWDo+
0Xzf3gCRWf9OOLbFJ4iLXz+YeFQn6j0797XCnoNw5lVOWS0mp6WfHUlnegrXtzKu1395f2RZUzIS
AbZc/+lclV2HU7wN2szaI2fF1XZ0P2QhoFPwhw01XB+feuxeTtBw+KHUWtZyYEefiD9Wjm1/SZAy
z7ePz7g60WVYj5zUS370/YuEjpnSFI+K9XTesTV5sYSg6sEJ+w/lecAqz4VGFcFt8PdWpdYiZKcD
7eMbT2sF4C1TwWA9DbmQnDNOu4JHKXfJRYe46Bu+Ixyr9bCG7y+c1ZbMI8QRDOtLLt21zbhrJrM+
k2GyuHjQRNY19arnq3gbD+cLQtdmHfRKFJ38Xr8jveA6c70KSO3vt1e/bOip5TA+8AS7DG4BAMxf
NvRZTw2Z7pL7lLVtwFGHdOd5G6aWYVbh5+MgcAmtb9eYq/XYf//168b1h73d+vVIPwPkTwKNAC/u
zxtbPZjWmrqQUtV5aEQDuL5X7AN4k37/Vb8UmlYRJqglvouSFf8brNv6H2RWU1SqKGEp+fdnxC4N
YQFKJr5/F8Z0ThiRg2y9qUMOQvmp9fVqBHsfHH9/LD+XEATAJ6pCDoHlwWoGpqX587EkoweNm1fv
Kaa3QxKdcNb1eNdF4PuWlqXzX13nf/5CF2IVDXeAWBQX41/qimWmbeIJ7eRRGSAbn9KSGf8ynEuG
ufc3+/cn6Kxlu3/c2PUMqd0i6XTcyHVoR/zyhXAk/bTBxfv4PmJM2bIW7efAm4XAX9lF46GQyaIf
hsmbC6LDmnU8h3pgPVlY8JiP/uKIfn7SOSK2UghlaNCtxFoaRj9f85mgcexInnqszi/VxLqOd9wQ
cs24Thhqzi3I/GHmzYzJleQISIFdD6SQniJKYFTs7A9ArVoBmImhBVmpkoqP834kzimfPfaT2+nc
/JHnYfb3J/HrbeTGoV2yBR0TZxWx/XJVmXexpxhrPGVduY5My/eFkOxEMzzMVjT4fyFF/VffJ2xu
5PofhKi/XLPQsBpxI3s4vU97hkwlmCvo/UW70V2e/kelNYGkPHIiKosM3Lyq/zQceBO+1mbMi9N5
WmKRvN4NwLu8F02n1gnj9xf05/GH+mxM+8nnDUSPggL513rmNC8GSqMoL8LGgji6Des69D4FJCj8
5Sv4z1/FrYvot8N6Y5P561BHHmo9D2mQYipau1ijoDrCc+TCRvqrRuy7FOOH949aIV8VI5D53h6O
fh3XbZu+TJhn3VEvrp11e1eYtSc+2L47tH92S0NbdQvUg9oqFrJkYbe46QXckPqa2RoJTrptS0nl
58b1qT3Y93Ui0hTcCmsD0Z4Sk4OUnYmooOX0sVOqZhukC9dv1L6uhsXtt6gZAxjgWE4otd14xmm9
4B4cxTrSlQGbEe8uwS+vzC0u0jFGMjOMQe5QEymQalyw0QhzEOJWIbkV7wuU0OLHQAyclxWs0CMm
i+D7MHbeapR44BAoZLXL0L36klkGTKNrsaBtQT5Xp8Yl1+2JJVYwhCevq9bFnHVe20ikDLzttowc
UpLLrq8dfFKdjhsMOzKsEEf+veShmDbxip0XMt9XUHTWJq7voqJ1Eg/VSGWJvUUZuHsZtXxlXbKr
GK9suhVYYStTd+ynqOfjqHn2WPbCTQpm3M7ysghsay0GdKOmzgoYc92HxRj8PbXLyqGm7EoFJqTL
sCmyHubs1hradIIupDzUQ5CgVSzDaZ+qwBfqgyA5Zmk/0G9YO1qsAW03OJHOSRPhQy6pNkNKCn3a
yYcMhKVTbGuHReefM1tPEofF6vP+5Agz99GJslkiH7A1FKWLc6yzQONIBg7TbxGgo3zZNwBhiHcG
U7KQhmNbVCaQFS+wzSJ04XMy3ZRwHAjmRjwy5eym4wgRvckzuwPYU/XTW2Bjl0Vz77PgRvkfNjUU
IyovFikF55bb+1ikUK+QqIjvNWTDQVha4A6sor+vsyh8r+vEuenXSef8aGA0YDVIAm/Jlk3H6DJA
5Ws7IKxGg77C4W2I3HXxxFpj/IFBvI2eCHbCs1nnIiWfKk2nJzHnOKhmmMvH3B+9i9z2lstam/GC
Skb7GOrA3Rpy009hjtmWmvGoP+A8jy/8VBBuwduXvRVaVq+pnbc7QwApe1ES2Y9sdikpuY24jqT9
qS15HZtJBjfBlGOW9uGgbZSN7bsIDWGqwHbulqLq7T2r8h49rQ2mqeyC+ksmhydwIfJa+8RX1mPX
Y1SkBI0cIr0YWzK+CaOO4DtmChWOBGjeQaWoMon/EUvbTiSxuooWtz7MSUMXuJHC51dHRHoR1xYe
Jn7lZcR+7E0bkspQKSVfVVxWR/z/pNjPcSEOWWG3T9KnNr+pKNGQaeARnzyZJfpcWY1gKz/UH6YI
S63t9vYVuLUMZ6hleTc+ZbqD7rvmW1eEyQPFQ7LBYXnHXx1aPexnHOk8Yp/N8oOcG1J3u7p/7Eaf
ggNDwa6bzXDldRqrm6inCLZCnGTRaz668XyJAmH40rl+4eCIlcTYpjmJQpvRE9G3qBdhvbMSS1/V
MXKEne/0xYMZvZJ9Ut1ei6531DaJsvazXXQSyrlvX3eBsz6hiVh7qOk4XRmWs7ckD48wrFvrKgcG
6+5IWa2+OtNEuOeyRKR19OgKP05STd+UhaPFBTT5ueuKFppCIpEPLkvHk5tVEjSf0+phJ/EXm6tg
SMmTsKFOnWYnZCBmS7WCx8h698m7lYSiKX1w5eBei6o2cIbEi5jmLxCdkpPv8PqM3dADkVN2vkkN
tsCdmFtv74d9c5KZrz9i7GBNZtPeTjsSntFAED6Xp0JurMHzP9OZbjeeWzXHlkIBWKu6fzAkjj50
2Yz1poTN9ayyGWu1keh+lRmwSjoac23B8dFxjai58eIZqCG+iSY8+R0Jh8TbF58B/0NhT+0apHkO
l1GOzkNME+FSuhoDtQY37eeN/7mLAnNTUO8HWELBlS8lgwQzp2JHOqQ3QWS1RJM5ZfxZWyxqQP9K
1iuAG9R9gPb/wEAf4NTMl/Cid9rsHlUd2g6MqM8QqeVxHIxzLOQYfNZe8jyxT35eVL1ERyVXELWq
028zF+SIy3MY9iwD56cev2Sy0b6iY1uSCWtnq6UrLuVRsQ511hTOGIpMH795RnofCp20b+MyLt8G
HvDdGLburY+w4Ei0vLtTRvVPrC8tZN8Nnk/dlZ8WuyXrDgcHyhzKyadstn3mMsOIZBd5RD1IAHHA
/QdOomuKYykG/Yy2x+P4R/fKsRuP6Eiv+0hdTt3HxPJcOCRyP9W1Xq7TrlB7EzLksg2u81Pj2/2V
HvzpvukS/UHjEvsC5YLBwVXzePLnmpeHmtad4/XDtdHhdJlPhpDadoiaY7LCqNkeo7Ck7BFfLpZO
bpIk0w+LG2XPEaWTj2qJ+g9M+ClAZx3eLo7VozgM8kMVJ+KGDjemZRhB1S5aIJjwvOvmsKQEnpeU
4O9T00pF9EBlH/RUqI+yHyBiJ2JZbjTmoGtkhdiCrLr9kBL4QrpxWpu9F5bRhUPPb0tUuH8XjalH
ZV5bX63ERbB1Mwt/yWPsAIa1LtRAStrRTSm8Mez3dqvLCpNTLJObyZLpPVWW6kT2afNS9fozP5NS
6M2dl65mBVMMYXEyRK4FGyGd/Aq+vPsJKPswbatssm+R+gzoz8dRHTO38vxtDNL22k9aHWH3r5sY
7Fckd/RxfVjT9Lt3UbwQyFssfTxuashpp9ai30/skgq51uBven2jYDJWB8doZ7psfFXfAZC0HkKQ
ZNDJjM4gFMRSPxZQ0YkXrdo5u67Jtch3lgZwfyQNwrGOIbDa5XGO8IVnx3XpYe9iZdqqLblqLXlN
VyV7cjItHcgdHVGusPBvqZYQL+cNTvphgk8zb1u7Cm5WHLazmxyWiNc9G/H+heh2+O2MI1r2AiSe
DagsTS7GPgivhGtswnkXb06go81G2fFw5TLY2ZeRT0fgCJu80btsxD3yFFtkV6LASSsM99pK0qrc
Wn5snnIP1QwYcCz17exYy3FiowlrOFSufTPFBah4V1PHvyVeYpl2yFmXXUtl66rAErANnLC8IkXd
dASLzqSZLfAC68Y29Y46TV2uKi3pivqu7/0CACq2+6DC2gBlhvchor25HZzZxfvkDFV2Q4JWgZ2n
ocy7XXoDJt6rZxo/4VCUF03uCyJ1aBTeljll0l1hVsRH6jsRhiM7CymJFdqBsqGxuMlBgFRwJ7rf
Qe/2J0vEJtzWRQJLI/RLj1IcNbsXR1r66xizNPG0nN1j2yaOB38yc9fEg8Bk8LLozSNFm+D5Bo+z
5UOA2KohmnP47DQ2+EBrW7nJvzAIqQiilKwkYHTlmHhf1qED50cCjhPi1oEYOzzTzK0TuEOR/zkd
x0/LkqXPaSY/kTchMImpqX6a0HbskyjRR4jFCsLzEGjaX+FyDbW3OmkPZCAcqHgrFRCGTYioWm7q
WtRPuqmCndbEuw1R7jO+jkTC92myHMK2oo2XmuSWDmNkb8mVnbCpMdn493GXeU8hAiK9y0dqPTwP
PDDwufLpqwO/70Eq0Kn7LgzTG2IGQC7g70n3g0nH5JKqcUreUW3iy7olFcNtVHUAVy+empJ46bjH
HVYSOnbrlsa/diVNyzbtaF7HbIt2rpuMn5shHI6LcYHq2iGTMKbJUXV76QTtCf3ghHRRk0sQA+ow
pFGmxdYPulFuYqdOUHwjiMQfRWqU2c8UuZ+WROdfE/regD/pr+00L+W0WeZSn5jlmfxzbGm7vGB9
wSEkj8w6hDqANMftL7OXIk+dT1TezAHRTnxsbYK4QxkW91Zh6+1YB9mr3dTPVYESLGXjdgjdpPgI
VatvN8Jr248e+RZXg+uBG060Ib06pzh6lUiXk05tKtw5fEQ2u94dxPLhapyc/EuZeeGnEsb/a+l4
081I53YnyCK+9CgZv1B8h0/KmAaKwitsdRskCQg3OvvT+hD6X3xQkTCwG1h0MI3d7q0FiZPvqwAi
G55TtiyXjWjydttp8g3oNS2QDVU4AQvyKsYRQgbyQtxWsnPfMpCG5catOAbyrMIsgpdcq5UxyzMB
2kpc1sFASmCfIeQEV8T0fUX2R/+HZNeWbUuJKf4TEy8oo9iKyH+1+jLYwZuEb62E+7zqBg4OacNk
+s2WvBPCgDonDofpgZ0noKUENVSbCO+G1p2+ljOikg0BOq6+Md0g30q3N8C5KTOSpUxMyRcwDLwr
vJTs0wZJFfPrSNdqxYCO474pRu+KIjU2ryk3C4t5ZKPffCSkyaEOs/7an9m/YRMTSb+rSFMRe0vV
KPTtZRQvfVdVH0M5mm3Zed0OBLmyT8MUOk9016IYVRBruE3QT1l1nFhUXTH6NdPeqAzrpzIxS09U
HFZ78rLJscCcrEo8DHRkPGsJ7XNVpPAQbf2szgq/HA/pGNBKqcttUbJIg23GNha33axylzW11yTL
a9MNTXnnts6EpxrEecmQFgftIrfaGVIC0yB7QH+5CwYPbGjpqNz7XCEbteAcwbspkgMNs9LYt6R/
BiB22G0bn3zKJauhuYVMuAICC/2rCIAr3gt/3jXAZ+vyeo4S17O3HVQ4R4JSpzoE+RdTBlG3RBCo
/DUFf9Su6TW2po2CG8cj7Gg0qg36Q8parbkcssGq/+xUZ0axz9A/1c1eKHptT4nt0ns5SoRSfbPT
M6m+xX0xkDQnXnwLuRTJFANJRHRvjOb0v9VWHNpcx65o5l0sMyNeBV2m7OlcrLXk2nDoq3gtjbpO
YuR1HGPVoeXKOE79gvdwCb+mfmKb4IiueuF9U04X5x8HSeoKCJ6IQhcs3jIppoApguG4fxkyCgrR
Tc+C0pzsAtwQvve0G0A/LnS3uFtMeYRrvGERBOm/g9Q/zM21N3B6ZBa1qCwgZ4vOq5MnrxcyD/YB
QtUcmOhArFOLDinvWeOwd0jVQcpojemwiIkpUSHdEhQ5s3SXMSPminnBaOkfif6o5xn+tD9SSSX7
jtUIiXL7tDF+XuE+RnEDhkQ3bXSzsPSL9sDeg4Qu2JhgqN04vor9fTgvnn+k71e/yGioni3UNf3G
bTGfbXwSX5Y9apP6q92UrLLwqmQaRlLQxYR2aXQqZrO4iubjEgzzd0/MVQwg8V6gjr2gDpzftIR3
E0ITDDCR5rneS69GrDXGNIKlVT0VsZnCS8USLsRcLEleNs1UNkfdAy3rTSShTCKhLr/KxU4IqtZ+
DcGMeXTY9d4yP3a5NRkWCBYBOGHPDjEppBBHHfg9Vus6Mm/WkpiZOPt0Us4j0e8geKe8ab5o2OlE
chUjW4NmIRppY+vCyfYsJ3RH+i94s6+pBQQGM6TVYhRfyiw94NMaE3A4gxMhznFV3GCK9dsWzoLd
XRCyFH4kbMAHbhSSV0Cq4+LmJDDP4dydaky/w861xdC/In1ANrEBygfMEU2HGlkgOS66Iopbp5Sd
d73xyYc2t4aGm9nAyg73YRlUV1ZKBEyH8BorFNo6WSPdcOHR7aJGxLSkrD6D7E/EPLjzFJwz2roL
JSvicwcKZm/kV2mejSR+GCy75TwXeQgcae5nbvbOJ8EK6iXaim8W4iWKh4VMb+Agud0nNpdT9hAW
NebnDh0TYO9MBlfaD0FwM0R689Eb/eKxnbzkFplkSvCzw5WPpsUgV0sGKiML5ljo//b0HBkx3E9Q
lzkFbGx0hwEZMpqGAD9NKeJHh/JhuIvhJ16SY+rnuwltzB+T5+MjJFzJv2j8okCeqMUTMTntAS6f
/RroztnEITrEDLQzCv1umVeW/nwCPU66pjt0WLkhsSOQj6EIjJfpGj2NVHxBDkr+j+FwSb1GGsFu
eCubcHYPdIjos0I+yLtdOnojQ6+F3wFSqAyRF3ppp1gUNHN36w1yuEldZ4TML1IZHhBCyA8TMW+o
jvuGs0QNEH7ydQYekwA7/05Z64q3gy8CDM2aZxBOZRIjRylVnu2Y0AuUV5RL7peaCsBmCaQMyKxC
YLfziD/bL8rwM6lATodspJYQHuSfU5c1ezfpzHbqxfwxZLQYr03faLmr1Bg9dgLbLV8nhGJDkFMF
qt321qsS9zrKqjJEJpTM9UY7SXxtWZn7Nld5eWUs2d2j1SPcO4/cz3jYhoY+QwjlGeRtAcYApPi8
G6YZ+Giloz7ZQwWMKsZf7VXXheOCp+2DSbxY5LebE5WrkmwDv63nTSVr52Meo3jY1AgxTi0KE3sf
TmuSJ+EuuBoUPMMa4lKRfSiF0RMZe8zPkPHIqvX0mhdPZ+pu8ibK0J7bJicYCt6rQmWRbuBOffS6
un3Vfdtusryh9oiiEqFUOvLIV/ojGXtg8srOWFuLlcetHjDjddRdPjXpYF1qIBHVTudleNcDqLvq
oSVu2ZGXN9QFQqJt7eiFijGpt2mTBm/SXby98e3ucdSze1l2LVD8Yoygt86NXSOd+Y7Q7broguT0
JtgRt8rCqc5jc2wEoOBH3LL5TlPc2mkedX+rPDHsWb4QhD23GdrAyXnNktm8EisLua8bbAx8AoxU
VCV/Iiu2d6T89M8kHqqj4yfOW4sC/dXmRwSQLS4ckv9XPDfRraHJf5Rjz1sXDZ8RKPf3ciBgDiBs
azu8BwtZidDmeRr8lRu5aKJXo87bRSHiFH76ZlKu/qOg2AGtgo2KavMGnFbmtC9WVPlPReaR2uVT
1b+U5F3SCkNpWXrel3mg+q/3paQepN+YoMp63NEDx8X0yo62reWj9rvWF3d9kSlG+S6KVm2SXoF/
iATMXNSKXgMNx/bOn5HSzMfJxavh7rzWNhBn7SGri+USIffcPye5mcQXsrXa8oLgj7onMtzXdm/t
olH4k2bwKlGz0NOi31TETk7OHMI7Z2HZGNnA23QZaNtcDrOhirkJXCMOvk8C5KegaXoGFSXLCsLp
FIrMFjvWeegUdtYcpKDclY/GCjkyy3hUVTNeaF4aZOw+nJ0xk+03W1kz0Z40NBHq7Ts5zQSmw2RP
S9RCUChWETnPoKINkgLisNXD6EU9W5jcM4HWL200ASbY0YiN2PdhGcpNcSqKthvaHbiMKHD2tvSG
Tr2RCT9CMuS3yJyUhtZnSbZZZMbIcJFgkyviLRXr9Uz8AGJfdcxSM4bqj8FKF1ds8iQq+Te08GFg
rq2+Y8N8Tdgo8YRbY8cRmNXfNx1/sb7R/MNAHePYpMmJTA/hw8+t6MZmz1EYGX+xC1wk711vNygF
7Sft1SlqzykaG5gUta/hyYW6woi0ISWJWbj3GhM+F98bXb8/rp+7vRxWSJ8eB2dM/xUV+K8JqLmY
sSalefi1bOXqbarPwo+6jCseRKulXfYX7defe/LrN2Lj5mqsDlZavisq4EdNBkXDCCpf2nyrz984
nlU1nmg0rfkuzPwBEdxoGwvLR17QrDzfiv+I3AC0/fS5/tb9CmH4Cdzwoa35728/8m8JEP8P0hxC
l7a+8IJVnrEa1X0fucy/x839r8f90/7xZb/73//1x7eu/6ab/3rCpkR3/xsE4X6+/Po///0vf+UZ
/OCJv+GpoxMd05ZeW9I4ps7cB/4lFPSj6PbzGuAF5VV45z54HnFrvF7rXsbF/hLyuNJ37rP/+W/P
hUzneyv6AZUYLiT/P8HPnWE7/2iW/8sD//ExZOmA6hwTPnEejIMrQztli7DPESJfwOEjcHYas2Mr
xluyXR4Kf3xJCJQfUueyE35xBUIGQPjQHKFwngaKhaFX7oa4O5Wqqz5BZE7YsPrFpp6DhKD61D2O
JviDyA/Ct6qivSJVzUGROvt3QCvzfZEvACHTj76VNYd5iaYbwFCsnxhg7ap+nCT5yGC9kwc2tXRo
xtbHEkuiTNw71ClhQ0xxnFEzi4E1wNTR6lG7GaQn41BnYEl8nCdSS6rQMQi3i0NLlKhuhtuujnxs
oM0fZZHJez8HZy6iHhBcrj+0vvc5Q6XZ1MEjJUpiUCghsXukTFJkp9Yjnq7NX/o4f0Bhjh/Ghtbm
HuF/L/ua2NQbMUaUnIRHQbuQy1a4xbDTYUzLd6Bn3NloVes/8fMkW51Sy/GNewMB/mZebLPz6K0w
FMGpmWz7Gy2jz10CGiNbV7eRZfHvFuA3o1EV9RM46S66rCRrC6AY6Q3tS7N3RpivXXntSXAzSRM/
lUl12cbR3eCmy7HuW/NNd+pPYIcgctZWL2E4l70DFblMt1MTfZYJEQdls0lcYsm2hSrqDbaN/ZSE
dyuTfJj1gkho6LcUEduNG2p5FyztIR0q2195y+HOy2zINxAyukt3tlkdass/NbqEOmoX+uhzCYln
9/WePfxF2znh0+S8hQ0lbLbp+dWcZ09Z6pKtS9WVsmxPTLXhHg/tUvyR58szxqYjchyu8hCgNm1M
ez9nfnvT64mFNh2izWhN1tXSdB+7LouPLEk3UVh9GVnBH3o2oH3mJntfjOFVJKCoa0oP150z34SW
3Ryt0Tx3vZy3TsnCe+vSgzEuaojC3ki3uojD+q4sug+Js+wZLXaFTfyn/hMnxCEngqmgvY38lS3W
AJi9yfZYZujMyMs2ZQkyf6JosikHtWutYNvNzUPfOLQJac7X8lqlLtjwjyO9c4r4mENrcAJEENJN
xS20U4Xg5YjvTVQdQ31vZ4b91lURE8B6KgeyvqA9B96Ln4vbxuTUolkSW5Zzx3wE4HdK93aot804
HvXz9+HxP5pX/n+aD76Pif9+/P/QNquU6x+D/ffPv1N9nND7W7gattHUCdYP/6D6WJDz/gaVgUEc
mVWAugt56fvwbjkkbX5fbbgOOJk1iPP/ju+gqP/mBJ74IRHlPxngnV+kVyEUfU8wTYjVlIsKa12G
/CD9DEuKwlluxLOJ2hiRQdtdAnG3dk0RpI+CsIoLt7SbD4x5Hdh9sq4vfGKWiFC29FbZo94N/cKm
K3P0sv9hGr0/zzE/EnXWld4/Zh44SFiemd2ADVCwc5DB/nxkNVxq4iIs1vKUoXZJP+LtA4d3jyeq
PDBGVOf1zr/Hbf6r7+N2uCAd8aH8KoKElD6NC5Tl57Rrhn01SdqKBQWG35/Vr+rP76cFzQm7MBM4
kWK/XPAskaWTNNn4LMOy3KPyIayOCoF1TFCfPEYEiG8zGmk3Ncv6XR9249YivP3+90fxs+CXk4uc
cI2ysYl6pVa/rh9+vOt5CXA+iSM2bcKaLzrXtV5nNdNZJj78j5l9Eq27ergnG8Z+0OiFdr//+n++
CCzwwV2h0gQuBfrul++3fNEtgFfMC93/aZu0+Fto20T3nt07p1aE4w7UgHvtUUI+FcZ/HYir+Isb
8U8PfsQ6zyEAF3pvyLrrl/V105fW0lVp/6JpUG3j2iVlTId/RaBZT+Snh3j9Ft7fEFc0b9h3qMEP
r5fB5aiczPQvKiCL1SVNDBnEQMmSttVfnJDzsxl4vaks+jwwVJyMuxLBfr6pi6TN1LI1fpmdTuy6
oi9PILi8S7uM4qvRFWwxWwyDr3FvvQaTDo5VY/UXEC/yP0gIhWeRe1Vw9fs7/fMu5nxM7JgdFCUk
gLtiPeYfzt8PaVdB1v8/1J1Zb9xKlq1/EQucggNwcR/InFOjLadsvxCWZHOegwySv74/uqoBS/a1
bnX3SwP1UAfHx5lJBhk79l7rW+riWNrXAfDgtouqQzaJ+4lQ3yRtrHc80b9fcJ9nWKzBxsBviCl+
/YGmt9iMVwoGalMmtwOHzU1sKpe0l9R9ZxX/9lEgG1Ea2yAjwTTDGHr9UbIVcy+KerwUA4VHSS43
rZ0xoRfE8f3vl3G1GrxaRnwU1NsVmYBKkYPx64+qkOo0SaSGy6BV5W5yfe1EmY3LhIL8Q43FlZKO
Rq1Wl9b275/8px+5So4dRLPA5Nw3JohMDklj5910KTmqHAw5aBunr4udLebknY/67YXPjxS64woX
AxdnmjfXEwF1lfqLOV0QOF65ff7ZGGMs4W5qBcxjnv7+u35bmHyYYzM3N4GMAho1X19RtzFd4uSj
4ZLTbMBo4roVBbvbH8jbba6WVCvPyO7rd5bMHz7VEKiqfd697DHmm/tIjy+fKzfRL0teRk9ECz5b
aZfurdTUDkgQrI07a9aPv//S9bK9WTvYKbiuHgC/1Xrw+pfyLexx9Fv9MsbxiBGYHIiFv+Dwb38K
rBMi2jhx0rvw38jhiePzPSFx9znU0NtEMFbyMLHt/v4pP9s/b34M103ovFaRx1C5vP4xEbK8sRGj
c8ka77pkWkgiQ6hLJpXpcMWsw7C+SBcZZXZIistEGmOmz4dJrl5/yofp8vev84eHY60UBA8lpRw1
3Otv01oJU626dC4eqSc9c/ilnjYEiP5XfjXaf7ZKQNNQU978akTcahln6VyShNzJo8IifU6vvY/M
/6x7LoJ5bJ8ZfcQvZGJG/jvvnj/9yF8//M2TUkM18cuudy6VD1j1ynU5YL7Drv79I7CdG2wTK3uW
zevNR5A/Wumo2eUjvKpijyG0JIKCo3RWYD/4+y37/WlgkfLgU1cahLu+tRpoCv0zkgz/AvBYbXNz
jbRp6+ada/YTF/x6nZruCoJZVwYVvG29XhmGm3VY0nX/4nkjcZtJUcvvsSqqiJGlm9WbqDb7DrLz
0p4UNKl9Q9jWD3LSdRnE5CS7Yd3a9hcdRXsRGJGT5BwB7eqlFBUHxEoaSxlEdtJy3GPIKfeJKOCw
Ly24iNCz5Hy2m3a86wanmmFIE0s9M3nZqEGriRxPW9ZKb0OLCSyQRj+8Oi3fe9H94TLTJqXIhEgJ
r+fnseOXfV8YkCUWS7mXqi9gY5eMhTuM2+/sGL+VsT5mU66wwfSWgtp/81xUlm52ptf7lzni3ZlH
a0R4hI/VPJl+qo5Ja8/yaiAiG+RDnrdooovyHeucw418faOJL8AQukL9DBua7usbTfyc20+pFiMo
Nv3jNDGaNXXsvRoY0G2e5P/2KcV3eLlSu2MIYnj8k872y4WtbVS3Rifzi97F+cZdbD10yjx/Z5/6
/cLyKfz1+A9116LJ+PpXmRNSiszEUZuwU8fQ5Buxy+Y2OuRqFHdVPHYEqlbR0SJePJhjcr7+/pT+
8fPXYymWNI7Ab6cAHYqUYnGr/ALYMb1p5PhFayvznNYUOQ6aEFwUkwsbvNY+t4kRv/P0vhlC8EZf
L7JAYUg71mdc8ubnT4XytCRxskuR2LTWtD3ba3demQrbyZqbhyyJGd3OUXY1WNQNTrsUB1o19jtr
6/eHCFWjCSwRMhImk5/5EL/cazNqbNFo3AXD9Zb9RMMowKHU7/9+rf/4KRjn1n4x7yv/zQpWS+y3
rcuKqltZkp0zTaeG4cs7drk/fgrv25W8CMf454nwl98C3NqthJfnF0dqDBpV0myy0u3fuXPmnz6G
pjnaCh1IIc/J64WL8lZGI33Dy6zlHsFTdX+tic4I+rgXJCiWd0vSrOGMs+0/1mAJr4vSLz85pdKf
deJAw3rNZkeC9cN1p/GHi2MKuJoCSR9oSzX/MHLN3NuTteCikMCVmJSLr8izjDCC/9AEf78zf3gK
KEzFmq+A8YiS8fWPQci+DkiH7FIubbEfMFaEU0SzpScxNBhmNGUakvmyMu+bEa7y3z/8DVH450Pg
CZBTNoUjd+3t0Y3Y+yJtOHdfKnr3W67dCjVvjCN2WbnLGyPbz9bkHlQ76LtWKHEDcGgm8lNPd3Ee
Jf+FZ0EQZeiwnZrCfnstIAcYviqr7OKjczv2WIR2KrGrd56F39/mbCfUBj8/hxbbm1oZatTUyXFJ
L4wW6IfnU7JL/bg8pmW5HJdaTO983h8usrvuG3SbGPHxjL8pm/FAdyzXrr/4avzSINAFRGmKQBnO
fFwmy/lsyPHzaBMyO9YqOxqDji9SH/uz1dX5O7vpb10Z+jAr/Z8yEzM1vrY3vz5JS5x8GMMuMZi7
NgAH3J84KJXbGPnwnlXfP3LhyMaN7TKGrxhfkhTt8jvr7u0jvH4L9nJBA4OzEo/y61UP45HQUMuV
a8sAg0vRykfK0/io9HrYKn1AVlPF2t7uSkZAIi8QE1jzQ6SZ3yu/vCMZ9MMM0OCdhpm7Fmy/7PPs
BWt/ZQXH0mCh3nhb0NWK8YIXjZ9ddvureGiyz07fSxKMcSSbQed6wFl6BElQ/tQsrolybT877WzL
wCC4FFFYYSGXALz/NTGk3nPiLMQ1MSUWOSRq7O2gdNaW/BKPxkNp4ykkXSCpbwkJK2qil30dVJQ/
IPQCcf7Q+rVBHKQlirte9cY97bYyo3+T2g9m31gToB0scWFXx+3XOC2S55od9aFAvW0F7YIXBkln
4uNCbBZyakwRtR8Ij62+4ig0LrPnA4cTQ43oybbIdwZBlSXfTF0SI+MluX+uJ6e67sj7fh4hcrMr
CbN+spa5foB3Zr1I+LSE3Oal+WSNXgrox5nsJ8OPW6SDuiR7sRIx85FGp5hdWEtXqCGT54ZhSYm1
j+IcAcwyriyu7kHra+RtZdb4DMeSRUvCGg/BF/TZ0T+PBv8zg4lXE+//bYlpa7/o/z3B2A/fXr4X
GPu+/zrGWP+b/8wmIE0dDAa9MsS2LjUR9dA/Z9SaY/yDUHSTXq5OiQIUi6f5PzPSnH9wTqckxmMH
SOTnZPtfQ2rmG8y6KbN4j6ywB45H//f/vGrU92/++S+DAsp+DhmAEGl98kG+9WbPdxqwtTN02M1U
GsSpYq2sbYmCcOqnIDHfgyX8FF788ib4+XG8l3y6x7AvKFJfv586u6JfjUB90wGeRJbNJHjLm119
jTGxnxbVtypIvcyYsIi4yUs9zE11aDrLoBG7SD1wDIjSQeoO5pfOLIpDWkXahwwjDZANGKXLKprq
oP+9tFlWhbXf2WQ1YvrYa8SMH0HhdHs3FvoOITuTOuhzJ6YW1akoTPMhEaTYhJP0ASSPpgymUj9q
fZ9zHsqrsGq1vUrG+sZ2I+1mTqcGJlWqFc/lMjd+MEdjfq+Sn8Gc/pjd/7Km7v55gX69Sz9ptW+v
G/Usqwfq1Np4e33dNCoro1q4btD7pif0S4u3GbVePPd6Z4VmC08zcBAf1cjmtK/8PzvemXaBi1Fj
StAjTk10OiyZRW756mdAH5tVG7/HP5vhSyPhPU2RABUp7uqlIsjFEW2OAjwbhxK+5GhsjdoxXvpx
zIBV0RnGMgC5EK2saANZOYdJl6LEapN5Z0Khm4OaLe2qHstht7jL+jdZPdKtpXsYnSqW6BY6QlVT
vXuv8HpT9q0LbB2NUMMCk7WMtyO5ZekKfDGkqUHY9IJxLIxAeDEpkVpMNyGYjay5Em2v7Q2SkaQx
IOga4q1MSn11zJrnypimjxKJ/x6JKXrIHq2DnusXLS/jfdlPxXt1w3rMfnNnkSlRKlKi0nq33pwg
ithVTW4WEs4nKV18afxrk/857bDHuIx6QCONKdpk8uIIbZC7cvHFvsi78fqdJfan70FiA/XbWlD5
b1aYLMRCPR7LzSKltRUaTYfK6N9r+7+t2db7w9/PodTn2aYd96brkGWYwIo8W3OF6E8jr53QQnbG
pojtPuylNR04ADlbQaUFyjCOTnmfYTWrSZ43iujd7K43NStfx9KxwIN7ZmJqwSt6/VwB6qpcs65x
rgAFuzLrojnGFrHp6DUU5UmiynudaA3EJKVsvmXmgqhGmGdGatWta0qUkB4dy4y/HSH0WEXXaujI
zf77rVlLx9dLxDJtYTJnpvdGy/lNaTnJ1jU78MQEPmLmLfwUe2t1Qh+snwbvVi7S/Oei/Lc289v/
v0Sh/9VbO/quv2ztu+5b9fxqW1///D+3df8fnO6oaB2KbU6YP/fNf+3q4h+8dZho8RRxDqQzS7X7
r11dUAt4zGmo0tdJhrMih/+1q9trGhFvdqjEvLU46zv/jV395ySBosEhN4M2F8X362WdtzDq4Fyw
XybtlB8mquiLjVXgVHVlf5XnnITeWaNvHiTWJb1KWtAmTUXy2Pw3a1QvtUb2dT9iGOiq0EoEW9Gi
lKGH9dR1zU6Y6fLOpvhWfrF+pvAMG86Yv/7v57Hjl7ZI3YqUlKR8CCYHdkeQjTOCox6sH2hpc3HD
CV8BCctOlNFrKOLPg00fmI6b/WMF2D+pBrh9GFvW9OhLS3m7XxbLH/bsN08t346UB9ooHLgRGdKf
f30PrBrFlIyttY8yL5xTwGBDiV9651YYtUbtTqNsQ0jg+82H9Tj1y/uCxcMpi4knCZuoP35r06eD
42YJQfQIpsVP/61n7ePCWjg71MmgH9NaJ8Axdczudoibzji36eC3YWHTG0Eo1zrI/TAkFTC2cvle
CWiI378dAaSGjSDY5PX7tpSxJ2wMUKUBPEc1DVCN0IS7zqbcxBKfpQHR9ik+gU7zgIY43ezsTTep
f9QeB8swL7X+6yBkeg/XK9eu0bDFGrZpjR7T3+8eoaivSwlkDZRZOq3iVV+0zgDftBdKwjU4y3Ex
MhGJYxrjNuTXZAS2Q/h2yYapiwzPF4C+SxIr+6mtsrgL7MKVt51XFVdzFosvjkzsNKC33t9rsHXC
bC5gwWDFbJ1jO8bis5VqbbJp0oToy34Uxreh82cZZmosqMrQtu/bGJvNZvI0udwpgrGne9tPjacl
qqG0N2Y0wHppBiyLd0u2RgOtqhjrPvPLxdxanbRSYCK1l5mBmSY1vicZw5XZFYaxZHcJHJhpH7sV
p9oIbyI6Dl5uSBVXD7386HbwBrhRk/fkaoO+GjtarT8OhSZ34yzKai/HJqPZI7V1cGi4jYLXyprT
Fll3RzyPvXk7sy/SkHFcpix6LbXV8oKnNXRcqsAtrv7pG7W+U1J4+jwMTmLY6RU8nAXk7YLMhxcO
f+PSzMx3MLhhxSQv3bzv+jneAG0W5BC6fXqNL87urqu0r+HDQpfliD8VJtmkuROrMAYbSgBKZ3Mp
Zb1ELdLBSaLKWswaPwlsMPSrmk7mmiOiFOL7wh+MwRGERdF0A+CMuD01GJDtnVyAAj1AwOnPuEaI
TlV5ks23A+2hLDDqtqDlbPckLtKBfCnmxVWB6KwE/tEwTWHpL+6TPndo3l2iiSEZ28V059hEIBxI
aQaNPcqpDArMRNjtPOJieGo9/RmybA5ohOjnay9GUevMDfVpicsKnqSovE2PhTGEOUqa7AS15Ggv
WswaNAc9VED4iYHPhuQeWp73ktZKacGcOqv5tnKCvjSMe+GbknjKLFdr1wUewMNgjzVuFqtO/B0A
CWTMftXeiXjCs9qasnrUoPVhhbAS52Mjmno6Cm30oEeVsbr3cixOWFvj3AgIf0/FtupG/KOiaTiM
SeNkFd43HCQgZRxglt8WUpLN58aJul2v59nLnOG5CjQn51XVWfNkbAVY2S122OE8L85ZNXJ5MYpB
D9pB9qsKYHwWtZld403UH1ypl0tIlcsMb1wmeZCqs25kJEpsbEP/KLrB2sATjSGuGiVkDDtByivr
nZAjv3+ezJkb74Fg7pO2DHKtHnd+jkcmqITN2rUbfGpTKfH99V7Ge5xG0vOCTharWxqZj0aVoPg2
iKm1wnrMugNak4FETPaJHc6F746Mswcts/0frYYUJkRhbPhhz4jtoW44BgaccdKT0eGymnPP3diV
1WzF0jcfMxvLSdDKKnvMaz3fpB3gkS3OIjKoDW63GTQzNnqA6b4Iyr7n/bXg0j258yA+2hBan9Jp
rm67Cae/QwBxEA8VttJU1leQOh0taHRRnxth8lapEV6BI5DU6zvOi6Lb4dRvdnNrkB0DGPq6xT+4
HYwGZFBVR8lJYRa3Arhk+Q9yd9Nwiaw8C4m9XSHbSsvvpg6g9H5yQSH1API+6HmThkbm2eccZkw4
ZZDwr2epDf4ZRiohnhzgRlzWExJeU1/tmGnvo9xl5yJv7JY0RJddTUr1GWskizVyYusa/o+7w3Ac
33lA2Pc4xTn7EofSb0chzfs8XuAV9b11cHEThmQ/iwtkszoN0zlFzpLU2rLzO3M0gtQ0693QZt6B
qZWbE3JlI5rGhbzX20LIqzou7KNV6dB8k5rYK7JJkHoX1fCRnb948pzUwszbjbuynKLontGzSja0
zuEMtbiBP5QcxLqDtgzD/Ww5CWqMNHLOYvS9/DzKVdI8T8udVk1gC3SVkmmsM6SOE8AgrOLlK4ZK
ewiq2nZ2C6EN7D4xdKP7fAD6cF+y0hs4Ov7iH9iQteg48iiUG9XTmW9ZsTzbuX3Tuzjn/XWgP5q6
2mQQ80OTxN4N7YX+NBXiDjvekTHbQx155lU+zvNOaXJv5iYsIuO5LJYPje5/740GJ6q/dXJckHF8
2y1qBwDnDhWqfRQI4W+hcMKpIgIBJ+iApEQkxseica6lwdijT1H/Mzw8TSUOX5FbZdi6kHrsSNF8
4Gn+FCl/2rVoW3YQ2rLDOPcGJjjTOrLTuRstTrPvUYMtGUBZu2cNutvcUfJptNvpTOIGlkOdFb7t
PK4jATvtpYaapG+IEjgk8Br7nd5Bh4VRAXz8hMdgIJcdQM95yAy8Fx0sLHrCJt5cOx++kQG0M6ZK
T6+ZIA9qY2iJvnNTbLrQBkxIFd80MQ1D6EUedOw0jomw9ZP4mMJMotSC9S4OURTr3jUAWeFtYbv1
D7XOS9XMGoMrnAMYXNoh+lC11rIBSI1Vg0XYhOh9I4gSVW9S60pxNbYrvkSmU7+n1FCh32GJDK1U
TTdE62KQ9fxBdVeMXqdtOupgEOChZPgH2xUigvpgPBgeBhP0wZTvs2U3CCjQ5SThPLkzaXNyWT5k
Edec1yDzmJXFAG9pcJEqmWWShEur0zDKitgcd7Q6nU88s+0VhM1ZEfrmIRLpRpyb+B6bu4UX0C6z
tLnajn1cvNCasdZr5G6xn0JJshp67QHGyOzBpbYn5EKVPZHKVumYe09p9r2rpVFYZH7+ozFi7VM7
kJOxzYu0OvaQ9OLtguAuzF2mo36cm58mx/I+J3jEh1Nb++RPZvhu6qNMLRQc7TirfaLXLbrssdpM
IxHOVdp2t2hqqwQaVlbceiQHfRlMLJZQe7sTbArvfuRfXzOnfcR0zJQnt83r2irii4kDhsg2UxpA
5NnK0af7hzgqjB9Zb7mf4qHrt10dDc9cWfFFGpF+5saxYvh5EVHnnUnAUEoC6yOyGkw3zoQ7dtaG
YgOq6Gky62m7cJYLc9zTCI9zmnV5U04oJ12qgMLWLHWAcGF8bXIMNl6X+yejrbH1eCPfM4cVV+1y
G/9+t1LXlzqZuN+MrJ2yH/dDq/KNgqtI5E+TPmYuld/SON5JL+PWCN1m4k4OvjXvbE0MFFdGDojF
QUwVZ+OpjDoniIDFB5Gu3KdZHxh3EB+xHaLhGAFh39uQt8SWd5e6qQ3rTGJN/WEohFrCObbGI6IE
3J9a490pIY2HPBHVuYSOdzO7zXw3NyXDoKWo/F2+ikMi2DcBLp6jNo85RkfiYHpfTfc+u8YeMZgW
bQFZLbeJVUErINEL9LPFiYgzY/tSmWgkS2M0zl2n9Z8szuqHbLZbGH0yuTZVHd+1en6Os/7WXaLq
qpkHnLIcAE6xqx2rrMs/O1GtvoloqD8NFDv7onDuCRjfU8QxF0qQGQDnaHHCjMVVN4g+bPSyR+fv
mDujNYbrRSvB5C1mxoZWqF1dlGJXdL5EcUdjNG/L5sHClRTWnlXs52puQkBn9L2Bo+7V3FxBmwId
FMvhxidkKFROmZzRZOJpbD0vMKypv7XyPDoqh/alhc/8PPeNPCFy1h4ouYxNJyrtPAJPJuWW2819
b7tsA5XF3aB2Mi9zzNDcs5rlrKpKbapBPCVNUlKHDO0WkOuI/yod9/D0v7d2V/s7vLLlNkV8em61
NaAoAf9aJbN5q5VMtgjyqa5BvzgTO1TqbokVpZqeNSZyQ6523sqZmRsXXyxd10PuariCtWE+k1bX
PyRL/gO2ZP9SKj8HKzD5ONPN2AtcwodwnsHMbOIM6RsOZcr9pPI3TlVfETT5Mkd1tKP2rs42xile
zMBopNVaX3O802FMaD3vnb6/cSccskDJwAYQAxwmVoa+rKLyiIjnCEYn4xan+b638+V+IBTvAXJm
dpjImdyRSJGsQ7nWvwZaBth16JYQ/B3rwCLYQee9++xTGX7HbAsWZDTYZyLCEco+0q7pG+b7ube9
Tz5cUhVKWaizVjTDNhmLi4e6JMC8i1ytIA9j9HGPGzXpMSC+TxKj2QjsYp11o/UlV7GFcgDPFQhF
h0+Zqljfpu20XEWNY+yUjD9yTxjqWKm1iZKo3w2+uniRqEB9TcVxmvW73sZpZWls0kZdzTtSLPbJ
nFZbgCslQVVkSW5Gh2wieu+8Xsp53FUq5XWUc4wx2Fse0jS1Dhql1NGjvuBAV1nPxKGgSBzUB4tg
yJm9wE8e9VS7Izxk2Wmm993BA3DibhtbwGzl0U/TPdCVedu18gZ3tTrzLuDoprTyI/XacshtWYSJ
abKXTumVOYh5DioM+mUY+e6w9QG77UetBpbls72T5CAOtL6iHcXxl9JVyZ5ZnfVYZq5/3c4jlVWN
i1FUy7Bz1cB7JPefet/7aI6NETYRtIamMYbQMIp655jzQeMBYtBqW1dT7mUvVVGoRwXaD7V1PE1H
T3WBNS/VHQBenBmKoMeP0dw0uxFgx4AAC3AilU90AC74GeDJsiPyY+AwJgZEqHFcbtuxKcIFxvtw
JEBoYrg9QFIIcjlyC9slqQOcATxILUeEwIspPvSiekK694j8yHtpZ5md+Q/LW5fhhXOMiDa5tuMm
q4Kk6+zP8VDbJ2esxxutEPO3nFjWO2U02B4jNbcHXYhvdqM7mA5B612PWK2+Fbbe3DmZnp1am7gz
aDbWnd2XNixmjhfwufR7DpTihOG92jfV0JyQbTQlxMTEOFZdMZw0UEHXMu2m+zopups29flHuFsB
1GTroywnjdaGrb7CrDKeSgWRRtfk0O0FiBsX2kQ+HxjCAcHo6XgdheOSqgJaJ+ytVm1byrpPjbvo
LxFJHVsf+tyLxQrfK+FNu86tFRqmxCjOdPtBDGpDs58KDkFbP8phjzKdMeQGDbhPuvc0wQnt+tL6
hERTDdsI3cquXSSKp6UwUkDeuvjO5A1T5hC17T3R1tnFWvikTdaMw33kajPAVvS3RZ53z6QF+oec
gN/Pda3qU1yJFy0tqpM9+32oEVf6QNn+kZSM9AqXglwCx1ruFZaCx8ShlAX+MRww+ydPue3l3xvm
k/QFHMqsTu7rQu9PI/Mg3JgVNZLMmwdvbL17zIcVZJpBHvwMWKnKYFJMTTYC+pQw/OZY+2Cq6h7W
TwL8Yrgnx9h4LnpAlhaxI9f5qL4g4gCtmpAJD14PnMkT0cCjvueNRDZQXjMm4pQkGI2lU3QoB635
jFG23ZCVrJ1jh5DP9YLDzNLj63KdIjkAetdxYuacwAyAeZ3KkkYOVay9i7yC9S4n0OAIqryDnLs5
+oANBSXoaGG42S3dNO0bc3a+u8pZtq2hsusmrkGaEpb3nMjJHosAk05l3MelO850dfrqdswLQaiY
aBXBbgivTgazGarzYTE9eJXTCoAyUCldWrpPKjCcRkdn0TjzLirU8JWojyHfjV3r7yOcG6xCdzHP
Dg3p+zHvaC95YExoGtk2GVtB3DDhjwN3zvL0YHVunOzo4FEdl3PheGfRjpEKzS6fvYNPKJA8VgsN
l6vGJJFoV2vRaAYG9DccsoahbTLpccoyVBHv2fnA1pCVNNzxOiVWsZUqpc2dOynE/FWK+VklHIVu
knwsnB904MCE8D1GglK44JKXZ6AV9hDtrJKSOwDN0Ri3NoGHFi+Wsc8g70z5y2hY5YPJgQCRQDF8
QEU7RWeXwMyLLLviwumpJeBLL+2vC3SPgTQu/Lw3+kg64B64QsLETtk3A08Zx/MMv9SmJTi93M6c
Wq9jVCj9saSXONO5iPq7zoyi6uSag2wDgF8gQ4mlvaqKRpsD3yPzJoTHOFX7yktSSs0xvk9E5BYB
rwQ4nYSMTw0Qr6b44Q/0XDdooRzxiYhHWezrtOOdnhioA8jPaugcopWS7bZXCkai1IgivjH0qQKx
5HYObXgakzkALocJQoeXr4YcDHpp35c+85Olb6c75t883k7s2OMH/OfSvJ36nj+OaS3B+EIr7yFq
WJ47Y9TnJYAmoYC1LNKQ4RLDHANw1dHGS8aOYqKaoZyNZA3puzpeuyOZqU3XTta7Sxgb7vDIwEMd
xjwpxAen1vygAA7ZhpaInI59g8fqo6gs75qqPLmOYwYQgFKnEgJSyugpBDIk9JDk9tYNs5go1dAd
yIsODC9PiFyBaKhTSJQVgneDhKJNMUlwrpIKbOPXqXLvF3RQbhV4UeocrTG1aGo0lrqLRaxxZapW
orVa0EM42SrEmija6Dhl1YSul2zTTboAfg8cEtcY8kNydI5LpSAHYpHjnQFm9wUktIFjkQP3F9VF
yV0PAw/VUzFcHFP59MCb/tYGRosyCq4j7qJlilaK8KT2APuEfRAOjJcjXPbJO9YdXCwIVnatUIKJ
/qpvmfgnlFV3pkkkSDiMVXGxqN8fZ3Nabvza9cuVC+rDh5S1+CT0WS9C6NEuezPRQN+WVvk7jU45
u/REdkjgNe5YPoLciyjoy95NfwDDomVvJO6QH3plU/LTf8ZaRhum969i9tu9L7qkQckCeGjHN7e+
4SISMrC0yGPFzyKFDuqy+qzcVKduWtLPmPC7By+25A1JrPGePgNLRifoxdtI6kfiHWCY52cwnTpQ
yyZOvU1txSWgTjhvCMaW0jL35aRTWOFEN+8EJF/rPBcIUANouWZx1My0GkJtbF027gjU6calGw/C
wCj9MymttOq9GZNDICFnhsUsxWlAW1aedIcqcctZjcUNHdnuNo4YdNJl1rIz1Uv10ZZJZYVJPfBU
6BzceeaGUjvO/cirXhUuJcUccSnrNCE6kSO4s+0Tp6dcjaauPOBZyW96T/rmrcUA1aQhYVBaNTPx
vqHm2vyEjqdyDJ1G4xho/lzvuhcn3+EEmc7W5ph3Y/IjrU0zMuX0eqPG3TF09ddeKESC+FWMmvg3
WXykn+t9S1uZf53NFl8/TKTiguOBp2CJc+uy6PQCgqGadJrrLgBrwirGW4/HL+NI4E6Pxpz3atP7
NFeOeqoqDtZgpHgblGYO3rYupAiyOILlQEShfmMDQ0awQ+O5lC0P6BBLbl1iIOjYu0pAY09Hym4+
0cc5btkRUdzolBqC7Gqq16zVyitmmHOz8aGt3Nh+y08DAKFDJABGvnUizQE3YJHYmrYNCj+OGETV
6abZq31FOMa018VCvG3fJUxXxmq0i22tCIIHftGoelvwczDWzkvhbofSbG/JYeCdxyY8bOhzYEPj
gFNWVwRiqyvogx7nRFe6y2fHLuvn2XUF4Wm9Tbi24Hw0gW2voGMHpTKhpwOVU5vOq9tP8OoaYpHK
mjnHDDFv/PBzigUMqyyP+pLaVlAxBHuqe+XfjBnYkl0/mbDedPZIprZ+E3/MIY/DMOLlCRLSdvBs
Jugdc3t2U86jnvzgp/RNjl6nqnqL9vh775tpSEgANV2d2v4xGWkXoQL1YEeLaJk23dBZSN7yUtDn
RsJPMEFrq6uoNf1mB/fc3wtthftJuvzVYexNdobEKeIafFl1FRlmFZ1xCJfOy+DCq7/LfAIobzpn
RV+IciL0Xp/GlieQRol57nNiRQ81MvtuPT9bKNJ8bH+btgMYxw0qux9drSGP0hYtvzRWq89nNeVm
9MVcnKX1A3OCMGL1eFi+6SmKuIsZrdWBZygCvMAw+u7Wo0fRfoT9Pifsgvm2MaQ/hE5N0OiGDlC6
qZyevs8YtewZDFHS5OhzlTheqmbIZVi67BRP9pKkC2wy1eFkpyuf9fcliNVPy7DU7rYHuzHtdGJe
ROi1YhC3g6YVVHNxCiJMP+eVYX4Y4grUAK3BR6IxlmfSOqNrsdQGx18BDy2Nl0eI1cAz6r7/4MZL
fWhmD+ls7DDNkY53yCmXblsz7TZmY+jNBrare0UxxyeZDXhIprIu3EJHPsORjlk+furu9SRp75hj
F9+NphsJpImnlKdqjjZLMbYfYD1l/lkNpXeGI+t0Gy1XKiUBz/dDFUfzo6tP6aHPmq00fXSQebK4
XydYj1963fU/aZS+G5cw1oObJ+0m02LxvUwB3JA94ZrX45yRfjVW+m1i4308JGgXTJIIZwC9Rd2A
j64zeeBlIA4cq1Zw+ZLVTw1sSF7gg/oP5s5kyW4jzdKv0tbrhswxOYBFby5w55gnMriBRTBIzPPg
AJ6+P1BKK0Yok6ysMivrjTJlkog74Drc/3POd4D7zgICiRya+MVcrPSg5RMTADiLZwho0wlMCWhU
XfNOc7x2oE6ZcwWD3djS8NK7/lQsYRZYVEhpCCGhvi/yeLmPE42IM1wGmDERdSqXpLynQ86E8MXo
uxjwupdd8wuqtcCJczaVTtwNX5XpweleHYmI3mN60ZMqMPyMMQqc/CyhDTLipLsjG+tBOQVFeb0w
b402Sd0hrdrRXG4svR5XwH9Y3C92Hn9Hy2ax00dObNjtROozUibC3hYxEK4xxg4+W5m1ZV9bnlRf
gxNusiTeNPTC87XqIH/HJDzOHgnO1HWHZwn3OKAct70wliU66hWMVEsPP9kuw63jbFNU7Dt6RYf5
kqr206z070C/UyDX4yPW1JlHITGAmYnWBfrpfD3VcTZBeWyTu6pXduC07lARoUbua8POPvXgipmd
a8NDPFvuy5yr6kLHYnHDMJUbf6FEcCdsAPeT3XBveFGCtT3E9+Lz0ryI/ZURHnNHWCaBF03tHFnL
KvAK0cSvhdlpJ4Q33x3bul270Ns9XZgEgTUuGFiuSuVGcTr2s8m+F5NbXOAkqTYo1q6zYT21Dgaf
GWo1B/0ba5gpiq1tVV0uoHCPHJDzJxSHIugzwO3UkgLGtkM3+VHr650pF66+TLCi243CN/+oate5
SiBnPns15TvwOADvMKD/VOqaYqLb80glTsbAwsxEEu8GxSBr0xb52dZ4ks+lISNwxkYbKK3+rjnG
eCB72efBahHy/w+o55mvGrvjonnMRQcLBxsfuwMZKmnZs0VhdUoThlKdAWg6d1X5G9fle28O1g4c
1JLzAI4EoofEYt57c2g0cAQsc9bctGGldmGanJdwGL8q20BvE4VznSqDneWvTSXvTVI/LmvjJ8H6
JYhmOPaHywIumuxlJonWlprjbop8tujIYebNkloAJN84JTzUX19TF5jUfrIDcVVQKQSgYOIByAKK
98HZSfrY6+nOAmM6Wus0M60IhCSCxWuDg6hvd/Gkhocp7BFxdfbUmCHc9IDoz4lvzOTSb2MgCZBN
O8oiei0RHF7JbdafbKO3taPUmJhj5YQ/a78iN7OHrqGXfS+yHMwUXFZcKrYo2R/Mqd5/dbwKCWgg
KgJbvfLK4gAGorxNGWtofpMv5tWo18OjyylX+UXPtva2avGT7g0x1P0hHopx2PapmudtBiirCfTe
Rp5LORg1r0TTVgeJVgPVkvzoGJVBEHqAWIaC2qS9dhThnNFtohTMWkeOy9E2S3k3mWBL/Yyzwqui
g/y2iEF8bmO2VjuTYubSbyLLtIKUglC2hSBtO2ZwUtAlEFNBdXQTMcbB3JXzUYJA9zYTrZSsnm1T
n/RMNugmnK8/gbxryqC2K+1bURLtAL02Oc4exSp5lnlp2Hv81hjioZDOX3N3SgTk1GloNtk4wXhN
xwljQBMvKy2eSTQHzWpiCWA6pvkiNYfmmONSzTjNZAyOYTa3Z2/JeMy4i0pzHEQthpfIoUorqGsP
WmasJeU+glNrbirsscU2lf0wMmyIc8YC1N2wfGObgbyZD+3J0nPh7aDoLsfaA+69/3Gj/lum0/8O
DfGdE/VfsRfXV/O1qmEMRnFPTuKvVxe89C/v/gbbEfjB2+FbO99964a8/0ekYv03/7P/8C+u1cNc
f/u///trNZT9+qdFIMx/zoroaxzqXwdMbqq2H6KX/G//yT/yJX/oLvlGpEQJXUxYEhvbX05UU//D
cDACruBNgvuCVfAvI6pl/MEYgfGirRs43H6Ol5jiD+J0QEQYmVjEVvCO/uO9/2V6/FW85L2HjiuQ
QWO1NdbKQKLI4oOHDqkuJ2VNJD9i73sVp0tyC5G/2eFZSdCwExaOmk61TVNmyaUYZHz/02f1T0yY
xnqBn7yQbIuAg/2goYIqMnCovl/pFQflMsZi6PNKtUetw8/YD4bFVcvpOLYFpVAUu4wbq++SK7vQ
EEsnrfW2i0v4ai0PW854AOsnGIvPIZubGhCGqR4MNM9lr9W5Pe7a0tmWE7vWX7/0j4lCXjqzRJNQ
sdRxuuofc9yNnCuHbBhtoBKQ7mEWiS6xSdQWGyWIqkCnGBLsvEnTeU8h9PQjhz2dFoLJ6EL/1y9m
NQy/+xglyQDKgd0fhb6rO/kdikijXS9vIAb7rGzIHxEEdnlghZWuX1dUGmyyMjLIukUM9tk0C456
v34BP9hD717BahfFaC15gHGQt9dH+k9m3wZqMRMvk9lHNimG/CNo5Q2rfSZ2kx6nr6nb2ztHp0cn
CLMCSmJJWCU8tF7Ri/1UF0l8quxqnHeGZqP95ZQn5IDKIsa7VtIl3RnzC40vv3nV75+93P8c6yDy
ipVP/AMi8/5VQx/PJJVvym+QfOiNGpcy8umCmTaZmY88gTElpPFJhNao3RSoApTijQOdUv1mqGR4
RzJEddveyjnkm3ru4mNK8Wo9/fsvk9tNEpnBUG3+zTHseonkeLYMPr+kbKKc0h3uBSHZXY3NiqoP
o+lxBhsIBYd00Yz4ql6mON1jsK4hjwrQ6ttuaXUT4bVxexq+TWX8hmpg/u2XjF1e2o7tWrBc1kDp
+4+S29yY8d9UvlfZUXudNyYbZYoqK28zzMgCgV3P1a4YPSvZOnPhsld38xGzAlujA5oUCLxIpe5p
wYDx2sWq2Vn1lKlzY+evoDcxB8gpa+8qGw2dbb49wvGjSc8KWk2FAp3Yi6ztINNivG4VZ88902IZ
PgKtUI9OaNPCLpgBAKbmcBn97j5a92jv7n5HhwtElzb4ZIMt3Xqf/XT3O0uOk3Fwcn+MOMH6/Fbw
T3GIouhBMQlO6YNpcsNXykq3ajaQj9zRvGj7NqIMrpKgUxojpZTm1/eN8yNO9fPrgsLCxkBw83CS
XdWZ96+r8Xo1uBa9iJgAcoczmGqOqp+nNPDoQS5fU6Now40TMnk8szk5lslQpduU3oMNxZ/UxgnM
tvo4qaNT50DqR20HH799GsSgHmbT++yVtnnMw0QxCKZKIvZRotktt+104fUl8n9JD4FjlNeJbuEU
ZTpfnlqQ5VAn2nTr4px9qMbyjXAVqQQnf8yjRV7NbcvBUsxzCvWzyn28dYjHnEtngfdJt/r72jHV
rs3n7yO2qM1Ql18mQf1jYACUPisK9MJtUVviYLRxHhhOW5xbt+WVcB7bMSNf1k1YFL9lrcYUBZ9V
u96qzGg6MeHj0JLGvvTYUIPhnSPfcIbhNE/T3UJEcx8RCj0s9VTf6zK67xZsOBF3xCGf0uXSmvKG
MXTIaAVXTr2vJ+m+aMy8Gfab8WVYJHpAVkh+YSk9dWZrBVTfeIeZLT9HMKM8UTVDFgEvI5Jgrzu6
DxGYEhbMW/anRkb0+Dja/ZIya4KBVx5zfY72RK5R8BOnDcAc0oDD7vmuroxHL2yya6N2GsR/MBGU
x+GYK9o9u8oLREbnc4uu+6Ulixhzr6a0N4i0X8TJxmxonzysvd/Y3TZvRV/49tRtXbPDYwFP/UZz
+2lLrXpxX8f9l8TA+CeG8ps5/VComilygynrTDamQi63KNjpq2h1CMBM3Ebbp7Qj/Y4/23lrmMPc
0OAnP7VT6H6r26WkQViqkU6iWLuyUpns6+6SfcdqETtKZykPNNbj2BblWdidBwLZKFFw+B62lsWA
eWHW6lGuFjsIIVFyqzCfHqOlhedSFWsvR1q1V8QkseE4srU2UO32clQ0VVEyCeS+LvfGKOMneun2
UbmYZ2bFaut5yjpFWay5G1Xk1n4Y45Lulyg/kC7leKPZY/UIlujrSH8bp3xA5i9kg9tXQ5kGN6iy
lp2bGOW93Xtp0Bu5zbiAnQ24sqqKX9a6iP2wVvaAnU43LmagT5rjEKzTimS1y+s8d1yDmhN/Nbvc
YBkUPZYH08VHQuMElRG0rfBLyspul03SaY8x5J79kFrWZijoNcIZeO/2bbjVxrl5ZWHNDsoymi8x
Z8ObZlSglaj9Wh3KIxZTgrcw/6SfscA+NGlkbKbZkdk2xgESCHxR9GbhL320k1HhWohYyyVlvhsP
/OexaIbsYs4adMXVT0rTTuYbcXKZo+xvvNjyDqUtxdkccUYlk7D2jRpea7EMj7rBHbuhMmY6qUQy
vXLxHCNE5ydA2DeFGp97PO+7Sbjt0ZvdmN5udsnbxdDVc7VkyS2lWOAuVQY0QFnxXdSN2tEYQWPP
cqaJp3A8BKG4fZgam7hegTPwwKbmhr9LnlLqCLE2jTb9NaPmHKPEjB5yx5leR02mn/uZUhG/7LCY
F0zKr+ZRXw7kb/jLREMLk6S5pW0uQzRxyDY/99k8MkinE44PaT6E7dTibcpDadEO1OaP2TLdmnla
XE+anF9RkHofZ8hrYdnfQNZQZ1lzsoWEIfL7om2yq8FIx++YHwR7XzOtLjQrQviGtHno3EUe6Ong
6zMz5aognBRdPjznHotueWuTZPhsUcB0xyhfkX8x3VPCudWPl/VDmPgcv9LCsRwBFMD1JvHuBU6p
F9uJrgk/skNqPa3WmveRHkdrnMY86IaWYA0bE4Vui9X9ychc8zrDLAP5oZguzKqTB13ERLPD+kWH
WnNb9lN6srsa4bbOnJ20teyqnRh81qqdoUO33RMW1vAiV61xnN10fprA3dw0eZddU7RJbRD/drQd
zYQW8DHGpjTNWyfM833U6bnPDkx9SrKyv8raYrT3MqoAg4d5J5fdnCXNtUun5SZp0WQ2BYXm30QC
eGlTgzMH5ZBcyY6DhJK9t6Ug6cD/ertpyb95hhwvC7csyTXI9mZIx4JRqOv6dDWmm6iZn+qSri+7
6sNN1U3yswV9ZWeF/J5xCTKFoIRX0VrH6V/bZLOtc7Aab6PWyC7tMY7vdGW0x7QKs2qjF7msfMsb
kyNuN/HEqMW6CGFjX1QNT704jA1mQ65r4HQrhm1rk8KiVEn7ipflW8Ls8hgmhntixz+T2MCXzlOd
FW0T6qoNqDJPD93MOYCRR7Wl47zdTa1rPNQTpZl44qw3rTO9CzcuMCRaDBmuk8HYzUm9STWmPV0B
m9sehXyoK9vY9VM9HJesMr6g1u4616n5WEAlf7NX3KQzG+VNaEUtnYjx9DwN9XJVh/pwRZ02BPQo
6Y6yVhT/UjMifEwF09lMlvma03lDN2hjIYHo9HHTKnJOijF6HJlljYvnnTQz0mpqSebqog4tMYCe
w33k0jea5Jy6Fu4T4LMK+05J7qWYRhIKYU5+iJzAt1pa6l5bK1OtdW1xR6AibjO5D2sSNPJb3Bl7
+sv1HXJBdc8vOz8vTQvHvEXv9QmbAQwJTQwS2mJR1GhrT709i6ukypznySycQ9SEerI1QyCFczhZ
OsM5DkKNProPgqrXpyYS5mc6vljlHTNV36i4dW5kiWBHwIeQuzX1SIf8ml+M0bon3oYtlYcQlUve
PbSe9ssw5tE9Cpv1XS1V9o3Gzfg2ScJsB3ZKHlyKS1w0VNyOWe2Ohk+b/XSUskfnruO3Xi7xkVkR
IblQpFhVPQpnySxd9ut3ZlgR1o6x5Fm1toMfUtJgG2IldODNormvkqrjZGGxu5iw5u/TaWE6OE4M
0fAgRLeG0VYYD+wsecOZZJwRN7ET1aVmf61FstyH5thbW/ph5yc11tptXLPBD7SlwPnFrMr+zADM
xopTZPcjdJdPGMxnm0/FfSNlJdzARV3ZsKJ3ZElJc9zYVd1x1C5q8zSTU7rWkoz3TiADjxQ/rDzw
PH71u2Ga4wvaTDAya5R5Bp6Y30iTlAn2prk1dnbSOM9GpNboASVdkOqZ3D+iUTgCIIKXhgE3K2EI
uyVg4xGFmk6xSlP3ya5wahNuoo2W2YDNr12BOPNYtNvCUjuO40gRYTPzD6hLb7zbMannmdhrL+v4
0ERovBs0zFoeQpnPN9wdWXThJXOkdmmDKT1QAuFiZySSBScyXNrNut571JmuvhlmXx9orBu+kwRl
szqoor+chiW6KbCMYCWnhW/Tpss8sO54Q+jHjqxoHizLSxwR+Mpj3XujigZ3amqObHkip3nmyRtf
1I4uDiJBGfFxblpYzmmXxk3a4QTkDrHkPtSgZuHQreMLeoUaIDzpYNHGzf4m4MlTPRdN5FC84JTh
o2zdbtgJdyHRUBp5pYJx0eHaOZpsjF3kjflbr0z3kSYg7Qohkz94INA08mdW2gsdqDTUssUEMJm6
TvSQTVb4IpY1rgC6oti3YT5VaA+N+6ggT5f7ocud5zKjZQoBxez7ve7NHpIe2/KW3A5jby/tMfHn
D+wI5ReZaCMGN4JoMTbJDpz0EEMDnMnq2Qx+jdjdwZGu7iY22+xJYCgVG0GIhJoNjJ0AfhIjvgCQ
rF2NlU2f+fq4zn3sVEqdsrB0H/XGnOz9kgGVOGvDUGt+NmRe+qU0h/iCn3KJoCS0od+zPRiWfTrb
FUIhlxn8HiNofsb93a+1cIq6jYEkzJNLmSxsNFR3g2VU4341SsfFJiYalCld2BoBo7IGdWCyb0nO
1Ko5T7bDfCPQJr7RrVsPNroW/R0ODtkihrFcYV7xAZM6txbN1VezUvlWIhWoIM8ph9zUGZ5g22jK
S22Y3OeYxNsUhINrbkvJYL5aplMkY4khPzROtZFqLwZ+lW7TWwsfWJoTGPNVTWytinH2jlE23ZN9
59FQSGBvemt5n+ohtbGeyKbYVtPcnochMl8mFu8rcA8j9Rwj/gKuWx2ometZ8rATdYQYC86cQ2uo
ep8xFu+JsS2ptlncgXI2Xropd5M1kijROq3Ughp8TPcbmeojCRWJaEWJmXgoYNkxyf0AB2ky6qlH
3E4bB8eS5i8x/rwEEZel06v3XpFOdFEgoiF+D6l8AQtD/WivcoIhckTA9p28j/rrChu7tdVdO6Jg
RF/sHlekEfNAS/qBbMtEIRU6eHEWM4l57o4R7zb+u8oimondzR9Ju62oVUvbs7R4Mye1IY8IOiwe
ZV5934TrfiGz/aTIu9+x5j/G/CVQBEbbyFfcd7ZEt/swYygTpxKcoQEEp9FXi75hilpDcDKzcqJb
XoryhVlj/YwHNvw80DNMjgvmOxrs9ctczum1nicWd21iTb8h6/1tSMuLcz1XZ5q+gv6sjy9ONNQv
1w27vg5Y+yPtYxz8MD14KXdgU4wXKnLTfW5NItlCALOrvUN7GNZfq+Fs9utpzHt1cR0vYupZuVAO
L4ex8YdRNw5UI6bRt+CQhVuoATNKdzyNn9Lsd0uW2r+5OT/k+H9cznR5y9SNgaz4iE6xSvqmE9xf
m3C2Xnptqp962S2kRaX38us39k+vhAlFINmugOwPAmYRVVpaRdQsaokXE9L0xKmhxN6nvN46/rjU
/5gI9f+hvmSs6NN/rS89lkn/7e1/nZMyequKn1WmH//hnyqT/odDmxeIBBQcXQfbwFf0l8jk/rFO
5AXED74dfqIeP8+/VCYp/oB/wi1pAxUywXQws+/+bNqyPP4R3S4uCBWG+o7974hMxnpn/zSFtFC3
uS0Y88F7RWz6qDItRUjqFcykv0vvi8t6c+Ufzrfn4LsXHNTmpw/n5s8/9GcSF11gf7sY6ArdBnIi
+Sh4c++XoyXr40VfJ5HwlecmRmduHXdHnI30ZFlrnrafs9w7t2v7bJC1sf6kY53auVptHXMROsnV
wqLwnTOZ/n3qyuqkJTI6zvnsECh3Ejygqt5O1AS098uyTHunbOobobnyLKGWfi5V0+5JMlorRbVm
HFFxSvhCa3nyReqpk/A01OQnsweXHbjUzTDdmaZmDBqYURwuEubCe0mQ8l6R8fVIUJdVutqc8uVE
DK8ejyA7yQsVWep+NgZXKwMqOYHDD5AMhp0MC+9bXYVSHXoswdU2JHJhbpGDdY5G2ar0zR06HFXb
Ha6NcmzqZhc1xWQf8XFSqGp4MDs2YaITlbHCwnH8ZOyK7CQcjaRbRptloAo8i2WhqA0OIRgzUc8b
7K8eKtgeo27xHBPFuFZLVls+5wbH3pVu3vm4+nF51S42V5pRZ87VFDymPojePPPzIp+cfYG9chsy
s6VIWEXORVo1Dhsb9LccOOxIOs8erY40NDSoNyaVdkjdqpxtWj8rp72JVaj3xzkVvSII57A5T8ji
3+PNl9eGUbMBmsoquzRmDXYXe7ZJ3xmNpzFrTKzymYNHUp8ooFK2Py+Lvuu62XzV+0K6t7mn5nbX
xykv2IaMubUW1vpdmgtKnfssrgkiEr17AJFfDSAkiJttAT563bGve/Eq9IFEekgFxMaGOgK5q00d
dW7Tlh2VtQbX05CUolhAZhwY55uPiw7Jw0+Lqr/F92fSRFTJ5MHrHea4jqGVXxXuobcxls3nalbi
0sKJfcDW5Zw56RTaZohGxwmUt+IeYmawR9xi2gMqYXHnYXgcAjVTGWIWcXO2Bgo0KaRzjPuaMrwd
5xLq23pOuJxLVQQ6WW+bm5YALcMET3UHFxOEADqcKmgLyxi+2OQsvlaAR+DUud2yHyqqsjcmU3dm
iZMnm+2QOk2MuVQP10bO8qVAdzvIVDOfSFt6dpCzz//WhhhU/TrF9kHGv1iE3yrnJYqx/KAOh9Ut
3qN637ITa7aYu51rKqsNYnyZINA4Jh4OYvIsdI6WBbqhjxk9fXFRpYY9Tqhpz93dUycvaWDfKWpL
002rJ+Wl29lksLHbDuRXRVTbR1nZ+aVGUhSpgB/rq6TcnXFOge/lNzuC9+ojuSXgkWsF1PqIZhv1
kUJcMGQQVi91gCtBJcRBttHh18vhP72CKTkf/8AceR90KeiI9CshcW7wuK79viJK/5tX+LDckgRU
ZkGCcVM0fsJ7cPruv3IFSxgOPynEtY/Ksr5ETNs0m5MPFAHyBQ24jl9/Sh9cCK4BpRPRkpOYy2MQ
+fqDDSKqRdyYKQn+vKdF9jIeanG/MH74lESWpp8FUzMspWzVIS+45WVpJeEWYSW/1KkNbBhPdKnE
eTMUn6YGIDKFf/i1P7fkTYoDjXqtvg/tREwXAlW7CPQ8q39XovN+c8k74O7BMLdCrVwmtM7HTTiq
O0qYQ2X4ol+I/s31spNVCZzk1m9u2ve7vT+vxFDcRuail4D/8/75qll6F1NooW8MYPGh26bn0Vlu
y7hYfqNe/vMLYUsB4mZAVP1wIcLkssAcYmyQh4IC0q6pqif8C59//eX//ZPDYwjxCgWX7/5vP8JJ
5pU767NBWCsPzBGJJS/d5wlmpqay31xrNUH8x0Zo/exW0Bh+Hv6C6cf8cARInKy3RELAdHAnguq7
JsXAiixmdGeQKL9+Xx9A/z8uxpsSVGlzQKVXZX3jP2nSmcT1706xxbDL9HP5JMyA54OHkE7Cwhnv
2uiETdXsyt9uwT5gZH9c2uUNYlQAmglm78PdqKy6jeqyhcds2MODo4+4YxHoc9Rbd4iuS0ghcHfm
3Hkzci0/RX253JlqrLZ9NzH/pVU+qQ485JPrlBwBvmZZlwCAQNiwn7MH7XONCrcfbWL7Ppmwkkr2
oX6cPYO7xR7S/iGcE/0ZmJv3JXQl1LLOLZoalHMTJoEucyZkGiNXxvqmVDP0jrrV/NQT5gU1pf2x
ctnTbRpkyNe8ViV5zshQj7J2J8dvG9INud25d/ZQqO4u6h2r9KPGYhJSiFCY56hW4rWv6+Qmz0IS
55pJxBcGgLacRO0Awzah2NyZQ/SN5wMTcXivA3btyavdTTT39RJQ2qDfq04mkCzd2pAnb4qa+2Zh
HnWcajA/c611b4wL+xu7jKtjQc7tgMc+31p9oTebmHABZdn1aLT7cZDmpWkpuvYaNiaCcSDBFcaE
FdYJIGIO/pxKr19TWLlEL4alRp+cs2K6rpemC+rQaIrLop3HlxC7NcWcjRnETSNuPQTTG701qqBy
LHnhLmGMY5utFG26Q5oGpi2qa8OrxmI3jr0Y7qMpJxANYBQyiqRJfrrstC5S5FGR6cCHhggo1Lhi
gd53Bj1ylN06zhwgdqn7uiSx6XeJmz2DyzmlDdXndkX2Jaad6JZNoXevStbwvR6F5OJjx6fdACst
Z5wnOM8hmXuvITwRDtFFjU6kTnyZxq4DkBRMkM9Pw48DLL0jE65b8nIPil/NVmsyOe1wfnrWxeBl
IyWvRuzYFz11N/vFldpTbSyMEb1hAF4k12EohWVtfMPmwfEb3MtMEVOK3aFOVe3lAH5/22laus5Q
2+Ro1GHMbLqfRb2bwtkbzgUf5bUXu7g0Qo+HR1nOan7IuHfMveKPI8LKeC1jr5I3tus99FaSb9c6
23Pbw3CZulrNB7uruJcRPSp3F83VKsnkidp1vXDyU0Olcbon76pyg9ANhL1rtbKdvo7CpFo9xGes
HWZCpuqe4H/60pFxrM7mFDrHnHxhFoB3YB41F579ILOyTS4oJu+qDdPrwg6IbKRfiGOTlQ6sofNw
t/BU31ucxCa/T3vAOgz9VkpHK+QQVOwtP5UZGOhdQh4qMENmISU2q/vYKrKdPVtjtwEl3L8YuRXj
FRrUQZtVezPhe2HrbNXf0X6tQyoKY5ekGhyoth1e3EaoLY3mHT+uKXfHAPl8HQUnzbACKcIRLczV
HrtwxXExCBUOibBhxVl77l0Yjonma6pcPrWmSZgB58vy4sUp1iY7FOXOUaN96ox6waLBqrvDMNl/
lmZM5ADyFuzmaTD3muz7m5FM1tbWbIBGRtsUJ3QnXXshiGTq+7JLtO0QaSAzSiuc8qCmEkPbAgxl
chKzyEHvWPLuwlrmTxVe+JdiDXlR3Lx8TRMZuntVFF615QCMq8MqYqH2k2aksd/WYfI4Jy2Jm6LT
iOgXodYGwM3xXYlcFN8VBqogq03l3Y1MCuReePgkzxg4JuM6dpIOnpNZJ3OAWNQvF7aVCAPVK5qF
X9hkLA4aZDDQpWE53XK6VM1lq6fEQwuGy2EZNCK3mgT2dm0FokxaFAqW6F0I4XpC7zemB153GViG
q15EOo01pWaF5w+FxdJRShXLXT+ms3Y2U6e0DjE4AEF2IR33ZaOrvQFvqtk79Ey9kTHLZ9R2oz0V
RLSUP5Dd3VInQHP3KDrtLhZOEe0E6ufjEhb2YzlM9nZOy/rk1YjZQTVEUYAhbn5ya1MuF3qXiEsN
1tTw0LQiM/wkKcubXktjoq2m86oGHdPpgO5m7GS21OZWVLFrPub0Zfslbrtz3katc6h6rKNH5MA1
Zwxd1JMbBM5a3XPuS5dTLhIaPpx+MawbpwfU8LnH3ITfLTGG5BbberEVxQA8mPOf/iUntF0GbmI3
1o1i/3jR6DkaMoo9lYWNMkKSJREsxNGIrnSLmXxZY6D1F1nPhu/q4UiOI4G8Um6bGQn9RbZ8r1cO
GZRyw9BgcnfpQMvtYVLNbDz1WQUAsJVqOjvtGB2qrvaiS8wOJoHNcGyPMxHs+6IeIXqWCjjSOSJf
NgauqDyQIcrwtrD5ihq/VJFHvuV4M9DFPhqIFIdAxqBYaF6a+NEs813a5QKQCxpRdtYIQSL1MLu4
W0EqKMEZs+YDz4b2gPmoKq5aD25PIiL7UxEZMeICAwe1C/WxPyxKLz5Fmlo+LywAzi6yknLXae6M
8qGl47HJJXkiS9pUr2cIFPtItMNNvySjc1HUNKT71jhH+i7rprYh/+uZdxYYST5ZUs2YiuMXUqGt
YJQaJvdm1gmOBKG5lSnl2csAaQVwuaSKukhJ++npxHaEOnkUYzu2WcEc+mCJC6HHogY4Ji0zo65f
ZB74sw6US1jeWZXl1NtsGMV9Edtaue88vnf0yNZzrmxzju40DinlDtncelxwDrBM62kQi3FoDk04
DennjFCBuiq0nFQV6usVYVPLvUiiDsmqavN2OFdYaxl5YJHEkFyavOoF0xwPU4FPoKhTzQ/ndDqN
Isv9amFrNSGCF1/AdOb87qDMEfPsVJZvSzMhFwubgYq+Blv9q6Y1+rZQwHngudTiYNk5HqAiRNU9
JK6pZQEWMB2cCKxUFHzNa2bGNbrdwfAOXzjFN5tct1T6pHo94TEG1829kgBQ8e1Nrlf6LsYHnN9h
GR3TUPBHtOOCauwJZhAwyqr9qAsjY61tM/1Ali6x8XwNWXnqsiwN3Eb18dYs6HW/07HRjgFzvazx
XbDEQaGV0Q63/cIOqp4f3A5j8j2UFV9PkvTkRk1LfBaUqYrMQyPs+Cq2lmwP7C7eRX2OzIsNcBfx
6y/wYpHhy5dpArfP1C137XYJqki6FxnZjO57o41odmPHDK1JbKx0mlbyrEVnX80axXg7FqrJtsAm
Mu8w2E5PepAW9KKZ6oyFZKi32jJCXcJGY22IY1s5nkkxQaOTnZV/VsxOyONVhUFwCtf8BflB0iUG
Uu6FmPvKuPRAoanNNHhYanm4sjHQvOhYZhJqQ5UpeZ5GJemTW4obDF+V+6IyijWfPMJYgdGhmvBI
k84zjbqkkqBPbZF1FZsJTTxrGANccuVedzuZRpltiqKT/4+081qOG8vW9AsNIrDhcQsgHTPpkk7U
DYIURXjv8fTzQWfmDJlkMKPPVKhVVS2VNrAdlvnNXsmERdHBiosFQpfBIIpDS1lbvgQdnYbduIOD
iAlBUZQjsI1Z8l+haRMMZkouPZNGdbOr0TuX7sw8hEmXz9j5Ocz99NJieze9KbSaq1dRF4J2v5nB
xZMxScjudPifC5gEoHtX2yGxFsVbr6CBmnnU+ZDGU1F2dpp+DF3w+Op9N2XkCVkpTxcTBcKdJKIi
cyzNl6wDX4zeTUMbHK+pVdV7riVE0FQ1nTFOduig0LNEc2jKUXnLbSNsvGmupV0yVcnaLMJgG4Ml
uIYvlN6DW2gJ5RsqQw42FhwAeVTb7JqmH/VpKD1w+Ikj59lTUdcn3Uhm83ZQ4gqe/txYV1YVo64m
q/pVJ0/kUKAi39NITx84ctbGLBNr38A4XUtWI72LgJMFsK+YMBhCR+xC98NK3s8jnPoV93/wx9DK
blPRopceOjXBWycuLGBuRSxyscSo8hoUyTR6+DLo/WOJTCVZmE0PLRnblKaiRDuRNKv26jZJDk0K
12RFJyAXKJ0VygbUmz/vYCpPwQ7FXA0t0SaTN9mQI8I/pD0UfckYTGVXx1WQHywgUMg6sGl/RbWZ
p/Dox3KgMQds4ZB087AvQlQjcMiqw0U3yUcGoVFp3Qn4Zoj2DXiKoHMGRmwMZeUiqJa8K2oyRs3b
cG2kvbmNgxaOglwauOHGQTgcrVEzKY4ZSnwzxWn1WplNf4nIsr7xzcTGzJImnaNUiV8cOikafsl9
26MmgEpOpyC8BvbG9YN2NJGDTOPqUFBBNy9av4yz+za3KE22rKe5Ag6f/FJJioF8+ll/HPtUvZVG
v/mNGoI8rkJE0vdBKLf7Xk+1lzFTkPLBi0rOL9FpRyBVido6PBo+bmp8JrWocNROmvaIr0xILGky
cpJmm28bra+HJTeBJwBARAf809d/SoDd15JU58i8iCR51QINpZDe91o9h0k/T8IHkgZ37Rl3mNr0
kBpWYxJV+Ijz1MRPcSuU3kVPBcGHnvo8Crf9HJLG8P1pAR0pticZNcITtPH5BDRmeQDiNBg7ZK6T
ddvoxAz2opOI6tIadF2/jpK+XQNET4+lQFlQlivkDVQLevWQy9YGr+ngd0x17b4EYMvh8q3RrTBA
gW3YyI+o8JSv+Swn1zq1qFUKvUd2KBrAxK9LkwKdqPaWEtVX4Vww7FgGFfjgcOifbKOM3tMiHYjJ
4XlsbC2crsDLkZe3Rk2ZWPBNBIEWtddToSmbRDdE81Bo+nSBuAs0YghV85ojp8N8BRPjIpb+x2gU
CV2mCrvaLJBhS4KHeu56AU4h4uWdbG4IgDTVhxWQ08QHatXqZJq0gpSdiow+EOQR4X9gTAd2tECo
SYvXPHp1qyqFuB+09M7PCRN0qhvAdiLZZm+kAvimXM3vXDTiAilRG7EmIxx2E/F77iToET01dVeG
G/407SoJ1aRExNLEbqYv1D+WbCaroa6K3TCbAi3QshnQCa3JRXxoqs9WlUnbAmEqOIwjUmUuHGg+
GamKMMMKgb2yJLDDmqPiPniUwDytFTLJX0bYIuCpNFK1YCCN/CJSSsS2U7+2AbYbya0UWeOzVAfZ
0aiwt9SlYNynNGoOyM0AVFJBvV8VlpFt+0lNjrXfmiva+LqbmymWYU1kb40EmKRjkbwjylB3mWdg
tvG76xYCtamAPY1H1stjE+jdOsRZx1yV0D43Kh8U5MBHHsCF6uk/VGjUbGbgrJ5R+4Ke30T8DRNj
H0bNvA1oEuzqEQyVU9gqDjBD31xkkzbe27RxbkO4dZkz6KNvrCKwaAuyVJq9HruBuy4djM3cN2Pu
jmC4IKhGU4JgqU/FotAqt/K7xnCKTgxrMcAmBzRZwLTg/+4TLwvB2Wm1PJkuevIIwxcN1HonT8V4
iyAfCsV+VR+0rm89q6Rp6IdTtNEH7jVY86Xq0HLgP2rsLHuE4qskm4T7Y3KEngZrtZxAlzERFvRa
pT/kwq4bt29r/S8UwGLFlz7/vShiooISH/1GqP1lOXe6twTPD9aEWl6GenFH2Iq8zp/ZssunqZZA
ZUsz4sc3TAfHZyz7yXQEckJu21kI88ITlq4F8qM0/JbaIHHAaMkbDQmhaRvFrTwd8kDoL6iACC5j
6qJerZJYrCOgygPWA6mykpHWsT1gZ2bshjWwxyrs+Ry1C+oetPPK1owbTcSA0RvAWTyhNPQArTg6
piQDkuFM3TS5jqDhRGVqyoDmu60SznBYfO2X30zDkSIYuaQdo21qcboE5cqms9AcSUihw06hETfT
sFkhmhXd+fYcr2sVuUxb5H60holg4hAEzH1e1fSTENo2w0p3pUiYB72ngepaah3cGvWUQnCk/070
y87DEsoZ+zt/RqbyUTrQxIuzjSxKedcUtPbXCWTprjmgbxyt0KB5a6fOn52afPyv3xmSgCOTCajh
Q7gGWgWMGUU9upLCksPtALD6xdQybYPsj+ZVHcDK7dQKhh4adVoECvr6VsH68noEleTZiYxar52h
WZgtnJ4M8PaVVkR25VSVpiCAnTezfllGiCGX3Ytp1f3lbCnTUevt6DBPyPtpoaC1dqFvwtuFYb6d
/DZt3VojHt+Ytd79mqPcNC9kRAW5bYuquKQmPxEeFiRNoxKEO9SFtJz8qTIeyQ2HiwGxypWSDGO/
DaACv5UEla2j21bm9SVbwxEDciMW1Slv9mEHUT5J+seWOPg1LQzWoTZIHVdJq4IMDa0CUBRk3Flc
5laR29u6jhExW6T8eoews7oMB4vbl5ANJYh4nvIHOxOh8CJK/ddj2MNarzuVi6PSAOw6MULN5pWq
Ij9poSHZuEVDbgHUQB9elQ4IziZtzG6nhPDzNz6x/ksCFmwTQht5kWBslZ45KOLCn+MR37N5RPI4
quxrjuVtElI5CIGdwSEYdX9n152mr7FyTXMUNUkS1ibx0CVqwgrEcZQk0DgM6l8likUusqk0wHE3
959qUh7bVTprwMSDJXs0KMKadIriRj2qBY1iv4+1nZHx/GsZHU/fq2OcDUD4Ks3kRaEP3qxNNQqD
6mDUl34wWW8UNP8WSnbrh0kEVHe0lGtks5CPmWnDI+0GNv9ObTWU6GolelfTZMIXovEJPC0p05zc
LOg2Q5S1M0wQQD9xFMIATHiDepoXoGL6EpQWrl+kPeOj5oOycJCvjPdCzYH/d10q1J0yozOz6Wap
611rQJ9npWVGB45U69pklQYZAq8wJKZkVaNiVLmtLPX+/Zg2cOtNBG76Nc1lf8E3on1jBbaZYHRf
Js0myVP1IEWtojp2Fkz2NkSseLxCIBhfyaDWx4qOwhT9ERTH0SWApHOItbzSPWDvk7lVYa7hYCYU
4wV4g0Dqg8jJwHAi7TZlkc/JbSAq675EbLR3O3b2oTM7nsMsAznZwV+RQNbqFFkwkEB8Jr7BzUgy
ke4pOkr/TJlDkloNL1nYDIpbqVX10lOmm99aEq30pifu3eGlroxb3LMktB6Bnt2KADFQuLe5uJeW
aHeLZIJotnah+m7bQnHQJCm7hpvW3HUi0ambV7L4O0dquB7RnZAcW88hiDSjioyJbITxIWXe16Na
IyKtCHlNbBJdaognzZtUCurbJlC67QCMgDSqtudrPNmjG8K64SpXmz5E+2UsKSjIJr8LNcM3CJTQ
MaQYbXmXXm2wyHDEuNLK+NFoexXRGC80Gv8RdT3ZQyq0tg6AZYqJTJgq/LFTONjgC60eS+GckDGY
Q4nQQATZIwCABD0KuFLhakbbhQ0UUD91OimIHxEwasg1qObnTpoiRGRozSFo0UObzEV/NE8tOkDF
+MJgib8C6lPdIQBVP6RZqdNZ44v1V8vi+CbNFqcJ7op20wNLXKWA78mDrSbM9gXlwrt2mrXBTYtE
VQ7oydrvaUvmihdtJ2YPQdRmgBY5T9Ea0VENkcQZHL8TtHa6HXNUJNxiNMNdniWaxNT0xSYJkuo5
03Fk9ZH43MmwPe9kxOP5uqYobvp/7RKwPZ48NcYkb+CFJ3TvBFKqKZWDkQA0dY1cLiTaMUL+24gB
1Ho/xlboLGZ3KsK+WfgU+2FZr6IuJTWTa/YzPWX7gargNUD7e1/oSeHhjYD63hA0JatYgB5BLZRE
o4z3WTi126YwTCAqzYQ1SE4h5ACf2g7WIFWr+qJsQWjuujjPaRmw1FdaW+X9Ku9Ay6I/l/So9Ch4
pezRTqFDmOWIdmk+jNU1Kx5RPyOlSK/lHExKmdMY8sCzhD4Pidw8tDW6VqBJ6nIr0zM8YpgxMKMW
O8+wS5ToLU73bxp9qLY3uYI9CDtVW0GXHAkwcXS8h/CFVKmZEwliMbh0rsjeIM8AY93EZsp3AUo1
6dkQ1VN8IURv/hKJEu0lhPGna2gRHQ6Ho1rBHQvFRWDHQ+QhrFspEC2i6jURVR6t6xq3qaeypGfh
VPYQRpu6BCkso7lTrHrJB17PjNq35dDP+9COx+Q2pz3Hm1ltkN4gsWLBBFm4tXgcF5KX5ab0MDel
fC0HwVw5ckbZSEe3XF7l8iyT1CmGQqBjG+NlVs7mkyovpXC0Tg08ifDjPLCX/DVxlLzG7aiDl9oK
7ZWIkxlatFPqLb2uh6LpZvo5qdpCnUB6cd4omWW16LAEsbLwBhEKxQRSFBQW547xOmkx2EFCjC4B
RCXHsNBwdVKjlx4Lf6y2scknFeZhOr2ycOIyMps4+Z3w2o6SRYp0R1M0pbmC/OZM4c5U74bWkpai
o994iYABg71RPcRL76nftRmSV9sZEnwNS0yf72OoeKmXDuP40E5IrZUo2x8mytWYCC7I/Laqt6iD
ZDVcOIRatmGdgwAbsRcEMUiNMvMns15pYKjvcjFVcEHLpJg9ChP2HSB8rb1MW2lIj23hm8gIWOlM
btxb2EUAYShTJOQbdKaGPEhlohHTeJcAvaS7dihbmjUZ9yOWOCnamR0xxGtJE2d6kNA5D4+NnyUD
WxbXEuTAUY/DNbMeHuCxZhF8vyh/aIbRJkZucG906K5LEnJ9lM3Xc29L4W3rtyWtryhpnlU0rHfQ
LcOthogmCjxxOj+iCIDrWjMmd6FeUlfC1cPHZkQ1UNiizoFWPrIGY+1SjinlQzsEcAUSHTrEMUS1
kKyRvWXudT7ZuyybRHQR02UmJw2ZfWeylO4FkCjSmclQAeZqbOMWPyA6NgOafjdI4jV3Kmn/gmfv
y+jChyZzGwRi7A6DoqDhjqzbs0EgBDUaD/ZnKZajRWq6mV6qxAIS3wVN1LtBzcfFVfhuj3tpDiJE
wbVgbHAP6qIbdXFY26E4XBVPFYJjV2lkwCDLgyR9ymUQCI4smva+xdPsfjLQa3Q0o5Qo9kfFhQUR
LPRmW1IyhOS6RXBnJodwswp5UJdAODtQ0EtveXZJeItctfYnmbp63+PJcyMMAhNFq+bHsprCSwh0
+GjQcvcEkncXBmUT+Fg6nQNUzmsJPvdk6HCxF2JTnSOvFpvjMY5bOp+mXCu3iIEpbwh+2+iqRmq/
TlIAnc8RMSC1zwlcBNTp1tw2nJddrcfdgZ6b+RvNJmuvWppOWb2WKxiBlZ9shlqOMhLBSF0rWizf
Ihfcb2AdoSyVRZP24DcpN2zfcSGZbdWF246cmK5l1oit0mkkWSjNId4LYtZe6TQn3vlkCa+dyxqZ
Dz1OX5quri+BFYY3CEuCKGRb5Sg5UP8rvFwCBYlhU1t2x0qplJsm6qI1DIHxSrZl5ZeoW3EwRqGv
qpI/CiUw2EwYiOk4GVS0EFO4H+upKSZ2CfrECMzKRr9Seym2Lmj9jE9UivI1kbM8O9lUtnucBoJL
Uy/NRxmhCNoMSndVDp29jYKEfmdKD5p8RQQU8GmMwQPyafy/cZb8VV829k1cQ9OTEfxdVaD210Em
5Gs1QuLYKdPW8jKuk6dOJriX2Zor8IzWiPJLqGTvPm6qrMQAzvEisJQm9PyU+3hLkA76FVKZvEsH
6PSxaIbfah4FOdZaiwMQCsK1ehNGftlswfHlF3Gr4eaLoiX+PFBA2NGylB0n8A20M9HJ+Csr/vys
NDqdEZlOW72lXDk9VDNS4ZchHUDmQstKvCfUDrTtYEfqX5VjuPEhe9We2sbQV3IpSY9BYFF1AMgi
jgM1TCIpqm4IWyu4KkCEV0mLWjQt4ElbDygbouNn9J0JIziOALn1WYY+aazO+c63EZr3ss4spTUR
BbIgKT3CbY7WQ3o/RTNql1I2HBTiOoyaE265dcEnbQ/urxObdM7yG90iyJn8hfAON7mBrtnIPnHL
snBrvyGovqbOaQW/+7lSOCjYA9HcoovgBRBOLrsIDpCnTnnbPxoomG7sYMLR0K8kfdx1yoy4qW5R
SOOIowA2S7PwTK5JyW0aQ4Hgbm7nFN82VF433BfJjT+aSXSRBG1yhNRCW56l2Ou6OT/QbQ+aq0gW
fkz9UA229D+D+1LCjEMZuvgqwG6eapApAhAlxOnx2swlUliSes7FzIQhAUz07I2zhC7ZBLf8Tw2R
NEMitO1/67HOpeVXYXbTQN0aPeS/4tSl8F3gzpDI+bFj1KM25dne5xq7IoUxrrt2rG8F7lkxUgI5
HYs+a9a2j4uHb7VJ785diQbpEhau46LRzBWsy2zbWdzDLlw3+UjjjMJvxZ+FsKquofLIx6a/aA2j
ux5gsrBKVa0G61q3UOQdqSxkDk5ZiQLyoitu1FhTLsccpbY92Dp86FQjosRl1XJxI7V5QnOn56jQ
6Y/INar6Oqg1nbMBqy8mvtkLP5xhBCbDXY1FHB34WR8Otd3NzarMAvi2ukmAtS5tQJ6OKNN+R+Va
eTSIvJ+Am09U6HWVtoNWYd8I2WpRw8Os+GZEB2GloctqEaJN2sWQRLWNS4NcH3JkrRMnZFnUda1B
FXLrViorx+zwlEzlNLmOUTjy14QJwqK2hHsoPVPLQLZ/iMPpDiRBWv8i7KkboGZVuEVwOnlvZNmS
Npmt9uENqbwFxZJ4xlOb1Mhcudds00Eq28pWSxsXjxDDGhdPRT0+cg0kIJfkgu8HZjubGlfhBxPH
QrqFiAQz4/Iz0D6kIPAqaEdsiBFlodkogxCAd4q8o07PNOVazvrYpz/U0NO1C9o16gh7mNI6AUBC
oe8QR4p2gClQIb0AMO5BLQPtUVNl00tMJXxD2QZLtFobS2yROnwryRYFlSmeeAz3k9WMT4jaRcY6
so1aXnHj2gCx+BgGT/iqWW/BNCvJLh8KykigE3FCIIAfExd/QnEJYZPQRljD9KvNtfg1GnP1pbL6
RgIMllu/Q5BNratWZVbTzQ+gB9O+sLni6b9QQh3MCqJcK3N1STVtohB5hbidoEEIcBkDkntTiT9J
bNm3lDCBgeBSE931WS2XVwm+SAPHMNYJWLSh7K8zLZwvQsRv/sh8V/+qRRVObo/aL2RGW1n2eWyN
v5RSaHdThaItXXbY2NslPDPpFlJaWlPPNiZnUHIRH8Ci5YrjZ5aQvQju3y/0m/w9QiVJvStgEZpe
x0U9YZNLMxmShbLc1EFP9SBrkZH3Sq0KENJAMCVZzbNP7TsJpAbt9FF7DXMCfFdNQ5+PCZ/W9iLC
b8TY0Tsfb9tEQqH1f7XjnKOz0HOFR4laeFKv9e9W16itE1KBPiZdbm2E0cWHaQyGFyVuK2qwsvz8
Myz1K6oXaSjogrYwiKJk7QQaWgyib8IOLrTSHKdIucw4uLY5/xdPDHXA4G/xDQ3oG6AtvUi0yDFt
RpFKOwF04yjlS/is0I3HeUqWjhDTHLu4opdbajc/v9BniP0/rKutKaYNxl7XZcU6eSHwWWXaoAnj
zIs/oOzfJ4V/+/MQ38yZbcoGVR6V95FPKU26WkpjlzCEWt6W5n0+ryji/zzEVxS0JWuyjHybrMP6
+kfh+ggWDguwMGGl0ZQevEpSHeyUZGCyM36RP49kfcFAWzJyeXzNseAWGG1/hiXnFfo8fgR3dUKb
LKasN6Bwg+2GMf7JUCaxz8KRPwuTLQvElCmKDUYEFDm6pZ8HLEo0NsHZak6TzihYISwl8NneRPZl
HOHQsOpp9xpnwNdfV2yBPYNhU+CdGvIpdl0JaGraYOOcoj8qRbft83atdqufZ/IfXPwznNyWqYAb
LBc8OHpyn99sNKUCIAkxNAZhbrMyNr03epIjOTiLrAqXINOzXeqObuX1brsaXXwQXSbdoVTiSh7t
hxU2Z153hiHw9UTwWIIyAOhv09BOt2tppV1UGzyWsK/H7rG1DmfeG4LkCYyeAZhZRYFGK6A8fH5v
KQ2oUlvQdvA64717r/cUV3GpBTmIxf/3e8Ndc+mQuuBjvP96a7CWbuD5LrVUtzxzgsRn4iH7bAHb
w+kxDRne7T825Ue8vRjK1LcygcrYtItoSgQeHc8YQfC7Zi2u/K2U7Q2nYwUeQufu7dykK19O8Mnw
y7n7cIJ7PCMLP2Z49EXgtym3lunmu9/Xhds6UM5Q6o92/rrc/gHK4uQOLMzJecez0o3PLP8/zc5P
25JzzUUFIQUAu8FN//lJsF4hZa2xGtSazq0WQ5PiKdYNt57CRWkEmHgpoRvyojSPDfUUStJYhZmX
P2+SL9cM5BSYPHxjUF8VEK8/P4QoMtgAeDmTR+vXRVh6ndwep9ho3EESN0oVe3SgzrHNv64Bg1oy
jERZtzj4JwfSSG0gu6GgtxLbV3X1VOIO4DTacNtIxQHZ7VU3GFf0cSlt62i/Qf66GS3VbdTkkFfz
tgmCyzIYjz/PxHfrwVOpqBPKTAa0k89TUTcTzU7YX47fvhaltpcJ3fVYq5y+uLSMzg1QKZDy7sFW
0mvkL2gtqa+KJs5wX75dEFumzoPetapYJwuCtx/yBSNQ6yoDqatLaLSkzlAFHgWybULlDtDYn5/f
/EsUsOyBD0OeHAmlnsB95AxZs/F1CmVy6Az0aLt6QD/7zJX/5dY7Gexk7Uc9ABg/MFgPqIo4j/63
SRb68xt9+a4wCCfL1BVkdtCvPPl4gqOd4i5X0avBq5Ne06ZMwGaTQvw8zNd9DOcbNUmd+9teBG4/
75jAlNpWahGBDHTrZsrld8PSKallzcM8m8Xjz4N9mTgLNQQV8cxFOsCisPN5MEWv+0aPE/woi2dV
28fGmZf57s8ncmL7M23cCCfbv7SBlgYFmLVpLl5bShrzYJ55hS/zxSt8HGJ5hA93rxRLPXgWhpCB
VJGKOvFgumbntQAlfp6srxvA1mQCW6InQ1tkPT+PVGZqJbW66TvovG8ECUmg9o8c+TNB7dfDyjA2
VGNFVQ2YccsLf3ihog2Uvp1tpEHFYxuv0aTRclA4MAC6X2apn/lifD2nBOsCotpCi4Mhd/JSg9SH
rV0FlKwZ1dGibtf7/SoZs9vEnld9Pp8Z78tymYyHfAJaJTJ/P72KInyfsgTJI0crXntDXGGydcxx
bdfy4Iwq7peRCAs4QLwUVgaGbZzcQNLSCc4R03LCxrzldxbboK/pcscqHkOtfGanf4lAiIgU1VyC
eBQdoIF+XjUZjcEOtCv3HdpP2p3Q3we4VrlMh91cZf2vvB9W/+F2XEbUTLaITcSjn95HXZVlmNkz
YhFriznEqtP/+sjN/sejkMIhZaJy78EHPXkvSrmTYucGQI7xaiyf9dqn7nUmXvhmpRjDYq00MgVZ
O7klaBaXFlR8Eh/pYFEo0+oLM32ausefX0Ust9mn4IiUQCNCpFtpK5ahn2SmfatOlkhROAdNJw5w
/VuvMqtxl+JxsJ86/d1XB0R7Auq5ZZ9vkwlKY02HdKXE/nhmd345dxbpqkE/Yrl1CdZPrq0BMzaM
1QR+WIo2AM4B02Jlmnqv4te4m1uFYp/W5Weid87X1ymAwbhQuUGns09PproCDdmrFZRQz/P2nnfp
7S/5p/XyY7121rud4/C3y/V6zT85O2fTOrvNxjlu+On//mVAP3l1js6GX97x9yO/j9+7Wn6dn9zl
h8tf3vKT6zqee3vrbfmx3zKWt/zE/1x+LL9l+a3Lv3hv+8fbx/3bvvRK/m2/58fbfvlPeM79mdP6
dcepmozEim6iRGIhwvL5tGodpWPaqiB8WkyE6j/odK/95OAb9z9vua+rrOKyxNmBfQxs+ZSwHUx6
NdctqOGCXdeXeIRE+n4Rzyojt7Tffx7su5fikGqyoZka4568VKb2QyQwenKStLyBKL6DXw3IGCdy
Rdr+PNTXbYQkOtoJMi9mEEEs7/3hG5UEKhr/QY7Ob5p4hf/Y4OpDgdCF/rDK2z8gEH4e78unlxCa
OAedhn+2Cad86lAkaqmiEu3MvVbvZR9vPyAKxcUoYbf981BfL3KGsnGCtIlXdELYz68WNUag6Tgy
UAy0kp2g2YAL3ZR542QUoUP308DqfOr3wHAeTVA4Z+7bf1P3+ZICy7eEGVzq6vIF+zx+r4e5PKYZ
ZXGncH7/V1atXgOacqYVj7Lp1/BQvcz9O6zhF6gr/w5W22bYD07nPJae7Ly/WW6wxqz8QjpzapY7
6fTRVBJtSh7LmVFOYoUZhGZsNoXldGpDnwJVAPVcjPV1COwLrH+SEKaifTkwYz8lAMI6kxzVpiON
7l918fP6nsiSERSwlz4OsRyjD3u3FFZnirpn70Yix3FOmjx9KrodGubwhidwLqrI3xLMIN0hT6/V
Tq7cnx/hm4O6XDxkqwgykR+fPEGW+n6o9TyBoCXnIm5yKBb92Xz6lWLa85+PtZicGBQYdVLxk3QC
RsZE24TUKG3x5UT30L7MMqKt5v9znOXb+2FWa6mHEy4YB4SBN4hLHwRRhCpNlZ4JFr7bIbbAmsom
u1zqzJ8Hqvw0CToB6gU7w9uqDP7E5rl9/s1tA7GZcEdQQlm2+uchhjABU5xSSkABunQatXd1BQ/w
UK/OHHaxzP7nE8XCfBjpZCeMSAhYYcGsdRoMxwgb47ck/IsTL4jxDIcjasLdC8YJFSqOP+8L8c0V
ztA63z8aAfzDyUvGHXoHQBi5VsR9FFwDtUCzv2puBmUjA2TQokPRX8h4S8MJro9hfQBY1dlr7Obn
4uXMs3w/4f/vWU6mQcP1FNkrpoFnmYpN0F4V8m/km5F/PUD4NnB/Gu9Sf+/HPYCUlZGsp+lMaPTN
tiIyNBQQvZQ31dOIQPSGWhg101HWsqC7VvK9Bq/284t+c/ANofHBRPqNEt1pYawDkI/2BP0yuIbv
SqGjkqn/haS8Qk32Px9qEZBTuWYWp6JF6O7jeayCodLKRDUcGvJPfTTdlo2O+WT6x0/Kc5f2aZTz
r9YHdMakCUOab5xEA+jEmnCc6ZOn901xZbTX43wpx9fR3c+zd7pjT4c5OfmZNVTA6iDz+MldAGco
Rd1bg2S8nbWNpmdnJvA0Dvg3GtUyA8oG9RH7dE/2Y64E/Ujz+VeG92DoKM/xhX+cAir3P7/X6e7/
NxJVdVNQxyY/OUmxar01WvgldKH1/aKIqUBT+A+/OCdD/PsmfridlUmtYbkvKzQ8zcOb0niidrN6
8/OLnJ6h01FOvjVKpCQojvIiLQAtpWucqT/zlfluqv7lL1h6LZXMk52mJ2WvVDoe2bl60Mcccpdn
qGfe4ruFJz0U1CdM6jCn7Th7VOCOKYACmuk3+nZzVrpZ2DlKCaS13ACZ8FCW+HnivsQky8x9HHOZ
2Q/rY+QJTGadMSVw+FqOyMnii7vHW2SYULS6GmoE2c5s8GWuPn57GBNQz3/JSS19spPVktogrkOc
lV2FZLOXU+D2f2O06+f6VfW3P7/gv9Dw62AUzbj0dE3TT/Z4tHy0o9rPXKQA3P4OOjtRCLDO4THa
tzt1nV3Mbn6kKj1Cb7yxd/amyx0bgk680ho3PhNDiG92Ku/+349jnAT5BrL/eY3BpgvxdWO4+X2w
Si79rSNd4vtwEd3Jx5/f/+yAJ5MdDBN06Jj3B2lo7cA3e8FtuzUZanz03XRXbt7OjLhkez/MuHHy
AZgHrM97ANMuYrARfcnEHS/i9c28Ui9yF27lmZOpLFP203jL83zYwmGHWHaGoa3beu1BPeBITmZN
CpNfY6n+UlwFzhOewlcsMWkcWhDK+swLn1vT5dc/PEAe1oXRFP8eoLlslDV7zFj/CS6eFKT5qdpj
G+ZIZ6o43+xrmo0k+KaMwisZ6nJhfRhUB1qYmz2GmZ1esra+Z0AbgPTSm4RN+puFVcWg/yrF5OB5
5GrIXADPSux3FcOiDB5x12w17JrMu1beGdYx6PIVkDTPbNbYGf88QV/P+/Koi+Ep99qSCnx+VDmy
QeAgxQVvexUNR5E9Y1/Wo1BhjH9/HunLSkBfRTmOfEOXQZqctjAaW5ox0jbgkBdFsa6g7VGSwCTo
51GWqf204ZZRSNLhSvLl/HJ/kbqXRh5ZqWvW2XzRFM0DwDiMB3Pj4eeBvnsd/NXIykmhKJGf7Oxe
bX1q4YB15TB4ySLpeVaCM2vzJbThXZCxB5JBwg8u42Rt8lZSsSBGpdcunyf1rp3B/o20sQOQ5I+6
8T+YOZwCNUqgMKZN5eQyVvNySmYMs90wqh91EeA9Uj/aQXkmpP6y4chvQSAsyBzyT5S3P2+4hUBR
ov6HBECKZMNwr+IvFehHRHFdrGx/XqPTyHrJpcnqKZiwyammnkxgBDEE0zCN2866M/x3oODZfAN7
7T8fBT9dIZAthNJqL1vyw2mf9GFoooLMTA7G21h91RBSK3OL9Gw+83H+0jheXshYkDMISJt4XZ5s
ukoLDJgkDIVwjzd2F7269RMYY1tJ2wsdM6+VYQCsGJ5jc5+1Z0b/bjaXbjoAD7rWwKs+v6eNb52A
+Z9DOQXSYW5Ma0cdg/L8ue7CN0cLaBB8E4o96FmqJ1vEUqMUDxIGgqPi0l69GgPt9uc1+34IUhNb
sOfprH5+F6VAsELTc4C/CGFAs0eRqS///DzGd/MFwJWmMjfE0uz8PAbq+hFqJfgdzPqrNYITe4ZG
7cjDmWG+ufGWJaGPz5Jw6Z0O08UJeso1s6Xti4pCjmZ6opHPLP65UU7SLHvoB1VEjFLjxzZH9SHW
tbcsz27+B3NGzsi8meTD/7TEP5wlCuExAoUMExi/ovx1THG6bbxmev15mC8lluUgEVr/n3G4xD+v
TWm00CAHxkmpeUkVxki/1eJiprUDVRkm8xUeRXnlAlz+eeBvrvRP455sbaWy06D3l3G1Ft5t6+ZU
NOPU+t+kndeu5MiORb9IgLx5ldIeV8fXqXoRysp7r6+fpbqD25lKTQrVgzZAdwPNjBCDwSA39962
EAipyrOYCs51iwteSC9JQgeC+IRe6czT094FfVxHqUPsAliSwX8BzEx5d/uVwL5maDpyJ58O+RZf
UgYMVUqcvBiBIh8BUGa3Q5l/jQykTa6va2EnJ3J9OBU1alXaXLyhESBdlBSCBPJl72IxbIBiNMzV
pVTj03vkn2xX/VtO3+lpBIyOrip3MsIKs68XGZJAJxLRDAVizK5tbUTMrRS+h7Vy9MJpI8LT659e
nNxcs4+GiF+Jpg2hQxMsOGFTSFbBkWUKbFLXd3Hpo5H0IYdJ2U9FMeX8o0FDn7cdQGNniJA6lF9b
Cw08pi2Vla+1dHNRdPrH0OyS7F2fAhgQb8eFFCCKmDmD/9JggMPJdSTfeURDRy5sYLxgmOA2UFac
c3FDGWzk05EZUmc/X2dqZcWoSG3qQMSxlYRoKw/ou8jZ8/XtXEhurGl+8n/NmLOw4qqNBH0uZjwY
81X3a6cUL6qYbWpZOmT5mpcsWptuSIifeasrs0UFfdELnTmyKL6XmGe3ovo9CH55bbWB22B7fWkL
N6Y1YZzAMqi81eeeIgmVWFQtS1OC9FFIlDuj+HbdwuI3OrEwCyCFOADZsbBghK2Teq2NJM2zGsW7
62YWF6JpEF+hsYHwy2zX6iAdklZEkLEyvSfR6F+UYOX9t+zsljUBT3lwgNo597Ys4F8nyJo5kLc+
uxl6ftmrQVUKGJr5wmC/3D4Z6r3xS/RR4kJ69/oCl840QCGDH0DuAS7w3HqqVoWrDUPqhOankKJh
2v0IGijK1kA7SxEY9Du3KJBnGmizI11qiMXJdMucUDHgHMk3fYYgAVgTcIR7MIR2gPLk9aX9aenO
nnfoRCGswgcEwzOvisZjl6adCr+zqimfmSU96kHSfDVi5TavtfsUDh9nVP1XvTSeA6gibVjnpGOp
duKNmxRHTS2VXV4XUBFIytv1nza5zfyXmZx7oMZoG9GlPd/1MtekLhgoNJRwNimAjCvYvnZ58mua
jxqs12YN3rj0maGkARNIRKNtOM/74kYL0CdI0XKj+tx8N4wdI+hOsKaStLiwEzuzzA9SJ2YLM4EC
e/tW949tehS1fpNoh9y6l/Jd3q20YpfCAIMBSOdMp+ei2RvgvMzX+6TmJrrdVKcFobOrUlq5kdbM
TNt7kq6odR1Wksn26dZjZ2R2PXob+JuvO8XSEQHKw2ea/BUk2LkRE6o7ZuyD1JH6B9eHtRuWSONg
ibs63frDv9m4E2OzD+WLZcbYC8OMKHFCDnQrBxBarilk/HlOzP0csj2eZaoGVG+uYhVBzt8VcH84
BdSxGsMoHQK6eluWdgc5l5y5O61TUSOGC0ELI0dKfyRaeh/11q4dcqctmBHQfmtFsRL0lrx0mseh
LcPddNG4JMzDberzoEtrY1PnAKWk31Fe7TPpDbSikN3nyeb6t11yIABTKoAEIGqc+/NvmwPJhVc7
5tsWSQgRaYzuouL395Muy78xNeWesmKhLD2/spBqqtzUYnFZOSKD7rLV4ivzHC/XV3RZj8YG0wGy
zJtb0kl0z5ekkCUm4vQqGlNtb0T+W1sH91X7a3B/Kl13NP3at7VGdDS1e5GCfqvB7bcRZJERRygH
rv+Y6WjM/ez06Myu6ajyqkrgsnbQ+RGMBjqtFNqQuzp4k9uVjGAxkv5zcOazae2oih0quGRt0pfc
PMDlUUKWkR+vL2jNyuxa1mER6isNK5Z5nDja8k8tc5jdvzgHzHGBrtZ4HNHMOP+Eqhe3YcBoJjBk
b2M1DJ8HlA8/A9CB2zDYIUvnmMNaIrp0FKwJlw48ivfK/CgEIbxTpUHkIYvfWjHcFKW3NY2n6xv4
B2Q1d4lTM1NmdxKya6kIG7iqEZCk/vsG60ObH9wqqMNtqxnDC6TtkrsDrg9PAA0nWAhzyWq/Eau6
zWBJcNwZZhuj+glPYPaMeHv93jcSyFLBrSyDGbsSVxv8Lru1ysz4nkAT/tzqJWAPeM7NF6SmrKce
rIDTJm71peD/AvMj/cKPuDD7fe1nXrTzIN6r6QpCFw6KkMbkU9lR6dpwaKveCWHDgZJXEaNd5/dK
uu26Tq12BtPGkMmOyqYqjfwxdwtIXIIwZgq9yWtw672W7+DlcBKvZpaoUrOUlhiaOAzn08B9sKBl
gKRW79OfQmMEH4MY0dwJjEIEUohezqbqVTovMFR5wMbDSb8iag1lIxue+MK0eB/eN+qgPwI8svpt
3eadtzV6Zk+gzWk2cq54QCJV6LQhuNQRuBdE993PAare+4lsJE7YKcYnqYSlxffg+u4R5dYOrulx
F8Crm4isPjTeOhhl6bYgtLqHRyLbJTCtpdAg1SAEYUTubluv6r8xERLCEdsL+RYqsDxeiaRLh/DU
hWYRrhy7sWxDjkdCe7NyHxr3GcY224xer/vqZe+WUEpXhcI9VUy60jNDVShCuzcVGIf+U5odfGMb
iruheDNNNInDW8QblDX45eIpPDE5rf3kePRMZUNdQEWk9BMnl1Haa31YW/Lxy/W1Le4h05TTJBlT
FvMc3KqKsU1j7EBicOh8dZ8h5Bkq+nPedCufa3kb/7E1hyj0Qwp6dSoFj+jXm9/F4QmBDWcwv6k5
M9fbKnqCAmTl5ll4ZFBY4q2rM5pFJjEfIIZx0SuDqqBIZ917xWPW3Zf9D8//NmROqMFvskN0kHMO
OfRWzmtQvJsg+qjj79e3+TKjOf8V8vnn7KQSugefX9FGLYxkLyARN4BAHdffdPlnP3CCauXdeulA
WASVbEwvfMrvsxsqhfe8D/waymbI1vNCQP/ARPZkzcxC8RU7ZGq0R3XadPNOk9u1cC+NCF9bnf6i
Wu1T0PqwovjWja7Q/YRHEcENhUceFP/HICuKrQlNw4prXeYXE2YVJA8T4oAe5o3P0YysPJgqsUFV
3ZPL+nuYABgQGqDns+DNtFXNl/8+KkwrZxoEwBe6oPOL0pXA8EoRRpMC4axfkT/YyM44dA+F5Fs7
PAzy3TCu9W0WP+uJUfXckcTEjb1SxZF6bTyEkv5R+/C7l+pK5rFwVlnc1IKgtg6ufV71EBmzQla0
oh5AOz+Z5CFeoYs0k09mBXnuNqnu4QhcOauXsWiySRtx2lLu3pnLwvfUWA1KO06V/Coh5AuzBxfe
xlT4df0wLu7hiZ3ZYXQhQ0Uci7WV1U0Wf6+TrdStpDfTZzjPbs6XMsvcytBqwDCxlLp8GkVkyODn
vL6Itc2aOYIpI/3ppywiQv+Im+IYBeaTEd+aMpxv100tBq+T/Zr28+QuSnIzpMXCYlLzk2D8FOBW
RlpA4eniSned5NpVLa+YXFodJwoZZ0uBZ2I+k2QhfNF3JhVmuVY3fvJpCB7SNtgp/V8/s8np/rFj
zGq8nT9RuzAp4qACcwsB1LZmoGKMvc31HVzyuFMzc8/u41ZtkAByGgHQTGdufaQx8qRaWc3F+BMd
hikSMURBx43x8Jkd8H+Q2JhUXfOgG2midK66k+smQKkJft7kPpIh3MnNQoBDKYDMqxzSr2aXtLdy
heqI3ZWAw/5+5WBRJkFu4jJ30bnv5CjZWJD1ZPQAwX2VKKSj5ta52yaXfv29pdO1y+eWDKVUeSaw
dgTHXjJX+lkZ6sbIVp7VS2fh1MrsYEsQNOeDy5c0us9WDUd7BudD8QTawYcHzYw+aNv/i3WZFJyo
hEzJ08yih6AaikiUuKfByl2ISMpNBuyL3masrXyspagFcnmCwHCRkuyeb2FdxbWXTaaaRrmDLv4x
SHXn+moWLxa6YZOfWiZY7Nly4NAJ61Gkz4GgJ2S/jjIcZBEWtZ1SbyXrUQYmXTefrhtdiiZsn0lh
BzeEPuF8XYJgiUPeU9yeVAEMqXbicTgmqrrV03rla10WCUHaU6aH8Yo2PtD7c1NoWhTlGMgpHcXE
HoXN2Hq2pH8p5XtU8dLy7V8s7MTarEpoJB3U77BqOz5lYzPdKyJ0Q1mF8tzKDi5GFm5kMmnA88SX
6Vyc3AHCWMbo/mBp0MSNqcG3YiWbAABwXaHtaKCpMHy2Ougzi/7ejQ0EyYYVz1n6iPwAysigqCbv
Of8FSZJB3tBx4fm8st3kRwNVP7SgR9EKVr7h0hmf8GZA+C0q13N6GSGduCcEIOFWqLQf4jB2pY0u
mlHZIpqf3zJ9qD5pgdfVDgITGs9BcsR/8RMm+h7mcnGji1ZuMOpmCg5tgrR8QhpqN2F360fNRPfj
iMKCbSCqct2VlhyX9o8JnRM3FV2Z8+01da+X4KPMnN78NkpksY8JAPxK8m1EHL3KX/maCxk735J3
yeRTtO9mX1MuIFMbULGZiNOL22JQzZtQKH3kk9Qw2CpUQfZ1bVbuyiqnVZzmZTT6RcYMZVbJc9CY
t9OETi4KtKCZxlGEfVGYP5RIRp3S+nJ9M+e++scM6B1ZVAHxSH9O08lpGVrIpTkosKbV7Z3fJ7CW
omKRDVtafCuwuKVpwomxYCpLTBgYdZYIWqpQFXnrQzICLYL5lMMUd/RkReg+x3VehDslhHdvC6Oa
+VlV6j6EJHJk6k4IIoDnMDcFR8T99PcYBKxx75Z59ysWEV+4Q65mipYQOiabLNEordUjJHQ7GBjj
34OLHNZGHwPtXaZq9SiWsXXD6EtfM1fdta+5XyJ91Ct6Ck9NnlJtUsIeMmPgiG+GPnqvU6XvCwR4
9TFM++aXa4T1EZ2bPlzJvBa+xBS2/jvQOP33ky9Rj23XIYhkomMmxJsk6j2eFWLHQMlgbatM7F+v
f/k/BFszD+PyBDRA3RYg/Hx4LUshoG/M1KJxqtu6kt/kERjpuEO9FWZW5K5LsXitYNFTw56ZEzRW
svQ2Q2LQQL1DksOVh8j8nHGdTw1MmsfgTy1Dm2WEVjmGcWAIri2l6rOqeqitlegqVodw9D/MUTpe
X/48g8AcTFngMvB7DUbRWRTxolwX5EYUIFcM3LuwMn53Yz2uuPzFIWaSZhq4Jqec6nHzNRV9nTa0
qSHjq62N1NyMNX5qDn/rOTMrs3xyQOp7bEOstAOaKfAqNWisDrB/GWtwvHnoJVpMhG1cNiyKHGXm
o1oeD0oRQHidFN8DC8oo82cRVM5YPITh0ZBXJiMuPWJi5zAZB5mqNVyl5yeCWXkFLuiaeGGOB0Vx
n+AktaWmvVeZ11BGdyXQLxxAdoQDQd5FhdGcPObkAIq6RkG7skw4OiTbb7YaWCFjRI84XTF04RXm
RNHFBD7sEhNJ1CzzggPOzTzouG21/RZkIvIexk5QspXzfbl7WCH9QRGRaAutyvlyopx3EnU1z8kr
6UcNfNJF1bAXDNSXShJnqTL310/U0rIUrhKoM8iagVGeGxybdGgFCdE+I3tNczQLA8OR9LXNuyiT
TlRvhkp6ByxOheNkdnBjuS+TTIh95/aD6QXbsyF/+PHZ2TpPK3XJi74kluANU0Glo9KgYOt8QT5T
ky68oj4TKuUGGor9/q7axDYMEdc37s/OnEfic0Mzz+sUuUdxCt1sVCL+cPiV8PiFjr5V+CeFRU5/
Jfxx+/Gxube295929rGfFr5//KHad6pdbLRtvtW2P+xH9Mts5hHtz/vti3N4+vnzdq3KcnlQzn/u
7AugPBV5pce+CEYbOkGTBvtUytEg9qJnQ+ukFfTNpSNP5kzgiJRtGZifPR16SZMlaje+Ezb9DVTo
O7EwbkAD3Pd9vePKXPnsl27MiCXYfao5AGuAQp5/9byRU0TyKHSjtHBTFSICakN3m8vC4/WvPs/d
/+Nd/yxrFgViVzBqs2BZvunaivuBhMI2qrjvm/6gwIKla7Fk6762cllcLI+X+cQZRaOWUE7H8nx5
o6dWitkXkeNlo6NDGaFFTIEpK6+wJSsWnw2IEHc5sJpzK7LrW5DVQOfbVXdaifboGKF/tXJupmNx
dmy49yQmLACrEg5gVjo3UkRFLippF8Gw1Rw0lA4IhYfrH2lhHSxBxxeI1joFh3MTzeg1SlyyjtFt
31GQ21XQRImx8fc+x/XGfDSoYjhx5/Vk1dWqQppu7pA+nYa6WCPeRfHH9bVMjnu2XROB24mRWZqA
MN0wxAx3O33AntGYPjZVDNSJ+5snRuz+9vvy5brJi54LTg7JLxkWYRSAzHySvQ3yDgGEPnA0OXjy
O3mnItrWl+IPSfKe+qhFoUT8TF8coqNiE6hrILKL0AFuBeV6Cy8BNXThhg0Ct3E7yY12YlvYdWf8
sJhj+VYojeRIUBxu4iId3q6vecFlOFiQ6DLUBBncfF6l7xCdCvUscMpQLra6lkUHsthg63Uc6uum
LuYcaYNOaRjWKHrD7jb9lpOUxQ+Z32oridakt0O724auZZuO726Msn303sQ9Eix3KM7d+vG01U4C
z36/15Nwl0fiUWgeSveXYRy1biW5lheOJqSfKoN3oOn4kbNzM5ZDFxWqHgDpYeoLfpyQLMpKK3RG
PEmnvDtkge7oaJCXPOD1pj5kmaw9+rEsbMWgbNxDEpief1NyM9CsUlxlg0yC/NShydBuSjBdKNIK
vXBrikGqOlKE4IqDBjHvwCIplA/wCKgHwG0ZNivx89KlCaATGwdFAR5GHKjzPS81FxHFNKLpg/gN
Ep2ST5f4KNIwHXeGjO59k9tWufXTFcMLfoVdlfe3aEAvO58CGAs/dYUclQh0AR0l0jZZJWw8Q9qu
+NQUNc/CBOvjboBWh1wYFoCZT+lVb2lJmfKaiPlYuc/7+8ky32ilRegZQrlRB9vCvVG8fZu9o2XY
my+l6Pjttzy/VSf1gW3ffKKQcP1nLTgUefmE/uNQMcA323WE/AotQGYHHbg9olG2RNi6buGi3sth
OjMx/YSTw9T0BRg1xjqc/AckdvSBaQq3N8NH973/skYcsxCYNFhw8B9mORHZnMViayz6Is6wZSIY
PSBvU32qZRWBT0YRVl5RS37D+xNMyPTmgCX5fFke07Eeuo1cYV5+QJRt40Xa0czEle27SAqniTkC
kTW5J3fyLK+IXbntBbEMHeZ6lTsKVuMm79zcEcdWPEiBp6/czIv2IOrjQmPu9uLyj8qxlSodcQLL
j2/k+osXyKiv70T177cP/mKYDRlU4iKZ50uQBbSyF1SsaygeuLF+1G6x9wTz9br3LS2HRIY8l3kV
xkZnX4k4OPqkzqETh18l7Wfb7nTlZ+6vpADLVgDLwQmpT12Gc18IAlFiPFAOHU881uPPEefz+seg
/Xl9MQsuB3WNOjFW8MYlqTk3E8Y1ya1rBU5IJr0XAi25SQo1CGwLzN5KiUVeiFd/OF3J1nm6X9yB
IbR2mRFEoSP7nfiOurvV2qkfSk/9wMSoPaDkItsicNHvVdoBVkfK4y1G9PEuQW3HeCz7OE+I3byU
9zCEikh7iJX7s0Ky/HX0vfiHYVTaASlzxGaG1jS+qGEmffv7/YIdRyRVoRfDXMP5fhUN91QnuoED
Hm7j+khOMVtrudbmupmlr39qZpYvp7Ib0VDDDKIUSG4fvBpMbRQhlvr+LwxNCGWm+4nX89lQSy3k
fFTJ95vEgGo57VX1s2RGxTNFG+XHqPskBtctLngcdKDUUog/TJLP3xsAH6XBzAPm7/XoKKCHo6LJ
69bB/rqZixR6qrRx/RC5WR4R7/xDKaXsguD3Y7DuJcJjqKnSSr4ZrAZlVip8eVFvmub3v7EJuhXF
Ap6j83u/dkt38AxsWgGkey1ue8ylpzLj0Zg8RmsVvoWL6U+nQwFWC453TqsHpZ6mZ0oUO4qp34ok
iUlrbPTmd1BDE26sQaCXPhuVFbLzqRpLB+t8PwuXlj4SQ7HjjeaNqFH7NbWtXK2EiAW/h3RKooJD
cZnX1SwcNRpCqpaAtKeY6fupiBAmud0hmmqn3cptsbB9+DvPXno3xNi5g1T04QgofehQW0e7UmyF
e4LI9z6tarTxRKC3cGGt1EcWlvcfxmxK+VTy/ySsJ3mL4JpCQRkVmZ5OuQuLzklEASGN5OB2fzsn
TQ5xZmqWtpgjvZEiovAbZe85NFQoM6FH9eGrK5FqwS/O7MzOWSCKtaak2EHkiJZetTXq4NCM6t9H
DR4p/EFBmxnlec4iBmKplih0sXPmppHKBxeh8jQod9dPsIoXzzJqlfYsuE56ehO7+bmXK22ZhWEz
6baGnzu95IH/ct3AwnbRwQdJQ/8I/tN5RzR388jXsyZydL/jpCa7TAEj7v51PX56+RD7KIMotATn
p1XUKtMXdI96S5zd0VCDU1G8adKfMJQiKbnWRZ/vGtcHhX/aUqAGKPrNn5BVoQieNFUoytRk1FS2
ZX/l2l20gGIKU3M6z9T53EniZgy4+XXspBDkWKq7Kcq/DAd/1nBiYTq6J0cTmLwZo8rNIyl7at3b
sXsRw1srqlCPXHGB+c30xxJdJgrv0zDEvEvduG2JzBqwhnB8KPqDWBxcf5syiWg6frS97m5/tv7U
oWfG5rS0Rel6ZSphrCw2iXzfDfsEsGy0lbyDrqIEzdP0E3qkmXswlbXi85/66zXjszvDFRIaiSrG
i4fqSext4c1yhm23/xnfa5t7RoVoUO4/Swcbhg1bohKeOyAzHdPptontr/2c+dGbb8UsIkIR4AFA
5deIxV05OLJ18NYmLqfU/9qCZ8Ew9y3XlUZMNPGm6RGQt7VxA6QjtHaC6VTZysPqou3xnyUZjA2a
aHSQv507LRLTkYpmLJdyvqvqR3H8QCTcrD4NSHXXv0zlGKtfc4YjKYI4mfit0lawgUvHkhyOUiiv
fZK6actPDo1b6F7YKKw3sSqHIRW7lVfSuEULjK9CqayDfJhbEMccuQx9jIF7oxWU3IuBulKZu0Qh
Eb3AOIA1J3xNsM3zRZRMqyCsKiLJiHqofpsMz5J1EKJ7r95m6BRbEQQjjl7w50rlfSkQnBien83I
aL26hUHPYWzAQnxe+R6itzu8VfmNVG+uB4Il5z+1NfOUEBlxiUJi7ORetkOENx/lG8EPVqysrWh+
xAp0qIcQK76i2Pr4KU5vhYBN/S7WB5h9V6ytrWl22hoET6pInNakOIrxtapv4DW6vm3zJHE6YHTQ
6S8BVAEUMPMN5L3LsqgbpOZdtdjoZfArgBXdRgpx2Pq9R5VNr9Y4RJY2kRSEufypc39BI9yjuRlY
Vcuhil7qGk1qRxDfMokRcdQuX6+vb2ELacgwzkFjRqfuNFuf2rRSJujYqi21R6lQf81rfdzFBuje
65am/9MsNKKwpIJG4GEGGn9myRPdWutMQlWQBrYE9NrLHtUYfT8JNMsEdFV2ppZ6K1Yv6Ir5gKdm
59oN6FFPvN7Ej6C3DtNUHENpGy94VwY0ZwX9pspfS8+/bf1qQ1rhuDwlnQHsQjimdm28qSGa2w0l
RunH9e340wq93A/cCqJoEpp57bb00P4yUpyXyXkIhhovuvG1TJQZKQrCdxkyhi+mFVvHAGrUQ6gy
2lM2dYdunFxTV65HaI/GyP+clrn4mLooTWzErtZixh2jhupk19c3aa+A6ssGXdkgA5r/bNCp7Day
kPQ/4zRUf/luGewqtQef3QW6/N1oSw2ZzyG6HTwTYAqpw/jcWKWEU4jRF7cqgiOC3dWuSBhbv0N/
yrqPxDZb6bYu+D/8KCoULBTzYKiYXSpeI6ptgmi8YwxCsBf0Ud7qhXXM87I8KkqWbAaTNuyQqe3f
32a0kw3q1hRFGVGZ1XZ60zfCcfSgosxf3VSwg9WMaOG4nVmYReEOUOcQJgzfCUVuByhlNzfuGjZm
IWRR/0QDYKJQBK4/275kACJhdSGrkO7EftO0X1pjp6Ag3L1fd+ELVBpnC0vERW5nwHDz2lGjhIY3
uMiANU7/A4zeJrGNXVTYtvwSHEcnf+qd1ckw9TKMnNmcnOck4zBTuW51UHdOv0P89rbbmptxn93F
D8URlsCddlzLGhfi1pnBWdyKtbrUjRaD4t57Tt6Cu+jYb6mVP1/fzAWnPzXzp314si4tD3y9KzHT
7oxdE9rVTmM57Zf/n5WZ/4WpP0ioUbF7P2guPLl3zLgKG+V43crKlsmzLMD0ZLeOO6yEd+4eIsDP
1abdBjtjpZhy0QWa+d+cuKyRVLiIe+yoT9KuPSAWvyUufKBq8XR9QYvH9h9H/9NCPfk4IyPM1Kww
pIuH0d145dGV366buOhVshhKeOSgE3wJ8pqZnzVIhYv1xBYqxV9y4YbYu8na7aA/u8bOtPaR/NsQ
d9ma5OK8IPUfqyiXEC8Q8prXEDW/cXUljqFusVpmrGskwA8Fl0C2gpr4P5aH8DgtfqA68yEiKW7i
Crgw7Nh6s82UwnbNz5n40WW9bbjS1mxdSlRCs6+6ZOON0feV3V34gkwwTQgHHksalbfzsJGrjOar
mYZLMjq+zXcIeIB6d/Jb9+DJtrXXGOHfSy/e5+t2F7b3zOzsJMRhLal+jlmpumG+XlB+Dtl97K6N
7f2JtPNkgn4X/B/T4oAQni/PEI22LnyVwjPMiHR4fb+9Jz2gwtQI1UFUG9Oz9Sjvv5up2jykfZcr
tthGOYJtUXXTIf35HEdZ5dk1ioFvJeiOxyIWmu85lLwrt/tSRYLmI6ya05OLztbstwZJTuZrWIhH
PjXvlp1sFSgVN+JxvMl2GXPMr9Xh+kdYuDLODM4+gpZBvAM1JptTPaFhBfp8e93A0lc+XdHsHVKr
Xm2ibctXVpjhtzMBLclAdMK/LbVyWBFpneii4UZWqFWdf2WhaIsmkMhPTL3YNk30kKKj07TlyrN0
Yb8Uiu9Qn00zJnynczPoktPiirrEacxuA3frpuyd6xu2lKIAOp2Kk+BqAZCfW+h8Se0m9UVHHpxS
2srptm1ku0pbu5TWeAUXPg7VVjr46N2BIr+ANYlqHrcusdsHIpB+LftPdbYNozWvXlzSiZlpU0+u
CAYCij4cyIWGvfXixbbsZM/GbfzJfQSd+Jt3DXpQ8g4mkU2xElr/XKezw88KKffzwRhEmyPXVSWC
aDpihdKL9qLeqFthG35Xn75rD4yJtU50REe4OcAf7gRHxRkO4b5be2YtuMzZT5gdsUizAtkcpk1O
v+jmPRo+1x1m6fo4MzA7YshntVpgYUD7wUhp7dqB3drqJqBd7G+b7/pKG2rp2Xhmb/Y5/SD229DH
Q/1jcw9pXbpx78a92tjjTWpLT8J++Nygw/yuvNZfVpa6tpezwyEIsRKrMkstP8IjMsvmpv0Majiz
pcmRnPo52v19gDxb7HSETnzXH9qxpc1OXEEaQxS2Xr+GBF9b0yykhCKz3sm0plSOjnobQnW5sobl
Y/7PIZjy65M1FLkfF+PAGorU21lK7lT9Z722a2l3/fMs2oFdkDE62lDaHDKotVLutwl2Eulp1Hrb
M7/VyoMVro2yLSQsyFH/Y2fmgDqdBxiJeCl6wuPQ3lfdZ6FZ87Tppr0IHCc2Zp4W6a5c9S02Ru85
dEGLJdsUqWWvO9TjvVw+BRD5Wd+Gf3Fdni1t5m4M0llCYE7BQkX+oHIaNGqhJlXWPtXaFs6dzs+G
2mpYnmu+aPmn0uttZU2+Ys3GzO2GbHQTucZG6T2P5iFDJltdY+BdqvKDA4c1g3xp4oaefafGlAOg
4GxYYXns2MYKDjBYlBDLGeLbMKC59V7GLxDAQZ0AOW4M9czmutcvPrUYFqHUPzGyQDt8fryyqkiq
NsPtm2KnGE9tskslb9cXjptYtmh1ttjfxdnKWVsuMIC0AZH8B+Aw+4K15uvlEJBYlZt+4x7z77Be
UV+wnNj2PkFAcy8+9wJzFyuLnRYzPxeQK//X7OyjhoISsgsmz729wbuy33m2Xd72TvNRvBS3a8/Y
pYhyam2W1YGCGYdSMqhQJodcZVjSMStgs9vri5p+85U1zXFLpZXAzTdZ0cqPNAdzc2+2uR1VxEnm
nj+uG1tMSU7WNJ8vkoSiHwsZa1Cc7pn05ZOFn4wHUqDQTphusuUPj3qR//yi3JTg6DYIFbXhWtKw
tuZZVpL1cKMx3RA746evgR3dj4fK8V+s7S/5yLC3Xe7zwm5ub/uVuLoUEzitCLYxHQmH0cxrx1yK
MlMkFYzLTQnr5cTPJjxf3+GlV9Ske/dfIzMf7UZAWuXA2updu9EOzQM1xW/JXbdx7XbfHZq1DG8x
Azs1OHPTpkQmoZIwKO+leOfu+1fvKYOYgrkxGw3ClRfC4h6itSuRuqtTa+483nRUd61iyveClOT5
rg4P3dozZ9nEf6u9cxhn1pVhF/SENDUJbTBbfeTZVbuyjoXEZyIT/2/ZY+aCbRSJEMJT9siC3k7N
B2kt+1+IHpRfyf35O6/Y+Ws6NtqqBrlAXYUgHAm/+/5Z8O//GuXzp050Yma2jtpXYNqyMKN4d154
1/oHzV2J9otbdWJidsWMsmAWXoSWTS/TM0eeIvderx+ahS9+tlfTLzjJEYXSK6lHsAj6LnZm/fYh
YtTyr9eNLJ1MyCx4ofNGn5Rypl9xYmWszEjIZayEnopeM7UAP7ZTxU7TB0oz2Ou1zVht8+ytb97c
NVDgdAxncf7M+uQvJ9YjQWlDQcThkjbcQ1r5wjTN7WCktqfo27KKN9PEfGpW++urnmLaNbOzmBfE
ocfrm0WPynPl3sXafS99Ucqvyhql+OU3pHDwZ6YULXZGVmZhKKm6Qq9ExiqYxvXtqCkeEjROY9Ff
gQNd7uOEqECyj7l7igYXeX7dFHU66JGTpJWtNvd5/9IVg9MpR7Het8YjxCvXd3BpYZOkO/1mgFsA
Es8/XJ8nepznTIbHsSNIb5H/LFRf/l8m5ngDrdFTy80wkWvNvlQ/lEZHOGVz3chCtgpAdBJARAeI
6YJ5SdmVYDDy0cB2RslOfpuoIP627Py2Uuy6tI2vwr3+gvb34brVy+BxbnTm9oOQG0wUYbQwuq0e
VptuLZIv5DSYQBsVl5CAuM1LyEVdez7U45jYpq/oyTrJLtynR+suPsJdljnpQUnfjX3uPHW2dRfu
rTvteH2Rl7H+/BfMgnCiCnoqBvwCo4Wq96jJ21ZpubPe/9oM6MSpwAhV3xRMzj2R44UoVhOwwOZN
s26VfmeIr0zhXbfyp1p5HjIAQeIhjISAVAUHd25GhJijSOKEjNROnqN3qbW9bSg5lHXs4CbYu4xv
K/Bq3Ldbb5e8WKvZ4cKBO7M/O3BFPMqVRe/DgethJ23infpFehh2sh2/mfc/jf23nysLni6wKwue
t/gacSyT0MSg+1WT7E50ovf2VrKtrXbf9DvpN5J/9orJy7BMwwPA7EQlOdU+Z3dqKA5CqfV4TLkR
XsLH4qF9CcGI3+k55bNxb32VnGhTuI6irTY0F5yVBytiHbTyp0rv7BrUhEGXItfDi2I3tsfCfY7F
5qEbheooie4as+3SQk+tzc5/ZGjhKChCBCS4iCCH+dan8avsfTFH+TDUv69v64LnTGoWk9AZ5K8X
GmthmPtuUfAhrcxzevFbPzS2nr9cN7IQ0SDIJNLoIqP02rxG3kt9nRkWyKOeYQMNodXaeJo011a8
cskMJDzcqQathYuRHC0wE4TQO57YFPrB1uXm36fycL7R9Ztm2Bn3mKMEAisQ4GsF6DIipCUb71Yy
SaJvru/W0idhbpgRpskWaKbzYKIaMePLJo02wXxqq13cbDRlxcQUD2bHlylZJgCVidb4okE7+FYi
FS0AYcPdReOHj7BuGBxz2rTSjsF0mgtrUtL/GVC9sIk6zERpxarmfT0fTiXL9xiHUHKzGm1RdQcn
cUX3sVcM/NzwqaSxmbnqQFzebKwOrqtCMsGuUPoSCpudF6BW7QQq/sFYdceuE9R3yMl5jQQi5Ohh
rkTjplVIqMREr/1908UMyrYkV3dV2TV3tBvLh0IavOY2NwL1UR91bp5xGHdyPfi3upyIX+UhM2/7
wKyODQcxcCQpITdTR1UCNElnomRk3NJ/J2LW70bVHL4HwqDBEOMmLz4Ivs//Q9qV9saNK9tfJEAL
RUlfJfXq9u7YTr4ITjLRLmrffv079OBO1GyhieQBd4A7MKZLRRaLxVrOKVO7uyFOOm5NyHgs7ZDe
lEWhA4ptdPojySh976uo2unpFGnu2A3t5GuhUtyx2O79Wc34wFetYq5Vz5Jmq4caO3QU9ubWg5U/
DEXdzjfoLh2CB0dRjftkdOzeG4AT2rpjEbEDUE+n17KrIwA3907oMq3VQdec0l0UGzM6GG1WYrqh
m5LBnfVIuc/0Qn1PqxlAN20To2/MMivM3yiJb5XTUB97UjSY9M6j4qYoU3bENhohEMjS6R+90hlQ
/IY0f4k7HQjtgGdUt0XTxL+atsp0cBnUBZJAloUpgQ6A7O86GdqvbA57jtdtJ9+1sDY2ddgREH4V
mXEiUYOseksDRXJ/XCZQkIIGQAwcOQe/EVuJYsSqkVIxvPnz2SMj0jZKu5sTdRe3JchewPusyPIM
F+PoMHPbRFSAnkTQoYBi4vwk93lVRSHvuFSekaAqTu/Ms2Y3vyUvL+FdfxN79Nm8SzeV3z3k36ON
jTAMMIWGRPM1t8iJ44CVx9H6xJSrGYQWAe8SDl66paHhdqM0/li5IO2lCOHKMoZgZHYLEQ4IUcAT
fjt535FHtlz9wSl847E6xKfadQ6yTiOZakJ4B9w0i7UD5IaY8FeyyR0KSZwqkyBEdu2kYTjy01Pi
fDXx3ag/Xvf2K29sGyEF4goMLaKPQGyWafH+YJgORezIdOWb1VvW1yIKkUSs7AJVH2dusm0egDrZ
JTntZ7eNglj321TPf9ahkcB+AY0OONu+klwSa6ovr1Mh4MrCYBxCPvEwdF8UhLQ0khTn16xmKYB/
wOJ9b9dtyvQKbbTVoL+merGr0HlvTuWx0P9C0vJKFV4bTl7AoyRow2zGb6lJ/aQr/boA5JwhI3KR
Xd7CoqmsY+Wg4PJupr1WHxs8tWU91SvxIUjICOJRdHFjXkGID+J+0nt4M95TXWxzE9wSO/ocAcaH
BNruunHKRAnrNjI1TycFue+gjPdDeCgytCWC3Fy9jSLJq1cmSli4UbNCULWjUMHGwG9p7E/Ez9gr
USu/UGQgu2uXAebVwO4HMjdQTgvCqpD1XQPiNm8AY3kD3pDIM8gexIKuOR6GRGYUa4a+FCcYeqOl
ZCoUiJtyVPt7f1J/BaDTzF6v79ZKpR/wpGhgxQAtEi8Yyzw/UL1jAiC0RAd8t+k2YN56/gc15B+4
cmrUmmLX2Kn74cbZl++D48t6S9cMH0E+0raASLts6KHd2JmZCdkRKAXQ222jT0Sb2ea6ihIp4rtz
KkKVxhNuVLBfuXb0QMkT7bbXZazt1kITMTmSz/VcpRM0MUuT7gYjrVEg1G5nYJegrBwkz/8/ccIZ
iydSZU0GcYbxI7N+FIiQy2B0o+TtupzPZK0YgC/1Eow+qXJbU/grLP5wXlTkGt35hKQZLs+TtUFB
q3ftO3sbf5eI5Z3mF2IRdiAMQneUKfK613AhdQCmUK/HDZqbnmM+dfqzNiGNG/tABGgneWfD2vnm
DZKc3QOj8CJdrhNp0RAygjVlRQloEOOGdd1zN5RgMqjvehSZFUfSNbXmvwCkBcAO+F5gKQhnD5Ew
eIEGHbEekJg2ivFgpl3g2nGhHoAn/w76b1ktXTwLmIo+my/ndry4PmOiJEB64Q8qcE9kdWlkbonX
jF/TqZYUAsRQ4F9RGGRHMAszvwieezxOiAZRZqUc7Mm6R+u1e91OZCIEbSYz6sMygIi6HJ2nOawT
AOCF4dN1KeLZFhURdimaUHWaHUixBwXo47czAdbmk4GH5XU5ojX8KweZFZgCAm8xtT/UFhDcpxJn
rSLPfW+5vRPs8draVFN6ayhI7l6XJxq8IE+kaZhsI0K8hteNUzZAzK0j5rE+tNxQr74Ggb0N43AX
sXT7F1LBW84hEgHBI6IjgUbObMK4QjqEZUcgmJbZPzqYm0vykBsaWi4l4i46Nz61XMgT7lEA71uN
gmyVF/Y6HsmTqzQgPyOqF07Pg3mfY5TGnDZOIrl0LqYqRbn8JC5OGtHKUFUjyNWCeWdEW1I9TsbL
QHYttJ3YjjWTN8fFtmsOVAaMtWpJC52Fc4GHcN6FOWSjpQWWQ020p6CNKgtvNRMPeDOXhMqrXmUh
TzghZHQAUcG4rvop1HLMi0ZbOshejKvncCGF2/NiRecyCbuaW87kOJvRbL8NTefCYhNUGWWjlZfQ
rdxRAgtQ5dcPsBAElbIWLPQNwUXXmmhnjrraLStctByVLg5e0MDXuWQ6FTUiJPWgmrso+Qgo9frw
vZdRZq+YErLIgFgHwjqfzhJfe6rNuiQLMJ071I7xVMyaynE+zRuwFdVe6eCK7Bgm/NJAR2mkyNEQ
2gXozuySYdMYsf03m22DzxNwfqhaiKmBXtdaC40lSMzGzT+5HR+BFxG6mR1KKpCr272QIxixAVpd
gCJiBxQdRAiz7imtDqySb/FfgXPiJOApjXodxbjruWGFFTBJyhFBjq1Mjmswp3Jzh0m87doZAcgK
IBwQ75oX8JLo0B+RFcTLuEPLlh2WJzMLTl1rv153r2urBvAdpO44FgW4QM51scpeiYA7DWtIaPFC
1Sk7AAKhO0UIeF7NPH27Lu6iLYa7OeSpMD7L0RwubDPqMc9Qx8hEZMif9+0BgF2s/0rx+puOnZK5
lXWbDX4ja5YQk9GfYj/TwhqvsYo9+mwoaN+FSKrDGk52W5Id+kVVV2Vm82C3xygDcSVDuZV9SPS9
dK0YjNSQFENXC0dUFPxCBeKzFiOpphs2DsAT59Y6KdH4rjSGvkmBCenmnf2mJP381g5ImbbJRLwm
jZ9Cw/g2aOGrYdfpnUKneZf2KnpNQyBeXv/Ey6AI38ejPExtY/xRRIHLFLVRUI1AyzSas8u3oXi/
/vuXYcP57wtuuMibiOSYYECSeJcqr5b+MmaPWb4zbb8Ee+Z1YZen5lyYUKQkSUHmElUPN8h8Fems
zAi3KFJIeg/WPCxGbvE/YElhDFF8BOtN26OCA1RDkC25xHo102+G8UUpRlAxn1L9SzXcNP1WDW51
EGNe1/CiXwCMPRyNEN2WqGNx4L7zE1tYPcsqozVdXfuqpT6vFlb9xiK/LNMDtHvdDJ5pDhtn+BKk
aNtzbqUIyJ+z58vn1r+fgFFszPkDBlY0GYUyao89jNqayo1W+mlQuVV8bMkmAjluqdx3ACPpExxj
6o2V5hVsO+qbGU8WdCqRBx3d5tG+QgQO9jIgu3htghaRlwJ5rNo31MhTUZiszGg72MTDwKzLkmdS
7ycMwo927RbNBylCP1Vu2/JbTv5p6mfHvifOLpkwcwqMdkDhZflzZx2LQoZFsxIe8tX/rbpgzXFs
BXMBoniUaFIf7E/uCLCgcAKb6/3Y+QZyflPyZHayouDKIToTK2x6Mo6Ycxggtp+23QCYYazjM7qp
YGzhCWBwkofSpbs809Lg7+1l6DQMqd2EEMfwhG7RMq1mx3Qc3RZDjyCjodNP1Za1Ea8c3aWKIlB0
XGJQWSl6E+kxCnyWGcUTcPbO0oKJjm+/NN7PTlC8KdCzca5bME0BTTvImeYR4AG5WwfPRfaPYx61
7tGyFDd1/Dn1y+ltqFOfalvd+IkpVHcwqavng6sAorU0bodx16ipq4BW9/oB/7xyr32g8AIJ8pCY
TMPimyEWH5Q8M2ye5BCHM28BRP2fbNLQzq5vrPBhjr+x8iZFLbVVC78YgcYQYyjFeewMMCVV9zZm
mmrrTm+o7GZb3a9FlCncbL3Vq9PUYB3DWfcVy3PSL3F0qEApAOT8xAl9Yj3ZAAuO0M1cvXUlakI/
CbMlqyX7CuE86lUwWmmAr0C93yXBz6rR3KLLZU73MkzCgaCcLQ1NykiLi8qqzlwW2mi6WfWY69sI
yAokc6MYE/yO3znvFvuqYsHxMsY/H+bINqrzdaiBdP4isY6VgOLsSwSFGSAMDaPBlzSo0yTVvgP4
RpFWoJw8OgGC3trXDB4D36vNE+qk4Xw3Tl+IginsZN8BKjdJJlfvjiAX9xp7k5sAW4oNED4hb5a9
WzTGW7PcXf/mlaCPrx5BBYqi/eOCiUlJs8FyhskE/ch7oO9QfVKMyK0bshuBcB30s9cC+Rp8UNqf
MrV+3lS8rxxNIUDGEG+q0O4p6+PZxJTHgFEPMGP7udL/JC1apa8ruW4hvyUJ+xLaQUCMGpKATYuH
AdrLo22LTD/tqMQ5yyQJd4GeY9OCFJJCQ/UDXJVzAcDM7IHIktQXeGTC6onXACkq25oiuB308fk2
QSkf/zc7lt3s5/FjpyQbHb4p1LxZudPUnW4cwxiNCQhDXjPn3ShfLXvGv3wbJuCeFG7d3RcO+nyr
DdNfEWpOjqzOueoNeAbRRhc8RUvxuW/HaH4ATFt8MFWCuzFqfau2HkM+xtGOxjbVgeCmzsjkWH7u
ON/S4EddK2CRCeLd7PQ+IAUk3mnd8hcfJPiNOSLVCLIX0y2AEsSm0tNUkAM6pybSAWFVIqNz06gP
Q0tdK/avG+TKWiBNjCY2ngXQMM17vha5nitDnMNRFG2EfJVyG/TZps1KGaoELwUK1xXkWACn5WQV
F2Q8aEgBE5UFDzyaSuIpIVpqkikCuMnUgt0laJQt/ttgFwRoXQS3SuGi3AcY496WMdGvKsyh+ZGD
gZsWO+iCymicIoGXAavZIbOGbTwXG9bK4NrXAnDgD/2WIwQQmRFMSZRDTlI3H2MISEBHezVa6usj
cMmY+RyEw8FW05Oj9l5Ookc6aPcxIVuzT2Vzt6uLv/gWIVboUiczVROb3PFkh7nr64NKb9lsuU54
bwweKiNHyzx1ueSk8d+92HSdrwKcK1DrBbvOAMqpxVxumhypFnpOK6kGrJ0c01xIEPyp1pMpVgus
cu7chdbbaByafJ8Ob8b4mLMjeBaIfhqY5MyshfdnUoVDAxTpMCI29DKtL9r8FijBLlOPSvFQx7+y
FnjfWxWUG39xUEGcDq5LHbiEYm7CbPFqpRM0JRTnIiD7HNVNVjiSRytfsIstW4gRFrRW62iyuBg+
w1MOO2BnBsXGGJ+YQYHTL8kqXLSc4O4AZPlvrYSVRJStt0qJWyplD1q+VZJb0BvF4T9Z5CDTsMkL
3IweK35qBG3vgyTiWHUF/wnHONG578uSPNPaDG7XaKLN4Kj3vcFu+8yWnAKZGH46l8+kLEWOK4OO
pfnUtPcJfZ8DSTFp9aAtNOGvmYUIFquR2o3YtXRWXHWovF42GidTQnBnKWtVEzjccCFRtDNGPC7H
8OiwZnPdyrlHEM0PFUuwQoAik7PmnCsSViPQTVVsSYNmvBiwIoF9q1UtKDhuFCpjbPiM6wRpiAE4
JjaSJGD140ovli0kdmk2CXam0o799MuM9H3R7is2ejTB9Jpzr84dyI8Rk1iZq1g71Wp29vjsdPvO
/OmQO9X4yUCybvgE3WVt4TeM+WS4UawPm9Ze2sqo1tfc3dkHC5ELS1D5LLkpJane3OvJhAwIa38Y
TtkB5hVgMyB/iV/DMCluommOUQFW7+2oyySx5dqxhQ9C3MAZoYCzJ2yT1TEtIBEaqFtM2Gwi26l8
3ajVkxYwdFOaoeNmxTB4xEmeowzDZ3SYwe0WmzquelAuaJbsAKy5ZNAhokMNPEBoLfxcucVWop9y
rK3WMN05++pkqmsW72GauVb1hdqHagSOqvWsEOXPzfVsP4R1QIoN71uG/YgqpEB02qp4bHX9Ic1R
NAb4eemGLcZmrp8R7hOvWa3gosNct2MgCuHOmzcFUmhDgbH1uNiAycDrEuKqxhcbo2nXha6bHh+/
49k8jmp1flYIG42CjjiZ5lC7zTHJbDgZcI/49l1m3RdT/YvQ/KlGH7NEMPddF+r+FiziB4Y9pkmw
yvxR/dINXzX9V+iofmm/sPrQJmBVmx9L66bqRreTAfGK3gj9Q+hrA4UHetxArCDy9VahUURFVKce
UoYk2oe1jdv3cU53zJHs6YX9/isKuM18Vg2t6cLyJllu0j6HqOARM93axgTIzLH1Yn1j/JQdFtGX
C7I+v2VxVnStDKoigaxew3vtDp0HvQzbTbyQPkWAm1IHoy/v9xXUqUeqZ1oArqa2vDUdhm6lp+tm
IT5vBQEiAmlWtMguR3mKPNKXYtjS6IYFO2rsr0tZXSmwpvFxRU6xJ1wQFri1qqYDzLNhAd5nq2A6
IBkkgd2aJuDUAD4H54DAS+z8YLFyttFkC08eoZEsD7cpndyMbbQ/7h3gS7YUxPdsse2qktQkb7mg
pi1Pae6kSH1rM6gFmuYBT+DAq/sOJBeUfhtVrQFltLnNaGwAfAODDdcXdu1kgcOKHy9c9+hOOf+W
rDVmNutINFnpVtVHT4ueQvWmRV121CSV5TVTXIri/mWhdlHqFTovISrIMK5hPA6RLO2+LoFinp5X
YdFfdi6BI/1ZoL2AsTe7kt0ZvSSAXLUQEDD97/cFh+8UgHOtR/x+VfxE/d0PC+RwHWtjxLLs+mfX
4tLZftoI3moGp8MGWKxgjDBEMDzVEIWUmB+Z5n6Mla0ZgpQ1G7btbPl9h1b6EGR+KTu1ynQ32cNh
bjqvHno3MTgrserGg7PvtLsucB6HQrIW3HFc+0DBiNuedeAHxQd2yptNHyJ6RGcCeoyq9liVe6P7
w3YBcT0EB5C3kelEMZgr0rRB032LiTRg3DNg3MumCtdcDX8l/2/lhdAOXB8mxgagWFL7kfGlVe5U
dXP90K3aKTIegJUHJTKaEs/tdFAKE8U6AB0n+ilKNaDryFrnLhpc/l2v3yIEU50oI6OeYL06L608
IPgAF3EbbixMltD77qD4xa/4pXu2ZRkOmWrCfdPPVqSUfJ9Q/Yvv2gegiYPlxv2pnlB18DWv9GRd
xqse7PdiimPfcZE5yLJDYgZQwqx5acCslb1nzUnJe//6vq10U8NzL2QJ3jIYgjYFnyxkHeaTcWP4
lefcOV65iQ/ND/WH7lqnaW+Wrv00S3pJJevqCM4zcGg9VBwbO4rLPUviEyXZX9yxS+UEl4MWh2lM
gK/tObTbMWO4L8zCzaxMYvyy/eKaLq6Bqk9rogVYwwmdMkgzW8BFrFKf9M9D8qc5RuEUiPRv4ObU
p55i1fSW+JR9yWnqUluybitd1OdWIXiMpBlIo4JAFBPPzok8jr6zDQ4oOX5tb4JtduyfJldmDuve
97/jLSahAlWLLafBXqFMpNYpijO303Bb0cStqV9oO8fYXjf9dYFIzSAwQlJAdFlaR+PRzDCyN78P
d5WXntKH+Wh48dt1MRetGp87hvYVoJSDCuliPq7ES3ogBHKs+BTnx2C8z+wEvRNvFKg/6jZG/4aG
qTWMxNmykYxVxw/iGhvNeKCvEWPMYpzTpEwgOmqORYe2BgzlR8lOouCq+S+kCMbSJ1ZqRlxKg4GM
+Rnv5G18LN+KchNSr76ZDtVz8gWcJuRJO1wXLdOPf9ni4GFmc0LqBofBsXeJtasxqKy3f+OmFtoJ
105VoHg3m5Ax5qFXALoEXRbXtVh1hAsJwgUTDmUZKwokYBvdQGFeb0reARcV/X9tECARoA/Fc/Pz
vC8WCpN1+lxwynDVG3bxU+ab28qb9/R1i4KB19/S93gb4VKzt83py+Q2e8kHrF/e6J3+3wcINjJi
bJ3REB8w+reB7/yIb+rDP+mJHpI7AxCrtHCPsima1fO9ECkYB0OTLGU52LgLO3lJEAO5eQ7G9Dli
1LOMCZTV2fSUhc0HcJUldilVVzAaQ4/HllaQTW+j3rVC37lPtnQXPxZv5q0VecqO0+xyiHWJLa16
GxTbMIKuI51vivwgVTo0ic13OjbDx9w2AEH4MjTVJk7KU99YXjGqj/X4fW7BMZdsCBoerxsz30gx
iAagNd60GkEqRyTpG5R80GsNmueJliZb1ZrUPekV5DRB1nWybaZ9uS5wzQfArsDOxwlRwNR27gPA
t661UQ+FncjV0tKlxf2MdqjrQtZc3FKIYL6QPcYlgZDI+BGjuYvtM8REXf3SdK/XJa2u30IdwWrH
sZrCvsNLuhxbrxsK+OsZ09yNZ8hwa2ULJ9gowiGa1Tkktc5HGO6t9NmyNteVucjscb8DiGPUZFVM
KgE5+nxzCMXshMKPfWX584lsqA8Wkn/M4/DS3US768LWzrsFFmZQh6Kt6oKPXterqomHGec9+LDi
bWph6rEs3Up1B+fDULZV+P26wPUF/E8gEWo8dtaVydxAoM6MDfKX7kjbbQ78sOti1o/0b8VEzrB0
jHVtAji8px/r3ntpEl//WSNFuhuQAna1xJdxKq7b4G/F9PNdK5mp1XrBbRCz9MWGEL/Ing0ZROna
tbfYLyIE52YBVIUOk0KY7HrP0X9ZSh5ust/nf1/ceVZMZxQaVSRnRi9pQ1c+8bpqcTys++w6QA/C
uYQ+aTJeAkLgYz3X7eQl42uNzl+HuKFyiKc3tZe1Ra76IY63gKQeuK3E3FYIhJmAMEh0tFMc9F6R
bItwcIdOQwZhe93uVtdvIUuwAt3OFNOssX4cOEWhj7khcXUXfQyf3mEhQbCAwp4KUo+QUFE0rR7L
+pmFTzXximrXJaccWYTkCNDaQdFcjXqFtJGZa3BxV6HCxHHPdNSchKsDFK5U6wJYICYQMPyTWz0a
1WKldtw6sRm6cYLC642xesosmt+DnDNlHjLsEYaSZlJjJiuUnbxVlwIIUhRCUI2/gCK09HComsDA
FwH3Sd80w7F1JD5ZJoIf/sWxMHJnquKMIBRMrLu0AwRxkdwVmJ2+bj2rZ2OhiXCP4XLp7XiGGPCi
tTemhea3QNGOyRhjGtdMjmBfANZDEt6QisnyXavhF3hD/ltG4Wob6lKbdAvL+JSBPPpe3wRfG7ct
9uqN8Zj79UZ/4pCrshfs6uFcSBUuu6HtYrMvucrA6VD1bZ0+s2jHIm+uJOH06tH8LUkcEE+SprfD
GpIidOHXRHVbXXL4JVYiOhrLYJZVM0jICN5U5VYfa5fkkgyoTA3BwzijVtLIwTb1Ghr1IOP5ug2u
bghwmBAcgkMGIBLnpl4kSTGaFep4MdLzqunlo59kt0rwkIz765IuqtbcleF5hnc2/Bm4UgRV0kxL
MoMyXJn25AbGTd//yvjYwJ1So/WPbQZjb+Vfp+C2NB8AsiSRvqYoCh0q+DCRQAENvaAoSaM5ZqhD
DI/OluzY07xnAFU7tJvT5FvoDnFPtdc1niJpvVuXS0BGCNQdBN/87wtfEqBdPlFAkAwo6OajjpQt
Hb9FpXM/mi9GKuvfWPMomPSwEUaCcQm57HNhjCG/Yc/ISemYhR3nmzz5Phq2a4KvqrjpU79p/7m+
rKsCAWQOBiQAl4Kn41ygUiJEKZEe9VKb3UzN18ZGGnS8i+zBm4PwZc4BMJUmkr3kPyreSQga+MwW
OHWAaHou1EK+xiq0HkKJ7arpQe9vpv5v8kK471ATwHuJAsniXIhjjx2KSsi11aTZNsGMpnl114Qy
3oDV8B8zqQ7UQf8noOTO5dSDntLU4o/BOLud6vt5QuK+bu4wab3JW7KNqugBSJNPU9J4TvZxffvW
vAvmCTEe5YBVD+XAc+HUmQuwEPK3B7pslPHUs5/XBaxuFcaPUIYGsQQqaOcC0MxbjaqB8AETOeCj
wtlX0O4e2hKL4BfyhUUsxAgXtmpkNrN4HAY6KbfTdbfLwTf3TCL/ujoyOcJh1pg29J2NZ0aAGDYG
6HCaf1Ra65kyXJrVc7VQSLidYzugXTlj3ZiOnhbng5QuyZ5bct9ZfsHifWNLGg9XNwrsSBTOA4iJ
Ik5BOXSOWldwj6DsnOZ3lQK0SNItuibCwXQlOOcwU6qL9yUICJCpVpADdZLEs8ZNASKaVlYCW7Po
pRDhkgHvQEKiAkJyaj+otHt0iqfrNiCTIDgGwyhyNuXwPpXZu9p4b2aSrVh9zKJrA1yhBGlIdL4I
h0ad4nCocSob+01ld053M+nPSvcliR61wotulVtkwWfZG3rNthdSxZdahFg7M3n+ZkhnsIu8tpj1
KG1gLu2urx83XfGsLuUIDi+s1WEsVMjRKlrsYn167Me3enaAwvgjx8Cma6Xfr0tcNbzf62mKNlGk
BksZDlNqqh5tgPfePaXV5roQ2fIJZpHrjR7WAdTqnR04bN2ZYkzaNSLJi10mhlvnIpxgVjMYowUx
JV6c2Ti5Of3eDvtSlbUG84f5tW3ii7oQRCYts3S0I3gmcvrh9DEH2LDboHyqx84N09LTTR2R3F80
c6DchPEjVIPQRyhmPJwkTBqdX4dZrx7bwrrru5frG7V2vHhFy0G3IlB6gON6rllggkfYCbgIq7qr
eFoAc4xx1Ll5YrjTgClZ9WgZhT+Y72P4rpehJBBe2UL0kqB1E9hcBHPNwspixl3LYx2XiIpq+cB2
CXmP1G9mLDlnK1Z/JoZ/xmIDUeEISWpBTNt2+6AFRRypfrWF6l9fzpXjfCZGWM22m6s+biEma5Jb
ApJXC6wkj6Pl3NYscB2kB67LW7kZLbz70T8BKKnLLopEA7F9gqFOL6HVK9HZJup+RUG4U4ZnPh8/
su9OLOtUX9VxIZP/fbGUaFwdzKrVucvy6/m5Th9d1yhjN2klzVKre4Z3AuJaEC1csBSWTZ2HMRcE
rpBdZ0fbfs6P1RxK3iQyMYI+xliH1qBCzNjuKvoAdNnsz1H8EGphuICDwOEwi51MbVCVRWqDaqAf
HLeIN06NrJXbI2TCHPl1i1jVBnP8mFrEeBNKHOe7A3wOHCkuaowGv6N7Y+y8TJYvWRcCaFPEL9BM
xI9vcgMz/aaNrNNQeJn+ZQLBpxlKbv41O9NUoOEgFMeyiVPPYTjqSthhWJAk2i6IUNlICKDMyeQ7
veO12YjEaSxjGVjTjGOO2nw4DAOY/O8L404GiodxGQKvr7VVz6nzyrecHoNZxixRb83xLSUJHmme
LQAtp1AvcohXduRU9M4hLCIfN83hz20CYB6fECYGAD0EpfpMCTInRRK4HOlmUJNdndDNVDuS25g7
N+GSBLgM3qGwdY4sJFz6ALNxMgZiWcxVF2487QA0F9k31HKnZHtdobW1W0oS7v1IyedgGqFQoWzn
UXep9b13Nr0MOoH/zDWFhHXTFF0NoS7EmPO9NTg7xkqJA1/XhPO14yiZwC49tzeQI1goiSKjlRe/
phHJ2zer2wwyWok1q0Zd7T8pgouLU1CCRzxL3JUPrDtM0WYcJX5HX9ME4xfI7FhAFwH8z7km5djn
qZqY0MSFx/lZnuKn6fiieNnNuDe39U18sI6o597rbnGH7uWbR9VHvPZ23TDWFF1+BP/IxfGN89zp
Bv4R7XQ3mq9KF3uqDMROJkPYsnocaty4kGGTLQnfB4CdYfDhuh5rvg8FecfSAZRNiHhix0xPR3Qq
IxGZzN/LPDr1Rn6TGsk2AyeBWdmurUWNROZaLGEAHYZn50B9KUZiJgNbVhtCr7gvfU29S3BtVDnD
9FPo0XLT6SiISayfL5V4wJYihe3qAeYelio8RpVbd+iI8/Qh/9GX2iZ37G1v5fvrqyrTUNg5AgQB
I6BYVQAGMK8l40dQgqwi65t31qtfVSdkmyB27nL0I0sWd610hREEDCmpqBwB+lAo/SV9lFTlhNVF
C9nWiOODRnVP68GLbLV7XDbIRiY+59Doe2OL/tGNHX6oSviQRZLL4PKcGiYByaOpYtoc2JV8kRZH
ZMiivIxHJJmzznF7cojLb4n9Tq3t9bVet+Df1iS4HEXt0jEroe9saeNOLZEvNG2193NL+RhZ8FVl
2m1kyioql8qhSgOie966hkFGkSQinHN9KhV+BQ03eK0ZY+pi8qwOfl1Xbi1PCTnUAkSEoSMzITg7
MmLEizJol+v0Vk2pN2XUBw7qrlKSmzz92tr5wRxDTM5M+9DsflwXv3pseP4QiWuK/JRw0dK+72tg
CeDNxH60aY6TEgMhv0ck8ZErf4pJiJAVDRm/hQl3Lf4UB01jIRemB08lfU3n9OA0ALxW/uYxs5Qk
LKrJqjahNdSaQBuLOOPGKiyE49a+G9l90qp+HbWuPUtnUVaNZqEh//viRBT4k20PkBsl5V7Pai8B
WL9ZYfrEyW7HafLQn/4Q9oWnJ+o+6NrnvKT3VjxgErTNdlXauVovI3lb3eLf7kKsNHOg5RrgSTg+
KBhk0RbgNJT4Aap30/frxrR6UBeSBO0Hq3aYFkF7Mn4jBiBV9hmKX2gSCQB8QHuJ6a5engtpggtm
k0o0YMvhkjEwHDgBW0V3NeBbXtdJJkVwPtGQmgCb55YEaIVhQ8wasOIy6ozV22ShiuBIgWfWRRr3
6HPXvoNn5BSBbK0PXoM62hAab+Loo8BwzP9LM5F2ta0UGow5hAaq7hNActhNvCuVVnIxr0W+4ArC
K8gAVgLQjc+PhJU1pemkeOCFlrkdErpP5mz3N5r8FqGfi8BgD6g5FfiVpg+PiRWhmz96DeZZImb1
cC80EXwlM1pQcEzQhEzhoW7KW61/0gobPT4ykJu1ki66ZQm4zjBpiKYyYdGI0zYACXIQfIadC+ix
2XzKGtc0Xi0CFtVtF9wDmrYgvdt1G8DHXl9OqXRhPSOE5Q2poaiORBojjzQ6RjaQ/G/0epN13ym+
BAivwBvX0SI4bK5LX3UiC9WFVW6soepqnhBgcY3XpTfTXRh3fph/KRyXKBLrXBtQPVtp4U4Kw6iM
cjxpvWi+M/tNiZ5/s9/NcY3wDbDVT5nuj4mk92DVkHgvND8QBljBzu0VPAUDKEkgswyiQ1GD+AMF
68JWdh1UvL6aq84fE2/gnwdFDibIz0X1k5kDiwKpAaB/oyVR2ygdAahH483kHbHlHweEHNuAGywg
p8D7LUibGMDbFAKQbDxFQKeUZj/bygFqXghkLcAnfbmu22rCGeEnJgjBeKarYi4sZI4NuCOIQ+Mj
2TVpeWqbivlmG46HPpnorqPGjzauGiAndsw3Rjt0y2B+zmlpSnzD5TojFKagI0IQhVqz6EwHVhsd
Ogozj9jDRh+zA3WAkNgQYHB+DUcisdrLS+lcmnBA5x4oc0kNae2s+ZWubzLroRr/OJnJhTgGmg94
PljsYNGjdAwtJ8boaj78GEY6PthW/4UlLZMke1a0gbGgUg+INAA2i/VLkwATFmEwoNWVbw34tLp4
I8XEuLxhQUWCOJ6XPyyMCPL9WwRmWjcOgO3hx5x+z4LDnPkgWwH8hT+mN4y9ja/XTXNNJfT9gJgV
GRdkHIULXW1VpOFCAP2m00ax96b9PP95l5TBW4v+J0Lswyr1AbhUJUTU1W0Wfq3oRikkF4GoBfKl
Z3AYYuyjd83/cfadzW7jyra/iFXM4SsYJG1JO+cvKIdt5gAmkPz1d2HPfdcSxSfWjMfj43Ncx00A
DaDRvXotEJ2CosA0hETwhwA492tl3+/lPX25z63M5ko3TdbTEVYSUPH0abOJx9dynMDK42n2D3AT
KGggB5cqhKjAPYEoNvKmIgE551OVtF4aB2X7rjpgVIVw5PR+fR0vXmf/fByogcEjhpzX/ERriqLK
q1EBF2j3Moz7TNtpWdBrtTdM23D83dB9rrvpmibWhXzs3Oxsg6fTpElOAcI5Lo7P1E/BPxJnsd9K
EprTPFux3ZL+gGizEtWkzMAabbkSK8gYbjLpMVchnYi+cDcBXWlr75u175vf0d+fByAwKJtwzqOF
+3w3lQkEBSMJs2Lq3EtGFKbanjjdPbV2TfoxTo8rq7Bmb+aIUhkiG9xgOpJ42ILrUYk5iZSgqnaZ
dBNXL739ZBhHlGsj1FAl/ThaIDQIv5LBi5UHs2Irl+rFxTMf/8xlkW3PlT4Ry2O8F920qzOIwoIa
pYtfVMlNu9dRB1Qme2YjvshfmYx5AXlmfK5EgYjRGKA4bIB9tQX30iGjVWDSIwVBdg6ateq3E/1K
/nUORoG6nipqQcAbAbEwi8p6mducSTb0LuSdkUDaGtoFxkFTXuv+sSxX6hmXGS7Ay78ryQiRgG2c
l05Ez2Q/SUCvvgc/g93X/S//9in01uiyL/uPYQalGRDAA0cF3rxZuBJKldZB1it2Xw1yDAJCDmSz
Ia6/Xan5OxcBHwxB1gVUgLjdLLBhnO8XlapZqYZV7HpH7xi8H//5EQTH4EhgFj/xw//ff/GbDdkR
/Ay+//3nD33iF+RwcL3tw8P2z8PW2z+8Prz+ft2ueNfFRQk+OxTRkWDET8ijzlw7Z62h0xLJbu42
bhAEsfv9Y7umrXNJySAMIWOrQNkEYpFzMI7MyzzNR0y+t/e8wAswaJ+sxElLK6yh7gdkrAZIAgRU
zie+1pw8ZzGL0Sa/37/uveNnsHn7pZM3f2WJLy4K3PFnlmZHlFyECnUiWNofj1g2118bytLCoJUJ
urhQwkZafTaUuHTKpImRgtwfPe/9GHyRDdzB3a5kBb7zjafXsRjIqZ3ZQJQ+L6O0hJ3j5+fPZ+ho
kok8D+Rxgmr5hN/jv8G0f/Dd7dOfyn3684QeEPzzZyQgAhf/8XDdJb853S+/SICoURBCa6EIU05i
txpMPEXUKPAUsV12dztML3E9jH3ruivD//7LrhkTW/nEGLcAoTKYMObB+0nwuMHOhCVv662Y+n4T
XJgCoBjtgzjjIFB5bkoemnBsnUaYOoodEOzEthcHAYaH8Xni53+ZyxObs8AihG5u17AWNsFpQvBL
SkBWSl4xWiTS3K/N2+b+cH84+CuLeNnVL9zqxPDsAulYr0ZyCsM4AUsSBM+bD/d27VBZ3O+nVvTz
KbVCRYXAhhiedwQLKE7Q+w089WXNTS4igO9dcjKcmU+acVYr8rehdy/YbcjtmoXvzPuFd4A4C3En
1EKMOem2lpSFlEI+Q6zU3iLvfdD5XrC5/1X5v76PSncr9sDK1bu8/U/MzrZ/qtE8nxSYFf6RkvfO
fX9tfI7rYHRbr/F7z7OwKwhuSp20+CfDb9+gBOC2PhjliUkK/IP5X7mYnHnY8z3jJx82u5jsIoKs
jf7P0opr1Dt+/4KNIzaPuFFxjYrNKn7Br/hxwH9+byZsJ/zwxDa+vp9MsV+urNIc3Ckxyjr57Ku+
vy3w/rm9xVeIb8FP3Ajix9oXaMKl51+gAtmEFA96r4FtOnf5sgQJrl5DeUIYRkTx/QNH5CN5w+hv
3RtxTHoPwVpQcxHTALdlOKhYITsAYOG8SA8If6T1Nuz23ViTDuxeqtMRJzV8LVsTlfuWLj8b5MzY
7FRuk0JKIlvD5VeSu5CEBO9Rtydf+N1EBvwaisjNx3gJhr053LuPu8fNzvcx/D9/Hn5jWnaB2Eiv
D/vtg/fw+rp/2HbkT+hx8nut4i5u4tnHCnyWjIAAdcgLIIaR8rxAS4JIn8q0dgGQLZkPcUuIfLOB
dtZmsqZ4F9ZFtnLILiwJ0G2GiucqOK5Qajt3BZtKbJx0ADAHxdYJnm+dB62rd2NEz1ta1GudHIvm
TDQ4ILGC7qN53qbu0BrQTwNyAtKnziIiOb7qUKKsqRxcttSBTQCuLYMqHNhtMNmfjyvksaxRYUip
oUZnuh2Y1eICUGCof4gK93tIX5oiGIo31dpAPwOo7kzybXNzfbNfPktm3zH3wnRw5E5Akc0EwpMq
2GicAIrxeAPr1RFIClocLBycis9AwmPHB0dayZSJw3fmWWcTMYsBm0mqslHFB+hKFLoc6UwUHElh
xCUyI6mfh9SvVcO/PuwFdz4zOrsRqFZ1RiIAy+0Q+Ul1UwNriDKi1G+l4eM/mALgC8JBBjAr88R4
Q51OZQ52jgMmEincVMhs1rGn9h6lKxed8JmLqXTwukSJBbX3ufPaaWmhhVZANZ27qd3l/du0xuK9
bAItHyLRL8vzIk4i633BBB45QuvROHij8icL36/P2GUgInzS+WtkFtBFdUQn6JGigN9YcgMRELmB
NmrYvecoOfumnejbMJ3kp2LIAPmpKn5oK7C7+kMnxbs0i421h9DFfTT7oFmgxyJ1qmIdOOJI9SzZ
rSPwytieQfdW/0SjByfeMSeIO8czrWNsuLWy9gHCwOXKWkiBoIIGKoZZWA1WL32yRO+9hc6uVnFz
ydf0nSkfjcYtDRS0JM+pXQtUz+yXvgaPu6wnfQ//r/XZekijPhojgwuX8iZqbyeLEjX+aY8e52+y
HWR10NQrI172s78mZzPu8JT1hWjS0uhnlj6O1THX/1x3s8UzwPlrYhZXl0yelEqYgOKOXP+CjmFu
3/UThKvW0AprgxF/fvL+0vNStjPBMqAl423ZfUqOHKjRWu178SA9Gc/sJHdS4CTrXlhpwd1SAcC1
4bZrIc1t1b61hma9eLrPfGJ2bJdOkf7DZjBM9xDu1p1b0zwM6NGBeFh7AwWR64ulrK3W7MRGYd9I
OgmrhXLi9E7/NETbTj+zn+Gu3CWPFak36TMc8qexEg0vrR1YhYFLR6XFAdz+fO1MjWU1/a5rVg8x
/xEmUN5Y4wpfsTEn+e3UVMl5j0IOSylkj1KidlsOqYvrU7gU2pyM5Dvbc+KFKrRrOBo4AcrKtGfo
Tvtd68k9T4mirWzeJU8Ewz2aiwH/gqz8bPNCZUuvnQgFWghZgdIhh1jG+N7FHemMPaeb68NanLwT
Y7NtrGSGOfQKjHHKfTN8SICAr/uf140szt2JEfERJ3NHcQIiKoQRC9ee2h9zM8ggFCjT3XU7lykF
bCsNHU0ouBoAts5fPnZbhNPY4AqHijwpfw09Jyh3e4bi10z17egpg0SQUuKJULhd7Y3aXTT8qLuV
z1gc7t+v+M5zngwXSn19LFX4igK0IfzHYNxo2ROVVrbWkhUkZPGeAPhahQbf+aQ6Du5wM0Wpu51u
0brg2LfS4KGt4PqULvkHwmtR0oFW1QWBl1n1UcNzsBU34QDI2kcDii6erPTiXKbYsG4gakUdVvTi
XLwcR65AVl1YUcDd7HYZy3QoOJX2NlUZqDpw/qeQAJmyGmy8dne07any5QSdO8fBtJra1ezMZl9c
Qq4UOotl6KjulESdZ4eZ+iU3mQHaRoqWD780CpkFzQiMrq/bedsegIgd5A1IyQdEJrVe6Z6uFeFa
69bSYtngTMarGKk91J3PFysrVAVwcYj+MkX1CurnCiTGbNKNKxV6sV3nkQ6qcIhxQHOFSH92r1QV
sPiShYlkddgFaN7/A5isTq77xKIRUAKgaVDQmc71fmmnRxLEc/HoKZt9DFVRNJasnIGL8+VAPUxI
xAqNtPP5MvuoY9MEpIFo0fKG4bNWamIOxuiBkWxlIy0NB9wsEMlyBHJZm80ZRd2BjSNOp3TMiV0+
9Nn9v58vzBXAM4LY5wK6ZTs9CI8zDMYQKqXdLml//RcDUAeSBfQFj5fz2XLCZAgdPYImPLfAbCe7
NrRtVhb9+4Kbuxb6ANFMCf4EAxLM50bKWs1ZnSQAfzR0o6DNTMWLNvck09OM1zDhHpMOhS0TZw0K
ubg+J4bFn58cp30V9mOdpZlrseJH31uuHqor22bJ3U7HNtueCpizIC6NsYXqh6FqwAUBo2EE4xom
aCnsgzwuZFiA7sZDc7ZQUBKx7GSC8FdtoR8hYr/QHujiGVD3yb0zgJ9UL7ID2j9WPHxxeBCAQ8Mb
NBfQEX4+gznKjy3tYRZcvRE6KzUvTayfWam9FtLv66647Ca4J5CgBgc/YFjntmQkiwtTaNn3leaa
9GCVd6N5G8U7Vfsq2dYwHiT12eq3182Kv/XCOXH144pCZQ/v93OrelyOCAowQrOO7lWwiBa/GQRJ
7XSj8+C6qcUb8VvvAY0aOvrRzk2xCJ2wY4OjXGLOLY/RZ8G1Qxum/nUzS2uGRD/Anv+YmUXsWaN3
ZWviJB+p1hOND25ulSSGjFnSrRFTr9maRel6CsUgqYetvviws32RHrPqtlsTvl58CONmAg0owDPg
Xp2ZCfN4bDTcxi4eI19dk7hM7ogF4q3O1Eke1fdpkXkl+xnXa+D/xSPEhF4OSMx09G/MNkCp95HF
VLgHa/G8a5R6S8NkjWt0zcjsnZ/IFjgERxiJefrKqfxs5WsmFt0cdxU4ckR8Oe9AkUbLGSYJN8ko
dV8sjHcVH10I8G5t/snqfsXTlx4iaN3/P2uzAWkyHvm8xKnYKRMCabnzkXIlIf9hR9Ib7Z1bxXi7
7vSL+VTHAYEptjB4ouXZ5gKSVMpjCSbLqHrgU+4qVfxi2eVrIY+EQ8TcKBSvLUCkSbV3zRk9tdO9
zq580IOtXHjLc/33U2YbkAIummUM145jcJdJ2Hq3LfM7o/WzYcXUwkSjsV9B0hw3A17KM/dsanVi
+bce5AAR+Abk0VCk2JpW7oX2p7Qmw7JmbbascWe36HUvsA3xXjanFxaCfEFFnQZPJufGLLbX13Th
cEETN6AWgJAAljunu2mq2phU3uH6NqwN8n6d9NtoH+2JrVxyC3crWoNRGsWhCVDAnOpXH2oprvMe
AEsgsOpn0Jkb0k2hbxXA5GsVr+dqJV+8NI+KgOMLwXuoiMyOMzvvoIJMcdNl0/0AJqli2Kv+rkv8
vm1W4OELvohme2TA0WbtqBji+Z0jS2YdyhXunKaz9wPiCtB+A0wMvhBCU+ve1P+tBiMAXTBoAQWF
Rg1Ijc3GNoXlQFMJR3XC1U0n2aRFSYNjn/173zgx813hPQnt6katjFaYoXgWJc2xalxaqcGgrpxk
S1EJGL8AIYOSGygfvv/8xBBzjK6tJo4IuaqhNBtKWQoGRpXtx0x/kIYmfrDjUftFGThzx6JMgygx
OzBCRmaxSo93UbYWc4uiFRIioEwFqOp8MaXIVvPWVvAtyaGy0TnBWzC4ididaFogyTjQUE9x2I/r
c73oridmxfV1MgXQxsuHPlIRvw/SAyuxESPztYzsjeRM98xKoK62Kh8qhjILy86GOourDTpQrSm0
zK3Ur6Hyh36j6rvQOVjOztLvnPYF5GHMyIiR7DhdeUIunQen0zw7VGUpV6yRY7zx8BnLn1wNsklo
Lt+AmSh0GhKvJVnXJnh2rk4NZXEJNTCUdyVAPd/Y9JLTkKhl4vL8U/nXtB/CjdBcAMAi+qpB9XW+
nh1vpzIs4UatHBKp2baWFvS2K0PgnjcrVcbL/h9hDDkFyMOBewG0BOfG0nCgvRRjbJpZyciNxwCA
8BHo41xHR75Cf+lhUvlpxNUbVVaeJKpoHrda00UC2MElHuW76968dCICZAAeEkHobc8zfQ6vWGIU
IIGoqO1bRrXXkw3IVWwp3bB8rc3rAnwtjsMTa/OMHtDNYVvFBvJTxV2ngL+P1QwSww84vNyo1D2e
J15Rq0cWBZXiqa61M+PnKjngkJbyR9kiyf0g1HnW+FgWQk58l6iDI30m9GXPl0XSGgkpNczCgLpo
yqo7XA0rE710fUOfVJC+qIZtmbMt7KQ0qqVWnFZpbKXe2KfAl48W36n1xOIgHpz26frSLlkE+Bag
RrDyISUz87WeoWJmF8Cqo+UquevCBnkyeUqPrFdi9I22a9QEYgTzQwqvEdFuAhgxGrzPJxGPD0MC
khmP8kbyaIdOECi2f10f0+IFdGpkdvrqw9TIPIKRXnIcMlSJi/5EPzM0r004KfthMyGTUiTOA/ic
0BoV/77+Ad8uejZKtL4ihABWGzSbABzP1lHG0z+RJuSIkoPmJbvc577j6yORAJTRNsmf8Nk64vgY
ieUNvzq3a1di3EvM5uwDxLKf3D+xY+YatfABgJEF0naKiXKw/7SH9992MN4MXrgf9vof1ddJB+zC
Pn0GYD5x5ZvbdnIZJZAfWPmiCz+bfdDsALVULIqT4DHFRt9sStT5ghjdP+FaQ+HFUQU7GrhroCcK
2vwLZZ8mmzradRRgyuEOxBpuwwJe3XdqE1R85Y6/uPOEKTTnm0JuEDDSmSunzAAlow5Tdtk5DymA
qw88a/Zgt6y3ZQ9cqTryn1ozDvs0Hn5d97CLswi2wRjgiNY79MXMDwoeaoNU2yLLCS+nVuE3ysro
Li5YYQERN4RE0Mh0wUwQgtQyK0zxODQ635IM4ljtPq3it9Ya3X5qXQvNqf9hUHho66DYA4BKnu2a
ROviCHE3ggh2n4Bwt7U21w1cHD4Yk4F2AzQBfOPR54ddntSOzdA5S4v7afJS9tCt1c+/78L51oe2
Kwo46ERELXY2CAt93VX/nXf5HO4SKCdv+iAAAcE23FiO23iT73PQ5SRu7q3tsWXbJrRtsHQWiIuF
x57setusByW28XJJtwn6lp+KAIery/0GHFiu5DLP+ZpMdzqGwTCRZr/a0LE4v3/tz1tj5CSuNH2A
/Q56s7iWwRvu2t7klhvu7yaXR57irtxfl8V2saYnNmdrGg990kU6XjVRSZIdWqFurHepJD9Rof41
YPAeGJJ8+lYd1xhvLqE/8FM810Bn5oDW56ILq1LLDozfoeiUfoPKqQxkTb8dQpCjhAC53PeIRxha
5kyZoKnuuiNfnqbnpsXmPVnoqh0AEdZgWrWG3aD4XDER7z9OrXfdzmUoOhvjzKPaWFVoMcFQddB+
18H0nt/oEIOrE9fw9SAuSLe9bnHh6jwb2tyHkrbRk0yGRXl09c9yC972u/EYPvbbjORHSLq6hls8
QDvtRcH1eVOtzOyCP53bn/lTkShUjqH34EY76c55Cl+zHXtNPPBdPY+hP0ErhxQue1Zvp7XSy+Xu
Obc8e9IoWcuHVokA8rGB407foqIK2jWW2stL69zI7NKqacyThmN4kwL6rg7qo2r12DgDKVv5NVRa
ktecNNxxry/rJYb03JGsWUg2YFwpFR4rb/qDnGwdwtz4a3RIx4l6x73hRt3bgeNpz9cNL06q4iAU
gwoyYB6z8Va8SeVJx6QKmV4VfHnlK10rNC3uRjB8IZeKnLczP3ZVFvZSL2wwx+y33HC+0km5g4xt
tcVDL/gPA/prbL4/emgmIO8HY5H2Zcj+hFs41Nc2wUXWRKzWiZHZJrAg0YtGexjRpQPVvd48JMAs
FrkW1OpNo/hT9UuV3q8PbGUWrZn7Q+vKGRUKm06sFl6dJUejH3WSOqXklxowqNfNLTrGyRBnjpHL
tBisMoFDag8RvWe92631Ua6ZmPl85CTRZIUxlsr+CUC4hoyItUa6u7yxBMAVyXPIQMzBDlCjMXRu
YByGc5QUd2LHEo0huP21Lc12RvxsSeA5lokWIvlzp2deYkIocS1lIRziPOqBw5x8hVjckwvJKbQK
z1R8xVDvZI2o0UBAVmKlP6LhLu/QqEs9M/KdVXKlRac5sWud241qtJdWDeyOyZNqolV7C/Srh3zA
dWe5rKZhQ8CMA3oE5DMv5IKaqUMChMKOpHcx0TEOxURdi5aeCvpKEo056muKJzXaDUpr140LN5nP
LfonRdIbqGzULs7HyLQkRtoY+iJRON5qEvPTbI2dWkzThQkIDwHNYKMV7kI5MKbGqKgYXsrsG92S
vExuXT5on2Zp7cK1O/7yff49m//PnC6L4+fEW8CHyMpRTcGtjBea9VUNihdSojeP0CUkdQGl6jLI
C75DwHh9KpfcRf+/cWJBzw2bsdyMKrScABZrPKaZuzCuAwtsaD2ANddNLYaHOpq1TdCRCMbOmWtm
IG/oihi27AaVg16biN1NaBbIvNHsiVENvvjf60a7TZVsi2/1JnulkrE80SffMIsTGfKWRcbxDZKV
0Ofakvg+NwvJS6YSAmIy0mdcCqdNONjjTRWr9V0+1JsWFGorkI//z2SgHvXdhg3JjPOJV6Ish0YI
PkQ2E5e2Xt9tE+uX1AapEYQ6Kc0BhCCkh/bvsHZCLq45hFwgrAI8OtA056bV0XFygEkxB/EnIAqp
9tsRuaCVAGfprEdCCz1HgNYZAFGdW0mkQZPKqhZxhnHTmeU2AmU4H3+uONXSWYC0Ig4hcI+A7X3m
wFZWxYqdIIxSexyxA+QMCkvKidEiUUw78DdTVDWSNqdQOuA/h6p8B+HfA9Mp8sK59kJbXVs5nRaP
RmBaIDEPBJzqzBFdYGPDxVTnODua3KcafYytadtC90rioAeh8YPe5b4x5H6YrUQMi7E6ciBo0oRf
wf58aVNAkTVUl9y0uq/NYRPX+s9sTEnePqKH0lPC6AuNJtAZeel5R/rqA6yEkc9rddcYKQI10A07
H9dXSOyo+UmKdYFSEVLBCAVnCzRaDWPtiMM6HtD01UM5b9wg8UgoHW7Log8o9OuvW1zy71OLs7ip
Qp/JOE6wCEVKRjSEa42cfcQG1FuktRrTkpef2pp5uSK106By2EoRTTs8Jlb1WvHt9QEtXUanRsQe
OLkdakNCt7kDIyPOxyRhJAYLvnND8ZDv/eumll5Dp6ZmDlRmbRcB/ADmulZ1m8IHh40Vf9I09FS8
80aQv1Xdypm8bBJgc/Qn4jSa63UlvIrTXqiFyZTBUuLWqbobHcj7mM4tFdxu+V0qTSugX20poofY
IVKjEKkBXexspBntTAmEmIjoN/GbjswznrGH8qiRzN1L/ujSnXMYPB09xvmx8iZCn9+Zq++Gm/iZ
vrPf+soaL51jFsimDFWQdqHWfr7GUl4bY6TgUEa+iMiWfRuHqzHborMiQ+oA1qUifppdwGWRT4aR
QemKPkB+PChvQr93vMFVA2MTBqlXceJmK5txyXfFokKFQmT+59iBskLuoGygG1aY1ljd52PPcy/F
qWl4cVZxNwlb47Fp0Lm5Em4sDRZ9ewCog/cNSanZYOsqx10PNWs3H+9SLWjRnsnXosSlkwa1T9yj
EPgAZZhw7ZONKbcDL2KDg3u8+yFNt2H0Ejsvph1c35OLI4HMG5YMbbIX/WOTNYwZrlNsEDt+6rr+
NakjYvPJv25mMSRB36yQKIOH4PV0PprWoTSUB3TuZc7RiHwz3fMiGMF52N3Lhl8qPuiwVPOg9M/X
DS+O78Tu7LyOBqWLeDSJMxT52TTZaeyxzKWVWVy6h05HN9tgSRhPYS66RiNLr9xas76E0a0T6yC/
rQoriKsO3HVF8Xl9dMt2oU9roFqOO3nmIwYvmNYI2ZQpzt04t/e9BYHXSbqjEogJFMgEmn+uW1w6
SgTD4v9a1GePCdrmca+h/dbVytC1E8hKrWlvLYY4pyZmroIXns7MECZs6AJVHXaWH4X3IX+rIE2r
blV0ltO1Et7SPeEgwAM6D9nli3uCGpXRTIL/Pu1L3zY+ABhxh5R7Wt/exjX0BfT8IPNxd30yV6zO
J1PH/Z72Pazaw91UAf16r0avtXTf6NuauUxf8ZalvXAyyDkFi6M5XSppMMeTpzLbRxrqkWt0qkse
eWpjtt/KoS7NUIUNPW1ATkYMPSKqKECP3tiCF2Bl460NabbxxtxORybDnBX9yMCTVwz+as/TUloe
Xce4x+H2gLfPS49aGrasQSDhdoBNxoGi9uEHKBzMX/GUOgFYoIunobTTW2to68kd61C6ywsZcHSe
hvwQsSzbt4YNOOt171kYu4ADgjYXzyxQbc/GbhdOXLV4XyMLtaPhTWMNxO7pyk23tBshLqULmCPC
B1BKnh/cIHurS61HopBzZhwkm6n3YW7ss4HjUVk7m7FXuYcY7ojSECiRknL6D8MELEdD/Ab2LGik
zD7Aspoqz/CYpfaTrd+jc0pZg41eMunoqCqf2JgdOVpfTYWDnLnbxombppOvtyXhk+xZtPbbWDqo
rUWi3gSyirmp5rhp3hO5UEgKgdsR0O5BU0krf1rICV5fZBOjm71wzr5stp9sK2W0EYnTOvQd7ZV3
2EM34VqFa+FUh3PbJtCeQF5fUBGYfdaAcQWvSrX+k9bPUf1yfRRLf78mQIpAqCMGmJ88YPwH+aqF
v3/CPI3QPsKFf93Cop+CDwZSEfh8IGtmIVkICYjWCPG4KM29026HxrdLaLN96BHU+ozNwJFyWYHh
XUK64TanNsVheBKi1ZGg7kO/s6s9OQoZN+DrIPpHuXFuJ9ScX5uD4+krud+lTQ9WMECfBDj3Qmcp
MzXIuZbiuSYdMnMj4dFWrNUhF64l89SG8MnTYSkyldtWDItBzwQ5Im/KjzR+AdgrBdPjWgi6uPtE
OzB0nREYIrVxbi+hkaU0A54nndt78ssQk56gDOJCljeIoXwjBG+kfRtkm/+gxyVkIJDIR0chXogz
p2maMTQ7De+0WLnRo5tq+LTjlbfg4u1xamPmJGWR6l0R4mEkbywSb0Nf/aCHLnA2ETEfQ09ZyRAt
Ogh6Z5EiwuUAFsDzycyZHkeREG+2FdwKv3h+HNsVEwB34S+Zn0riPS1Q1HjuzTGTbTLUY4pmBjeT
YvYiqGx+GnLav6LvtNp2FVU/s6ZwdjROpFurSNqbJFdyP0GP05aWcrQLk7r90Acq/2BJSbeyEk5B
Ihkhsg9mqW3KPqQBgPvdjWxOvU4mq5g+QA8GdYtwyOAegy5XQCratZePSXds4ww+0piVGzedemxG
S7qrGR1atNeO04YpLPyhJkp2NPOueqBVMxz0JG7vM6nukJWCkDaQDLkzgKmjCb1QVn9CnRdo90Jv
qApGi6p97ro4xq3Qx7eGVRuNFxtQGHIrAJVqUkQWgHwTWqdeWzPVN5g4/ogrJdwpINfzoRIZTeCu
t/VtVA1lhdIUqw+xpokvo8muR/Omp7KuAKOtHgFt6ZQ8YKZRB3LBnXzThazbolTAdybN49CVp0h7
CbPJvuFmA7V4eSi02Kd6NkLeN5f1g1rJdBtyZ0hI1chNQzpMYsDR3e8Z9SR9DIqZS9u+y2K3s4ze
CRKzjzf55JjveRsBcyDL0nOCK+5zoja9ayqu+5ISaZ0bA7WakRigJN0D8ZXe+6OcKm/apOKpHw7m
Pss75UeX1eqXXsbyPbeyxC9rJcabkqJJyZOKMnvLU5MzAJXL7HdBjeEmQWfMa6L0/a4slMmt+Zgf
8X/vjpFtFxCss7QjlUYFBVgt2tmDmhzV2ICGIngbK8JQFnpzmGo+8CJ0EhDz1lpFKt3OeEDzMMw2
XRWpu1Jt2oc00VgAwKnTuommjTdQ4eOfVh/JgFzVKCrZ4N7dcBBsAkoDSOy9nYXNbUZZUqF9RIQ5
aGR8CtO8eCyLySy9pIqqXVcy9hHqZoQiu1LzH3qfSDXJlHEybtQoa9+T1JIC6EBUN7STteeiqzS6
A3FVvO1SdXpAj10R5OlouBKVrAfDYnTXKo2B0r2OGr7POkYVYhYonkDRDwInm6xphoes6seeDJlD
D9yQ8q1JJQh0xpWkEAsqOz8LAHWeNcxLRBhgrk+hYjSFB/nB7LlM9OFJDVvl06mcxA0zR24J5NCL
50Lr2Q8jQ+aRqIXZ2hDoithbyTPngTphA7q7StPQNKHne5tDpmfq+iHIyoY/q2xUaxJKdfkH1ASD
rwDx8Kyacd64mY2iMsnVEjD5PHaiJy2lYA+IjYiTEO/XZ3VUpaCknRYRuZQzyCzQgb9qdch3NMtr
KD9y09zzSqW3odZiA5eyMWAXjfoOmkz9nvNU/hhLTSFqynR8umHTHHDe0rrNayS+iAIv2zEaSzg6
zDodwUUy1Td6LaX3YzIBk4kOY7ZjUH8MCqNFXt2YohpZSmM4SIi9fkNugL9UltPtcjtzAGhDseCu
QBqjCEcWeVVd1j9Cm0a3OA07T6rz8aeVqyyYdE3CE7IYItJYFeBp0ziG+7iP8bpzRpNumJ7kTwOO
60BOGrUnMATaEqdiAfCW6VGvyuRRomO0NSPNwHZIK2wkM2r9UENLTjZOfVBCDPEjdxqJ6GPU+fmY
WlsuW/1AzNDovboeLRQHFBXQTKtDWVofLZDZ6Iz7cVLoftmnBt9Uplk7rp3rxkTAbNk4UJSNWeup
UZNFyFvUgK8YlWWBggAUAn5nxa3mWqGV+qaSZs82yMwbUjSDBCJziMaM7tToU+U6cpP+QZ+JE0JR
lbWvrHSoP2p19WHptN32UZYGo541H1ootVsGlje3lrrWr6268kCwyV+iQpredKWT/3A9tYllpeUD
YGLWIQSX6B59dtNOgSOi2UICIu16SLkYeovEmCDewDtrHhwYckPHBjdp7vgQNWrrjIzMs4s1EO3S
jW1o6H2CX4JMZt7dxdUEb8sUkatGb1Tpi/UbO1tJg6+ZEPH5SUQng6QJpGYw0dlPTh8TEITIa/wM
azbEn5/YKNO6R08xIlO7/MMEifvdUD3+lxX5O1MXgand4TLCMCocFcx4s8tPmru8XkvvLj1XTldk
tvKxokahacBOgZYa7SXp/30iBiQDf8cxCwklhsuZ6pgqlvsMsPHGeFXs1+tztbYcszgwSVWtBwMa
nrTNTdK91c5TSh+um1iZpu8n2cmKQ5UZ+sM1TKjQns7QNVKvtCEujkF3BDgZ6RRs/3OXQltuOso5
Hga5chODtyCPQayz9oj7H9KuozdyHkr+IgHKoq4Kne1uZ48vgsceK+esX78lY3esZhNNzLenOQzg
alKPj48vVM2vCzqWBSH3XxDqY3QK5ATEBiD6Xfpe3vq300awdadd9RAcsot3cXN915ivxiUg9WXi
BC2rIJxARsWWcLedps2p26P16qSsn0xHPPAeOaxgHS3zIhgSoMJj0sVykQigGWzgx8YU/R79iQh3
rXbjkyO6k68vTWa5zOW7gMpWKGoyVH2Md4FmoYV1Vb0222Pv+sTW19FJdww7AMXOa7PTLXNdfGU2
rognVbI2PRIr7vXfwurGgHzVzxuFelUGoTBi+N+L7E65n8KViHYQyfglmy8iugaxdKGw4nGl8ibL
WYcCLcpgotBRHbp4zFZtFuTS3DEo1OtyJo+sKs4uM5/nCwTKmfttIfvm3C5otuNbIX3Os3+miHln
BRWv8MNMkpPa8Oa4mfkVVcSglImOCA2TrednsY5qpZai708r2wlaapB42JAWwyv+MfzN+XZzTo8+
k0sw6kyWtRG1gwCwmCC3Fm418EHj8IO3JAw2Q/jiqZ9R+cUBnY3zGih1LiHjiuQ/dCDtIASFXPWZ
7pBWttUP0YncYZ09ceDmNVzC4bEBmld089G5B1UsS98T5uaSuwpzS8n2d2j7N41lpBaGWU7eqt6i
CEFu/SOvWsUyIPRl/UWmdtespsD3ZhOtkhVERb78g/hRPUdrg9OHdCF2g3Qf2EB/gKgdzcw4hKgf
gFQMtDzkz6tpHVopprJUS/9Mb7T74Deee7ezXuJt9UQ454SZpUDvG6Y6Ic2LZj4qq1vjUSerBT7o
TX7fHMlJLSyyLhFm2abt29Fbfhr3eFSbDk9NmZnRWiJTflAzg9wMZlNqXolmHREWS2uQCRkgbiOB
Na4qK3TAL/U7WkMdkzfWyKq1Qvj9Z92U5wsFRcgQOIOE5LnHm2xzlAwree6dYieswxVvDoV1vcxi
riAmQGUXWbRzxxDWQSLrcydx7t2GodXrq6ZY9/WNxystsaKBJRDl98CUNJrd3OArVI9t9ar425ZH
Ccdy3kuI+ScsIpqohLmGs2udjC3UIte+pPyHkGaW50CmGqPNFyrCOYYYVXnuU4TQbj9iSMk1NU6K
mHUJL4oZdIO8VKe1CMEe7NNEDj1Jdk0YgxkwBMmo7Fx3YpffXsUdO/MRQg4OLxfqUkgSgShtghEk
dQQdvuKCU8Ty0NYjJM/yP5NtoAsC9/msHQHiBtwO599GTJW2M02QbYQgSZ6izMWbsbRgfFYBD2td
X9ilrZ2DzXu8MIQpzxJvKMG4IRYn5Lqa/inmpb2Ze2eCLMjE4J90YQmCHxgJ2kUxeF1mEMMVLIO8
qxDY1PTcigONs6BLn48F/aDRdBSlXjZ44WJBY6g+BOTXVL365nSHOuVezIibFOhQQiR2fRcZ40Xn
qJQHrjJSqsk3N8VRDGz/PuvsMrHiW9OdbkMbtPCP5hqC5eDfwOCYd5tveUN6lwf6/AdQjjjxS0H2
JWxyihYdGbnXLuIcAcYY4DkE5f8MQUyFIcLODitppT0Ej0HgdI66K9fFvoysKbCNne3/El8ry3Sq
1fUdZhsRAgiMxCLjTxfW0rRA6iUAuBp9KZiRApmRgrs2e9IKzrfkIVE7iQzNENTziWjFHTwMejlt
JbzrutBufv2XNaHSjFFDg1yQzzSBhiyfPoCdKBYto7lFsqwjj2K16TzeQ591zGfRLSh1o28cgcL5
MddjMoZKOnOnQA01LnokWzG3JD9fXxDjQla/tb3+D4byJmEgRLlcAUbYeDf5uwCJznu1cuND72gn
Mlgpb1py/oPnseUMCKkpBW26YPWj/DLyoxl65kYMLBvvkfI1jDnmzI+1zrnMWDaBpnv002EeBUpt
1PFu67b3qwBfyhcOrb8V5duk38v5XatzEiaMxxwWtECirE9MtbwNmtkmpGI9VeY+aszGUjIF4vFF
60goEiV5uZahQzrU9WehvV7/hMwNxQq/uTLIRS6wrcg0Nea8oRjYMwXV8Uu3ga/2v67jMA1ygUOF
5kQQEkWNROwo2UcamD9WQs1zWOyv9rMWKipPUZnoa2nC3Xan30nbAGnnu/pPigznRn9oDEd4ArXL
ZIdg9eCJW7BuIfVned99s4trNR50ZO5CbOPQvYxmZZXDJhpGy1e+Ri9cyeOtqGyubyjzw4E8UZNE
lMzBpnJ+wg0yyj1mTHEB5J+qOtq69BWMjg8ll+s4zE2FMAFE5NDiDLhznHQMWznSYKDxtKmi9yJ8
FDAJXhw1XscTc0EzRwDWgyIv7fETkIbkfgS6GjMRMPP9BQpWPPlDW6xKzunmIVFnrkq8cPQqIPXy
nUlWavqi1IadcekgmTcoyDv/Lom6QcUyASmCBx4WsyQ3U5dbil6BrzF6Kmr1vorbQygW9hA8ysVz
FgYntJdYQji5PfmlJrk1FpU76aFtlNEWZIjb69+VtwlzgLGw2DbRSl0t8duk0qlNt1BvxMCphPvr
KPOxvvDXYNGY41v0WNEvVb80e1nqQMJDhrek/eo6EGhtxXI3Fnb/eR3qu/f8Ghb1WYMU96CuAgsq
3K/yOjsG3aoGcYDfOAjHHBETQ5Gd/+Y9E+eNuoQ1zJkqBI3TNDWYOkZST+L5gAzHXDqiuGZdXxjz
S4EH8/8AqC8VK0IxxiUAQKXhRMphbJykBG8UrzuG6aIXOFTMYMh5l+otcLTwLUwnS5PupPj39bUw
vckCY17rwuoEVYCc8owxtqkVxa9D4duxFNhRe094ghrMfUPvvIp8JchAaLKt3u/K1BiBVRUo974O
tSWK9iBy0uxMC1+gUBdbUNW9qIjw/AGOrB65jWcZuduKJ+KtVPJ4ffuY18wCjLrhRD/pFQnNmuhX
uJk5tGq36lem9AgZobralOGv63CcHaRl0TAThp608Ts4eG3z9VCsA+WRy7POSGchBkJYPDPgoE2Z
fterxaig82O+t9O9sepeRde3IIObR9Z4yqz6pK31h9Z5Hy1eIo1p8T/AdAemVORxm4Gi3q4Fsp4k
EG3ozY3XGBxXy/QQCxjqCtXCISk89EnYIEi3Qshgyy/XvxMjh322g/TQe6koKZqxgDDJXyrIaMpq
05vPqnovly+BjFtF2pHc5YAyz/JiWdTtNgQdCjMxQLUCt1lWWojGIeQdWHj8ICX42YbaKsjuWx0v
EPPXEAa20L7kYvbYDehuQdNAhDr49d/ENNjFT6JcpdCKvlb4+EkdCLoM8lAUqyq5r3jsF6wPqino
lxZBz6XIF61oRZN2IHoGjZ/shGNnpxOvN5j5slpAXBw9LfRJjkSK7d/GLnpCQBoKrpJp3a7iT6RW
MfB1fee4gJSR6rkv+mIGQDDgfWVbb9ftG3Q3VNb0JVoy2ApX1wFZn2q5QOq2Nv1Yr9KQYA+7l0F0
BuNOMl41XomQh0LZqBfBHJQSqxqTPwPBOkAhOrw15tf1xbAcCYZ1UcxFdtq8oO7Q+7yOhhKLSUvb
wINDU1dTxJsfYTn/BQjtrQi63wK5AkiJilHqP5ggYoruSGXV0R6d1E7R1RyjYN1tS0TKJkSU4/pE
BqJerlQfgn0442hzzg79Z8zlWOXsIe3DiNl2YDoDmJA/xq0zdE8K5zpjkFyoIDKXwHCPWS1w5VLW
0DSCWo0tsrpaVT8aellvhlFeGeX0ilmH2Iqhjr4eakx0hH4n74ievEJmAvMqUEAKP8CQftDSfqUM
U8OJIVieVEfXMxS7Z6pbeobMBCF2IOZIQZFOQLYS5TLdQ6r5HRwbjcFx26xtXmJR567yc7Cs1sAq
yh51Y4iuVB8qb1CfdeyWINRGIyTyydgCJBsxQOhLTp50t6kQW2iTX10/eixfrIM+GpSicw2Xzp4j
7CMBdG5w9UmONsRWkL1fB2B+nAXAvNZFyCpGxDeNFAC+hNEJWbHBL2d53XOuulKWcmJ91mqMbx51
A53bmCw4B0Mr7SiGgwq6vOGt6D/KfxZCQHi1/PvUYsqgVQ3fA7mvifStr9ROYDw2Q8rxG6wtW6LM
/7/Ysgxd414azatAE7C29kRXlTq0S+KF+3D947CsGUVmpAzm2/hCqyzp05yQHDfxqKIqWK+U1lvJ
BsdvMD/KDwjdDpRpXifXIkC8MrOIsQ463u3LOi/GrM+CsQu8Uo3Z9S83rAJn/xDhmlLKzVRDCQPz
XvfRfzkqCxRCDRxlhoaKgYx1yD4Uyr4Gj0tWwt4pXIDgy8HYskato201+JcRCBDBgCPbIregt8dw
WMeiQ7xtUb3ghMbNuvBRT8V5xSvzuj2wN/LvD9CpJUZoragwgjmnUwO7gpar/pTXr0O3vQ7DNrsf
GOpi9MVQyqUa65Qk9K3ibkgeTF7owjxEaGrCtL0KyjFaRdUbFTTOorcfo6HPWvWghVsx2+a1G/Fy
l6xbHqPYf4FonwABDD+aScaRRZT7m75/GoWN2rxW6Ubl1TovWZlnB7QAo1yDmqONHU3tCPtaa1oZ
D6YVWmOEUQXrdLBeXibbcg+uq1sb9Lpf/2ZM21wgUw91iGJkyWgAOUIdd0pzmzs2JfMgKPOP0j4y
oViGY3xsU6e+F2zhFnyZa//GcEun3Ba2aw2u/9A72ZN68B3ee5b5kl7sLm3+Gan0YBJgM+RNevBv
82fJKdAB//BHeKtP0t2udSqrutHd6zvLMSCdOg25PKj1OJPjyyn6wUHmDZbD9oAuazV+S3TOjA4L
DLzZs6AViHgumoon31STdnbGQ5yvQlmeJz227VRtasnEtNOAduaCN+nE+q5gEkAHA1R6ZRTqz92z
0nhh6CUITdFr4CmihZqyooRWg3H0cqsRK/T+IFa2ovI2lg8g3G6G9fUdZj7wl79g/oWLC0IgkDkN
O/wCP7+VB2fyHa1fFclN4N9UsK/o3sOD979gIm82F8Awl0cnNtHr0zRQ+MWjBnrUvYpK8yksTkK1
D3QMquupVeaxBS0sDuy8mXQ+1Zxp6DQVclTmBeEVRmOgRgVYsMEJn0U81SiloKkEfXPpNquj0ibG
lKxLoxigDRzNc5dyj0cqmUT8soasu7aPOQE6y9/PxUAR7UDoNqCLIC2IruJK9lPbq+5r5SWpFHzz
f2/LR+prASKff2M5m0YwLgUp2BIhe7nTyRHhUsQbCWbZ8hKFsmWMVhidIGIpeGdYRqlYhre5/gVZ
d/ASgbJVT5RSTBADQYvv+hRZQ2CoJiaones4rAsSk6Iixrfng0kHGzGB1lFRRSkkxtHkZ5inShJu
FX3YE71d13LDWRbTBma9H0i8zvx5lHMvkXbNzAkT/7oIrvPmtSRf0DPgHDrm1/kBoUPNASVEFS30
cOB1a1eqiPYH3vliOVBQooDfBbPv2D3aW/u952ce1oFu0DK10i/hGILGvVhlezxuwoPh9rgqJhcC
cDuurvb8xy8ON6h6QEGI430hASEhUULKGraRB3ZnWrigDhAJ6B/ibexEGAjkbCfTRH6OFJ2o02Jw
k/sNKERGKJbl/kcrlGAC/cyKU8mrNjDN4weKTthJ6kj6MMTKBj9xMEJ5CIfAkTGdfd3omQbyY/T0
DR+nYaRNHlbUae16kIa7CdffdQjmSkCqJElghTDBPX7uh3QMlXXQfUvtuvhQwHQRg+vM/3Udg9VA
ZRCkCEBqKGHQlp6ASPWk6tAojCEXe1qZB9X2d/6fahO8+HfFbyQelXswt8ufMop238q/ebaNX67/
BsY6z37CfFAWd2qr174GlvXUBpujp1qjJ4onNINCyEvNsiR0r6OxEqwQ5UUzE54N84g7ta2ikkAU
UMWKVUwrgJkI2loHD81brYEGHbuYYhA7BlC+OilVA+49HqM849ifwVO3i9iBl1OPK3xVdSWgNDUg
2eSYCbqGxaMocO5LVrxyhkbdMnWd5nEMaS9bUe4bpBsmzL7VvmUEz62Cix0JuIPX/Ier7QyUuni0
EXxTjYwdDopj4fcI8nnPS9bz5QxitqmFzfgKQSN9gnUJwp2nrWriKoHvqOKN5r3GghtmglV9KqBh
igI3CF+CCJP/o4usjm1AMSnc9/qH6P8ay0cQmvAM7HK2AMqWOsQqJHO2MVrFUwnjtAwH/La2eE7j
r7p71yaoVpB1Wj2qE8Y1VYfkA+cSZlXdCdpkUQmZi+tgMznfESXU8iQg2PRxJ/5Rf2GesNuUjmbH
j5rd7qVt6faixV0rw7HjGS/iLQleD7hD6jsEkdBkgoyzO6xGV3733mR3+jCtNF/5f7JbfZUeTVj2
NrrjXZ/zH6YuMABjdFIBHaWs0benOKpeKek1IsHBipRnPb+JmtV1T8FcG542M02whsCb2tFEEJVB
MVqcVFlZG8OHnKxGv7aHbD3wtIgYoRpBi/NfKOrEYEQPL60cUIHkJIIjthszW48GZ0GMO+sMhfpY
xVA2ZlkDBbypg3ysSca55pkfZbGMeZmLU9lHWi4XIQAiGUQKT2G3CkJO7zmrUc8ElwvKIXO3sWbO
X22BEWDUvAo7qIoYoeh2YAclkpvGv2PPCaUDBpSgP5eEsoVmAM7iWL70DJm6pwQlKRRNAXIAoRGU
xVO0svxGcnBCnaJwKhTpeOktJiTIHdE/iq4dJFepxUpm5CVKh0IJsjRJ/Zj7N1IrIHFnNWNrRWlr
CSPeDxxXwviKGB/4AaXXKZJojGfBxGw65fpJlL50nt4N4xI8g6BieOjJT0o5K4tgcg/ipJVhgbv5
QKyRcD7a9ww15SeWSHSxru4arZdEIClF/6i15S7ywJzTR1ZdgDSzgYSU8lUlr7r0gNdEqR/SIXAl
gr4bcMPEEQbCgm3Y6asxrRxff5I90U7lj1A2LDRRWp2WnYZeO0aY+7/uexgO4exn00FK2AWgU8DP
7pDPkPNVLz2b6JfM3OswzO8AOiP0FGIIHV2F54fJVwNwlYxQWxn1SX0OQa385sMMKytVlQDPEA2e
vcl06MOKMfjvOYu89EcatA1whiV9Zhijmb/6pEyzxg/RsZU85OI+SziruzRk/H0DlxMgNGiUUatL
uyKsvFmkqkah1iwxkSXGK1N8vb6HjO5CwKBxF5kS1OmAdb6Jc8OHlmsQu03C+wo86/FKVNbgNNJ9
36q9ozY5ZWcZ5qGxy0cNZP62PXMdrCaea2QtF2NZmPzBkuWLZukmKKRolLHcMv+Tx/qhGYX12Mq8
TunLa1GDHBIEoTF3h8IYnWVskkwqk6ZEEm60tEeQiDjic7qDWPmNVtmYLrxJPzM73Sc7g+OXvsU9
zs8ykEGYL+qQqjVROT7f6EkUW6EQ4YDB1jEFloBGxy8J7Yb7MZe72BKTBr38TTl1dpgr9V0+JBne
LKlUKY4UhvlJQmrqiN4taHnlhVljXq73ZLevK3BZoOMuhTahnPi5hVnt4NEz2vqxn3J8O0WMyUb2
It59PBvGxXrQ602wKPDO0d69bNNEV6MKlXbVR26mMFoX5B+SbQiEWJDcPoxVghA9ibwN4ixeOyNj
eBLbifcPqD0x3HExBiF5CfrMKxz+aCu/ee8KJqoF5KhN8AR7Tv7aIUW96Xsrs3bpUb0N/vx758kZ
/vflt7jJBWkwK9EEfo4JUX3vhevOe9HS9fXjyTwVP6v8jicWKFpcdJHWAYXU9zHG1ECyoUpP1zFY
R8KAHC2avzAHiij83DBbTBPXBdgQkJotTjJm3wNTWevehCs6t4jgcQ7CxZLQyqxBxhyiagQJMJou
0ii7DBLsSEJDsy7GcJr6ZTbpDrljHhf5hYOegRAIQDsZg9mQ2z1fFzhY0JU3IEWVtuOvvDQDS+EG
pRc33TeGDj1f1KNEpKPOMTCGnfZZA4zMgEo5hu3yCMqFqowTyUnZXEZTgEIkBVplDHrMTY7nUCQX
MJgwIbGrN9AQ3jWm4ic3bRUXg6Ui26fPBWXwbOm9HN+qjRbcy4Hc7klbBRwferlm9BAjiMUv0WXw
IVI/RFN6DbzhaWZDC9DtdaQ8cnRHa1aW3f+jYWIqAR3fEOcEO4Oh0UBK12utYpaZ7dWHTH8bQOaX
ZJu4tbJS5Vzml0Z5DkXF/rjdCwW8upg2HtEJhanTHI6lfLq+Hh4IZZCdptVgNAMISiF+/dsUOiv+
57TbPMmBQN80kR5F1E09+0LSVeLgg0IyLipHT7pNaiQrEIht/nkpMxePBFpVJN4umm1HadS8QhIz
O6uNd9zoa8MzcssvfE4KiLFlSxw6AEbTeo5m5Qm2loI9tRBWtQABPU1a/4flYLAA2wZBZWSUz8+W
YHajUJc6dm30OnB958Qy9TyDdJH378dYwijdTJcLZloEXJQR+CXoBdIEyatQL6yUuMRAG+YNyUOH
VG96EawIOFQxqnh9gReh8kxJge4mhFez5CTNpqBjDD3yQqCSJHksqupZLvxVJAroqsnA8i+AQ8Y3
3euYDD+BgSLIVGOVOno5qMiyU/woaacwhySouOoUiGH066nxnBFFx+tIF6EIVrdAoq3EC3O/HgYg
NeQJTXtoe3IFT3On4U2TQYbtlv9MGDX7Yqh3gm4XrF4wmnN70cBXTkwBvjiumqfBSwrLk8FMiFca
57Jkev25QA2VZ/AKGvQIZqRBrYbMraeKbO4UqK1YMWbrvDp487r+czLl5yBVbDnPTpJacoyGt63U
qUia3PO9CtuKyVbL6FeqcRv1K11+CQ3i1sKrwSPIYVoM3iAIfeHzNXpbW0NttaGOc1vSR2sM7gZ5
dMDc0vGYN1inAep7/4uji1R/TwVlhMLTsbAIYuXx8KKa0zzVI2ivqfkClkPOPl4GInhozHLWOHpY
Fz2+ZExgu/crOMtS38tgoVTwtLp+ABhuEhVFMrNcwyYRVp3b41AmuRG08F8FkUVrFPvIjZsUjItG
wXt0sxaDupsuopQPb0KLJyEWT4RENjI78QtL007ckOqyqIObHiw6cxoavhi04ueLaSsxjisPvmoA
JaNVeNreSLVmJYzRMRDBHV6r2s6T+4MkCDtCqq0g509lOd0Usu8jyQBfUwenTAHTaKJ1uxwlXE9A
ROaLCo/M6LIaM/9UKFDgIYJDij05/6l91RGNxEEOXj59VUjpRgzmbISILmq0kUDxtYygxTp8+JPm
RJJvmx2P7Yjx5SGwK0PaW4HsKx5i57+gLjzQJ4zCTBm98zvD8qt7lMr+/XoEiImsGvj+FEhLnoOk
SVqmxejDEcAJebW41pHX4XZ1XcrCgBRKmplZCKQQLwP2OlGnSDZxLIeVthJufw9O+l5bFRqcytpa
jx/Vyz1Yj4/Z/hAfQSH6/CA8gpT4zXBGznoZXnf+JeDKRhOtdBnWt1GZSeC1z3GTxG7WPhljNWHW
ftiAmhacka2Dyc97qUBroFbzXD7zi4KHbEZHDEcXJRB2lyiHAFuNzPdxaOyhkPZJMHHYhxjnGEv8
gaEj3qxC9acFTJg3Vp3ot03AG/xi3B94sCA6hH2qaKumvBLErac4FfA99epe9W677FWZByfuSf2q
qpuWS1U32/pZRgL2s8Sb3f7isdyMDfHGMMrtqXTy6jYeLaSTIOfXTztVeDMVq+mfhI4TCV/y1c2o
CLQRDsBoIbt6jhp3hYkGkiS3zY3QrMmd6Oa2/AvvId1RnXTbreOPz3/29meI1DoVxFRp4eOaLFLx
OCr5bvC1Y8iTQGXZIai/0aYEQjMwF1GeRS/N0BQSdDhqyehWzbgtq9qRspBjhywfCgMBqz4BOz2G
nCl335h9PJAhx1c7Bodh1W1rO7alt/ygfkSWyCvAyAwbWaJRZo/0nCeNGdCaVeMIG30drqV9tZ9u
EwsP6X/mV4FtgM0I6SnclSBGpvawj0hQIp7HIRszS6n/4O163RQuC6cUwrzehc0bRqG14IDMbUWy
km3zikkMSxSsxtIlyER3u8l+x5znP9cvgarixoGYFV7oEl2uBVn4RDq9ho8SHyVtpyAPmfDsghGk
6egahIzs/KBF6Hu+Mk+rZK8a+tzOttGR3Dzqn/IWygE78SF2wH1fOzaehULoXN9QltWrcFlwvyA9
geuiUOMxyD2lhc9CzSSrdJAvIMPBy51ezhDNG7iAmb3z4rONmW8EVdHBaRyRiO4cRIQgs3uUWyte
Gzf5oXrWN+Xe3E4c1/Eti0X7yCUwddq0AqTekOeCi1q/DQCejpjDgtdaKQ/gVfpTHMAZ5XQ+yC7k
Y2SVL8LObVs7eYc+jaVtS57zZF0Ry59DHUddiCBlpOPnNLWrbYyH2u72ulO48kORO/VqcCERsSkP
4TF+sVE4vP6tmeDIIM9tbHBy9Kvf10luxjksLNT3bbJO68SR+rs4cDLvT9U7KU+CmWHRBpgMUZ3E
0BgIzqi9T7qqUs24KcAMJNpGC1Xi/q7JTyEJrSRCGx2vf4ZhyxAZRUmFgHZOQ9Lh3MiEsdNKZINy
O866yWrIB4Rl4ShkXo/vbKyUTSH2RNT2/SyA+uU5TqZIhReE4vz8roTd1MuNnXbaYF//WpeVKlyw
M2cP+B9wetCDfw4TBYavp/2Io/lE3oxD4xgWOohPECdY6VDSa51pNw8p35AVGBM52KytXGJT57WM
qhFE88CGMuNX+lwd0GC1x4gmgZGahT1h5MYqnsSX67CsjV2iUgZD4hIGkwC1TvcDZsVkzpYyDgAo
iJGJwpgNNCBV6sPJLfjCSYC/L1RuIVoZia2IPEr1IYhd2V+PvElQVqx0BkjdVkUcm01RzIB7fd0c
pIOxn/amK/ypHbQhSJa4rzkehrlEXFQouSFMu6BvSHpPgxQhbNPIh11rDmsPVTXd/FKM33hnWp5k
rNHfymn1Z343NBOjOAaxL5z3c0vtu6wEza88h/DNxvB7DC3y2hxYFz9STzgMKAWA955++KmQA8hR
uM1tH2lxQX1Owi3oHBpkMdDy2z3J4DmYTqj0++F70q47BFe8yJe1yuUvoD5mrA3dUGYqzoQ3CTv0
GslHtdQ+rh+BS5+J5mJMaWA8Hm8IuM/zrUwFzfNBWVXYbfwgggg12jXDvlGPgrhT1T/XseaI4tyP
nWNRny3uIyFPZ/88tu+Gus48KxoOUnhj8nrO5z90DgQln8W3ozxZpcQSrAPfLopFV8C/aPTYQjSA
47UY6TQDY4AogoG5BGzLlP+HjusYDubsl/GKbApiSwNKiOGxzPPV9Z1jLWiBRBdDIZsShkEqQVFK
mTap6q1iM3KnXr+/DsNaEEhUVQg8fQ+AUfuWxFIZtSg32X6VHg3T/z1U4Y2I1At67TiFB1aERjBG
DeZAw9AR7FKbBzEmCML4wIL+wL5t/dM06mujgrw1Ias4bjaicpKgy5uUsmUOt7L0AJGIg19rVqn8
ruKYs/TLzrE5TPn5PfQWN9DnyOsWv2fSvJe8k1y1knZake2iODjVKCRAUsUxkK7QDGgKDtk/n0PA
azNvrjHP8tBF4h5T9XHf+AUKPmiQlLaDBLYdOwFR2DyQzeM4ZNgTwU2PNJBuYG6Ijigm3YfeTBEC
bcIolrYek/ep4zhpHgblvjQvj6EOE0CPNMysyVtno++UGCL8Z5M9Wwllsn5ZDKJUYyVqvCbNLyG8
DRIniNz/HwrlJaHQ1DZqi7Xo6KjzD4myRf5R5vEGsXcMb3Rl7tGFRz73xUSaIqjvYC0J5lUldQNe
NWs0Oa6EccaxYX9B6AmIYGh7carmTy/cZOoxNTbRaA884evLawXmjAQ2msZMVP3o0L/MDC8aDGyY
UCuIWJttoZSHVi0Sq0tkG5R4a7nnVR1Y2zdXADD7h0wxhhbOty+JjLgy0WNhEwLm9tE8iGm2Nhte
OwfjWoZQHApucPkAogcvyriMpLEoYQu6fIM5rXXu/b5ubZf35JzmmpuYkLXBGA71Mg/6upUrBe8K
g4Sp03fgIoqDPnWlOnvrITgGv+inHP93+cHO7+bZbBYP5rlo2qo57ubGd1JyG3lPpgehVihNHQb5
32u08izKNhdoTaTV1fnHLMCgFqCmcYkvFYRkmwcvoqLZUQp2RAPDOBnc0YD+++TBM3lR3eXOQhgV
uNIsRwHCL8pbTAh3GlNFfNyETmf+UhXXa3e9+sZl8mYCIc2OjBuaYy4KF6EnKW2dI0It2tdB/+VV
W799ruTdlHGO86U1YkU/QPS1VeexoSU9IgOpejViXEy8odbLAB/zlJjjnRNsaMSk61G12k150+iI
pYb91Jz0bC0EL5W/Kft9Ie8hUPavtn8OR9lh7kM4rGoBlxSjPYrbCSLdXvgmDJsmSjh3B+sjIXuI
mgsmWaELSjmMbsJkK/wJrnzxuSHRBvJTd7lSuZDls9Cuwol4Lt2TDL+LTiYFtDb4lzrVmtBEfj7f
h32fQklq1ZMnr/jne2rGAEmAiboems2oGySPOjLmPQaV2vyPNt6X0QFsoxHP0bJsDvwkOiI31OYu
ejwlCZ25ijGjSHe6hwnr/u66ETCdEa4OvOy+/R+1Va1YFhmmNgs7zxy9QF/1h68elWgLdTFI3trX
wVhWgDP6F4xyRsjtBi20CHFtTKoVxlvNuNO0wjLEbc17n7NMwEC+COMwCHzRVX3u9xowF0G2DRtX
YiQ1qdYmRKq1gBcSMVHAvKzi5lWQdaN2L6hyDVXaBOI2wt1oYj7PvBcM3qDaZRiB+2IBQu0aKfuZ
dRAgEw5nvq3DDwgDi6Bn+g8fByV9RMVIGWOk43zHsqKojTgEDIm1fSoKwgZZhdpS/eHNaPUb2fdS
zhFimgMmhtB7hcYFha7FBlqQgQ0Wd5OXfs6BBDhnS2Er9IXT5Ovri2Pu4V8otJ+cL65Ts6aO8hzm
MG7qeFv2hQUpzoA3PsS0hwUM5eZ0TyvbtgeMl7h696sN7ovw+fpKmJuGSoyBghY63b+z4ssLPQrU
KkzSwpbluy5aNdpOND30atp6yHENzMXA+YggW4F3UOf/XyAFqlf0SorF9HW4AiWlHSXp64DJvesL
Yn6aBcz8/wuYJO2Jjvbcwo7BgJpE9hC6owSer5xThWG5UrzB/i6HOquhbiSyFAOnwiiJ0pLnbPI5
VsbbMeqkInnsZyi4FHbn32vhMTSP08AJ6Nif/2cVlF+rVbMttdmQayleBf6+BbsIZqwDNbc6buJg
Ntfz5A48z8+W0Q+Yykz6ulQBBqmr2NL6GjnVaS1ob3pLnMZI3W5SQRHaRnaUd5t4Mv9/+0lHDboR
eV3pAx/utZUfO3Xt1byMP+ebafK5+clJF8akAEZSmY4RHMXGBDsDx7dybFyjfGup55h9giiFLfmO
2bgdWWnyzuClrpi2gWkQ9NjNKhF0l7gijkEgQXbY7osPL7PK0e2Su8TzbQNiLdcPLSNnC9NYYFGm
Hkh9OBgdsOS1tGp34W1+mz+hyrUxJmg+zaRWp3ZjPF5HZX4r8KgRbBYuKPqKClSjxiOngHsVIXjr
Jukfg+fB5999YfILiNmLLLxR5CcNpOSwLj17JtnvQXqPTbsjD6SXLfQGX18PIxM27+LPgigX6wVN
IiUlFlTklhRa8q9sX2FwB+JNjrlWPq+jsc3jB4xytGA5SfJexWu6EhRLCVsnGAYb8Xev/c615+tY
lzMtePotVzb/mMU+xs1Qa3UAMHHcpK5oh89gNHCN225XbeKt+SRYptu5DXSqlHV1HzoFLzTjfUjK
QGvfB51Cjq0NKm2DpoJueNHQtSspv+TippP/w4tjuVzKLaP9L658FWhypv5OjDG00Pz0P6RdyXLc
urL8IkaQIMBhy6EHqTVZtmRpw7BkiwTnefr6l9S797gbzdsI+2y0UUQnARQKhUJV5maqpYpfqy75
t8WIugqmHpYoKMS8tqFfB19Z7pmoRJrj3dh5hbErOM7QaBeopmTDLwO4sC/Ews9ZGyNWGsAN6uSp
t+O9PX5lwYKJ3ldIS2t4rqlqSQQiWUNd8M1FMDdRmAC0G+pNRh7A0AmJ3i1pXkBz6GTD+2WjlbgX
sRREnZMqURf3kneQbjMzt27LLymUui/DyKZScDEEHWRznwFGLd5Z7JbtldkFyD7uosGdbKeR3R9k
wxKcTJiWkTLqwAumG4jsFMVXUj1eHtLyyZesQ3AtfZWWlb1AzMPjOL1BcP3y769UMZ64k7OqYCsI
jbgHgDW2T/OkfEFHtlNq0UOIiq7JYNc8vyvT0IszY/8voQVHUlukUmMOaIMWT3rWHeI0vDbN6Sql
/Kq2VXcucwdCoD4bVcn5sG7/iPIhNKLj8XVxBkdONA+6rNNbHEaxQt1UfVfjaBtl80abAy+r45u5
MCQ5oVVbQQCBViVcmkEGdIqozwkd03jZcWzwDUiH5xp1hkRWjr96FB3BCBubdlZtxxPmtAU1QWZZ
bj3wu54TL9N/RXYjmcaVBzBYz9HLqzAqAzc/TjNkXINXJXL4a/Zg7KubehdCEGePE+gqHh3tJd7L
XuxX1+8IVximUbd6r0bA1VrNabNFx3XbFl6tzmglf056iY9en9XfD8xClElZPDdEwQNzUDwpqOe1
npvCm8EBKztb18LZJSMPvizDZGf9v8xoWDej+MrlXN2Pin2Nzf8Q18ZNH0UyU1nzlsdYwvbTlDwH
RT72wEiSLahlBohOzTtkdXxbccIIsSY6BS9v+bV5PIZcPulo29EsLKuUY3hN+pFZ10r3Mbbfkihw
I0X3LkOtWchyudZQnI3+TpE9pe56SF11i+NMNmbgRPyVWIdgKjaEeFbIJGirbvQYTjDIrDD1smsA
VyEiMuk+jYijWA8Wqoxm+wBFhDL71RmGBHbVXI4GKdpllLZmqS9LiIqmcduDJTFBwYpBdpcnc815
HY9uOaWO1k0vzDhpkcdyi+E1UV01uk8mSZy3/IR40C35eQL6WZBuWsJZikeiLjQq+MfCKm77MviC
eEFy4MgghLM0L5TSKsDZCUHK4ICXHb9qZBfF1YlaOlGhtg5GBjHxhqRSxXMLjkJH27IWvTQquHuY
e3k1VjfuPyBnnUlIhHGrGeH8zGl6nduv3AaDBxK+41ujPMZce7CSXAK5OnUoeMWjLug5wfh0agA5
SiqsoMHqJNNrbd/T0rs8pFVDPvp9YWlGNZ96ZQkQuWHsLJvfRQkqBsJC8YPpb3IfFp5zUaOAWkRw
7JyOBVKPfOAaxoKX39QJTQVi0V17VUUyJdx1Y/gHiAqp0c4cU5IwAKklrhTl8//3C0tc6vrM/QYR
TmAVcZPJcdNFBX6PFg3Hih30ovBIsj1XCivx3AkBaCRBFp1isUodL97E6lGO7E4PLHKCB298L66M
GFohoEp9DrfjFeicvGQfOOmVrAJ41ZcfYQvONVeadrJ0jBE6ZZYTppEbZRyNZSN3Z3sER266G3Bb
umySK2cVWAnRHc0s0BPiHeLUTNKcxRH621BxnfocYqT9A2oP68JT7KfLQGu5ClSwQ+Qb5bdoERFL
fpMpz43MsFEJyDqfTtlWSedNkKCRvZ53Lf2FooBbhgRaPBmHmMmqHNbGiXIp1BpDlB6dh+J2mNUh
H2LUDNGu6jw9JbmvDYntdEnRgv+W5J4aVaNkcs+2BsgJkePS4O7ROwLBttPJpRUx+lDjjasVD4NS
ucYAQp58lniV85kVYJaxH51btM0UyBVFaBaZ97W1aZrDPDwZiuHy9HsTf1OLHav21fzl8oKebUkB
VQislHLMWiPD4GilXCWzeT2kH2DKfm4m5edlJNk0CmtX92qR5xClwElwz7RvU//YBh//CkIUPY67
tMvNEIMhyewSjlZpfd7Maf4vl0osfJktO2LdsEwaSCOrqyDNnM7a1+SuZ/6g/Yy160LzVCPb/7vh
Ca4ljMZeUyPAhux7Dc6sXntg5Pkyxpn7OrUH0ZMwC9QpWYlV4kPjlj3YAgflu2UN1zUjb7H12Fhc
Eq9R2PVJMCUgLv8/svvJTuqUBkCsq5tAbZHRgQKSZAuvYoB3Ady6cJLQYj/FyBur0Qa2GEYX3Rb2
APkVmxbd+1/MHbwvCpWQX0Ud1imKmqIvGgWEQKkMb1LQtnwTpJNHcF+ojLsQBCP/Dk+YuSycpwTc
afAY1Zea3gXJJpkOsfWSBQ+j8cfSycsyHQ1OiKpMlaO21wDYhNaLiO5rvApHiSTxsOqNjkAEV5uE
/ZDEDUCCofLBUOOq3HbV1LprillidquGfgQluFsDdS8kUQEFymXd3gSB385v0/iok2ulvbm8UKuu
D2K07JNTB31mp4Zhts1U4gUGrg8E9dNwpVkerwrJgM6T7csKHaEI5pBTUirpcoBYN9FdvZt3qLra
ZzfIS5HYIY5RONzT92gxu8k2KhLEN5ZPJOv3+fZytpmPvkGwkraj4LBKsAX69zuIs4VPtmP9/P6V
MAiOVl7vsq2J3pLp2fI7F3WKDF2LVPIN549SwjwIRjSPyZg1Ieahm5zcywaXfRmvm22/i9+q9+hB
B6+wHzmV5l9eZG3Voo7GLlhUmpPJaCrgQsPPUpzCQV3/jvwMfna6o9qOuiFO9Zbu9Tu8cuimn8mi
3tXNc4S/fN+RIw0oRTcKBz57vLEzJ3oODqBNwNqrG/ROfOmugy/kFixY4dvlgctwhYM9NpqSGTnW
HFoLfPI1ejMrvlR7XIIi1t2ZCYibRh2j4/VbHFxDyyaJe2euXi8PZvnYCwYsJlsJawI9tpdJxHt6
Gpm/9FZ3oJrjqPrHHKkertMe5Iklaycxnc+W4qOlo/lcR/0E1K78qQTUS5NdEKXg3/xq2A4Cjc3l
QUr80ecOOoIrkNLoo2UuqzqHFlDlMv25TWRhkmxQy4oeoaR1TtVkBIoavzea33ReFb2zxIdqrxPL
OlDWw+ff1i8WYTEFFM+oXGpcpW/wbOOy9l41Pd53Xgc5r8LrwPFotk88lJUAyiZT2Hakq1SFZRhm
221JfD1CUTGSkd3KplLYYq0+FVq2uBYbVLrz9yHbZ/PWCnK/NkF4a0hqZCR74JPP5Gjh2FTzrl8W
Dk0YSufjjVjNYZbxfiY93qauR5lwqOzo+vz/EWJplQrnNRYv3YNAmlxlaF4/tGikSx1+02xAD6u7
X6bNt3TbXw0Oc2Rclqvx4W/j+eQ3P8Jn9ow60eXoVJLWD00TLKuSLbc4/3O/wlCwAD5wsEcJIUDf
KUynBOGGVTx10d60r9vqKUp9U5ZLlgEJUQAblarIAgCV06aKfs7qVT666eB10qTDukf+PSThrDf6
IYtGCiS8YBaDg2gtrUynkDUZr68NLu/QEAfZj9g2P8W6qqVGguOl0cAvlrgW3V92h+u76zeCsIMn
6IfOFhjFoJUIbWVeweMuHF/00BeKkyL/3gym5Jj5rPU5t4ffmMKOBpFxZFcqMHlePScEXHNZmle+
aqfZzmxKqjsVVfTZSXHVeOcdBUu4AnGOLEtBHZNzRX8j3dy8d2OhHGpqjQd1GMtX2kbpl16J6Q3n
UFJ0LLvnu2xuWi8ujdqrutb6SAc1eOomdXoDp2UEvcuRehPU1G13alESkoAndxe2JnJlLdMRyZR2
cmP2YX+DDG6IlkxjfIrb9qZpOYPGUEFHD+8+/B2F0OXeSmy2m82G/orUKoZsGrj3XUNhfqyPj2pp
ZltwZD7qeCza0YIwv1b4fWFzRbKgq3tgIaMH15KNJxXh5FFyYtYdyXFR1l5AIjaBD9rUHZocRpls
6PlbyhJsHkEJQZ9RD7alQDnUtWOyR/e/E1m70n5RIFCjmddJVKJeyE9lvGJrHhoXTAIeZYoyViJY
bNWhszOn2BPTmDngjN1MeeIORbevWY7nsXg3ZY3XtLL27bV5hToJik7xGI2BC04s73uzm6wU1zMU
6abmQ89iEL6XDQIy+0Zei7x2sh7DCa4siEymqCPgEvVhSBu/sb7FbfAXl+hjEMGLmbVlz9CYha0U
v3JckRIP5XJVDfKR4poEskewc3IYTJuFIwCCkxpqxUUSbJ7OQznaZeMa6B1Jgx+D5ZQoOdQDyOx+
7bD/mtax88mxpxa93JJIfXVCoUWxoCODKyYoUoWWMV6VcA8lP0G/5vL5uZUF0GvOFM0r/2AIi1Zl
TK+Tscai4VWRz9shJJ4ZI4J4Id1P2kgC5/URGWCIw/EJYkbRjepJEbIBOx3iqo4amT59G9kf1wwv
a4ZCyv+AiAKhyUBVqiQFwuWieUK1+gZUU/7lI0gyDrF9zyhnJe8UjKMpuR/h9lhNrWv0Py+j/I8g
+Z9TRxzJFMxmbTQ4dfLQV8otHWcnQ9cr079XqmMrh7kAM5hv97JNtja85QD/zxkuDg9yxxrpCoQK
Oe6f2qg4AVxiIqtOk6EI+VHFTHMI0sErouaVsc4NIHgR/PqbKQT5CPrZQIVnim+/YWXTJJ8A0sWP
4bxVh28z2ya4IAbhNuMbpXmro29cVp+8tqsg5fwPqnCiUXTXN/UI1KD5wasnrsV45LlW+r2ePCZM
li5dncgjNOFQS02+6H0ATVFeuP5O8cIyS0/O5bHvLAI6AhHOsGks4jCwARKXD0F3R+zbEZoPXXE1
RV4Ttk5euEPoJaUicfhrh9jxib0M/ijWLyM7TecWJ7ZZB9sZxa8Zj267IbytzemH2WR/EfiDNINA
tmZ5kxQdvq23Nucx/GGvPbWJS4wYbjf2rBK3mD71LlvnmpkcgwlmglzFTCDJiGikfwyMe80qPdT1
WmnhMXMftX/acA6/iCALDX0IBeDzhefcoMtLM9C6Bgw85TY0a7BLMD9PJIfW8s2inRyjCLs6ViFj
A+0NJGrt2wCUSYa5Tch9nEpg1kKqYxghtumGcZ7oDJhwzndpS7dN3zm1bm3KhECMbJGevlO1VrJg
azvtGFU4Le0kCO2hW1DJi919kPaK2F8v24Rs/gR75+gIbogGiA5FRigwxdsHSFVfxpxeN9qXy1ir
w0GHIh5alh5ZVXAcuZlmbU/7xh1gCXjBRasve6n5H8uxLIaH9P/nkU9NsQ60bIt40jrAMFzd3NGy
77uSfuhhsc2k7bgr7gJM6hAgxyGP+gvxwbuOOVjUk7p2mbW7I6gpGPpbncs6KZZ1Foz8BEXYuPlE
iwgKMzX6T3bl3Dq1LCxbMW8AgANOVRdVFDF0n4yJT0kAAJY0XhabzqzRTdF9nWvmqIHyHjWZ01iB
5OFjxR+BcHFR9bMNqHWLvShgozD0sG5rtzIRNYH5eDTog1lGTpwf2kPJ4ofL9rdi6yd44pkS4v0+
UICn9BsdkkxNsUuz/dwkknGd8z5ZYKE9GpgQd+aRYaRNBCAN8tV0D1bu1tgmjZ/YT+CVJlXuIIUL
XTI2d+Bch3gRnZ3LQ13ZasdfIFKE42IE0QKCL5imm3SaHGLtEpks+drt9gRE8PBZCFbweVm/RJn8
YIRIYwxl8rE5NDaows3Y7+BN0AX0WODKIxng/wAHvQSIekGmqQp7AsUI8zSQrnZ1BI0M5YKKBS2x
55w+NmC0Dsw9OnGhGCmBXd0oIM3/L6rgwpQyJYNqgtbY7Dbo08qJi8vhRoWadOGUGZ5YZe3Q6wv5
G1Cw2SHQ80yZMcy6uamsO3t0q1GS0F2dSogBaOC4gLDMmSLKRM2gDMsB5qry9na0o9FTqynwwZqQ
eaOdg8LbIJ1jR3gtYnQ2nJ4WuiTuWhunhl0DCVU0yyMcOo27MgMCSMkw126I620QEpfMt1Hx4/Ku
WPPWxyCCzSgp6njmfqrdHPpSY/I9JVs18GzTHertZaTPBwXRZR9DCYbSqnZdBynGY0C73gCp8QNn
z1H5OLZbG51vQ+mnyU2Uvunqdu52A8Q+oY7NPWK+XP6QNZ93/B2C/bQcRcwovoLPy0K31J9ydfIQ
Wzsxqs0uI62uINNw1UZbF8pDhRApWSpho4pgxKAPQXXyRBS0rG0ug5yX6cO1gg/xHxQhJIrsMkpp
CpSYZZ7WeOgksdSrHirm1RbU6b2ZbQJy4MmNZoJG54UlH8H81kSSz1g7uY6/QrDWqVTVoe00OB/u
m2BBAKkmWm6dNoI2Xo28Zfs3u2OhLtQoBcWuSG1pWGaAHiPgzbNdemnD8L5jkh+sZbJb8ifD3Jnh
4vKK6j1wY5z1jqOxA4wIESaYOdBC80ePOXgxc1GOfQu6xP3sQJvU51fQVEw/6t204Yf4+VfpZ3fk
lnvaFofZM0QXD+pOVli7al+/P0zsakMuterGAR9WWY9JAHWjeZ/okjvLmoMgKIWEHzSX25iwrrM+
TGma67Wb1U+VCh8R79rpis2+RmQ9C2sx3TGU4Iv4ZGvjrGM4oIJV8W6RENmzoAxBcEFZ1aZDMgOh
gJhMo0HEW/aatHpyHA9C8C7xOGac9oDg8Z7V1xH1h+xHpO5i6ncKqPMPmqy3fc0KwM6NUhaE+Ogu
EQbV1Xk2xdpiBXSjWn7FD7YM4lyRAT4GVM+4kdsmQmKRYyegEW4OMawAIpNXzabZ2rbXvPPt8+R1
G6jYeIEbOHiJzMDIuit8RXIer7nsY3jBMkDKCAryZYi8rF0VfhqRsUmvuIwSfxUHsT7ociGkAXs/
PXItY0CBE8cwp/GOg709fjOKO0YeL3vs1QU7QhEctkqUwYbQAhw2NDgNUJCDVK/pNpdBtOVbRa8F
EhcdzUYGYfTz/0dpm4GkHTrNkae3rexWUbf1ODrWUxA+dbOjs+I6se8z4FNrY6e+Ldtpa/DgSUIK
mKLfXQXV5elUppMRRloxobZvvGvo4I3mgxk9M8gQ518VUEzPHipeLGwK/Y78sdwK3vgQLy3deHjQ
0kTZgcbE/VOzKSokVeWnVVZe2DBZ19iKK0FhNRgDQIEOXhGx5a9LetSt2wZyp2VfOlDD2jAzkdzO
Vs5UEF0ii47QAa8PorCAOmhQWu+j1mWR5czcn8H/U1sfHfebsXa4JTGZFes/gRNclxFNmcpnwClD
vAkU60ZXRqfuEdOzcXfZOj+PJsE6wciL4BJszou0kXAfjCzaoyE7hdzoVeFEm8GFZCOYhpzE666K
bR+DxL7w31AD5zBIfkSO6cZO6L1noLTXXdUxX2rJ4Nfm+uiDxLNUsVM6zBQfNHeohP41gegNLjuC
3GIf3pT19BcXYkwA2DTRWrEIZwuupg9ZQc0ceJrm2I7iZtTDqN+b79HOThx0ajuF6SQy1pjPZuzz
ef8NK/geUvdITzaAfcr8UXXCyum24KB3gj2954d5Z2/669QZQTNgvyJFnzk/7P2PZheEju6Em+bt
tpi9djO5UiX2NeMDFx143HB11dGWceovwpareKvEhwXflE15CL32vVvYtYND6Gu1UzqQWXazvawn
c20bH8OSU9ggTBVt1gEbNrqj6b1jPV+29LUKTyz074EJC62rA+sh3wUVl/fe03fUX0g/4u/NN+4G
jww5YCd8pN/RfOWgHMG7ivzE+fiXnyAselYmLEzDrHUnt3E6v33TDtQrvt1nN+8v5Q3bDs+Bi5VW
PHS/etO15Urwl7U7N7rfUyDEkDZkmfC2iilQdjfjXfZhuejNQCvY/v17sVXRZgTl2lf6aD3aW/Nh
cn5ehl+7eJ6swGJ6RyfhWKOOiHIMn93dWa6x7d80b0S5afjwrrlopvZ1tx4dyUPrWlUt0U00waAq
BKeR6OHsBOy12Zy0bhf4TQnmGo7sONRoDA8Po2p7o4RXeDpUY9dqXfWVR/4oewhYPYP1T1kqkO6B
+0WY96k0S8McMO9zi8u13qJ/lDpwyuhd2er6vrDvrMYJO1QJ5bezdQv5k8szv7qnLQ1sf9oiwSqe
kcpI5oJ2wB/YtRV7YbzP7RD54Kd/ByPs4cHQVdKoWN9AgQurigOUpd6VOvqitTLxxnM9doQWOvoV
wP5MwAsqdspFedRqbLEl+y5wWy/aBg8gXt6PX8Gav9V3/fX4Bay1H4/sJ6KODY6SDYjtndFtnmW7
au3ef/IpwrDruDGHUMHsQuaIeT3uwLiaxpsMkmMAHGuXOP1W3cxX5v7yfK/dcZaYR0MhmQ3ieTHF
P07oqtHAbO/a7eTO5rhViO22NZZ2zNDrwKc7JFh/tK3uk2aQOJM1h43UOEX1Mm7iZ08ZqVLrVTVh
W5EQ3S+/+uDL5cGtBOdQ1l2iEmwZXKaE25Q6MXsIlwOSRNM0QtC0MMPNqIWgWGsyCC9eRlt+TfCM
6O5EfIesMSh7RbI46LlFuQm+QBfSI06r2I9VbbmcodOTv/alLAu/kqo9QRMcYR1otRHypfYqD908
vclqNwhMkNF8SUBSljQ3VJeYyjoiEi8Qplse4wUPhJodmicNHB7aWP2mxj2RPscZur8y/XHoPhaW
rT6RPaqtPTbYiCMQW+KxFfVewpEb07hvDYbiEK11G3ZLmtAhJHdo7avDnqS+MqcuVfBo/oN1hVOD
2FCXxLcr63piRUIoHYdVM1UjrAia7nuICG3aRvcnq3cTTqFr+XLZilb3BEwW1Z6qpaPk8/SAa0wt
HMCfiI5OsAaj1OIwqlIxplUM3IltVHB8ZsZPMcK4mMC2UrZuAbki3hcgTEedf235SVBc93l+FQyL
CgXfmTV15qaDHCGE7mvdJYxJaG3I2rmC2laQlOJogWCYsL6kz0K97+oWDOGWX0LagNrBdTal2zEY
d1pKNnmebszhUSsMN1P1bdpN+5xoTmWVTs3iA1jgQEpR7EE6idP5Nc5/JHisZB0ojJL0ZuLW4Cht
iodzU+K8Vj2niYc9vJZAAR1h+OksJpRESqjiy7XquwkBS9sh7UtpbbvoHoyuY35tqDINiLUKOjR1
/8YUdj3YNWtVbYAZNonDUXWQ64obDn6mKxu1uBvtGy1NHbtDdeKm+4u08Am4YJpRGpAxngDeDco3
kIleGdbXRmt9kGI6Y1A5dHq7vBdWo73j4YpbL7cY+BOW4ZaotUSOL8pfEiSkDeoZoeEMlafXOzVE
SxFF2qV1UnXLFXjDX8N0bdq/JF+zmKLg4E/GvzjIo9gT72JpqI74GjNuPHs8fFYMM4+M/hwkvhnc
V/l3FSQFefJcpb8U61GCv9AQnOEjeQvxG4o2dzGjxRKtrqACj/knX2tEuTR6QvaFkD0znNrc2Alq
DWVv82tXaUhm/IO5uJKjMVOuaeVIe/je9DHqNxa/mhTDsfVNP5ZOEUpygyuO6cTZC2jRNOhKaONQ
083iew6Wlr3dklriclb8+QmIsG8pH5SwWMomeR/uw5C7BnuoDQ6h8HTT0r8oXgManv3QegsHJ8os
mDFIQscZp6bNVd8ks2vxZ43zr21hbaYYAYImY09Zvl8wk2NEJrBZIGzT4r5bKjZRz1uSdBc0oZuk
f5HhBwzqdxaGDhAvCN5AAX37UMQo5oUcL4jIlPlVVX9ctvgV4zuBELZ/QCDBTZbaUzXOd0iMOsa4
WcoO8tAbI+4SmUjmqmVAmchUoVhsnzFJ6CNHAVlRYUi50yv6pgnuar61INedT97loa3HNUdYgqn3
uT3VzQAscy7U+6ktb2xugNfJ3pY9qqN1ojwSyhtHQ0YZBE/pdB8g3+NXLLrq0iy+a60s+yb5phUH
B3mW3+MXdobdl0Nvc3xTkMVPetG8Zmp5m6bJezA8ZXgATILAG5Rgy5LYmWmOy374ToxQ5nNWQgLb
RjoWt10o2oLF/tTnlKGOMvEKpXWFth2qH13r2clzBrokyXDXAtpjHDFNxewqUBu0+kM7NAU1J98F
XofHbLC3su0P5WbymrvZz7zwUTkY/mXwtU16jC1c+Hq7jyezWLDB6cXSeIMXoX2my6byPEhBBIlE
8CK3hVwcng9O55J2bUKKSk3dDgyVRfWj774ZM3gaNpHyPJKbLJpc5U8j2AUSTwWoekLVLkSOTiHB
mx4mcY2IMR2Qi8yaA1TbJC78zEIWCGrhzr6IRaAY7hRCC7RkRpsGgtLmoKbXJi7qZGsPD5fX6Mwd
LCg4bJlBQDADyYZTFAvqDKAtpqkLTut7NAmBeah6nCzuh113Cw14iUtYdvyJ317gTFg83nfQDicW
V6ttOEDlHb29elc1141R2Adjtp4uj+nM7gQQwR7QAoG+px4gjI3YVpWjxIlXEYnjXje7pQgSErwL
mb6wQClkCfI4MVK3p9lDPUBeyi73fIh2SrAQvUEvurSvB/bLtKs/DsuXEeJp0yQqjE+3Fid3FLHg
rhjZAbdT1DDpXstfNMQrUU02Pdjrxi7bZux1KMZtCFWgy1N73mAAZHQHEZT4QD5eFxMABW5zkFhe
XImSbWi+NeeXMLil07ZtQr+rH4j61dI/bHVzGXfNbo5hhSXFbUC3Mj3AksbFRtG3ljFKLPPsHF4G
Bjey3HPwYCymP+tQC/WmmWCZQw5pYl/rv8XKliq7DgVhKZe9Ny4fLG4EytDRAr0PJFOY4JfZHGDv
R9jdmoZb1eDGLXWb+LVQuP/nM3cMJDhhtO7nYWPCOdIyf+zm/Kue/3GlIqaOmhp6JaDhtAiLn1oj
p0GqWz1BzUj73er2cXWfy7Joa6tzDLHYx5HBM7VNqwxPxGCt+QbHbkIATaPM7UK3re4rTbK1Vxfn
aECCU7QTW60gOJS6U3Kl1b0LMjhnAJcZ6j0vL44MSDDrUYlJ1ycYVhyAM+Rbn97UzRcz2l9GWfOH
eJ+nyLeYDJXVgqMa49majQAhXpha0A9QXsqy2g1hLjlK1vYoQkpsU5wlEE0VTDqIVDZTE67BSmJ6
DdXyzglbLf52eTDnQSWsDUltNCXgL/qshcVR29jMuyGHKXTKa1fpW9DvOApX3Qksh8MYHYbmTR/w
EjvVG7sL/RBbyipDN0WVruRTlhGJm9hCPnmpJkW9kUhUr5fGgP7ULHXruaVo2u1HJxljp4ZKQwFJ
rAEttwW6je2SO008uwXqLi9/wVl09zkXvz9A2BaGXaWZieSRa+CEy7tNYl7n/SbFXTnMVL8rCgfR
12XINZM9HrMw/SwY4rAMi9S163HD27eGb4tB9+b27TLOeRpIGJuwNxguD9zUMLYJ1HpozsidcjA9
w6yvwhbZENxCPbN9A5XxdhhyP8ZzVapLVZRlKyxsHZr0BApD+IgmA5cg2VK8c1Pr18zeK+Ntim7a
sXMTtJJ0kuBvzd8ttJCQ6YE/RWXPqb+z9ClKqA7cSIt3oWk7dhEcSPzYWl5svMW95PBbhnFuyL/h
hLmuCgQQCgVcGM3P+VT5PTWuyq5B9hFavZr9cXltV22IIVOwPCEg5hQPjJbHNnhJwfACgZGp8ory
dla3YIr+m2HhQgD5bZSAnZUURXwuOsqBU2WPy6boqy1eRjyrurH+WGVtsVYbkhwIidALJp7nZZ1F
Rh1XcAWq5qrhTlegxr6Zgh9cv788eWumgWovVDaCSHiJWU5Ng0/gRu+mGpFD67fMM7SHPrlTjcE1
tUPzx1WrGNYx2PIxR+euxpMyjEyA5X2To8xFU1GkT9s96fQ/7pQSoBZfdwSVJHNFMw1Q+nBrTu+p
cg+mfolBrBmeDUsgoNGiUJoXjiitsTIV+RzcdlCrkXQQZifEKQlUKv5qNEdIQtgVQ8Z4tgsghW3r
gPfR0YLbvpfcQtfc//FwhH0UVz0F5yJAGOUQ8f3SVNzR2FbTvmZT5TTjXSV7/1udQBSPIWWBBC3i
idNFwmETdvnUoiwguqXFplT3PP1KZB0TMhTB6qast7sRta9umee2o4XK65zOV1wjd2kUSI7QtXMG
XOp4e6MYDxyS4GojHTo0sYXyfXA++zUSPgMU3owqdTr6YabKnuroD8xHdhV2/T4gGvrEZNR7K1sa
n4CCZfROgPdU3NJjWU1TuXyCST+I6fe1V7J9X9SOar73gSLZBCvOHso68LpgW0HhqCFsNNKMRTMv
N4KMge2HKxvkJ79SY9zZSnGdhYYmmWEKmxAOl2ViwZmI/LBlUsFKZ60eO13Has6q4Q+G5aM467JL
XJboDAGsscjgo+6QinWHeYPUYa33OC2V1zK8zfAOHqeS+hgZhmCTNOWqmVXAmAe8SFmviakcNGvc
XB7JiuVbC//tf0cirM3AEwbpF1hCDY45HXRJ1Z7rj1or6xG4jMNEobw57JEOmjEalfZOod5FfN9B
HTLUJNHi51EuLg1yAosONzjIURt66jAI2oUqvca1eq5RnuJ09YRXrgjthF6gjTzyIBYaFX7WVbYf
qCrdR8M47OPBtA+jVeL70iFKvBniiNs5iuINMLpfuZqoKE6Kqvzeam3oFSZ1jAwZH+fQdKBoGQx+
i71m7rpcT1UQMuEtO0lL4jBlHp+DYVZf4rAJDzYvp9cxTM3gIemI/kK7CcUFkRLVDjrEQiTFNeNn
wJP5HppyGfEUq8+3ZVnm4EIawwE1n2PdBds6aM3+YNeJUm30BkwBWy0MoejK+uFZqStdd/OiiF7K
yYL2kwJ9xRzv3qTfBSXJN0Ncx7Zkg6+5EwNvwiAUR9kPPWOvLXH4ZRpyekHeetAirxG0lnQ3VoeS
+pn15bLJrm2MYzRyusJh3PEpJkAzq8Hp0PqptBF4iWQZgDWLPYYRDKlJZhjNBBhN/6llD0nwpe/e
q0IydWv5LctAjTQSrvi9M/qWOmCRrUcGAv7qvdQ9km11epdEsauX10q8NYs7u7o3jIfLcyiFXUZ/
FPwMbRSmuAUgl6j/7HvmFNmXFK/fRg+eix7NpXeN4rfcVbq9BHhl9WxIfEMaHY4Z5rL8/wjYqmZU
8YCa2gVx+zstXud+3DD2EPbfuqS5MsLJt3ANCBO2H9vbOWEPOED3cwQSB93cXv6WlXPp5FOEOWhr
K1VaDZ9CUUfu6AXzFFZ6VG9DiO8me1JkksVeCZ8wcJxLECaFtrrILRMYQQ69mAE0kIXxWKSFb1ll
4rIsuO2U4gMJ8F0zNY8ltX5eHuhn1cT/kfZdS5LjypJfRDOCmq9UqbO06HqhdVdXEdRafv06a9fu
yQS5Cetzy2bmYR4yCCAABCI83JlD8dIwy9KipiTuBdKldpdPOx+8/yQwUnDSCUpzErVu6BH4xNEB
Oi96vo+p4B9EPQlDuytq+u2PsijYTawRZH/T7l6UxmgbpQbJLZDYJKDsav3mF43V4bUL0F9rRQot
97Tv1D0QMcm9GOEazoKc8yxZc2HEoqhIyOjug/Qz40lRMNUN7dBCTISus32jPYlGreJUUH6B5z12
qyp+Rh7mXk02UxkDvDy037fndUnQKqGqAOAm2uCxnCLLwacHql4PZpva2viiFqJHSfpq9qhzRsmT
WVMrMEQ7ETqb1BX0MIZ7FMetRg2fGulJaaOTT54HvbAFWeXtsmUaYW53hLwz9pkoKezcGJkvK5VY
pmiNNQNE6o1kh/p0h4yS5efULSbRisY/Q5d6Sf3pl+rT7YlZ2+SAdymA5xEA99hLWKH6JMihCP1Q
IX2TZboxa/1VI7xC3MoRDdjwnAtD8gUvBOZ1NfXRoKkl3HrsJ8i+eJ0KTgq6SSGzdns8Kws95xnR
oqrgCYwyCGOpJj1qWcYI6Ch4LvDeVt476C0RJ53QR/qitJ7fWpRuZUgFJAG6r+S7JNzRYCsC3vXv
8gEIYv6vsg+AZrNswvURKibRJGBjIQmnpiCb3rZjZicDJ5BaOTOwcjhcddxKSORqyrUVITER1lIA
AR3vdPc8/z1uLMve20+jtaXWdsuJd5eLCbgs+jxmOgnsaxb51dJOl4cSNxLoUiBa6QzqhyS9Ds3H
7aWcP/v6KLw2wxz6CBplCN/ATDpAolI5gy2e4yzLa2W2gNcOtM8hGLJQiU/GkKQqLORy647iC4Qd
4izZJJPrZ5x9vjYYiJLM8hk4gaAZf71Gmjb5cAWcP7EZNfcNKJOPKHfyyJtWCo/XpwkzZ1EgqJ3W
VClqH2h/KTtwiQmjJRN6nvzvCirOo6AE1oRXxMDL3K1NJqpWuC5xaeKQZ0aY5yAUmLIaJyweymF3
ktDghODIHw5TzCsrrXngha2fHs+L0CTs0SoAMYTUlifAwQiaMIaDHB4M3htldUxzqzBqfyYgjkxk
GVMNGW0NcUeKVA0BRZWeeO14TpqPjMeDu3JJYukubDG7eOiUuo112MKTFTH5l0gQk2+1WfBE/zMh
rR2CtGUGnj3f3mYrY8QDzEThGzwPGCJzOUumEda6kmd2n34HmWBJGW5mxRKjvW5G7n9hC8kFuAdy
h/i73gVCX6VZ1BYZuIwB7VE2EigaCtWmNZhS/r2MStDfgIo0Yg6w0LDha9GMpRSMJWzVG42cJhCZ
1QOxppYzfytVp2tDzJ4r5LHSkgGG2hSkn6ep2AzyX8lwB6RG9dbqsgMqLaL0muc7o3ZbXmflvK+Y
YxLwW1TwfnD+GPH1nGaqmQQIRjPbV3tnZiNtQs3u5yqo/gQMoS3Jf2N1c3sdV/bflU3mXpNxmkmp
AptoM/TMyCOpv9Xlvdrw6mi8wTGHSlE2alQMFcrukDCEvgcGNULx55OovtMonR2KXmj8uj245RsZ
6/mfCVUY/BVk7EYg8jG4TEembd/UzqR8TLWCRz4oA6rdv1tDWAp0P8IDFcCN6+UbB7GrkDzHwz8P
XXks7bg6CsjvxeXggevVGop/FoyaE9wXFpnFU9U2zHpdhBgEKTb18FuALGVvaF5IU0vgRidrxwve
zBp4wfCWQmB2PT6AsiKKFubMbobcGTPdUjUBUgG5IwWvmcB7pC/Wbm7lQdMlgiAEmQi6rq35vdR3
bUugwABgF5omaGZRTbIj8WRED3ix3V67xaU+W0NXNgAvCO8W1wMN0ZiR+LAmmL/RUWP3CicEWpIV
MBaYS8GnSlPmEaoQ2mb6DLfJzpu2X/JG2Bevof2ns2Jbs0QHk+tRTlfvYufBsqajdQh9GAiOJCZ3
0+W1HpaJLliZiJcQsg/Nuc5fozFCHRvkCPW26HkyxTyTzOIlaY+nqAT3CMaPBLVNEaq6UIlLvIL8
7gzVNn3O3ls8fpgxMrMLFu2my5CttYbhbEiejO59Ev7rUcnYYK5XfwqmVKewQXEk+4EHyj9LAG82
j8h8zRfxuEKmBolOeCNzjqCdpqZSCDtV8ZzIUK4uOL64Pln/McAcG1rcjBPkQ2FgeEJGgpAHOnDC
A94YZge5COsadZSh3wkTBg08FZLYk8LzMY4JViYsJxGyOvM01VSzlOBVNP8rn9LRJzZH+brCRAP+
AMU4kJtgDFFtgQ+uqh4l7fH2ubPshp2dykCZUjbBjbaIbXqNQhyuwyi0F2nz3jnxa7LrIW2/iXfZ
pt7ydA2X/ZmMPWZQZaa2olTAXueRJ/LevUv2Yww+Wke6P/ZH6ag74oany7CsvjFGGY9WmimmgJVh
JoPYCUrVripnMg9da0cKmJj0OypUVtmG6PYDoxln2676iQEWOdNUkQdcQGyDWIv1CiPW/VOZorn4
X9/QP4P7z+8zuynoui5qU/y+MGq2InfoqLPE6ZTwBH9542C2VAkORnWcj7gc9A8p2UJlzeY44yIY
vB4Ky0ZYKa0Q9ZAntZDngMjVR/gwHbvtZ42a23cGBgbNS73ipeRM4P/HJ/9nBtlET+ib4TT0MGtK
9vj4kH6LdmiliAgP/S9w+aS7F9NJVU7GYCkvOg8W/xAw8CPMYF8wrdgKImpJAtSSQR+kfkqbcWOc
yu/GeQYvrTXeUeyFwAEXwot44KHml897xjpzKZdmDSSEjy0xgr+LuvlrYzUVms9cYSO9Uc4WWLaf
/ViDQDBSPcCtsEijPA1JPs0hQHQsv8tXyUY6/KDtyGZ4zN+HfWUBPXOIRXRsczxqjrCvnjQwPOOI
QVWPv6XGcjQNUz9gmEOcW5rqFCgzRGc0YMrjrlCdyD+XvKrn6mB1FPQVwBNxibLP4Dr2u7YQMNg0
dVtXdLPWKjfZQX1MrP44eqAWeui3wyZy/xnRMA/2wjBztmp12ZSdCMOxeW5EayTPCtCKpbq9Palr
B8GlGeY0xVqiTiDBjCj90vu5fvR128BqrHppgTnSBN33JR8oTwuZSPTl7QtPuW8sKzjWgaNZhvVS
b7PNg7xT73n7YuUEQiME6sXocUcig210l4aCqlMF1cWyfiGo1ZTOqOwGnv7tSgAEK7gMZoDETMZ0
HZ3I0dydUE045xQ3Q/GEVjGK1pRznK6sE5IWoLhAbwfUdlkIhuhXutxmoMmPzBdTfxApRyLvh6ni
anMhA6niPYaGMbACL7q8OlKqNc1Tah8Gx7CDrXknW8YmcnyvtBovPMRuc0gfFDQEDTboNl7v+416
1vDSyKz0vr7DWXPwXeV8njaZne8kUBm9JJw5WMw084nzHF3EgdQIGwEwXorO9nPcH2LNlf1/3Q4w
gTXEg9sEjzma3a5NQNSXmFWfQQMnQgvNo/LPXfPz76Omo/0oPwJ8cv37QieCnaCHvmQjf5PqqW/2
PfWy3qE8CdWF7zOGmLkKTB/7IiioLeWT1fv7UP9QElesOEvyIyvDus1PLAQibB0oOeb8SCakJeW8
xYAc7XWwdLc4xq58/igcACvsYNMcw30HViPwO5/Vh+QR7VwOIoCN8Jy7vKLZYo8AqP5DxAbhDzgx
23spp5mYVllPbSJ9gyag7Xi4pJVJvTLAHGVpExGQZsOAqt9NvkfTXQEcKg+3ME8ZM6WousH3VGRk
ZtHYax+J/ZT4ajNbKU+JD2knadt0s443KirO7cN5ZUddmmJ7Cslg5jIZYGqY7pV809b7zuAEZGuj
QTYE1A0yWihR7boeTZJTBWz2UJUiyqdSWEZ28Gv0V6GkGv/73kUp+T+WmBszk7QJqCJYylXUbzNU
sbn803MgxS7NpQnG283MEMW8UDBf6Ey00Icqub5TuHWwGSUL5FL29Pf2Ai2fdPDpS4uMywXmUJNk
gMVK8MJXwbQUu7SzQ3AsEWopn6ph8yDQy8Q1Y5Lxv0aYcEUoMNnuM+FUoGRqf5n2YIvvYWqro0VS
R3DGze2BrngiMtXwd2AZAS5hi4dN33exUqvUTpGhi18UzY0qDt7gp5jGrB5soN9Ihiui9ZxxRVnQ
pi4bNGp3TnkOLN0y9vpd+jhYod170bfmBBb0ca34mJ2/Zbe3zgC7WcYZvGE9VyF1+WKAgNDlxzDe
alRprTa5TsFYFoF216SOMlqNMx0Vm/5pXN/LrKG0c9CO/uj0+pz7fuUouzLPeDK6snyj8TEXifxl
KCABUq0yeszBI3N7XZdVaGacjANHcS6V9QRDoytbEBQ4V57kJs+5nT42W7KdNi+drXiJJbuK05zN
jblvtyjOcCgUVocLbmNwEIGoDoH19SkEtXIz1wuTQr7GiWQ7Quhp3E01Z7ArFxCqxUA5q2BuktEZ
eG2lDWUp1KY2tFXQnwjPIbcVfeUwvTIwf8BFBFQFyOeFDQw0nzUOOdNKduEhcI0d/TOdxTt1E9gp
dV1zR3a3l3HJ9TbrXV0MbbF3wlIqO1iu3RyEke/Kd7uZ7qD3DXTzSfgoj3WIe50XwfMmlNkkndRm
NCWwWsRend43xfftYS3dAtgj1DwwOCSzF+FeSHtTrqsAWNNIaram35wNZap3TQ74bDlQHnxs+RZC
QWCuCczslDO2hhkPVIaKuO2QEKGy3bvA+KP3rXH63xNoIJvUrawRwqav8TNSBoH9V0SVh+Oh89l9
fQTiA9A2gfMbnasK24wLVUghBmgQefsQh8182il3wX1vcZMEy5W7NsSMtFSiBLr3MKQ+JUcdE2wB
H18cwl1qv0mfkmegCZ4Ti6746LVN5kyL02xSaw02AV59FveirfxqMZ9fxl1oA6BrpX8yjsm16USk
KQILaWLrseRfnS5BN2XuOFPBA6FEbkYhnXAPCKQYOXnTWz4PqLu4JgE5QOMgOk0N6Kcs0vkT4IbR
ME0FiAvihwnvlDDQD8nwr5cDY4U5s6V4ADlKCytasjFkKPbcp+JZ7Tjx2nK9GDNsoAEQQ4ymF+jn
TGDgBXRdrCyNnsvCHfLXOeIND2n4EvqHrn4cgadVPZMHr1idzzmnBA5pYALYRtdeiRCeamJhQ3jG
koejOn5oPPTNwknmYV7YYGZTHho0HgeksMX6kcpOmv7Rm98N6OX9v6XiljlnWhdnGmOOmdVaCBqx
8jEkRXlXx08iPWvmoVC92yfnYn//WEE+AsUlhG1sItwYEzXP5rWrx8Huyj+UF6Csr8x/DDCz1isU
fXg6DFTNJk73qfwV8Ho155+4OgwxBiDx5JlR3kRIy1zX4NcWqBH0BfKHefZY0GZvqiNxpzZSUd43
03MgKvFGUur0v1giBLpz3wZQZgvgqzSgOcjMhsJOtEddfxAikI4cYh4/+toMopEC8Fa0UoB/kXGE
XmqEoqTyvL0kxw/FXaBOjpDJnMh9xRMg3YKWJ3RCAf7OhlY1oPFCaAAtJ3aIrETqi1ZSlIpz298W
kQ96Fy+tzF9xEfl0ZqkPrQYrgjreF3iU0BIEeEb4VBvoyYMW221zK3OHlnRclQgWoVDJDoo2SYK7
EveW3iKfXtWfcjNAtVjkhKWrZn5kxCCBYwCmeT0q1NmJmA7os++i4j3rBKsn1b1JOU/w5YsOk4fH
N6qPcDb43PwZF5Onh1qqKhSxhm9kKvKgcfQoavR9ioPIDeX2mPrFOY60t1wuC6ubtJMfpNBObaZy
ZrAzd3Gtqpybc209ZWDL8E1I56sqEx+kakHCqaQAtMvU6ingA9N5jprjffrPancYPQxB3eEHuMA+
LbMoLGgdR6ld9C05RW0AJYes6W0y9/2gWikAxHfbe9a2BFpFIQ4H5weqhtl5xE/B4UqAQ2y7Ab0Y
kVZvmiKvOR3fy9oEBgbVzXnrAdiMhb1eVnGq/SofAQ0s6EaCHk7lUvOUgWgdylQJepaTTSXutaKy
auXTN1yq/KLVzm/vQ171fPmYZb6EcbA4CsIgAo2MHb+iA3xyqj+lU9qT/dVCmNESdvSo3lPXcNut
dh453r3mSWibBW0CMIk45ZhTvOvwvuxmTzJxheOZN1lZg45EPavIjH1D4hHTf3t9V02i08eQ0TGA
VCOzbemgB2VG0tQeBhBG7EE/iX8/Rki+FTy+j2Vtb967F7ak60VWQq2LNAW2RjDJpnSbdZFVg5Zv
OjeTI8sPI1TQKsG9PcAl/yhjlZlUzQcbaj0kKdCfcdIBIalHJ4mA+8z3jfEEElb5jvia+uX3aLrz
gqatIW+nif4uEEn3AEGdzJkmaaamFAZxZ5IOnCh1VRulVcgtUF+JYBIIDAZo7wwDXFFNP2tTJZJc
bP04DF5opoyJU6IxzAv9TuVgVlZCJGwcnAZo6VNFsMRcz6laTuj/N+CuQlTYRN0WuRMGr+bEMbN2
uiPRD8wHwPC4vWY3ujh2zT4pR5IjaaalBOIkxDNq6o6+zFmsVRcBHxwS+ig8z/i2azuBqnV1X+FO
7Ecz6VzgpdRvoava2Bp9KfI9MwRBO7KuzWOCI1C3uwyvYnRopZTXw/5TDmVCqpmLHHwuJsB2Mlum
msaoU+U2AALbExTb3xG8MRVrcD+JA5EDr30IXBmk8Hj3Qp3QivYR5A5KN912yGQMh9HNNi3o+5+k
Y/kE4CznWF6J9y4/jkUkyCTvBaHEx03q3Pz+1Jo7fCRVNr1+yjoOUG5t8S9mgvWxPsCBJcwzAbkh
UAb0QiV+kb40HlshTH7d3q6L+wZ6bgjCcQaCewE8N4yjkbwowjTI4QCi/KaP9UONyOXfTSDtayJV
AhYOaI9d+5g49O1gxuifoQXIAOVSgtRBwMufrQYql5PGHHZQE9C1dF4h7aGiLjlIruF0NrA8IMbw
srPvis737XHxlok56NDMDmrLeHbY4LFRdgXZ+DFn6pZZHxyml6Ni7mlFzbWi7mFDf3qHxM0OwKwP
yaZ3R2LfT9t730qppRxDT3YDziuNO6HM0aBOZlUD745I5Ft/nt67uz+DNeu1qfv7dDPYMS+/tD6d
OOuQasWrir0ZpUJGZ1CLyzhRv4fsXmoPIS+4WjUxkychR42yPlvla808CvsKwayojpsYaFMA/d24
4DLmzb62OMoIKDdBeUDQQMV4BsSlYqn98Ywwt8ZR+RNkn2mbHKUaR9SY/K0gNgiJAHR/xtupQMIu
DjkFi2XxZ3aciyCZWb04ERtSybNzNr3h6nH1JppC74G/v7PLBGRzvqo8ieiCtZAWPgxqKPwC1/Ej
MqaaS0aBJ5O+dm2CjxxTglttTqMzZ4CR9bE8B9KR/NUQt5fRmDhttZazX3hmmEPAb6OyJwXMxPnZ
j5zCP7WgNhhVjuzfEkg4zy703lDvBynYggOi7ZM4rMsYVWrI1npdkQNbER2jcXw22zcK8YAqae1S
DN9aTfCyZNqp0vvtw2fZlch8wnxjXUQIhEQ0SBV8AgByFL2uVkShsDi6pXsHcPdbD5JVAhm/nbnr
eivi3FBrUSzAJODZUGYiPpaErwvqtFNURJaN8tcwXuFs1pBvqvBv2nOeuasX74Ul5gCUpb4OizmG
rUA/ZMbvlLaAi4sWRfIrbPtd4fecxV3ciPPEzuUKCJiZ6O9lNq8QjF0lz/ErMiOApcfD6FStwss4
rx1F4JWDZCZ6/1VzsSHGUGlEMZvb6pwofgEfMcCaDsdHFqg3DAUKD5BXNaCRC5DOtY+g3V5XSgHR
HaQp+3w/jK+t4VXT0RCh8BPZRHd0nkLIql9e2py36IVfBqGfq4IJmxJIl/PYIThqit+dfJYBB5Kc
SbujJXp2PVV4LyUwbrRgBEEBY6flOzPn5WJW70/UK8BcZeAdD32G668xs3rO3s7xbX4ITEtVvvzh
oYgswbd66UkDHhyxZeZo1Z0aH2SUTA141r5t3aL/lYRuHnFu1bUDChwA6CtCg/TMasp8z5Ajj5Lg
+aCKX1P9DgUiG2Q8NnjLOAHrDyqcvYPAxoEUKwBZgGcxJ65u+gGtNFiq3cTJt8oG4YNHnOTYQflm
q3rvvQVqy7vQMs+Arm/azkJvhP2LujJAmYY1HIgL6PfZcPrc2jbvI4KM7nXa+NZD4fgn6r7e9tW1
/QAuM5RD0LAOJDqzUOB/qAcVhHe2hjcfPGcK7w2Rczus2wAfN1ARgGVKzJTUoZG3YQlnyEZ1qwMi
o+dkK5CaczjOKRp25rHx5sQKcqg4TK7XuI+TPEhM5Fb6OjNDtMYS8a7L+mg/N+VDX6ERH7pWavfp
2IiaPaY0e7s9l+uvOvD1gn4T4f0iaYeLVqiQJsMjdet/CK01/IGwllp5ggcedh5F3NqsoikBLciQ
e1SRmL4eLomaVvdjNOJPvWfKH1lqiRBUvz2itVvg0gYzpbHYIh09zdsmcCYo/0lbCRIZYOdFj6TG
k+X5+WJ2AS+tMXcOOL8zGgUYUYhuABfmSgA+ul+QY0utwNL+5hton4B9Dxnl42Tv1b/jllc0X7uE
oHyEtlaApZEBYM6JNvJz5AjxCRVaFqwWegBRG3HcZHXhLmywJ3UqoENYhQ3fmKqNiFzhTqrpHz2t
eUmvhSUwf4EzHQ0sKMpg3zETSkVB0bqwQ3Onr29CEtiSjlbueuIcrgsz2HUq+leQVoPwzYKsMM3k
cNJabDyh3AXdL9HfQHH33x3x0gQTdZVozUWSHCZKPLwE/zhpbjg5QSfa0WBYVe7eNrc6oos0LXNi
yaAuqY1qNtdJtpKaJzqo7hhOj7fNrG2vy2wws4XbstQAGcf2mqLfde7oFUjHhDetfjaFXaFzxrQa
PF9aYzazFITSBGAfIlcgGJL3mUeLpi+InWnx1hhungM59SWWuyTird5iOgHgUsGciQsRwcCiBUcO
E6XpTa3CVN738TnRn0WRM5XLzDpjg/EQLNlQdxls6JI9HMo9eRTs0NV2PRQeHtpdtwftymb4Rf7+
c9VzNox4UkQ78UompzOSwIhTCCerU+35XYzMRw3xad/nXG+rI4SuFGp2iGMgA8ecG/lExNgUgAcW
N/WjATBKdyBo4oCE2NY/IuXiiI540HcSZ2bXFg97WkT4hOIaEGjX90wf+F3ag9nGDkvjLfTTLQSs
Tgbl4VqXL2fM46UdZjMQNTfKKoEdCgRBXb6EyPVpyCjX0ohq79swoTOma5/qsHcDCMMVYMpCSfvl
9o5cxBDMRzB7RNFTEiIjh8Uc5bvWB1hDqSELpRwFLUCp2XDVHiKlMH/bLG+OmYMa7ODqMFPooWVc
tmoQKBREd1Ntd9sKb3DzV1w8EeQwb4LOhBXwrxoYxvAiI4Mlv4PANokP/sAjZZkd8uo+ZyaTcVgx
1+KS6rM9aBb7DgCFmfkmjhz/XLUCtle4Jnh5UTa8HhWaC0REdFCWzOSjOGwQqfTtSSbvt+duiXyZ
B3NhhlmicQLULp3NKKfpXW8t+U8EmtxzuG/etF3zUDxq4FD+4tF4/mTfFnOIVzGyxT/yE0x8DqxQ
Da0NzGGYv1YKAMz76lvXHF26g9qdDnx593vkwVHm37xlkzlKA8gC6mMBm2Tw4uh7UEHaM76Z0bmh
vMzg4gbErM5BChAdeJ2prLxGTiEqVdXY9KpxqrJTS0+VctcUr/L00PHwCGuOcmmLGVYrCdPY5rCl
JBRcAm7hO0peWELP2Wa8Mc3b8GKbhUQJc43OB1mbuDnCkzL/G4IpK8oaS8tkW2sN97ZzckamzvmI
C4tTH7RlFcyzWNzlwZfevYRTZJmic9vMml+A9wsFODQGIOZjfLHKErEXdBVmdIjYJWet308gLvSb
g1RsbptaOxAvTTFrNSjJkAM7ggMx2vn5b1HfqcHX/84Es0wZmgJKU4WJngwQV78Xis9y4GGpV1fm
P1PG1q/MGplCn8w+F7aKG4lZ5ZBaJVboG9odMX3eU3vV99DSNmOmwdPBFvO0pjAq6CnA3iC9TlEU
2BNEVCqoCIpJZo21/AYkv317IlfHCNFh1Jh+ZGqYAMFUKAmq3ocQel458XyRQNObOony9N/YAWsu
sgizeDWzYEFOKrR76hWEYvtdEtsR1BdMIbALXmPD/EPs+YfTHN2yAP6CAZu5J0NADGvg3ytE/7/r
4gDufhBVboZ45myWM5cMHGdf3VcX9uYJvti+aZEFvTTAnjRt896SJSdofunklPGIH5agj/m4hW+g
n20mH1bZHSyFPU52TGF/Ms+QwCFv8bbYhqdqn7wQuwZfxy64R+H5y2y38R/Bu72Aq5fZpXlmV8s1
rUVzNt95+blN0L5gZX+Sg7AJnXpL83/2S1TwyIyyASOWvmh6llKBJBAh+FFfq3W3b07+5IzS7vag
lt4PK3NXCGJyaK+y+T6UAlRpnBKIFEbbQT1qwUs1OAKvY/WnD+HaJ2WwsSFNh4cGKvUsMnDsyTSk
Hciixz1Id1wJ/6035CCfpb3pNeiC2dSAf3kR4BuQ1g4dpbYPocNr1V96Kr4CdQdgb2U07rG4LBBf
RqhU4beTyqFAJkKkvfBofl9U/4rDQDB3aYjZEr0RUEj0YriD/Bmgk7tz9PrP7YVbtrkwNpjNoHWi
0QjoYLLFh+ZY2trO8OQNgDMb9GpsWy/YoKXUjTeQJEGfWITWR3FjuMqJ975aiSxBXYgMLGAtGiaW
jYGUcfJ7cTBqO3itPlEFbK3pTttAt/hLd7Nt9KaeyH7klHdWXlvXRpmtGKomNCJno83niH403Zq2
1TG0lF3tCR/VedzenuzlfX5tjjm7iRGLVOhgLhqPNfnWus884UQnvHlko6C2kOa2Jdh4LXbGCb2s
DwKY/iz/+GbuQf96IqeH/9Wg2DZykNDGjTQblMZdpO5kcQPl59smllfR1bypzKN4BE2P7ycwoT/J
bwgfncIKnyHIxnGHZb0Ge+HCB1l6xEGcmqgd5/XZVaBOOnaxTbzEU56xF9x8N3rt9sVwMyvYJJYf
egbnqF72JDP2mddVoAW+Us/u2Lu+TY/KufGiX6mL19VheOy2Dfagjr0IJYrd+Xu4l+5Q0XLDPz4c
lVfL5s4Fc/3nYhbJfoNvCV5bV3boMfIyaBN5phsfoz8oHr0Km+j8RE8QdNvw3l4rWZ7rlWBOPsDZ
VTWeV2Lca64PenrLBMiKbIn1dZQs4zP+JTwYW16Tyjy/7PWig24Kt8tMJ8D2hBdCOQK4YCB7Foqb
pEkPVZBz8ldrR8ClCebECeRIHKYRJnqh2xZFsA2xW8o240Bs164oXE5gkAB0GjgS+TqY0mWI2+cN
otG8V3/HFKDoOtWHU07Vx75vDC9TJc5FsrZHwd+kAzUIUglcztcWldE3pNKf33sEUIDgPJnaputc
Ou0olWdWlzTmHDxrMceFRZl574E7Whzbbn4d5a9BXrpDGX502ZwV73gkFvOqLBwD8qQm2FtM0AUw
l6TUGnHozw8KiIse4qB51FJkOIVSex56/7EVOycHD/ftQ291DyDX8j9GGVepxbKsUhFxoh5M913R
O1pqfBoQVzP1jxE1oDgA/e2MoclH4UHL6zP0tTai/iImvmMq3T5Tda+IA06iacWz0HmCtgmA6lDF
ZJ+/uRpUxhSFEMAWHsCKG4HdXC8cDQ96KKlyZmB+MzHTjvcHIstZQ1WHfvC1T1U5YrC8QOxKI9+O
pk+zEBzSFVYRjl6Ih70u58QS+xFpoekxU3nsrqt79WIBGJcuQWrs+ykWgDQTaLar84CWm5yWnIVe
dS6MRDNQFwAcg3EuxQjb1hhwJKTDh9YoljIGUMhGKfp+GrY1+Gduz+rKAoIxfn6nIlOPRznzUG3E
ahIjA6NK0l+NnHkGKR/S6TvrZDRb8a601bFdGGNu7tLUAr3sYMyvU9fI4m1c70TT1uihbnbEoJzo
Z3XFLswxx14VVKFaVZjKyQfEouvdSBXtIRQ4yH3eqJh7uhU0Ueh8HAdDY0Lx6jcNHUH8TaI3kFDo
wt/b67V6zF2MidkE3WBWJhiNcZRD8ADhqlM2f4Mh20EllOMZPEvMpVsLWRWK84tfy77z2G0FCVR0
z5kxcOysrxJAlmAYBYk+274GQRJFj0BXY5eyYgFlfG6GxEKny/b2xK3e5rNa6/8zw6wSqOLwHC5w
BxZNLDp+HpLt2Ac8EPu6L/zHCrM8kNUQa6PFYLQayCbdk/X3DsCwZqMJdsmj8l1fITToGDOKFFWw
6wNRHbLJ9AX4d2MIUEjBe1CrLblECTOTOIHK6rgMdBPMBFHzo/7aVKkNRIZsCNIxIWQ+tUe5fNPB
4jTlj3FGbMLD366dSkhLi7O6OQAybENyJk9gE6Y46rMKwvTVuYKSQl48jN17pfxrkzAmDk3IMtCx
uMYgqnA9sgzaR0aUIVeRB2ih6MBNcCdJUbjJCvU+CaLm+d/dEN2FoJA3RcDcWaxdB0UkJW2C2par
yE2l4DwGPCkt6SfWWdyU0EyABj3ItsC/cz2mKDdSaMLGtW0gubVXo4j+0oMxdknTixPaU+L4OfOF
3hXlIN8JoZx+NrmhoYfNz58KdRCfQ0DYz8GY1W6cCY1nRKGKRI4hHHu56s5tQ3oQcKtAMG8KOS4/
ByOt3+NkkG21JsU7tA0McMuQQgCcIx/+iIKgQqLP0M9VYvro60L/D+mC4StstVQ+D75Cd4E+x2kJ
lNK+taHJa0dOqLQrpkFw+2BKdpNIgdNozFj1DwqY949qgXqClQ6pCoq+rpFGZxxGDfSEkPPsrRgC
6xCNRzthYflTqlA3IgVUUgHBq/GMABWvm0BwxsVLsvvu0BMACghQOYe2GbWmbEMqK9uNRB4OERHS
Yw3y3mcjnorXWihfgHS+h6luO+SZTq1RnKbOanQTXCBUShOr8iXZC7s++Wj1Blw6pEgeW9RHt0Ft
ktAepY5CVg8V45kUuypcRYsBhB5TUdsoaiK7WiRGO5Jk4BchyNFp8qDv4UmCm3VVvROqDsyMXWfs
RuBcOtQcBuo2ndA2n7HfkmCvJGCow1cXxr5qtDB3SwWkayDoGiSI5+SpiQZxs9fsNKmAm2/ksXhS
qjB6lDKAYuSp7p7TogKHi2Ca3tCht90qda21DKUWP4YxQpmvTfJRcxQzGMBBHfmRp8sKOpDKogsg
tF03xlOSDO1od2omvWV9k24LZSiIrU1p7PWEjH8hMhY7aUWKwk2FuHsZTSyXQzJfy6GRo8CmVKn0
DbI+pbFXgtJ8RtCdbkc0aEnoMyh9+TQBW29aBmA+xjYjbXMcQOGa7WtUFhRnxP93s1Kk0CM2DV+1
5KwZofeWmfpktWGB5I7c553XZpnyip6T2LfrJMv2QiqK2xIz5TUIs/9WSfF/SPuu5bh1JdovYhVz
eGWcqJE0yi8sSbbAnPPX30Xfc7c5GN5BnX3scvlBVWo20Gg0Oqwl460Ui1pmxsR/UjpJsLuBb44t
BmndAO5rVwdZufG5xjhIPSAIIZXEka3xDdk0SR89Vro/baUeVVRzGkLByf0m9GQwtgHK2OhGkyhK
T+wi0bptBya1DAHKINjzaNePBJoeTMl1IWKKThx8UyWDf5A4LjnzWt7/NoDR4ozGFD+Mfd5sgL8u
/MagWgFY9Uif9nEW+XZKFOmhrAU0fqRIfpsStHXBVQNgy4kj1QdJjVA0tbQg72IUoYBVhCBkvPez
LN1VfsKhqAUK8ge5r41zI5bkPpWy8b0f61Fz+VgyvKkX/WwzaVx9AKu7hltPCYmTgqbpoSsSvrV7
nUuEQ8MnxaPCNdle5NToJ1cQMZn9ZKD2J8t17+gkaw1TjfWuPzczyXUUlc1OnbTRRm935MTgXBid
2774GmQVnRv4g3cqyCCBe0EFiL2hpYpeg1RgbDPe5qYck5CYUNQMG8NJDq66Z6X8LScVYNbhMtHs
vfsaSW5n+VHhhy/Gx8zBL+20lx9DBSg1zxc1ieeLKCGmjFOYpXakfQwDOKZb8pOX3yVRDoGPGKxp
ANrFetWuVCIuV4OKXRKBS/RsmLP26A+NstZuywx4FqJVpTL6y4SNLDeOmgQ2xkccXTJeGQuw9r7D
ZiBFMQ+rgJLk8tbCTFuESRncWmr1FQeyHdSBK2X1R5u85hjcMqsudxo1J3YCrj2jYDGFrERTGDtE
QwPiQDyG6Dy+DDblIdFKiG/Kk+K3Xzgquy7bZShTMzS96oWf7W4higqtc66dtKatagvIBnZoAGal
dJDUNCtwuXcvaugNwa4VGQHwSggnADIHT0pRApICXSqM+UT2UcNDTIXLT5n6F0XUNtPE66aRaVZR
xY/c+Hlb0ZUwbp7TRws+GEowm0LFIQHhuClpITLEqG8vlyYRZ+iqrY9mO9aE8Up8D6ADHQlbAaH8
FaRMlwW1jI5IZAek74b0psYaCl2zj6WAeX0XFUm4QbHMdQhomzK0CCend1nvvyVRPOKJlJT27bVb
eRaB6wHgHSqSHSjUUadBViLc22ifAwH1uepfguiVqIy04OqS/RVBwyYGIE8quB4iBmmw1aG268r7
n5Sgo93MR3OlKkJCW33p3abVnv9FYVr6wyyETno4D4wBXW6LNAFJI44FBNQzw4eO2YG8rE1OEN4y
sTh0QfMA/lSzKHtWG8PaeQIZx0wlDKuTdWqDYikZ+YIXa6urBdNPv/jUQaDGBZNTJ08Dz0gyXHeq
wmfgngJDwZxtU+njy6XDyIkNKnPqR2Y3opmcqlfhDvHTNv9VNiYLjmDN2oG9CrI5gDQBoola1qwt
21qar8ZYeCpzJ5m+OG2PuOi2faxJAXM8MGQM+Ac89C83rw3wyuMRc1pRdqorYAMMGGhGCPHfd91h
En4hhzq7SmE0YBjmoQ1apflc29RTcsgRoiYZz6jSrh0qTHUC1htjTjMI5KVKA1f1ShTALBBuHBJ9
OoyYELi9amuuAeBZ8ArzGxmvyEsRY8fLCBVgClyrEbNTM80uh9C3MhH19tui/jwV6agE7S84V2hE
m4lhKVmGWHJKaiAqcYY3vHbU1Nk3XunI1rQv3NBSz76rOdoziu7mmJvVLmNkHlaVXXwAtZ496IWT
RJs/IKnNcNhl2e+YOZw2r9j/X0tAoF1qafSlNMQThHAbDGSVzjF1mq/a8r3EVbf5t/9U3/ev1QcL
HH2t4gwMbGUmRkNLBmZWLuUqmtxWGYfCVl2ZH9NGS83wA1CEZHsueVPcgLqI2W+yrupfkdSGSmSa
+tiHqrzVbYUNaW31vmtMwxEs7l3dyI/RTrzj7vkNq2y7Gm0DWgl/gQnMG3QVSlSKMZAav7ZkbziI
z8gbRXbo+Rs0E3ggay3N8Fx5/f7ltgWvnseF1Pnni2t7FBJQbEdgS+KG+5hXTF9kzGjOBnhtO3/V
osLmSe/wKiYQUB2ywOz20U/2ErpGYQq/bmuyegUsF3D2pgtVskyt41DGAqYg0Lpr3rJD6HDopnQV
wI0CXuz1trz1k/dXMco4SUDCrhkhjqBDD3Adpgye66R/ui3lerYfF9tSK8og8T4uNKGDmMZO7xST
t0rnrcPg1tY/8+5nvQkZal1PpFECKY8iq0PYdRoESt/o4k2PE2+JIPB+q58IoGhY6q3F+sgq4l0h
o8cMbVGXmwbUBCHSSpgH2vabt9oT39HDctRPCma1GCu5dptqIO/ArY0AH4+YS1F1VJfGlJLGQjrt
UTp3Ntobm0P0BlzVR1l22r3uNp+RZzDuiNWDvZRL2WWYqVJMUAe1hO/YCV4yOwQWMaoTj2jKVizx
Tv6IQMzgBceUFRTJK2dPkyRMvSPphrk/ykTVMCyDPFYRX0Z8uamzGBlqpRlHmwsiwDXlPdSfSlR/
Cgnc0xbR5eg8lXz9nPeaYAOhfNjkoPU8FlXBs+alWN9G2XUz6VWGmXX4hayzRDJsc2AeMHZ81bjQ
3zk/e7S5jfFyx0s+CqVe1xDXTDISf9JZKN97MdjEaQcmbbQUpL+LAiOeSsDIVqwr949gmmhqxrCq
wxEL70eC22sA/xcSj6Hcqjn/Vc6gX48qcn5jAuX6XXEQftVIv+Ca5J918Fn/PnDH6TP54U2JVRFd
8+fImv+/NTXmPM3CyzZTHgiFCgbnKeNfmkLcEL/2JiBcF5pMMH9JLL1U7+tCfr+t75q7XcqlHEUi
VWj34bGkKXdfJl8lt9OK59siVlcUM/gI5wC0gyH0S9Wychx0zceKpmgjQP5SOaloIuffbktZtY2F
FMrw25CT43yc9y38pRfbltUHvxo1oZI3M2GLOspRlNVnANbgQ4KoSTpBCavESOwdf1/a6nfpGtt2
w4QbXtUIo5YzMBEGzf5kzhYmMakZwvAcN0YnvnD9IeYZ53h161UAqaN9FCPndAm0wgCBNohQqK1y
dBwP5lg+dBML3m5dCujhQcOJ3lwazq/vA3jCHlqM9WPeO+V4X8UMh7wqAp0ZeJcgc8HTBkYEvema
HpddOf55iwP4BATvff1v7HghhrIwfUrxe+cbvIy2ihxjsHAjqy98ynh6rB6XhRjKzoyER2p+vk/H
cZOCEETbtpwdsx4B88fS8ePczfKfNZOpt0dvhNmUEEgRNcy8HvjqI9FsQ9jqgwPQlNtHczXYQkM2
cmSYzpSuaCy4ROnkvgxAK/2pt07ZOcNOxxi+l+xCW3eAyad39lwGYvi29SO7kDsv9eIECVkFzpFq
lrvrPe3EPeI9d8xbqzk2TmM17+3mtqKrW4fpKfxBhzgmFi7lyXyrDlIdNlYkHMJJsZQo3kbVr5gr
GOXj1aBc+yuJ3j4F5R0d9zC2b7TawtXVvVK8CiOQd7ZxliPZsG2ih7Qwa8Jqb1mPuxaiqQtSqgQQ
3bZQ0vge0TrxGpyFx/QYEzPbDBZKijFnBUd+n9s8a3h51WYXkqk7skNtgjRZ3FgxaEr6x7Q5SO3L
0N6l0WEoWSNWa03MM6G2hvgO2DEAkbzcTD4KgAtYQs9as+sjv/NRJNtNznivecUGxcajhNniE7MH
fV6+q4MJQGXUetD+KdI2JOVZGSsTbLaxu1f4ftM/k+17cDQ20/1ta70GqsGTZMZu/o8o2oiiXjeI
P0HD4q11VK+8U77i3/lxPA0zlr7sKvexy3+Qd8z5M66e9ZO5EE0b0diD92jWsrMF0zBTL9lrd9nm
/dm38j3TcNZtdiGOshyhmxqwjM2L6oLuenMPkutjZ2qWBCY6YmmH5Jh+sbqX57DmxkbS12vC41bP
MFaJUdtTxYHT777qTU5FE5Bzex9Xr785k4npU2By0cwseB9HaeRjG0MDM9qyYPbGVxdsbwtZDUYW
QihXGqtV0xoRHA6n+KYwPKJKeVvA2nLNrT6CiMYbzMtRFhEXXZqClBTsaKjWNGNgTSQ55oNhkaL2
Mq1iVCHWXPVSHGURpJEwn1dAHIBGQD5H3LY6coWbsmai1zpoEfb+1YsKsMVqAL6viIUbXGkLKLZy
o5iDPex7waz26KhTPto9t+nN7GFgnW/Wks57urj+isFIkFGHaNkDqaaDe2GyY8dw5FNVWMYDiGM8
sp0c38lYrxmWZNp3ArFDalOsrqF/psEOMBNjgraHTctCk1qz/eXqUmZptL3SNw0EKehJLIHfBDBn
4EzcNs3Vq8AAghj+obMDWOCXCxnWaas3cwxbZg4BtI+e7EnyWsnbxDfbaM8HjxxwWgtAFBwi8SnO
LD9gpPvWFnT5BVTsyft9oPVzFrNJT8l4RgeBiS4WFF1NIwoZ6q6tKZp44E7mwg+4XS611fg4nfQB
oWE4AkjvV5m6EqtsyhJBWSZX1Z3IzSLGXHjIIiTAVN9tusJibNzaZbpUhbLDuMvSos0gpwE3UvLZ
ck4lOiT/kZQj2o7tYLRS4zSwuDlW4hSYyYx8BQDz+YK9XEAw6CaIuyFVqEpTEL66tgYDqikL58FH
nziLqmDFlV2Io1xZl4MpBg1jeJiS6r7MMltugMiICVk87hgLunILXIiiTGPCa1Hv1fml1YFwp4l3
pGaxFrG0oUyj6jhNGhuI6NLTJLyOwlmfztm/eDJCESBXzjh02CoqUi972VDzOSAY+jOacJRwmzUu
w/hW0mRLGfRsiMA1QMovcC+PYB/EeLRtkNTEQOl7o+WmSEqnAXDSFA6bMhwfGLLnPb8MPtCci+7S
GQJNmmkyLk0wSkDRWfddY/ES/8YlmRWPwPgb5F2ooryUouLSNpEphrxTJr/HHmTfectClFhJef/p
NcU3oAkDAHyU20x8AV11f55D8YzzDvoiFbDVVeu24mgO6DfqxvsIPFFC8Ou2+tfu5VIw5S3rUihB
AYSVH0iGxrtNxoGGdWBERNeGCiEY7UdLDTIoiFkul5gvUCNU1Tki0rzJ9/jI09UvZXq7rcpKpAwx
GJvGB2OkCd7kUkzc9rLczi89gdyr8WTlIzi542TTCfW2i5tNqIxntXiPBQwcEMyRl8JOzIL/OlrC
RwCiEz4NJI3oA7j8CI4TxbmpprH6BoA1oBfMiZlWDqqWt7W99pwXcmiQhiFDH3sWZ3hAZ9GjFEZO
KRQfk8/bnUjQTfFrDFlgR/OX0wdFxyEANDdqFwbd4CBPadIJQ9FYfihFtixN6abK/cSMBv9ekvLj
0KNBWMw5MAkKYs5Y1utbHSV7BBQyugAxH0cTpYxDWkfVmDeWpHxF/X2X/gYf6lC7aDv779cV8J/G
fKXjZqfbzUNh4EgsNg0GpF6LehtF73X4HRfvLf/NhD+9vnOhlCyLwDRAJwL+v7SVqM/aUekrrKiU
m23njjkePq4QnAQFcz6ujvC+EF/FlHE1rSSZLuVSF8cQxxLHdzVcnuz+GqwHblNXrv7xyL3olRPW
TvXC8DKru6cAUdWYx/AxNnCpqDolOleLbQNy2cnSlYOMsoDwyUfPwcCwkzVXg/b9fyRR/ixR+lwP
Z0moh5mGaBb8Zx9bMhPXbN6aq8OwkEMdczJo0qDPcrLGUR6FmVjAzHbSA1ANaru8L31LebptmAzN
/lwhiyeK30f/WcMQ8L+Nf6ry1xxNwkb6eFvOyjMM1gEWekDDAXkDSI6XmzXVWt7J+TC/hVQLM7xP
LrgVQNJ9Ej7IecL4cHlfWGjhn95vC167ipZy54t6oWCToEk713tYZf1F0GxNjsRgBBrXaJ2YxFnK
oE5cx4NEOuYgo3MxniW+lDvfHrb6trb9c/4k9DZSqyBjVWzymVj7ygQBHsO/rB6FxepSZw84hZzE
JVjdSRTv44l3MclhqdEDypH3XVltb6/pCl7EpcLUnTgqWjOqAxTWzqqXO8I3d/JjkPuSuyA0x94G
yC96PPitDgCH0ZTfiDft9G/+O3jR3dBmfMy8g1eHBnD6QCrFyDbmtqkdDjWiTgGcOO8pbu75Hlga
ZwodV7grrToyCbhZ64P0W9gSnCYv8tRnlZEOXjeyv59ALf8w+SOGDnFtttHOEB0RABqsnsrVg4oB
Irh1DHSjUHmpZYq8Usnns5bFr7b6wWyvGU5ntfu5vZqrhrQQQ3m6eCiLgC8hJjHMuvvie2BOHXOg
kGMonmGz6y5BA4EcOgBRmKJj5HiKhynwIYsMkZe0vyZZ3TfiZ0MUS+3RSKP2FtDRgcEQ/8ZEi62N
3dFQanuq5CMX6S6X3A8kZvjD1ZgZlvTPR837sPAXoMvDbBBf4lKRNAeY0A4HEpRxO4Z4Ir9N5Ubn
76SWIXQ2jysLRmZDAoM0FoNmGecrY8wlETdnqvMPcaqe2bija4Edmlb/EUGpJQUxN4wlggIxk5wq
AtKXx8c2V5DtyO2CjOWPVg/EQhxlrXVrNFxQQ5wU8pjBLawAbXwTWsH/hbUuxFDW2quFMLQ+Fk6N
0dNWu3nE24LEo+nLLjqG01tVCdit8DKINFFGuzQMgjg06goYhlCXplKqJsYiBiYy7fWbFT1ywCie
+ebRYkyXUtWsShpEpY1VCT+g26wTcEvLYJFC2rcz08gKVFNkNZaumR8KtziC6MhFHZq6mrVpUEtd
wWYVKbisKuku6SuGg1zzXksRsw9fnCquFDW9DKEWF0YWF5wSwF0R1ZRYrQ5r7msph9qksIyxqgXk
ZDMuX33CKOM0YI4HIyQcwx5YouZVXahUirkQ1zJExSISWbpZVCLGA6yqOSTh920z/8OFRzuIpVrU
fVtlsYpBQTwfuE2LGT2AnxybrewYlngq9oOV2okJlBpn8nb6KXh8jqxnYrMeamseZPkNlAdJq7Zv
+Wa2zDZz0szpp9ztMbylCHukVjjWxPvacVuKozxI2Q3hmOsQhw6oJ05EgB/JIYYNwdZwe3FXTRPJ
VnUegzKAXHK5j2C1miSuRcwtl+4kHQr5qJPPiWUtq6u3kEJ5KsMIk1RskQ8KU6/Xuw1mY4F8uB+A
iFDo94SVklyBt4MfWcgzLrXKyrLQ/A5a5aOp/6BfPH2TbP5BelUAIN+ZBbG4l9HmN+Jd6TaufyTn
26u6un0zgyRwQtCnR19pnaRwQzBCXy7qMEQZIjWP4XhG38mq41oIoUySjGrA/VlUzPXbvPgatqwL
ZqXOj3UE/KYmz0iBmDG6XMcpRtly8OcXGXcq8/uMvFfE04bvUP5VdSc1AkPlkXBezD/9i/VbyKW8
iy8KQN2fT3wNdmmhDkygGJgC61U2W8GVX1lIofwKhorTbvIhpczu5Py3PB7ENjVV2SQFRl9rYLaq
H7f1Wj1tC4nUlg15URpZMdtFvTOid4DHkPpdYd3VK1LAaw7aYABXoveWrqB0mNCZGhFSCp+zIk1y
E1CIxPqpE0LGLbBSmpop1P+KojYKo5tir2HaGYPvpnEWOqDHhcfJ447yPTDs0y2xxr3xLjBKiyvu
ZOZKnGGIkEBHp8ulWRY110qkR1KyKY46xmfUCtOi4GETcqsnTsvKk62c5gtxlJINZpy1Poa4Qjyk
3KMQbQTu8bZhrDRDIJO7UImyxUEt+v/bUVMBngp9+5Wddsc2QV8SynmhI3Q/jexW+p7XH6pur2T3
dXiqid3CsQWM1V170ONb0HUCXBJg8dCpZaHmFQ7zEtDXJndAP8fO5p+y9RgeukOzCR5bN+VMfxMf
sjvV3AXPNas7bCW4uPgA6pgApqFIAOUAq/Jdf3CLwA6M9864KwLNur3uTF2p+68CR1gSKhAlERuD
RJiVwBzyr8D9HR++Izd6zQU7BBQqCuSHFoh7hffJSo6ylKXuRh1gERqGNfB6Tm1gyssELLwAvCMf
UvRyW1mWJOpWTDQQDmcqdJUBU+Dvy2Q3Jo/1ePZD1sUxnwjKsy43kB6yBCEOwBEqSKrEQyV/NDEj
oF4Z28bouwzWTIwhYliDLqBh6lX0ZRkVgXHA2PIJSBZD4paSO2X7cbChnETQwiErjGhJXvE8ABzG
oZBkDHAAiPXS8wSkrotkkNFZ0Eh2Bf82DACq8iKAIIlA19B9M4otYqhondyT7sgF+xLJA2WvSne9
8qb2DyEQBEWgW/XEi307yjtnqs2e38eT24P4Y8LLRzJHeRvp/r71RzNER2RXK1YDbuh6eOmCwmma
T7Gdq2iWlo5mEe/H6qQ1vDsEloEHEwE2PMsDrlgO+qeBdoYUPoDt6BsFCZk85yYFcQA8IAEOk3GM
Y8tA+U6p7NtGurbCS1GUs817Gc1S4iwqPISqjYl/CR0VIWfrxFYLRmZ7VZiIMikIxnGJ0dUtMvVt
kkoQlnSGOaSTy3Oq2Qhv6HfO27uoYBVlV27mWdA/8ijH1tZjFuINilcT98JrpS2JTyhhu1Pr/ItF
XMihvJqg+1JRq7NeaJdK6xRlj+9c8aQp8ApN3+pTwjgYKwspgSQZhPDoWcSoG3Ujc2Kg+6Kqt+g5
cHhSbMPpY2yOXFaegP7Bou5bWUUJLA9o6FWUuTOdEpZmWjkZxGgtUfHB3vY8+hMyA27PQpBcufcv
5FCmWAhSgOEErZ1b6Ib4mAhPYcdwySuO8kIEde1Lk2SEUol1a3zZEqXeUmVGiLaqBLDSkWCEu1JF
yhTESVJJFmCx5KB9bbLJ7orgMYsYMcOqHgsps30s0gGdoHNqyENKDP8mNamZs/BQWXpQl1fEBYZY
TJBQYryndKQRuS6kSW+fG4YQumcCc2sSwQFprUGJzUbZ9roMz8vA2GWsFc2jo6dlp8k5NOFb5QSM
G1sSmN3DKw4b5LP/7LokXu5HVcVlg0pba43ZdAzVA+ACwMCIybhRsoswO6QNigFBj8c4bzaThkI3
2osDwQ66zFR63vMBSBOz6gTzFlFRwcVHUec260B8YXBY3bR91vNzOd4Rsk/qPapSAjD124fbm7nq
JhZrQB3fyOe7LBJnmwx7rwsBUxi+JiI4ohnNcaz9pM5w22EsrDDmMxxH921V7tPs6bYmLAnUtZGX
xNAHHhJ6+c3PPLERGHa/lve/2BrKS6hhMmVxhbVKFP5JjyLMREy9brbGeD90nGPEujuASrmpHw3C
wilgCqecR0AmNLD2Pg4E/5T6lRngkLendLqv1d0QGcAJ3mcAYry9pqvGiKwXrn7UHK6qDnWlq0Tm
gs5K4bH8zAnlyOxLTIi1ZvKpPvLN79vy1qwRsyfgFNSAuYcuzssTqQ9yjY5YyGuN7iet8qcBubAW
1Ke8xFzQ+XTTB20pi1pQoBuLaRmHnSUc6tSuMMB3KD61o39+Fh+r75yRh1ppb0eL10I1yjXrvowG
wAzium/+LnzRzvHd+Ls0zGKvgbHLsZXti/JA7NvruWo1C6k0ynuhiQmpE0jF69TpfzA9rRzlbQAY
TbOIGMIYm0e3VOpCATBwTFBbKHTaGMXDmCQIaR512but1Nr9s9SJctuBEiVxE0FOKoHzLJH3QQ8M
oZGVIGKJoRxxKwSVlDazGGDD6v0uQnaNlbVf6xxbWoUyO7VFSDDqoza2sxBug2KEV71FT9lBsLN9
/iafI9UMGW54raB6IZDywzogNbt43qQ6eyGfmql+NDZAcZzQ66xGAYtCsRefuso0HpKX/23bKP8M
v5lUYQXJkvTd6y+iVJsl/3xbBlM9yoF0YyxwGH3uLPUoobvpQzCbfbhTMrvtoVL+Nu2A9WArhSl6
Ouu5zXAoCuVQcGurAbDFu7kuDsxd4SSjEG+qhZkT551HWwGLh2ClneoPcTaghmRwAYKr+dJ6/DEN
jaIBwpFchHjbn9JkF0dOItliWtthdB7LY+Zv2tYrMfde3kUx4ySuZBjmDzCQYZj5UlHxvPyACWCF
mF/AJLvRA3iiS+y0UKwRPVa1OQKJO9qOYA6bfCctHNZGz6t56b4vRVMnJ9cJ2q00cJ7E6p5oqEmC
qVPfxP02jI+ccUrzQ1W+5ZJXaS+GYnYiYNhzR+J/C8KnijcK4CSG+AHtoaZBeEdqnLA/6qW/mcDl
oBVPyJKI3NtM0WSggbIuAONZfQwBbzXNiUwgkSw2kgiwTrLt5NqtkL6oD/UUo1DzoU+cwzWyNYyu
IG6iySnSrVLuci5zyn6bgWg82qrZZIJNfNI9dfSq7hwPR186KeiEJRGx0+wXCfckDU1AexppbhvT
fRKdMtEG4NwInOJiM2SnKN1Go8s3iFezl1S3eH8TaRvdeAEcrtQgI5Dtk/EhGU1NiG292mjlWW/c
NAZdYndQ1F1EAAZ/4LrnQHs1UPCfDnG1z6XEKuOtlj+m4HKpP/3+CXWTzDhr3SZXTW30YumU4fzw
HTiGw+9atoLm1E9up4lO6Jty+sbX77kWWiiJmAiKYvUYzMzhz1l05vJPwLDZht+bCFgalWC5RtTU
5F3N2Ub4LeaKJZN3fsS04IkrQgw9E7BYRptUd2F+VpQ/++Um9d2p+WlKKzIOvH9CGqurn/X4q8fo
VlAeOkyYAEtSmZzMGKy4c4ns1DzQUdvy0JDRU8RTIvUmn+ueHr+hW8hNQwcwRqz7/jp0Qje1AsJp
AMOjLEQDFacK8QFU2s7NOJaw1baV29itE5rJoTYb3uTvpaP2XDmwsDNPTOY474p4AK+AVd0A1cA8
0nt5MstEydtqbhOMDoktWr0VW9mpAr+L+XpWD8TOdt8oHL3WDov06E/vKHUwLyRTB1MFAqxW4VL7
0x7kg3upNKdXUpopQlfrEYhQx8KpD+Mm2Gp2YUcehtp5m9ism2DFP1x8BuUbg64Gf2ePzxCt1soh
GpSaHpxx7+Zvz5mJG87WDrH5Zvy67ZmuoyBUKBYLT11zXRHrI6+hXjYQO0g/CtGpi8JsJZZ+8/ff
WmbqpsMAUF9qCupXqZneyZa0D9wYepZ25zWOv683rcVKKa0Usi51o264NMCQRqNjTdMXMGdtM7eU
zcpB/tH+bI53iadYPeMYsbSkomZAXyTAGYVEzdhJiucPdxK3ub1ha7foYseA9np5VIKx0NW4goxI
JV+8spn4bAsyCbPuP1Fxso1k+Gx6IOHGQWz6wFQfhd7sw+4B2IKM55Z423hQtLv8FMNIRED/4lMQ
DD4YgSm52Tay4zvf/oq9wZ4ecauZKLOYtaubndW76Pa3AeNtnm+vydV3GBK6w9GwKmGaAM3v1OHp
uWBMeNFHGDVWrqiXVgnnWmtHkTV6ebW/EAQ0CLRWzFByQP+iFAYidaHKYY/Em4jBWwB+cY7EwhK8
3mFKCnUmxU6akgFUyFYVmnplTojPzDzysg16b7eSlQ1mjuIVC4OIpRt1QrOiTzVSRr3F5Q9N9FQo
QLi2bu/T/CsunAClGHUgkbHkasz5Q0TE82B5LNNXkZPUyBnyMT9qbZT8cG3EGlpdsw6MLmH2XQWS
tk4/9OIIbTLdlPQoB3p8DSQD8aWv9qL0dlu56yfzH+3+yqEeepMsdmExYgENxHU26HXB87YDShbm
jQ/6OXss9sox3ioY/mecw+tn2SwZc/3otQTSqkaPDRBtMoC+EfdWssWp22q8+VqZnSN5mMtw5nkl
xj4yBVIb2ZKyDasWAtVjcwiRGfYMS3nQPnp38IKdfsdMR8xO7cpyFhpSjhXQqBnAmSCwVNzBzq3O
FDHsjEjNzayasNZz/vwb0v6kKRbP3DZL8m7kIW2whZPuzXx2Zj06ojW/zyZPPdUIjDBS/glrGjes
e2v1IOItAOAmNE5eTYGNQp5n4pT2aKxCS2u3AWOp2SsqS8nVYzFTRmAgVwTlEXXe1UbXCgPLimCr
/Wk93lId7lDuii//XnMqpEPu0nviNv2/sh2QzaN0MYd69KXR6gABV3XIRWHpW35AY73r28mX+DRZ
ilWe2i/GsRTXNnMhb/75YjMVTkyaAAhqlgbg+g0Qx9F/aoUe5hPtnjdbvP4YK3vdfzAfx4VE6VKi
1vqJmnLQUP8go1kiT+1mLteZkavaQMKpT6OtedwWAyKbn8HSPoodd4gYkD9z2HplwqBeAmYM8IuA
RX75DQD8r/Vcmp1RcpCFH739fXtZ15VcCKBcADrLekCnwJc3AygYdKAQyJEV8fpj1qI9tS0M9Lug
lF9h7m2UkYIOTFAHf4p9sCFFZAEJ2RRV3zSm8tQX/TbWQbjVV2ddAadEwYWsB8Z1mD/vyeJzKQfS
xXpc8uJ8u6lb9aP/nMxcdYNzsXkEos1G/07dqbejnbQbLEG1B2u0z/91B8zlJ9BQcxInD1WiYMXS
aVvyH1z7oIOmQ3/NMGFze3NWNx8JFn3OcuAxR21+1CklqHHhvybUurKpuBsG3rstYv2202b8AiDA
YwKKMvIh0/A8nT3y1KJhFkF9e+cqeyk1x/fGJE8KcDwr9Ei6lXtb8KrbWsil3muRX8VS2EAu6B62
cjEdUKW2SD46QfB9W9L6Kv7VkAr2umhUpoZAkm68huGLzOKBW7tl0OWClpd5plum4xKtLgLSkxIm
SRSvRtLDvzeGxz7zhCy5S1ntHmvaLKVRbjBViymoE0gbjdeWuHnD6nliCaAMQtVCZRBmAap+loVf
DQsCYTZa2qMh3wtU0BlYDiAIlx5NEEdJUruqtzrtq1bsvPHq0MU0i0Gs2/u+Gn8vJOnUCysfMFar
xZAUSnwHloEAGec4OqbkF/Fjl4gSmkuTxs4647UPwfvBZ80L32GaQdHzOz+pGRZ/3bELxwE2B9kQ
cFsjiqVWdiRyKXUZvif+EUzBsBs0FdVmfrhDkxISIg0Lon3tiBk6GoBAUQgATINyH3II9oCgrHuL
+K09aodCSjFd44DL6PZCXwU6cE5IxcqIQMAdeoUWKKaNNPh1DYqUxNjJbYncmnZM8Gy9Lea6qoSW
R3gMHr3beCFCp0vLaSLSAdJgZr0NH/Xss+ge8sFGBQae3goyp+Y4MAMxhF6t4SzTEEGgBluZZ0Qv
ZXKYSQ5zHzKj1BLqc4h3XA4E7t7/H+XM37GIbjSxjQifYXR3RFK5PY+Zq02nSn69vYQsbSiLKCLE
n4EObZSkMwMA7aXCWeYfx+jptpxri5hXDYxiYHLkYfKUpZchhh75ZtYmOffdQ8afSlY57sqN/NmY
vyJmN7ZYsEBBwwlA9GNr0L6IthUqm+RWLP9MoXdblyt/CEE6EAAwyw0EfYAQXArCXMn/Ie26muTk
ge0vooogELwKmLQ52/tCeW0vOYnMr7+HrVv2jIY7Kn/Xj7ZrmpZarVaHc0xl6kcIqh5C7jyi1i+p
jq1KWCgbDKANAD1YsGtDS6IgDtQUiWfQkLwRQxJDru06cAeBEAEsA/PsWdlF1dSMrY5zQ18aYwNS
NZYGd0UsG5uUyRFCSX0s0PY+aKlr5V64dDvSlzCrEVBK9FlbL0zVf/UGgIdERD/t2txMK0A8u9y5
08vf2aBLbo6v+c6TO4qgI8sAppkGjCNwQQj2aym0UsfeSt0KvNLW/h0QE6A08IP3Zjv5gAJnrzf6
wdiYfrA3ZvaWe/qv/hB6LbOZgkdewn4Efgisw2krBSFesXtTxSYSDNyCA/rr04/snqtOUkyFCWNB
OaQZn9UuYGCiAxWXyXh54zifZJmuNrpNmjwA9GCnEOW50zFiAxgQKwT/mFXLsDlWvwl0GWBGXABj
xePOuyxoqE5TN7Cyq2DurnisbQ088Sccy2mWJGfPq63YHTQyLsSPy70j9sCXZZamgMvG/jdz9X2i
QWoz4FJRHZQMGcACkkkjoP3uahPwLjngJwnpKcjO6HAI67D3nQ74DGDkm5amK3DbAsM5QTEnqPTs
3gQWgGw+bcUbohSDTKMJYD/9LMTGBO3cGsqQufG8m8ibmlzz4vGyk1oVAfcBuAkbHlfkbUCnmsZB
TZa5/fhE9f2UXju95FCsXb/oVPwrQzjek6nVaLGGDId/m98JdhezEOZvPX7v+ocs5MzsZMgd62p9
saGZaFwVjb2u2o6UU5+5Jt+H4Wds+sT4cXnlzqJ3xEfwufDuzpcI4eINEKvl2PTMbQJ/QDvEJ2LS
pAA/uK83klK9TBvhJnGmMItIB1EOWLFDbTfE7+YsuUtWjuKJOsImpR0QmzQVMoAcxeKMEfo62Tlz
tCtD5iVX3P2JKOHa0mjNA62CqKH8qSmHrPmsgPIabi/vz4pCoCLBxAIqmib6wJdFPfJ3wQzGx5jA
t0wa+h8DUOUqMzCC4/J6VNpfRSzNiZ6lKOFd9MXv6wDxR7ApFEMmGtExtO3U1RXk7dFk7A1Gd+1g
jonOk8drB10H+Uaphy0nMuyx886GRTgcKQEkj4mwUxA+zinmp2YFwUbveHxQd4rqbKhauuBP2WCy
6mVG3iGuONPQLlOF95fXeuViNXGrassXUGCZC2tdIIYAkrWD8DD8GDA4rDeybOWKzZhI08OLUNvC
8KWgXwaSVbyBgtS1Ax8kq7V2NRZ+V3y7rMeaqzoRo58ajWN1iqpwLKP6ikpo+GJ8qN8nT7duCGre
EgNdOdUnsoRYYSwirTVDyOpRbR9DFtd3jpSqZvkRMSABBgOYCHHjoZNK2JmGz/HMmzBzC3PcpFlX
sTB0NJe22rQFB23KCnNIvaxMQ29M2vEWYCQ167XBPACg8qFvZylV5bKEwhfh9gXePViYTDxmhS+a
kwEAeh1ug6kGcKhlsZmCdazrr2htuYGOxg+nuqW2sZ3M4Cai4UNUSwY21zwDTgtKJQS3qiFmrow4
QEa9SjIMMn1mlLLcvg1U5b5zhm2Jh6HEpBbLFPSFpIXAGGkewCwI22z0TdYkJtxCpQUGQ6fTtRMA
hyOqy/p7H1sJMjHqXRvO9BYgWzfALqJeMqeSA/q1z2df4SAVCIoyeAcRayUAjzEocKMMjxELk512
nwNTIrRy8qw4ie61KXpXmDOmRXTF6xqHLE7SAdBvhYZyEk3482ikHZqAFEp+2H1oeKliIPFXkzw9
qPVURH4645dY01rNc+nEmlcFVcTRttdOfjhb+YtutbiF21J7VluifNZFU29BZ6S/mgG6ZLJ2Aklo
RJDOi0n+qnRBAHKM3M7uu5BLaRDOjx4SSEjRYyVQOFaJsCdqTNV+0mIcPX32FLzJx/EdqNWSp7lM
yuI1j28gp8jNKoOUGN0OyVM3xAwMi5fN69wvQhNcO8ALA2gIuCROZVQ8L4MZpT/UxVgxo8PbDlmn
sSiSXdrnh+ZUkBgfOEUbaBSCRvSREeVnWN+gC2vmrO43l1Varv9TUwVSM2hLDZQQkBMSHwVK0GXO
TOGyYrB7Fnd97LX0qS9vcVRSJL5yyeTGShwHfBA0BeIFQpEfElYwHRfY2h48vbYePuQ6vS/Mn4CN
9YB+yDrb2Izlr8v6rd7VBNa3vEKAf/j1TDmyi6S3yNDRMnO7yXfsBwypFt1bQZ+j/kfnPMS6R3Df
SIua59YIfwdLwTwXMFHOqopDpgPjKqsQdUXtbtTQ+9akdxYnkuVc185exrgJYLdRfjq1yKRtOz4Q
aFeiby7NP5qJOcEVehjC0bWJr9NDnzes0v7ZaqAe8qQAZ3CQuxThJG3S0sDK68y12pe5exqrQ5hc
twpLlReV7zRZcuc8J4uAC21TAK5cUG0ssb7WlV0F0nueuaR9yXtvRBY49TDU3aaMJt/QlhhCqnVr
yzhj1kKtY7nCOUz0qFAwVQ5zbdptTMfdMMnaes6POlRDUgmLaS2M0sIO8nZo9azADobJDsiO9bCb
6tw1Lbe05n92kaeihHgrLUPQF+Fd7tohWoNCC9TfGVPzTGIcMo0Efx8mUz3zCGLAqc6q8X5Mv6FP
1Q2mX1FXSlRa8ycoh4G6zIFDIWJ8Y3aR1gA8ATetgVDm0Ukc5pgPPHjqVORRCkl4cY6jAzu04Ekc
gDhZcJyC+9JqBWB4xhLgRWzGDJFTPQFZJkx8pX5oglfH3irkpgt/TCWKtDsDz9TqNsJogAZs2f5K
BeYHgGzz6imbd4XlxYUMj2Nt6Y+/T7BXq26M1AwReMTaARQ6/bTh9MFoPtpYEuKcE3wuK4FMEhAO
QJUC2KdTx2Nwu9EiEyvBl07neJtN91nE6oizNn2orcmLNIOlbeFnJTx79l4ZV2XgZvVP0zik42th
A3MCg9/WwygtKC32dXqlnX6aYOadDta2cVmEOr+aVPTaJz5y6TzxDOc5yTdW4vXprlS8LMy9QtZO
tub4rS+gXfT3YlB5+fej66aukSVG6j5zZ/SDlyFhmEodZJRM55c2NDwSssQpR0LSpnKKMIWQAVjU
LTPbLQXGe/Q8mGiAvtNlpfTl584W9EicYPV1PZlhPEGcZSYAD2bEuB0BDevInp1r1osEpIpGFURX
pniZdZMCkyvhbY20BybAns+PEZ4tRPuRZZKTvOI3cF0iKU1Az2WfgTLTgCR5TCAKgxAWkmI55Sws
70KNpYZbppK4cWW/TqQJ+zUkepgpI6SlyX6uS/B7RCyOCLN0lpN3I9wMAGi9HPes2OGJSGHPEpPo
hdlDpM4NX207byhvVJlhrGzYiRDB3cxDggYBDiHhkDOAYSAOxrKii9Lra0mko6/uGM7TQg+mYgBQ
UCgvEpKRaVnD7Cke90N826IYjOKsCXzO4jlOMGzQ/2qKX5jVDcCJa3BggQAhTt1g6jOO92244UHm
aZ3PUYkYs45F/QYRRUrAOXE3yDBdV5fm6HOFpYF/7Ao9xu9z8GI5PMRY/5bWH4Ni+1QW4sqWRkjx
cRswamCTwoVbf5Sm1yhvMepHTsvSaK9OPo83lXHtaL5e3rfWIZ8Kt9YfHfNblgPMQHYFnXcrIlUL
PKP/3Sh0CJ86p0bNgkFV8TUOlhkgx+GN2bsmMIGbHqMtIQuGbx0ft6Z5XwCuBYMglw1/xVlBPDpP
LTw2ETQKi6EgJ9CMS2ga1Pej86xjzhCw36MM4mf1fP0VowtaKnOgOE0MMUXzLeaDF1a7AsMll3VZ
8xvH2RvBb1Qj+sp6kFm6hr3vp99W/4xuiIke6vCjBBCutMtoJXuyAOEvWPXAhjDEglrvzNE4aCbe
SmgmAhxUFr9QkLgHh5HMbHTeDKRUWoQ4EjXPweYQ+AJH3UbCUdNRMRIuTZorEw9KK8O4QvPa/ch9
48Pwol/AosJU5R5jWOGviJVv7Y19JWtVW9lHiAa7ob68nwDRcmqtKW/rgHL6VfWxbS9vt/3o//Mu
UkADokMMhFEO+PpORVQ5rTD5p+D6rGO3tTcWOG0BXK1azIw9+KKklFQwVo7AscCvvOtReGDpBdeq
MYDZoJc1Syo2x/u5u04MSYlvbe2OFPt6nB7J6dUwtEnu4D2hgN2UIpk0skZ2BmRC9NPVo1VnFgU8
txsNiO0D10AbkIxLasVZU+R10K2OlAQsQbhbUkuZcyOF/aGeed2AX9Cok6t2iP0yD92wTyTrtuKv
T8QJd0Os4AmhqLC5TP+V1jFIjzWWKX5tH2yspazBWSZNMD9udsCELiBNtzye/EjQ8kn4bsSgq/6Q
dp+XbX3lmkbmCmkPtDMth1pMfVIzc+oWfXzuFYryW+CZP5fb6cD3jW/v0aT6ErvkLrwuWHKrvKNJ
x6+2ybUHh8MaXzbffm45p58iLLOqBlbRUSVxKQB3rfHQkp4V5eaywudnDUJQTEdCEIX1s/5qc85R
CQKMtKujpE06r1ZiBJOPVIb/eX4VQI5hLzkltIigj/H0GCRzWKpVDDma9plSH2msuX7Ti4T11kNO
BzcyJS+8L4CT06j/VKKwfHhXJ1oQQKJx9x67xrfGf0r28bbzn386bP4WP/7MGz92wfMTs6plxIuv
K5YdyqdwM/uGj9TeVlZgOT+np58kmHKmDqU25ctiBz4vdr1zaNrvjukVreR5sFKaOpYEdpHT5UaP
TjUUixkDU9xAkjcI4g1tA8CsGEmyiZ3cROTEy18kssLHSLOjrdU5UizxVeP6s+mG+CBSJy0cBgtf
geEkvBp8wJP57UemsvvJq1jtxTg24J6jEu1Xl5loiAEA0Gai3fhU+YA7ADdQkX1u65sGdFSZ/mDT
76Pp1VziCVet+kjSsgBHN0huJirYziEpHTBLh0aF2sLoNSauyC4a3nryQNp/vhuxsUcShXNkk4BM
mgGJBt2CzXjWKcoRd0H1HypRi6A/VQ+xXYyMUTFOSz1CpW5suabWsB5j0cgF8O4zII9q/Dw6t5oM
Z2N97/6IFSlBg1BNQqtY9NM8NHoyrtxbDqadfXWQvMhW3etfBcUiuBZyq8lLSFKIb2Y3w3yvTd8u
O9f1Y3gkQ7j8NUWpaBdFqdug31cr/RzJ7HZGF3IQM7N/AfGwMu17WUfuimboe0aLrIkEF/Jbgo0k
kRH2dhojtk+uqXafmd/yf484kD08EiE419jCHN4wIUeVFvetfs/7l7p0Z9D1dRI3vpKyPJUk+Myx
RicSSoR4iH5LAUHKC0zk9K+AT9yE18YtQwc5YdGPA2Keu+ZgJOzzU33PJPmP89lg4EyiEw7dcGAW
At2W4FEmG++1EQOHuL2Y0TGytQ/qjxqg468liGMLAE0exk/wJslGM1ZOw4lcwb/UHZKUtIdcdPtn
6hNgZ2xMscGhJ9Pu3031RJRgNOhdw4QXUKBAJvTZKt+s39HglhXmj7obrX7Vkhu0d0veTSvXw4lI
wYgyhZACSFN4aUds0L7N6pY714Ws1rP8ihAHnEgRDAioKc082VDM0X5N/Q9D8QLnsY4es3gX6BKf
sqoReASWHjxkl8XyvdoNTTQMyDQSJAp6VOXixg0zsERLdmv1hB/JIaf3Tjr0upG2kBPOd7rpBdVz
L4tVlp8Qlw0GDw+y5MlNMWArWjsq9QDt9oGObk71Uzq4vC4AbG5fg4tnlGCGjewAnTPooBm+lepP
s/nPUyw4tksn5FKZQmOX2GSVRpo5QOnFS/0qq0cr/C8WfCxA8O9Rq+njXOToHMwfVBTT9fSOZo+R
LJxb2+5jMUJFiidgu1xINt2o2c/FK61ZEkgsas3THIsQLAqwtmE0ptDELl+V+LtT+raCBNyUsqyW
eNPVjbcAJQsGGcyciQMqdkoGAEyjvmbG16St3Cb/Z/DhZd+PJAjKpAhWynKpKre4EpAHqkxJFLa6
IUcChPuAtxVyeA7aAJToJSbPxjS6ySDZkVUZwDYG+tDSCCSWBkGMDiL2ESX4crxTAH5bXhv552Wn
vxK+WvqRCOF6yXjYpKSCiGq6bResPw8MNX11U4Nmo6q9gjoSj7/mi3VACJOvOdOztnJ0NwAmwUDW
MZo2tdV4eoknF+CbrGv4Z9CIS8StGvWROEG/1nRAWrykcm1+PWi7mL5Sw5v4DojJlxdyfa/+6iVc
nkNv1308Q1A3vluY1EXLLZGY3KouKGJpX1Oa5y0LtZNjEAYJeaN6HqqXONqTEK14T4kMyFUiSKTA
rEFzkuc1HL867fr8GVFrVrk9+rIsyYDF6qL91YgKqcsQhGathoY314relKxknMe+IxuvXruRF1hn
gAQjXgUV7elNqaLbHohpi4kbjDghUAA8tXsN+H/xaUdiBEvT2iTRohBidPVBUb7VinfZwNZeEphG
Q5cA5vyBJPJVtTh6aZaJlRTB0ihQz7lfA1XcTlLPiPWdFg1X6nA7FgV6SfSiZoXTSLq9V0oiyBKA
5gF55qUJTuz7TwojpnY7wxXdalf5FilfT1UYCrdbY2SBj06yUSLyq/4ghh/HIhdPcqQvPAWI4xuI
1LfFPn58LvZAxdfeHGAAVZ/IHmyjW+1BezdcxeMKk5HvrFmNgbAH1MxoO8UD7lR6a+SOMYOKyh3t
uzLNmJnsBgU9X/vLu7p2AtCHsQQoyMzaRAhNoxbYLY2NE1BqWz343U93E5Xln1darLB5f4WIKJk8
n7o6pxDSVS5aaDzdvgnod0K3julqqOcWj4mzbTLJ4V675I+liod7MlC0XaQ2xVXclqz69yFDqAWe
OuwRQPrQP3O6RVzv52qucCDaUbGAbU2TZmtMgQ44H5parWt2qpNLTuHafWmgcxJldzSpg7z7VOZo
zBpKJJAZtKQAr6M9gNynqRSAxsatvTUHXfeqpopvwLyN3N4ERI7/YDB/lRazIyggN6m9KF2XP3K6
r+3vnZQ5aUkNnp28IxnCztVDH9QVEPgx77qPGo0N3ETzyX3W3s9IETeBVyq+qvuXFTszFxtzcBhZ
xjHAWwPkb6crm2EkthrMiruDM1+PKX1Mi06ydmebt4hAuLO4UTzNxCLdMOpjQ3rO3cLWAEMQJays
QoynViBSLD9KTD8Eib1HYCeJ487u00XuMk6Mqxs93WLTreMMSm80NeRq13rslgqeCUDZSbJdpcqm
6s/8liBL8Jo54JBy2mMZK1p3rAO1wUax1Oc2q/lj4yiGxEuvicMMh43ZRQ2PXvG5G+b11GS04a7p
BB8AU0bbZstZwzH3NpT08bKJyIQtJnR0I0xgH6ibAfunOKmX4ya3gEipPweRbBHP71phFQXXEqsR
xmNKrGIEZC2MN7VIT0zKtR3Hv9Mou8HsDpK9qlr4GKUGZwwd+OdlVc/uBXwAfgD4U+g2x2ioELSU
06hXWYsP0GqkXPGfSz+Yho9AaXrJuTsLyL8kLcSxwFLEANRivEeLSsa6TFoC43RIAGiRHljKdQKC
EYOwBQCfqLxm3KSTxJGunQmEMn/ECnaalFUZGBrE1pwy0vsx9Qiu2agIQM62ubyYa67lWJawmwXn
jZkoWMwYUFoZ4NDiSnLC17frjzZiL0XFK6VJIMeN7VsratkwXPH047IWq9b/d8XEOr+N2wxEZVix
sPiMEfHEkY6sTHjX1r3kobHmJ48PtWh8OjrlOgJtUiDz0A7kM+gtU53X2ZjcJk7vc14BELaW8LDI
pC76HxmiasWRGRC4kjo5DJnqVdZ1naRs0tAZm4MncxO1ucQwVo3wyHsJtq9GA1WzHiIJGBiqUmOx
1j2lRe2B/AqNWbKZ6tUdPBIn2Hzc8d62HYjLzIkZwd7qH+oG6OiyId1VOcgYgBkNQAKYWjpdyQHz
xto0dWgfdsqrKKCu2ee+UqXMKmSZnNUVPBIlqJRbqdMDpRN+qsGt+sMad3E6umQsXG5F/2W3cHvi
FYLZNMxMnqrV6fZQ5QUOgGl0NpvKHzTKDrWuR16OA83JKDnU53Hz4hr/ChSZQEyqdAWI9Lira+pe
rcjBipurJlT3Rfetjeo75E2ZFsFMcxXHJNtfPu+rPgXwAJpNbQ1YmcIu1mNWBlmNXcwU4MjWBgvm
j8AMJH541VaOpAgbWOZ62bUJpKhR7Cldv1ejZNOlJQPCruSAr96qzlIMJuCTo2cYJ2DIGHiYQ5bS
+jrQtFOgVieA7w29ihMGbqcxxBO9lFxwq+sIkiADGUFM2opPLL2z6jwbBviVKdiMX7TaRuJZSivJ
/K/6r79yxFfWFGEwLFd6EGOljpsZ7w0IYsEq3dvbBEijJv+JoT+JasvmnATqi4EeiRQC9dFGh6xi
QGSGDXMiD/d1n7tN/Q4qBqZakv2TSRMi9NmuQGphYyHJwPTgKVQeLecmIk+AxAll0BuyxRTeWYNV
WKRQIcvqa39WPODUtDOCkdeid+tR81JpplAmUQgu00oBchkCOVebkk1r9l7ihGD41bwQJzsY85cs
Hu+srvp1+ZSvxiZHW7hY79Gth4HJuLdLiF1mg9D06UVSwroVXkmYCUJJYCgS1EFE3m69oPAuMZDV
Y+U66l95/a1tQI7nLfjtSLoVu5xsZtCBBcmDrUbMUt3RvKLd3qhcDt7aywqvHsejjxHWmcd500+g
13Z76zHHRBsysUD3kQhZXdUjIcKqAgE9MYcaGqfpweCjX0+ygsyq36T6goaJQXYE6qf7RrFVWdvP
8GVYQg1t2yRgasFstH/8h/U6ErR8yJGBpMQIqgTjSOgkbVnZJ25ovGqWxHedbwpR8WfpHAQNDsaO
T4XwTNMz6iyOBIAmSh9vy45sSgx+X9blfFtOxQgeRKFxaKQG9t7W9d4vbDXwp7iVTUacb82pFMF3
KCbV276FMvase3nyyrOY1cHHYErmwtflALCLYOIT0+mCHHusQNViIfYhrbXVbLLjDgaljKHdDpYu
Q0U5d09QCkN2y+wp0tjikJ1up3M1AhASObyWRdOTgTkW6kXoZDYTH28PnFqJ4a1u1pFEYbOAhm6l
YabiPrPmWzzxWeuED5ftYdXsbAdZvC94HUew7Z6OJeUTlFKM7KMoBvKWEhqAncv55zkPGwWnpYXD
AOIGZneFYCqrAOahTYS7SVoe9GjXt8YtaXRWfwfk0mWlzpEuF1mYuQRyNBAGzxqyu6bUUzu3EDZO
rvZtoz6NTH8o3erK8pwUPW/Dt9DtPjQZb91XvvM0GjiVK2yYhqeZPVkmdyl7tg/ZNbiz/Pmu3zxo
boa/60DR0uGvwYTusGfTH93+rdkqvu2ZPvfbXfKquehd8xy3vC691h/ejF+XV+YcA1ZYGfHElCXv
MNqGL7yLttFz9QZcA9f2HB9fcFX5A4Ct5gPgQB4LUApvDdabEgd0HsKcLtFi80fOdFbrputGfACm
Czl/06xn5L9Jfj8ZuCkkxr0S7p4KE66IWNXDhTAVdoChHXJjmH6I1lrV3vR8E1RPHGWTSuKSzp9j
pyKFAzUNoNeLY5jegrtndDHAMtBYUbI+2FHZDbi2lqiQqBg9w/lFKfx0LUPVDvpSoThSJRsVA9MV
AZt64ECHvdfxq/ztsvGsvMYIMKH+yhPMu4gpqRIKeUX60hKWqbd59Y7Xn+uUN8qEHshlTKpxvMti
1/wusrcLZxtgZCyxCWasRiVKM1QLEf2B2UYBhWAW+lrksLTa6eqL/e9cnQCYAGP7kisGEqQ4/ePE
4NmZaghs083A32n5OgaSc3hezcM5PJIhpqtqU6/0liu4uTh/msEH2nU/+jR+J0tSddLutYpcVWbm
qfawrcFjk85vVDUkZ/F8JF74CsGAkiyO8BnQdBgqtzI/6qB4yMdyowWFG+uv8xDiKXOtKDEohDrA
qmWS3PXaYTleBcGg0lIzc6fAKli949cVhkzI26xdm8k9lVEKrFnRsSjB8ZVFX9W0gaoqsp28wqQm
9Yzul9FglMZNmx3t/4vzOZYoeLrSNBLazJCYTs9JvR1zYB7nDHiDXtu/NDT0MdzL1X/PtJ4aluDy
Ro6AZF6kjvSlRDGAyGIu2UIKDs7ONRPs2xDQFDMAXwiQdgcU4MAT3RvgvzKC10Ip2FyYj5fdwJqz
O15OIX5QmqCqMIQLN2AAtnd8ImnLaEvdKvoNGrD437MyyzoiR7KMiZpEDC3nFpXvDMhSbph/Dm2P
ZAyK+l6uvVzWai3+OhYjGIleB71GlxPQzskuaKYb0hJU9mSTr2uB8rEYwSrMuA3VxoAYtXksgGoz
UxC/VC5NrN1lff4Pl/J33QTzMOpgSkIFknhUYUK29c34zZo9nW4NAI+bm+UJb2Kw3UMJkklkL+5K
DL9Qh9ZQy/9CTBHcmT02WjmTsHGHzBx+5ykZt1Y6J/tiIRNmXR70j0pFmre5J2Ax4l15IKh4+jzJ
lc3lT1l1bJqOjgK076PiuBjzUZRjZFYXUx41bt4TLwI1SwqqhMQnxKexpFTwhQZwpvWRrOXAHskK
RrOP0wZaU9558TBDJoTNyUudWsBN/Z4bkwc1r1oz3da69Z1WEVNVjNyMw7Xafyp2voH57zP1p6OB
1E1z0FCibJM4eKw5JtiaEjxbsqYL2foI3liJqhTw/vhmRf09FvuBbyrlqkQSF0xl/7+dEA6Yg1p3
EuWQZAN1vKR+UT2X6rewjvyy+ucR/eU6PdoJ4ZSFSGCRrsKuF9mm5U8KCHTJ5BbgBMvN2FW6Ny1+
vazdaoR7LFI4boheFDpbOG4m3SYmOOh8lQCYFrhsmJ/vHpwJ+SVZw+168HKkp+CKnTqIu5ZiTY3q
AaMVTDXBH/2WzZrfaOGm4C3rlpThw2Qz7hzSSXK4zicBvtYZY0Uo5zsqSPBOLb5GiwltWrR1m9o1
Ljx3sDAOEO3m5BbHvOLvNtqU+vFRG11reB6cg6W+USlqjL5uw3+/Qlh6kk5dNej4Cnp3Z32f3GjL
vWTfMK4y0JUjemODp+5L92fFIvaJcqG6ST1lk/mON3+/bAard+MyZ/W/CyJsiFbPPYfHaVy04aRM
H96RxAABfDF5nVrvTdJ4Y2dSyclafUsCcOiPVMHJZcAlRG8KpAIvkxWbKGK/351b0Dj/ivCMLKD1
8py0GIALwg1sc/fvqHCCIQiuL9bztMwifEHKmVHDECKvrEaJnudDjKdSRBaQEgnwBCwgjatum9zv
dvoWvJn7D+7lHyYzfk0uaCbfAoXZXrwvDr3fMoCjfjcef2og0yj3QFjxUk9+CCWbLuajuqY17H75
rKpLaQMAOYIxKiVudgF67gEbw8cXpbe1RzQngtiGAkTs0HQxmBEAr9H9JlpCCMDBJ+dDJU4CikvN
uVHb3AYVSOGQ6QH0mu33sk/ra/SHBmhJpmbzCDCDbjNFSRNt9CF1vBK4b34bj0rH2qpygIcR1UHo
AwWwBpqX2e7QCQPQHlojNVsr2sOodtYTUhAgMddAn7ALosp+y5shOKQ8nEIGtH3wF3QV0t7GMN+i
+TnbJsqI3riiKdFyCf7xAaAY13nSUA8ZZmBO57x9ycppOASWEwHrrgbzU+DYxU2GXqe7knD6w0HO
9Sbv5gqjjuiGR+Nk2VNrE5ikOBjouN+YAVW9Ajj3bIwVYO1UjfEdjCXdfQn7zj1nDCsUo+fCm9s8
elaABwcyqdy+b7N+oswgvGuYNc/arq1sE1gR7WT9VLGAV1EdFsBupJ2KYSmnUg1WO9EIDlXUnk0l
owN8dd0eOsfhr/bcT89g4q3v7XGM7ho1TA9AAdLAPEM1Pxt69TOudTAhlFz93re6s++LCL8IxsB8
U020njD8pbV7jorUIUyJ+qAGA3AfUaKyX3q1b2+iegLdYF2rxa9gpsomiKwOTCxoqthpdl4B7TzM
ODl0QNW2mB61TrFBPot0jAeBmaPilHYjQ01In5id6NrjNDbhAwl0oEaWVRbcNo6l3+O1DmQCq7bz
d8rDAKwXSQjy4IZyBUjcNXV2KinIvRqk7SHKDeXGQTNf61aqnfjcCqZPq7GIW85J0W4ve8mvHPp5
pPTHYTn66b1BZqQLUxUnRr+JHxEQvifefXoIvJ8Fi7f6XbmPvbfhiu6nTcQUWXLwvJtWcCNCzJNH
Ten0i7u0tx8dMmu76Al4nfNDwfTvs2/7yQNQXug1vQtu0YAaMRmpxurDzcEYjoUpHPRtCvKnDMea
hCm0b0vCWlA3W2S2/aAbfuSJ/RMElde0wKaZ5bS/vPCriSPkbjBusrQXGuKFHdcGzasxb9xMazaB
0YBH1HZ+pFFNNtzocT1YCiJP9JQxNQOWgaIhmwRKNUm2YbmQz7b/6CuEC5u2vLRVFL9cFKZuA2Xc
EmU/51sQKHqX9V2NDI4ECddxDxRJBRW2xu3qDjnfLu1ZlQTXpqp872LQas4y21oNA8EVgNZ0AtyV
MwhHJUsdcyRJ47bDlYFrZ7I9Tp80+OY2xPvG68ebhPr/rqWp2rZuLQEo3snCaWonvcsmyFT5R0Fx
2ZtvFjeZ3b2Zsnaadf2QjsPYJ8CkQXRzKiuMqNqipbFx0UgJVEpjvMK0MG4dz0bHGiWbGHPsmiZR
cAkjRXsB9g8AZxdgRVOsWPROHFZ9WzRwRgUQ75OrqI39Cm/0y+u4KgZQFyD+At4zKlmCbt2U132A
aLqcdzx1QMl9o7efl2Usr5wzVY5kCK8gPIAB1KNDRkireqPxtt/XaRhIFmztgAHT8I8mi6bHL9Fp
Mrpag5R+4KxKazYAM2/QPWBlu5f1WTcIQGSjOQfEM2fYa7FVVImiQJQ5cH8eEGvjDrHr2a2bEmTo
rQWUjpxFmDQhlSE7bms7hlkMcC+QpaD19T450hNP5BDEDC1I6dENEXM/BgwPxr13l3U88yLoHUPa
GwMf4MddoKhOV9PqWtLUKYCUyimjIzM0cEqkQ6y962kAd1mTOsi2+djlkgrGma0QdEpjWoGiDo2W
flMIqgE/X6TWALCcIjL3ZXdDg1pyEZ+tH34YLWS4hDBphh45QTMlA4IZ6eIcAKxp7puzGnkWbzDF
EtPfl9dwVRKG3ZCIQZDniJ1Hc+VYqao44KsCFdagP3R0W+m1f1nIeQYG+pg6GOGA8QFyCfEEWx2Q
InMwAAOk25t8chN5+t7wiqtpk3m2N6O+FoGfkJUF+BO8Yuv9OLi2L2kNWsG/Ov0I4YjHtDI5USeg
tG+Tzh032odzFXjNTbwv986Nzepf6e9rnaV3lWc/Xl6ANYs51n/ZhaPzoM129D+kfVlv4ziw9S8S
IFH7qySvcRJnT/eL0ElPa6f2hfr193Bwv4lN6zORvoPGvARwqchisVjLOU3WQH/TQhUIIakum8P8
dwnPHJiwxMLdrdeNg7cMtMNMBFy+8fMn2Hp+fJp7537eIvh+AKntz+KhfO7u5g8rQV7a11bhr+t6
LpzIs30W7nV7xniuquMjmgItssdUXWv6tigOJZMNTV4S2gn6Cm9rVP0pCtsQhXbpHzX6Riev+ihe
DsOr8sfZGo9dBnCc69ot7iKuctsBQRUSR8IuZnSiDMzymAvVwIHUu8isf16XcJky4VqdiBB3MUlU
qswQUaIee197SbHpAsWz759T2/tUvfiP9fzWeOBfblYIzAJAtzmx16+TD+uuv0kVycv+4r7C5yCi
QPcIQfcImojO7RYdbDYuBx1IAdqejHtqrJjzp8RL59tqo3kU1yL+j8Q0CgrncswcXVaJ6sJ406Rc
uz2uCjq4zezZ1LSiwHZj5zZRi/gOCZW+DJqyqO/GMQdG5awn+7wgRbkJGw18U3XdA5DbCvMnojj1
gaTTxDyCCYItBujM5Gc7jm3opWWqJCsrSRhBii4xn3JXSdFZ1BJrl7YYg/GUXFNkwMYX7wuDt8iC
9xCof4DXFr1gyBBQNA20BHywumIjDX2jbZXdiI55T6nBKkDIaGxM1oNPZagdSUhw6eohHsxPhgZM
cQx+C4cT+FVjklVRgcIlqdednUXvDkP/HA0bur6+oYuicEeCKA6joJcjaG6qpRRZZT/vB+bZGk12
cWUh2YmUusR2lkRh52CeuIsxQyuYTlrpSjnmbYFh7aq9KR2reiBp53w4lQ6gvOtqXSb0DLB3ABsV
IQf6qeEEzu10Srp+bKsa15RPn5E72U6BqQV97uH5nnrZoVuF6+wQbXi/Sr6CI3qjaBG5/hELCp99
g+D4tKzvxmjENwzpwTRfY/tHRv9iUc9kCIvKMjXqSwcyZnof9vdNvE6Tp+tqXDrTs6UUG9ebaW47
ZYYIY2ZrTcu3LJZxcS6JcDmEPrq5XZAV8pU8uXXt0aC1EUKEktrrxLKPI80kWlxm+mERpzIEh42x
gpx2CmTUqzxepcfixTmoO4L2i727iT10UM2yzZGpJRhhm9gxIm+IzOfGc4EEPEji23/b9s9jiXOl
BBOLVMMqFS6hOdhPMcCNka83H43A8or1GLTB4Dv39p76qqRSd9kFLKymYHfI9yXuFDfUdx7y4xBo
CBh/mDfkmPjOzl7lEO++aq/DbejLeOm4Shcq42kJ0mIXN5CYgLEwINIlNSRbJYiu6HP6XtoZqugB
+AHU6eO67S9cBAAWBxImgSNG4C0YJtyLm/dNRzFRfc8GYG5NUYD852SBL3nDQmuDjsbrEpecBvYU
U/nAK3DA8XZ+FPo0Lt2qRPqMIvRTp32R/upbiYzLYAESTmRwuz05bo3eKHjLQAa6G5I/Q/umRqC/
kR24y8Ff1wb3O0fNAyUl+fdAnkhpzc5BCzmGd8IXdV89WdwsyLp2PMT1EryMhW06EyUoFI8knBoF
KcjCvFGs1CviJ6tBGcv1NOsG88b1LGlxXlhBHC28H030bF8mqXJzcK12AHNgVd3XOqhGgCw7sI1R
Kd/fKhUDLngy28hGEBEsNyJWbdMMcxhGiDG5BBQLcwIKhXHVGvXjdctb8Fanov7NU5zsV1gZpTp3
EMWs2ptaeo/ixY/rIhaMGxZBANRi8WET8Q0LwibEdBVEjEMUFKF+zIA9FmcycrMlX49Kj44MIs+Q
Q6tzA+8TVxmjnBX+PK77+THJb5T0NSIoHwZOApC8+mZGXSu9q/JjnT9f1/EyNY/gEUR4REVCx+SM
wufCwTRlZ3FoFD55GJH79aaDs1tlm2yDwhbz2Np9UPCOHT0wWL0oGxm87dIuIjvPoZU5dq/49FEV
xUYPhQneZ2D1Fj2ORPIXISPSlqZGXN0C2o/gE83eLEMLTwsw+r1irGsmD9JQceHNiDUEKA1eNRiH
AD7J+RoaycCsQrPwNjVvsjFwUZMdvOkhuZ0futyrlfUvsq23ko1bOtQAD8NMmYOxMkz1nwudK7Ps
zBqKAXbb6/dAeO2AF52g1xlbVXj3Q0A27l211e/CbcMA4Fv4mW+bHq8Jyz5m6YJVTz+GnH9MNmMu
Nm/xMWYP1nUvHTyUt4LM647pGs9J9d1+TECR7qWJf/dbshD8t4Ur9ky2eAc5NNEyCtnDe/aH7QMt
WtWecex/fDq/5820RW5+Ox4s20sfgBqK+qdfBdc/4V8zvfYJ3MxPnFFfgySv4XtRrtwn/X3wal+/
NTcwOn9aKbcP5KGS5K4v87Ao6MAl4R0N0waltXBue1z2Y9QA5UvrNiz22aq9Rd7rvm1X2XGSCFtw
hPyVjooDLyMB8eBcPRZlZTM3FRxhtlULxZvnbUJkMJMLroA3bKEtCAMRSAkIQhyzrJPK0WBCGHvu
s5VuyDrgl7YJNJKcYx75XTANCr4gDGnc0tLGmOBdu4nfMMsXHkjvqU/H7D1egcIJCYnWk9jGQgR4
JpSf4xPbIEpcUKeA0NFvN9FW8xzEv9v2ByYAbsmW3Jup16zj2+JGg/eTRBoLuUl0qMO3Iy2AEVDE
f+fCbXeeqrBwCr8Lwk19m+6cfQRwgw9yRFj4QF+TwNwlP7K35CnddJLrc8FBWWAjQJnAQl4b/85l
F7XW6HEYIzakt2F8l9S3tvtnJBI/uGA2nLcWpTBgTgKlVHCDQHqlXUYzPJ2B02m8WzIonwXbR54B
KOFIzgG8WywG0LbvWGZQimYPlFWygNB7UNVetxG+C4L7wPsA1S4kNkCTLBKykTw0rHHgjz1toxXP
o7Mp7TfD2qnmYwiSL8VqZEa5GO3iwkIdB8jnGI4835ukGJhiDeAS6TCxtYo85Zc7BIBl8aj0BbR0
6lBI+ZIlHABlzsDE1kAWBbj6XXHr/I7XVtCvyZrc+7EX36ofquyluWAVZzKFkAo8RIyMGmSWq/hZ
3ZS4IuMA7JJwy/Fd5+2BVnl9C6VacjdwcswVVZuGtAdfiY0L+FN9zSK/89gOELKY8QmfMIe073ff
x/rGo+VkaYXjPbYEQI+Mq+k+zcqNUaEjz9e7wqNMNkW2FKWeyhITK2UxmFY3QRaeYe1KhWK+7RtP
9Aa9HPZD+xQF11d04eCBKgjlMIysWXi3iAfbGCi8mgpn2aO/BtdNajzXk2zfLqSgeI8DB2Zbghgf
vup820AzoM54pIBBBGyEGqDVMD1uyxgQZUIE26gxPN6FE4SYYed1YYkGwb/AHIMmIHMDSS9SwTwj
LGiijZM1TUDFTQmMXQ9GtE5d35ELh/6vBMhQkWRGO4sgoUN3WDIQALFOtRsAKcRxH7Xc9dWP62IW
VgsRACgZOAMn5j75309OUlg2Fd6RQBNs6w74qxPgh96ibz8LTNR20cTKOTBBTSmultKWsdnYIFan
sf6g90NgUqDQRRI/tKTKqRRyrgpmvcMeCAiQomc7S1U3WtLf63a7+f6KGTrWCzUVA2l4wQ0ME5Ly
FoaE/CE3D92k39r2APpkGYbYkjZgd8ONARROIAoLYtisEPSZoC7eNrqHgMaudU/JJMf+IlzCxgCn
DLcgytMabtzzJSNlTZHRB5sL8hnr0QWLy8w2oLsM2jx9nJQx4E1u15fv4voVRAo+IHWq2p46cKyA
VM4v1VVS/YrCLsgmZOzytdFszEQSl/FfPLvwkTVGAQNhKBiJ7Yu2LHsurcrsUFF1HMxMZHiajNXK
zKqNNTuPQ1hIYqTLNjAuDxEvElvAAkF263xR41Dvw74Y0RCLloI+X1UgEnM3ZYq+/Jcse9W0hzh+
dyNJZXxJS+Acc9ZoJD6B8nguFVHVmBQNkq16s49iIPl2XpvctJOLWX5JhnfBNaG6hzgbDLOWhkfR
uShCsxzUfBCFIHhX6OGhz7MemZM/vds9XLeWJVEEAaHqoJ9Ox+V0LsqgZTuaA6zFtAbQomlVf+vE
rDtUbQ1U0Ij9hacCxQ+IeoEVztlBBXkjAVdnSHAgGmKtQILlOTbKkbJEzNJeAbcdUS6SMebFE891
MwbrQQ2x1DI7yOzI9uacPiRaDoY98O4wSt+vr+OyRDBXY8QUt7sYWNd2M+RNzTmTBvOfnE0bAvjl
OWrQJu1k69aSQYHK5PGQ8eRaaae2K+0Y8qoi+aPGHcbopj3n2WpB/2o1snhpwVkCCP9LPeEWY3hn
1mgOhHp0xIzNM4AN1mWyur6Gi0Lw+kGvEOFPLOHNTEvmOiXXYcrIrtYfusFcWZpsumbR4k+kCCvH
YYuylPfyTDFZq0343oNaRp8/o6SRdEIs6YNiK5wi7hcHtdfzPdJnlqZzyuCJh8d8dH3Ms3mxzPku
3DDITqPPAv+hYi5e/UZqgK9O4QGlqgWx+qYmbyGqrDRsH+oEwKISf7EoDl1+4MezTIwKCzqxKVZV
AxPFfjtXezs75PrvZqxX1j/VGO0G/em6RfC9EG8WHQ38aHn4FxtW8LmNOvZqOyDiyFz3U8mdlU4T
STZoyRwQnqFhEujs6IAXLBuHCKDtLXwt0jg7tadBP7KfqGl4aM2T3JNL9oD4yUZpiZf8xYJWotV4
wwGnzk/travrGHzftiSXXP+X6VvcjqdShMvDMpKCujUU6nKj+A3YAmsfTnpzLMnAXjRlttE4b1Ub
dK3kSM7b7U1aoVbu0SZ174k7Dk9WsSLjsPv+TmKJXeRuQFDmik/0Pq9mmscGp7ULj3pSHaf65bqE
xY3UAQsOB4I3lojzTCKTuqzhEpI6S/aDWoDpetK1OvbSygx/dfEgy5QuiUTizUDMgzQfTOj8gIcd
xpRbE044yYv3UX2bM/2hQj3dR5llfV27ywypsK3CwXMTZmLOAsaj1NswH8HxtbJA920C5SkNylr3
jXjTyu7RpdOOriZc1RYqRsAUPVdQU6LGnk10NlVNt0ssfTcn/SHMpy2DKwubfp8ZzfcjZt5I9Z9I
YU2H0mIhjSASZL5eZ1je5Hx2IQiywxW6LmnyF/4M70vegsvbqkQowoGxwYgU+LMOxOG9rb5TtdoD
TDhIbXLbMSDpFbKG9yWr4XMTmC9GpRlMn+eLGtfzZKYuQi4bBThjVtesoDdGiTqLY0pScYuhMs4b
958QeAkYZqeZWfaw0BClGz0bPQPXqx2t0+xzsj1Fv6vDJ5usDVvihRZdHSwGNmOg20hsVYvRLjsD
8IpnoG1Po8WxAQhGCBiT66diKQpCdv3/iRHhL1qHRaTn9qk20SrqXhUULepyHbPZkzJlLm2bCchp
dIeB7cQUn6WRqWgpyXlMOYUAKgid32492kBAnGKPudnmumaL5/3UtwhWErmDg4Yt7JbV63dJ81g6
dull5bjJzWhN5vzHNJvvTXGfWrHkRry8dNEvAFoPFBj5m1W8EQntKQu1tPLzED1b7vwxMpA6SdRb
FAKkYvSI8eY3MS0yzGZrFX1W+RYzjsXQFB6kdTeO5tC9AshTT5mUYxrl9o0WK7pPZrCFktza2NaQ
eUmE5sr0+w886I20tYHbA+UF8YqqGFGLSYfeg/lp1k9ZlAVoBAz0nHmYCZRkny4PyLkwbm0n8Xtf
6o1aWRA2RVO4oYrJwImKsRclZh/Xl/oyH8AlIehQcU0Z5kVUXZegg2yB0tAwjFHkcQQQiiRRAo0p
u5olJojHXc3Dg+Kfbiqfr8te0hJ3PQrymOzh/RrnWtI4dLooLiuMlcc7GuHuoH2A3lSJNcnEkHMx
lkbZXNpQMe22DSnAfQpyQ1lz0OX5P19HbtEnO9ZR1uPND/4UZbZ8JHJtAA13+kqKcnrp087lcGVP
5LC0UfS2Kio/Yu2dXQJnDN2RgK4FwAL6/rfXN2jJOIDgio4QJBBV0IGcC4u7uSE5yLv8vm2Bx6kD
x9VQrem1pJ3pYcDyd5KjQ6RshvRFbfri23kO9EgA2xhNXridUL05l95NKHf1k1KC+qxqvHRuuiPG
YTCDZWJaap6nXiJvaWnx7AdUOY4B79I4lzd34RABm7zy64J5Q//qtvs+3GrRbdJJjveC+0ZO+UuU
LZQL57IwzMSAfzMmM/Q00M6zMn43O8vPSPiW9c1OVaxPVpEdU6Vd/0t6nh474SE9Z+4cRTo/dvfF
XX7frV0vWR3pGimrGT35mZcd24/hFgGWKcs+XkaMBNixXydeOCV0sGorMbhodtSIjznjDuPe2aFg
20I2WCeTJZhPPtTaPLWQFQGChPZACMAUoTG0qyGNj+ngYkZHBt64JPJ0W0WH1poRqMZhQWmRHget
9CJTu1dKgDMNuVfNtg2kO0WSRlhyPLwNEtEiUGAccUDSSWunGlV+RvEPKFNK+KIlWcAiyUWxqNuJ
HMGLhmbdDqkOOU44Brc0KGkEBoGjkq0dGUXIoijcCoi6kVFFVf38IAKOO+t1Ew4b895+hPENJOjq
LugabWsaN04uCYMXxfEwGGuIm1Bs5AvNqjC1CYaC+flkW8+WhldUmnusKNkduLi0IE/C2yofv1+P
gxdAShx5avTBA3X4XE+9JmGTsBqgaMU9f/GjgVuVTcEtKncig//95L5IM6qH6ggZU2p/dEN2EyaJ
3zso0rrWzo6BaKHICrVLIm305SI/izoN3hbnIodirB2wrqA+qz0riu9GP+x5147PxUjwpgi+f0Wd
ChM8StmTMLbTBChTWerHw28jRY+pBrQY/VeuxF443iSmZMKbO47ztBOYzdFCaOONpmLvBPOs4mRQ
Uy5S0eb1pHX7uUvW/Witr2t2CXLFGdQJ+jFdwASiG0mQM/fgXKl5EEjG3rP0J0A0Dw5eL2vDBJb6
p555VfGPgjGJYpLcT0v3PorEpqWi5I7Xr2CYqZoC2L3CWQfDNSKLZFUkL6r92lv7yH4ERRjQFp6v
K7vkxf59NqECztuvhLvX6qMobRWsqRaTp77U9n1BVrE5gQVYNo+1ePmeyDKFy9eZ4sGgGdbVyH7H
qPEX6JXyAd39AhDsVULLHemm2lMr995Ro9frei7dvbyQgsQvyn0XtLG0j4e2V3HxuzkGAMJHFyEV
VfGOUiKfVhLHJhMmnI15Hswp1SBs0D/daEOAwJynb3W9mvRv83ByWz3RS7hsm7nNssbmorRXkv+K
ZNOv/FMvzhwyhBamlYlhiR2AkdpFTuXi91u3eNLi4YMUMuK9ZRGujXQvYl0klc/dVqU2YN+pYfRo
fMpRkVGrWHKsLsE5+CqhD+l/RYgJCVqphZpnCN7t+zLxq8O0yzbsWL8ba+vJ8n5VfzBNuipX7crZ
KKOn767b3qLfQk2bD1+CakIsUYJUZhjTjgPyqSBNo6B2QWeDbJ58yfk7J0KEMAF1Lt1pRgjR3Zfa
3hWgfZgdHwfBL6b74vO6RotbdiJMuGmQamG1SSGMTApI1/mI5eq6hMU1s3XbBckskpwi/JFCAUdL
GiAFsUizvDoN0dmbv2hp+1dyQKwFp4Byg7g3aL7HYQUTFYrk8bhR8cJZZUNMA01rZZhOizvkIqkC
R4ugUXzmKGqaoXsZ7s9VAQdt7VP0RXb/mKCNUemzHj5eX8ClLYKrQyIT1IfI5ginyp3RwkCBywLi
2bcOrHJKL8lHLe3QlwBUdM+PLatnp8iBKwQUtl82lKjtfSy7MmQyhJs4toyypSlkMGvtpg+6eYdA
+/o6LV2Ap2oI56ZSe7XqW4gYh0OcIjG6q/pA2qArU0Q4MCa6zEivQ0oDSNqiztasc72iayTWvHTx
nDzzxJe7rRC3G7kT4DOyjhe7LxmGrDPrk7p/ri/bokJfD0qbL+tpeOv2DKE1JFXoNrPQKVBYm1zK
irpoxCdShHioBlEWq0YsG6h/H0xH8UbgB9FYCywjexm0LojdDhvHfGByBwYmdYALkqzzPL1rahlf
6uVgIS6R08UVIvpczVtq8Od7v1fu3Sf2gBk/TDl5mu25G3UXbllAV+mL8yabfV4MnE4lC2eZGWZL
WIrFnhz3dUR2OZnLdY5WXruM9xOA3uC8NjOgWOIi3Vzf5yWndSLaEU45uBvH3gCHNJ6Dt9P0UaPP
ZlxNGAUYgll7ui7r/6Ong7wXgIDQYijo2dRdCWRuCNNVIKjlTAd2aR+920W0S0HX5GHw0PQzM30q
XXev1qxaX/+ABWXxeMLrCXc02onEB+nghLFeNh2ULWOczs+xdGBdvjlujGEvxSdYUhfiDMvCMJuB
24efsZMzlION27VSpA+cWLkzNMTFZoecV+J36H7NhvE3i60VU1sPuB/b65ouHN8z0cLxzY2GAy5B
00K7BRlhXr/Sb9Pd80ELUPqAlpNPBIqlBOCihkAObJGTqR/SPlCMVequw+Gm0yUdYIu6IGOJVgRk
KzFmdr6MA8s0M7GxjIO1JWwfl6/p+Hx9uRb8KnhFv0RwP3W6U4oVZUBFBdxAskr72xpNRMq0mqet
KyvI84UX4u0zSYJNzM3oTlmFjUFhrkj2rPo5RQ9D+nFdH36QLqQAdgAPIT7aI76kc9BotQSEJ4BS
BreO5/r0l77qgR8jq1QvvaXBXodXu2Fj7AYgPecrlyWWlZcxt+1bto8e2V2yYZ/KLtoVkNZLOjkW
mizABvIlTWwftzEnrMaKihrZId6kh+oQr5NbzLSvo828MTeNdPxk4YJCWQDFVN4gb19UH+2MNvFs
Qz0XEzZDFnmdDBtnybq/JKB9V1hAgqFyrYcEVTkOmJtsd4UMDH15k/7T4qL07aD7ZARSOcKshzlg
dznIbn43K7YO3+Kfyvov3ntAZEHrNQQZ6NgUTALjNSCW1mt42UKdgrRA7RZhuAyWZekgnUgRM/12
heG1asQDojfeO8MvyA1N37r5+9fjqS5iEtgIi16JE+iSgraCootxusnTtZK+ufodnR+un9olUwCU
DXpPARymo0P63BSc3m6KrG4qoIU0BDk3q/XGuYpX9uyY3vdFgccHswp8lhvtvOeiKl2b0ZgKN1Rm
W5R3Wfqzl7WsLW2Q4wLejRfvAV0gaFNN42C04G3wk/h3AxxTuk7AlgNu1+uaLPRa4HH3JUc0hKhL
czLm8N0JW2nrCFxOHpJqRzPkICeHikreE0ubdCpOeLJUWVKYTQa11Dbz5qr0p9EvZKQpMiHCo8Xt
3IEkDb+Pxqd63ObtYxrtrq+bTIRwqyplHmEuHHpoJhRAby6IYDDeel3IkvtEqKeiDxMVgMsBiR4P
e0R9vNwOaI65u2Gq+xcnFEV2pK9stLzAU59bsunEQ0FCZJdiNGNV4QS8vXJDkLlNS/fBiD8cvZCs
3FKw4GDOHWP2aJjVxep6h4feCAQalDPB7tsNtUeURzOPPJOBU9iUvMJlwgRLqHVgkOYaf/HRVdn3
Ppv27ZyumYa2rPX1zeIrJQYNp3oJFlEqleNkIUQN053KKg9zYWA0XBVF0IadHzdHBU/O6yIXjfBk
KQU31IzZwIYO7z9Ky31G3ffOIre6Ecv6XpYCf9gIilDoCcaEp2Akw4yneKTgspg6zSPZa22/uoY3
2jstAYi1pIyxvI7/CROTkWVXsNImEFZF8XbM6SFm/RazW7vEoCCQmf8h1tR7jvJ96npE5CdaXgxo
qOlopRkuq9J0gOH/MkXEm5NbGsrqa5eT+oIkwSr7EE534CqOpPoVawbYrVsTdwk72NW0KlQ9SNX4
fnJ+qFYYlM4LQrZN2hKvs8Z7UgED1kBJFVgvGJn6C4NCRzZaKvAkAVzJuTegupLrlY2zOVnRtm0R
FyTdH5A/SpzO4qlEnYE3EqI9U8xeai1a/8HHgtyY+tyGT51+39DN/Dtib3+hDg95NYBPuKaYvRzd
elDqGf4zSw2fIf3h2qnfylqVFrU5CQaEK60GQBmwnCFFtbIHfAsgGtPHcMqCIi/3nSaLPZZv7BN5
gvXM5TzDleF2QxKHgHDh9xz/LEGwpIIzE1XP21ljz6H6AspE38plhNuLYcmJcMHLZZMy5FmEe4+o
+Y1jPhVq+JTF89rGyn5/84DojLc/DiUgNgSnExVZH+olJJX1Ad2sTX2IZT2tiykGDmuETiJNBdwr
1/bk4ZpUKHvYk4rbz/ns2TOQlj10ufqxcdfDYKbUI+mTU/xFUQrvyi+p3KBOpOKBy1w08MPDoS2z
U0GTLksML+wSFEKKCK3BmK0VG6RqtC9gk3DAjIm8ZDoeX4kefYB5EO1KnayPbcH+0XBpAIcYJw2R
hGD/I7Nmq2th/4r2G/R5gcWynQL2DcdsPT39/LZVnAkTjN+eIo3EI4QVmOWeGlxC3jhK6pOLq3ei
kGDjaPqfddA+VP6MJq+ZvJD8MWtHL1Z+X9dl4aY700W4vsdWUdsK/wDaOL30tbm2O/QbuXXQOO4t
6/WXaKQrK5WZ30LUcCZWcPLWTNxhLPh+ochroaGkKO+ZrKjHv12Ihs6ECCfLcfpIqxroFinlrnAA
29DJ+uJkegjHqEfD1pRH0COd9Juhm4BA5UIRGSbKQvBzpgn/+8lpjTGfUWI0FdZgb6zu4HTrqSH8
PHlmB7AZiU0sr5ttgcAVD0wiPvu6QitMt4Vzr1gZ6O1NnchyTpdowhwQRPtPhPjiAxctpu4UiDDX
+nYEao3hg9jiRnm5U+/HH9EBfcvP6L+5rTbhKmu87KP4k8k+YukSO/sIwWmYbePQmid30aTdj54L
LiPTd0of5A/VlHm95qM0a8nELruqL9UF7xG7g9JpJaTmtem1+kNR/KimwxBPXjRJnIhkI23BiegT
aMlqnna1wIA1so2jyJ7uy+7jSxn+BSeGWSpDWbUul4CXhjN6E/ji0w1IgbyoClJtM1JJVly2eoLj
AMh2Ns0FBM51MIfBPB+TMfP7JBj1b8/sn5uo4D1G6hZNoUJSq25Yj6ye5lFNlg3lqcFLF/W1foL/
qA3adn2CAENl6I4OrOStoT87zfAG9SdNA0a8Ydpc9/gyoxB8CcaHMMEAljRf11778Kc0VbnsEr9U
EmImrR4AHTDh9zs3/qWwEUhR9K2rzPV1NZbiptPTK5a9OquKh5kbdwUkI8VZO+m2jfxcV1F9vLVo
QMnelOEOL2Wvz4QKLiNprKnoLThiGLqzS1Zq5WlbepPs4D8M4tf3yjN8CJXxDC9GAxwRGDMlaPYW
OwXsDJFPSCAWWF9BUqg7HYkKW/m0c1kfzqJ1/CfpIpfdaIDB7ntIYg0wz5vSq9q/OVcnEoQlLG27
71V+lzVO5tnDJ4ZywCJx3TgW78sTGaKPdeo2bXTYhpn/sACJE92hNQFcmIGto4NcImzRJRH044Ly
Ek88sUaoKaNdWzX4e1XyoGuo1jjB1B765L5SJEd38WidSBJckuqmfZ8Z3Fu0j6oZAOTbrWQeadkA
vrQRPJIekaScORvxqHD6kJWidytKVlrVeTVIzZrRKxwv0tFu+ZoVoCfzx15ysmVfIDgoVtWIrTto
2Za/Lf0Tcy/XjWPxzjpZRcFBzbk7h8XENaSv0fjogjRROYY9Dm5QtOkKpb3/m4GIAGjmTEODYobW
B7IcStp+OPtj9BkZMWha/uZ6/NJNzGpYY0PmXuO2iMSRwvfrPWHvQ7Y3ZahuEqsXqbz0rOxGu+WS
RgWN0jcJGFE08EBMn5OsuWLR+2EGE/3SDhr0xJaZemYdmFZwmlXnTemIF1kfnXlsZe3gi6frRIx4
ukiStxHP1Mz2L0ytDcCKDCV5xUXTPhEhHK7OGbTe5i/H0XmKuz/s28TpPKw++X3h6JhpbelRiJUi
NPXUDKjP/UYP/1w/P7J1Es4PM2pnHPg6kcEKqA5MwWSjR+//JyHi7V40TdohT4B3Ke6hlIDM1AQe
l4yRTaKKmDZoBj01Wp7G0uyX2PiZRJt8krQ+XGL6n++JI9xFgNEE/gfXxAYM8nYsPPP+Jzmm985R
u6uD9E3dtUHeeUbQHl4isHbWXn3zbTZk4RuEh0DtoAMZhD8IW8DsYQ6vyVD7TXnIkoPmTt71nVt0
r1826PAzcPIkUBISZ3YNWVH1KyQsmOv8VU11oEOoq851g7ou1qZV/LguVbrMfKtPxMZhSTVcjwg7
19pBW4eo7K3JavxT+GCXs3bzpjyEN82Kvqrrh+ij3b9el89P1kUgf6K14Dy6TrPymb+Zo/GnUb0o
+rwFI+w614Aj14GZgmaZbISb/+Q1kYIzKeMhHB0e5HQVsIVjzw1XwFD2FNnkluyQCE7FtmijTVw1
wnbOFBTjm2JIrmSZCMGldM1sqLjzYZ/u2p4eaf4hHW24pL45PwPiLcx0uwJZKtRID2B622iPiYc2
uSOC0GYOIqD0UgACv5F1+Ji+WW+qN27JXe+7wYu+KYD6LYkJJBqLF3VNHYX10b+b95z3R7d9NBLJ
ZbMsAhMjvMyJt4NgH12uj7XKTwQDEHScbrPwBRO+181+MQrgaOH/K0Owjd4ChL3mQEaSs5ek6Lxk
MtbZFHpVVf6ghqwvZfGUoSGFs8ugWV8E2K4bE0PKOoIOG2NMtVV6IMMdmiSoq32c7lRZDX85Q4TC
t4H2bAx9iWNGhUXbYioYMr2P7Ss6tGEiyQGDfaZXHI27VlaUWzzRJ+KEq6IJMX/KbKiXqD8Mtnfq
XVz6hbO7vmeaTIxwGwAfjjpjCa2UrfPAVuptstfLIH+rfjaetks36T47mr6Mm3DRHE+UE+4FM8vR
ZUIhtdMP6GdUp7dYkWjG3cSFR8TUIHAmsFsXcHpjkxOriFDUyDGerG61bNX2YM2dgjbaGGDwm7O3
60u5qNOJQMHrNz1RMl2BTrnDyMFCSOyHvYlmHJUNkpN2sWkYjuHzPWh5xegZeEzO77eyBP+l41Yt
4MruBtfca63hhdOr3W+vq7QsB6E2wFAB1yfCsc0Axk4Yl5NEvqNu7Cjbld2N20pheS5cx78KfQkS
7MEwhynR+xpclc6nGvcbi3WzV4b2SxTTrc7f7Q5IkUG7yDq8y95aMhx7032rENlqNLtLmRokrqwx
5MLBCB/FN/wkiiibJpzUGB+lmh6xDwYQM1pnU9iviVZsMlB9XV/sC/sRxAmbqihKrzQEi92z1Tx3
wTQEJdrUrgtZ3lHsJoeGQ3JPuAdGdaLNlIIsE20FsV2tESl5wNSkmSYJdZcX70sQ//vp4qVWOICO
FmTw9Ldhzkc7eeidtQlgMPaph6PksMvU4s7gRFozxm2iAXzBb3XdR2+i6qI3TWvuXFUSnFx4lX83
6T+1xJnIsrBxvxZN68fJj9aOg1wNClRdOvOtjgPbyW6mcXN9xy5BpCESk62AHgHWPkg6hS3LQj0q
e4VDORTTdgL0rQa+d5pUXm6Ud5mOwVOrWjvm777/Y9J/CIhehyLCjJIbWH0h+ZglGz39FmFXZ5PU
GS1KrPOYUq8BaF8w1nocGEmcba/rvbSlp6KELQWTRe6kmCfyM0Di5YPmRUm/S2cQokzku/HX+QqL
HT4giZnIRCDK1JTbsu7WTCdbS9ZAeZkvFsQIyU5YTV7aIcSESr5BtfBNKTOfmN1KiYBi1xE/02bP
HK3NZDcY2EhXdjIHLcZFktFZXV/cpdMJr44+FAy2kQtyEgeIgEptwozbaPTzsvGszsbIqHn4H9K+
rTlOHtj2F1EFQhLwCswMMx7f7djJC5XECeJ+v/76s/CpvY1lzlD5TlXyNFVuJLW6W31Zq29+hdoA
KvRpC1FvVtNP/vh99WhfR98WIFLkHvY+zutKIBfr6KP+bFUAsarzCACIFkCjgZgyukGgbVzWdW39
ECmFUH7hR4GfQCSe3QYKv+BXr8J+sEW31db3NTicVweQAoJ7ivZF2VOmWq+Eho4NTRt+HQZvGH05
ESRcVBHvovivgSYOhVq2Qdpjrm4NIcze8cvWgimHYzQFMJkymqSpRUDVLSG8GKN9GLGHuJs2UsGr
W7kQIV18UFtGaj7BwLY83hu+5qlJ4uai2NDLr4WceR8XcqRbr2c4pWQ25FFy1sVzj9bBgd/XxI3L
E8e8X6K+KkiMXL4Nq6YG4E7YQRD2fEFJz0qAV9Q1nCJvQ4en/j6L2oORI2lqbjUTbomSVBLx4DgG
FKKEyXczXWg09mCqtG7REX13eVWrdxy8JqD/nLv35VJEnAxWFzBspYKG/ehbk+2zrrYRU1XpL7bJ
dbC+sA9p8+9LDxzENU3mwMLXrrkJwvHoaInQjtlGXLFqRharkrwhRlZUIxmxqjFID4Po7bD4a6n1
aRAvHXLcl7dwa1GS1uciL0mSY1FKswsT6zoGNIjf39Zbar8WVViLRUlaTzIQDZAQJHndGCIpFiBh
5afNfWP0rwHpb9qxxzj1SKerhEd066G5KhzQugZQzTDcJjOMdwRMQloK4SzE2FfhDsNvpT7OXI95
/ZgUf4Nof3lX1yOaD4mysZyY1qUZyE2d+Cfd8RPZUXPHHgpMsGQPZWGj+0Ec1Kst1sWvT93ZtizE
So+MoJ9xVYtZ7LccBJqu4vmgB++/0T/pIfMAMDy2TvU3qm22cRNXjecMhoekgTZnnj7fDbxOw9z3
Idgk15bW2H7pjsYW4ufXqaB5eQspkmlRSBPqWg0pEcDp61sWjE5qOP1Uu2rlFkG+C8ZDiQcFrKjV
PV0+0tWLspAtZRGyFIxthQLZQUOvxgRC1PJcKOGhCrl3WdSqAViIkk4xTTI1KgKIypT+oKTTAaO2
dpmaTs4TGzr+fFnc1tnNvy/sGpiSijbJIE6zvhfafT7G9ia+0dbuzb8vZLAEiLtinHevCmHP7tPG
C4yTOW24udWlAMUdeNMg6+AyWk3d6I0wYxWmM7tKFLcqfqOv9PJurftvMJYDe5aBCVfOM5Yo1aYm
QSjCmhfkAk8oHlduP32flPoa7WW7bipeM+0pzvLHy5JXvd1CsGSqwxp0T/ns7UJ9X1ulk08wJI1v
9+iWBzbQLuJbqLCririQKBntlJnhyM3Zv6oFswdi7CPzO0BN77VScVK6xVe7GuR9iOPSYKHIVCG6
2cFGjQLeqeBnN6dyL2/ilgzJUGUVQCzT+dFOcWoIZwHfjezVhpBVbV8sRLJTY9Iw2tYQgnS0C4go
ZBeJucNUJmKGfMuDf2Uomq2iCW03MUyhf+HaLWughZMR21ZGXj4dwvwu8r/79ZkGT42OrNn4Qtix
je4KcazF98vbuf4qWAiXLnbfN3kWthBOk13Mrii5DvgLi7xxsMEnL8ozmvHNbsPbrPpztD6DwUud
hx0lizWVhVHnIYRmSvoyCO1gArmkJ2RXMGrXNbcLtMaDsW//Xxa7kCstdqiFOSDriTxFeJ5GFJ84
D2zfHHdD/s0AZ7o2fstE6+TmNxZvpWXWd3ohXAoL2zrRjWkO4Zu4sxV6nWc3BvsN5gA3NE5AvC59
N6g8f+tNv6rLC7GS1VGCKbBEB7EKwaCieV8CPpH55V4zvl3e3VXbvRAkGRugrPVVIyBIAAJ2xAvI
VLI9jf9LetD6EPNu3heeKGpYNICEBmIGy7fLHnl5fbIVv7Q1DKtdXtLWmb3/vhAmYhoUcQlhEfmr
FQDbcvzg6Afw5ihMj/1ebfdDbXe4IxuC108NzMcquo4x6i6ZuTxNg8YIEPE26GAKOt+JwYlNI+WA
4UJbr3KPAKwY4wpHqkY7io3GwPVjgi7gxPo26n+KtD1ufNEs8csL3vr4IskmFlWqTGPV4QFQ3GOq
pO9uZ36oUpwYBvcM/aAgwc+bnRVsBFPvE/aXBEuBW50UFGA32Iqp/F4F+gEDe/Yw8FvgSTtIdu4K
JbC16B4zcKfOHBw1Uo9MpEddfdQTcbKY/1TyX735PasJ5n0I1EScOkAM2j0RhybX/tRJtQsCwA3l
mmp3QAeygc3p9KXxcHkLV73xYgelsBCN6zEbGRaSdHddcwyi3yXRgMLrBsO4cVrrBvbjsCQDW4H+
2cIgOVwKuWrIY+0PB7W415pbijeFYqBW8HR5beuX/0OgZFmDSk047aEdBfVtXHqvVjUHvG67y2L+
HxfyQ45sRDOa610334v01jR2pQlgldQOVKevjnEMKubW7Sa71zZT3LOWfdZCps5DxcwEkCISktKO
FlaN9KeKALgIz7UfHnx64tB4PF/a6FeMXMwQOV12HlK3asEi3G8Y15UHKeQDRAakocD4N+SqCFgv
9VqfX4ZB2dgWyIbGfaxe0ZC4fmm6KVDFjfyuUp0qyZypfmBA50zErTputRR/VeLP3yG5E6I0VStK
fAcQpYs9MgK9HYEqxqVZdevnEbCUiDHuL5/6V+WCTIxkIcE0txRTyQL0EwFEO9MRjlk3CfWC8ine
gseeP/vL8c6U1KCHwxGbkl51U43a3ciRG+JoQOiCg8ryXWtS9EsL4lr+uRbjVjPC2rJmaCCgxprI
OctwNgoBvklPsaxhvOFVZqfjPhj+XN66r+EyPMhChnQvB24FJAgoHlTCMRWoDWaXLkvYWoW0cwC9
TfxhPpwU/aFILI83ZfJ6WcT8kfLhLBch6VyLzIClACsdky63CnhKE3/Hg3OzhQ22JUYKYHqchzZf
M/BEXuvDW96/+Om9qW+M16+fCCrjyLKgDV6eVkpH3gdjghNpSQ/etX3cbBz5+jL+V4A8q+SHozmq
MQQU42NVzcVg4T+Szt84968uBpoF4BDgeYCrAYTuOLRFaBQYIafWvFuAWtdBDWpSGN6p8NkbAKiy
F7BoxG8TLZqnyY8EJoeS2N94RZDVrXynwQSBhQEU38+fMEUgZBynoHGqfX5THvxj8IMFNsbC0+Mu
+Ya5BoffXE1v+qPh9q+mjUy2U50BL3lZO1eKZtgJ0IwDcWT2D3JXpl7qEw8KIMtTIGSeBjf8wb+3
+8Lz7fSMyaJsZz0pxYbQ9aV/yCSfl24qHRWlBTY4uCPePZF/rzd+XpN0ulWjRFrk4+8L/VwVHree
rci9vG+rhmOxbfMSFwqUhlavUBMiuHmjsGOAzjZab9SEVu8C8KsNYDvPCR/pSndmOKk8goy0rJwg
+4nn5ZBHdm3uL69lTQ6gyUBWCarD+VJ8XosatwO0PG6ctuPJwZzi7jHxAf8JeO6W/Bpikf/zBDGu
HFK1gK1TMbWMF8JniXjRx3pTKTXQh3OEtH8DrtpRDq0HhSqjw8vl9a2pG9i2wReG2WjAe0n7iHpY
2estbAod8kNqcrx6/pnncF4QoLFRBgJoNMBVPi/ImNB0m3J4YA0NUBlQ6hg6HTU71X/T5vHyat6P
XXYoAPtG4gETMObX46qLKEnqBtp9tLzmFQAg7pDbw2t/Ezu+sMlv89jvpxtuP2fX/Ha8G2+/o9zt
WZ5h63YDcu7L37O2u8vPkS5z2U/qJAp8znyIA3iW1fHbZQnvQByXVizd5zBPdeI3EKHv2Y1/nR/U
O0wXecZNemq/K253Kq65nRxAXuGl52zXbEH3rV2Q5RIldW1IXaKGA/kUPCdJcjbDGz9XANRhOJdX
uiZI0zmUFdcCXG2SGmUR7dWcQlMJqFvb8piC6xQ8GOk/jy5AXVHHBuOzBb5MKsN0DQaYRerJQBZZ
/DC7zjZ9sAzw+8uLmR2YfGpLIZJicGEoZTMLoTAq4d3UPyYduEwSu23r/+JQFuuRFCQPfC2ZKESZ
/plbyS5r042TmXf+0mIkFfDJwAulg4SevqahN4S3iBW14rnmHo1e837D9K9F9DDIM1sxwiygJn22
J81QV3mEuXD0jjyBxtpWiG5X4k0Uv6nxI8yOl09q7QovpcmL862kR04I9fnRK5Nfyhb+++rmgdQJ
xhHFEUMuWsR6HPRBB3PPupcG8+bqTVwg32J9N+hrNDpl//vyetad88ww/n9Dq/n3hXPOOnVMzTm0
ijq6K5H4hsncpfrWa3JLzHybF2IqI7XSvoCYhB2pFdgw1/Ymbt/a2Syds3SLplIPlCCNGkCbvXTF
SbWeL+/VmslZ/n1J06ZYK9KO4O9rtVd0f3uQKljjoUu3Sh9r1mBGOIQsjq4ouSY9alqkchU6AIxD
rRc2I16nHs2+xoPIu7yktXNZipLUWRFZQv0S51LoSG9OsauLl9IM3f8/KZKSKR1vgqiBFFM9pVrn
WPELV7YCpfWlADGWYyIP9GTyI6EFrkxjzUshb37pgJLSacQWEdOqCvAPIdILFWwToHgUEBKCfXHS
Q5cDJySONVu0T5f3bFWSYehIRqFEyi1pOaRAthtEEA0WgiEs/zYaPF/ddVuYgytVUjzp8K7T8b6b
SYclpR7iMSQh6hVOZ1CnZMa3CNSRVJ8q2wJIJDi2nTFlB5Qu97xWXi+vce3CLmVL2meOjZ73PqrA
JJucllV3k6VtvMLX7CnwLk28HpFjN+RoMxCTyKAvc49OAJPTZp1L64C4UWuhDS5nxrGp/NglZvWS
0f6fYVjm9zJa4aCQc9Ar3+TOIL4xhfAWRoTIIcidvjDPYNDbeCCv6YqODAMoSjAOAuaDz9a1TRQw
ag4Iqbm/I0mCekHuNoFTWOX+8oGt3bGFIHn6sRzzXhRz7K6rtdbbWuU3j1kKLiskOVLciMvS1nXz
Y13ygxsp+hyETogkeDjYcajaSaR65gAnnxilHYXZjOXgGsNtW0xbcdJaWIFEJIAYkYgEn450L/RM
87UhNJH2QB6WWg9FIfZ6C6CtmLhUe2v8rfnENau/fOhJAg2rHWiTzVaf9QC9a0QALuAw80iJqcwO
1dNy4/at5NgBOcUR2oK0E4lmmbaWhR0PhtjInDzz4ZH7Q6g9lpY9ZD/YeBvGtwW95fwwoQn58rl+
1aJZLlo/wAyDh62MpKeZRkuDnuP0lJ8KBbru8BMEwRth4Uq2RgM2GqCC0VZs6FSOC3nlp4SlIWBz
iLArUB7md0N0Dyrsjh0E99T6TMh+CqnTh3td+55u1oHnA/scB2saYIpx7a1Zj+RmtjwibZKmZe5k
436gtz2zO6u1y6lzOvB2tNcWQ9bgr1lVNsJAV2P/jGVlQj4SzujUBxAvkcE5fAWQhX3TYVKLnPrw
Ny3vRfB2+SRXGr2WMuCsPlue0WA+4xVk1Ba9J6S10xaIServiMVnKyKeHgI2Jhi/R61ik1Y7FnBo
lz/h6z39/AVSRgY1lIYnJr4gB5eMhQm/ur4pRHPFm8FlfWSPYbS7LHGljwMcukiQAH9vBlx/B5Fa
BLNlosftpNHcUYpg4gcF9/W1nQJ/RtvvmwfBUDktVTAX7wkDQYjtMyMIzhqIKj3Menb6vk2oeoos
s9/CY/nqUOHAdZgt8IBRdJhINoQPXT7kOujKWcQO6DHfF+EWaeqqCGAC6njGE+MLDGbH03g0RhiN
fgqOJTEd0tXu5Q3+6s6wCgMpc+TzoL4yKr/ajiUGYhlI19MU5i8AYP65Coltia3ZvzVJYI2ahyjn
2c0v+4Wu/5gEsERh1GMeO3Bz68Ty+2CLHXFVDhJ4YL2bCejkYM5MTFrDVuFcUvVKU3+rZenVAzjE
IqZsaef8ypHNDhwWBR85BuW+VLiIohdUGPE8oHnj988Dm2xVeFqComkOYstn3l617JR2z4JvdNyt
XcWl5Pn3xb3oMlKFokpygEZdG+W1lh2JpjhMvzHEszZ5l5VkzXvNVLPAz0dd7SuAaURFkI5qniPM
oWeak4exe7K6AhX+fF9Ejd3o/bWqxmdTMU+15n+/LH5trSDZAwqdoYLa7N0wLtaKTirWAqR59i5o
xGDIJeY6eIZMgBmrr1DWqybYGkZfXzE8JhLPGOtAC9nn/VWGURd+gBUPMXsaiApabc0FmWHsxCiT
cQRkYwxyk0J3mP+WUr6lWWtXf6Z9QCsXHPcXXijdF5rRNbgteX02C7up5zepU5qot/Seae1M62D5
+0R308gZ2H6zdrsSD8Luoi8ck2cziL2ci6us0K9bEG05fXREm7jdMJAbK38FbANXvGQ8Uv8amOn/
ftIWNhvjrQDkBgHX512fwiooxexgkNOOznEDYvOBNcU1BjUepza8MSL/ZxdbzcZwwZrJsNC8illX
PFzgZj6L1fQqS0LS5A4tddBfZ7bBEZQNva1qwQYc39fIc0414K2JhxC4299bEha67Be0Uo1czWea
dOArHjDF4TZ5bVtNdTQAtXV5P9dOkUB99Xm6BQNK773xC3EtaOHb2EpzB6HP4zsFEQFWpBrvNLM8
9PVdZ6lO1/r7QPv31zsWupAsHaWSAzC0VyC59u96P3KarLKVJNjjRbXhwtYCI4iC80LLJ7I48sSL
MmKywEphH5pJP9EwsuH5z0IB+XxR7eIUDSV4T+Tmw8TF1YQ5u1rdwpBZUSDMnxCYJ4D34tJK1iKb
wpIIDEgCqfVHw65rNAUUzUMdbWUQViwh5CBRBXpMlFpkFKTWTP0adxJhrtaeKrPbIUHj8FL7rWSN
p6TDEW0Dhw0VWtXYeXYP2TEE+XLSghaGAaAKyIzDI8u9EGPnwaFKPKruMtMTk5saL0w5Z9aeRM/A
2525VZhx2/4z7gPiatWce3rhvSlYAj5f0la3BqGM+I5IuGl8oPqTwa7NCl184spKtqAFV0/0Q5o8
8NsNYxlGJex/BnizRn0pa4EJGWoXWyZvbXsJiLSwsRRRhAxn4Sdk7Nt2ykE3iHSaEoKipH3ItOJK
6PHDYFUb1Y/VywLjgz59PAzRHy3Zulod1JBSLcdgA5odtQLgfvu4VW1aXGfAySl2fvjgZ99CM3TU
8OmyLq04NUzBfMiWksbgytLUKiWQDXJstDCcNdFsqOvKexfQlUBH5DNJ6ReOHKAlF8L0AeCaKObO
jFqHqSOiwPB4eSVrL16UbtFmjZQT6qpySYy1wC6gzQjzVln5IQwEtSeaBvepGVgueGWTg2jz68jg
EK4Hbj3SyBbBiMAwYM/AR2qOXZ6OG5ZwRZewuSr+ExWHK1/VpKhpOhp4LOVx3XIHjyD/bIp4ylyL
JIjtjUqPr5jiR8WG4PnuSXEwqtgI0cCGjHS53B7Dw5iDlBhMd1WwI9VNz0vQmnLHAO5yYv5Ma7fZ
mn1d0+NPIiU9DtvM6rthJtcDHlFZYLRYRQ4/Rd9ufIcRBjsXjbAR2aDlnqiHxLKc3icbeY+VCrCG
e4R/gORUUdeZtXHhXtMRQVrU4jJVqE90iWb34JYq2VunN1dUTR0/hsOjP60Q3fesOtC2cgAG5YXp
XWVyL2aYCQtzO+LhlW/ygyCKPRRbPQDrqorp4DljyZEikZwTCJWjYLRw67IOPHnRqY1fIx/dxa5f
B88RLY40fNVq3Sa8fyJpso+iCmj+/978gsYmEM3h0JCpYbLrwgXQwnhC4BPqClL6VBu8iqWZo9fV
xtNozQTAU80IMAzP8vfQfnEomlGXSTunDCJKPFMTXt0lO54YG5ZmzUNg5JtpICOx8DKR/NGg6krE
KpCemILAiHph/Bbm+Z5udTSuaTqmePHKpOAuA9WTpGTZGDLg4M18IKXvg/Ub6Kx7plYNAjele+7M
0XjRWk3zUmEU59qotbPJK+2KZkXnlJoVbHiQlXXP+UuCVBsi5i8xOt5iXRVNVeYkQJUMk3BnKdV1
o6BohhmTDSs7p7Qku4JIB5k1FBTQDyB3c4LLhuhsxjKsK7sLz37+1ip/SbNDgZaRQ5kdki0T+g76
cEnkvPyF9oRRm6ORHSJHR3OrFyREHn4BWwNvW/DgCTuz707ij3LXOoabbpiTlZ39tNrZvC9EjwJA
9dbM5RRl30vVSUiCXOptr2/Nva+4iU9ypNyBn/pqXreQo5Bkr2BqLbaAJjLUR7AhAcZTbDiHtaB1
eYjSRel1EQ5hjx1NmtepAgJT8diHDyoaVdCVk1v7DZ15D82+nOA8bgucG8CDyV5witLIyHSEbsis
Ga2TVsNQHeqyNusdLAM/VQ0p9V1gGdZ+BKHQN7WoCOC8rFE/NUbaARKu0IY9WsGAOtki/xbs6TSO
92TMVcPRJ11P7mBky0PRZ9TwQj8efsbakHOHjYG+E1MAax+YQXxVl6D5dUklQKxT8i4Xu4Ep1SlR
c2UXzrdTz4iPmcFW1d6sRq09Uvfx6KqppYRuJ6IM2ByDb94wpYyYDbqc4k4PqPqECYfklampqYLq
wkQ1xqrVQHVoqPnEFnkTHdu01/EcGq3Y1QxR4RvM9qYzfHQCJKoS/NSqsHCRTK8e9RJQau7Ylv2u
jRr1B2Uz/TFVQ46yVhoIvmeiJKegB7OL3RR9A1CBumfiUKdKeixgXiabagl143pSPaskvWo3SUsm
2yoGC0m3AeMsGFwYu1MfC6t1yiAy33IgJWLs2rD+xkGhHVPdCg9IPo2ulfiCo5tAy12QUHTYtxyb
bAd1NEYuYOxbR40bwPEzQWAA+5Tw+Dr0W9HaAAtlf1PLb35qYTOaThzU1e+21rLHHGDGvs3K0XQb
U7H+Jgyb+mDkRnADUEM1woh9kut2T6czbaZy11UxcOQ0xJBZb5mHLkOXjYNWsmPatNFpAnHzEVlT
clSbwfxZDkUf2iQT4F6rauiVUg16dmIMrLjXGcvNHVG6MHCrpM2uQCPjX6ukUCpvzDQjcGOiKtdp
C421x5zkr6Qa/cz2QdpCnWqcytLtgQSe3xdDJK54NeooGxdTOdnZUJYzcnZesx06IYN9JPoaHZ8g
+6XVEE52WYItyyZ6TrS7gnVZsWt7rQ2uMWqgn4ee1DsdL6pfnTWWB4vzjNkF9GGrPWnVdyFDbul4
ukF1ZBCjqmqgMyno9dBlgXnPgyivSf89Dm9QV8wiT8//Anhx1M98c+p5TfTcjYgJUAvOU5NzSXnX
WGUdI+xpQnauu+6GBW8xwA9ZXBwIxI19t89Jf1UC8QAIPXZD8w1TtGL4AMuiceTuZzh9uSiVKeqU
CgTGTquArsw5sHPbU9xFFShSW00/KzZd1wELh8Bq7sCU85WakrBaa8ATA04yzm+KlDth7Y3+k6+H
/56km1HhVNRjAK8HE/vZTRVjD2NZBoXj1xS50ZLmJ00d2sQOp5KlmL0CnsQUaHFmTy3v+42YYMVJ
fgo/JOeVKB3RFUx2gLav9MySuQo2uBliJ9A3Kv0rx4cWRLQiAnEazkAO7vVhtCpz7DO0a2U7P2WF
S5T8URn6XWSkOzNRAOSSb8SuKy/kTzLn1S9CACOIOKa9ITPBDFBW6QjTHy/7x5XoGBy/iMPxGEBJ
SR6V8AsrpPVYo+DDMFSWJXYM9iLf/HFZyurefUiRH4SZiNpu6luMTbUWXKnyLYytmzDjjmIkeyOg
hy74Z2D8OVuvYlYAl43qyAF83rpGH+tw6qGWFKBLtdoivAA5ebhF17GifxgusjQ2t24DZEcWg7qD
WYgCQZrW7CrmRYIijnoytvJCa29LzHfgsYQrhnBNth4jHwq9CEKQKuISvZZoHkDmfZwy5jRdgtmH
HvMRAPOL4nGyeU99bmNsI/zhdy24LBPMXp6zQDOuRN1Zngi42Pl+EVyJsFd2Gk0ACVTUPPbduOlR
rE84qJFI1Yl4w1isZQYW6ianm/Km0Dg69zE1Il54cmf6f8lwDOvdlNyJ9JF3fy7r3crpLLXbkDJM
URMSNZzFCf/aBO93vpuqb3QLuHf1li60W3pRhwyJbX3W7spAEq2PkNuJhb7xGlh5t8Nrzg1NJkfJ
7Qty2kjIYLEeIzAq2lGLXR+fksLLw28IUWrxHDCv0R/H8ojwjar3+tbb66tD+Sxd2slYF5SWwzzl
EVBHqG8VCJIQaNh+rn7Li253+dy2pEk7OlmJSOIaa22tO03/Q7vIMbPOVtOr4T8UbbEysNi+Wz/6
BQ9FjwrSmfMYDhvLG1YqZzUVdt8Ed2UknDj1v+cZariN9tDH/q1JQ9uMXy+vdrYRn18on79A8mF5
ijBUi7HaCE0EO9PsNcyWVppjaPBnl0WtbuxisdLji+ugclEzLLYN2RVqIvuCspNudXZMEkekb5el
rS8MSWwVLRG6Kg+VqsEkkgzxt8PKIx3cKd/l/uGyiPUFfYiY7+bCQyaArfeVASK0eN8Phl3EkzNl
57g7RPG3y6LWbyBYC/9nOfNyF7Jmhj8yaGhCHk8pnOS1tq+vzbf6QO7gN9mJesl9tLG8lfm7WTcQ
4APbGtHHF9AobYi1LoTM5qndRS7iUq/QHIzjh87kGbsZiBzUrHug3Jz4DX44Q3ev9LtNHOr38aOv
SvrxIZIBKGOoZQ9oN4fdJs63+CoRNoJK0rjmGUUDzLT8jN2itJWn7Fk/io2K7Nf44fMuSPZA7TUt
rBhOeUy8qndU/arxHUrwbH4o+Fbz1soc+Gdpkk7lQxVbfT7v+b5w8R45vNaD03mRaz1oD81O2MZ4
2PIh68o1E4oS5I4RX0oJbOxu2YO8tAHHLbfrrt/lmJLG6w5T6N01onmb5fUN4cGOA4U50Yidk9ht
2W8Q9h0v6/nqlVp8iXTSQgDaf+rQLdYOP3h/Ta3MMdEIzYHgJPaXRa1r1UKWdLChWcSFBiwgh56y
8/Wc1ruL7hqPP1VXmCjitu6E+/ZNce+j01ZPxdYypVNWSW81XEC0YmDaH4VTdHO4VdXaUfdH9NTe
WOnX3CWUarFSyXgUURaarIC4UUFDKQOT87EyvBS4VBp9svhdCMS5sNxdlvo1/pmFoncCjZhoRJQT
pspE8N6sINRvY3sc6weTA1kkv9OA93xZ0qqpX0iav2RhGxkra1pRSArQohwWe9EptmpsmIF1IfMs
GJ60QFmVvBdagpsYiS5keprKHcxiH2HKVKj/3gQ379r/inlHS1msJa4HZYoNiBlQ/VDczL+La7e3
NgK69bP5kCJfeDZQMSQZdiz22Pi3se6izA2sLbi3LTHSbTYLIxs1DQeDMKc5qnX4W+my8iWLoz9a
p4v/pHAfi5Luc5o0phUDtBKlrr983FnhE69PaPO4rGzz1fzii2Y4epRbCEjWZj1ZHBAzatMSIwx0
Egh9RwsO3J4x3DIQqzu3kDL/vpASDsB0KhLYQUz7u2lrHkjmpEjQsjTeWM+qe7PwrsMlRZeXPHmW
JykwG2eLyw28V4mjtI6f/pyHVa1bRYTu5d3bkiaFmxNtBSb6oBFD1VzpPp5+ZVGHdtFpzR6NHyOe
j2BxTy1rq/1ofUM/lildX/DU4SUdYJnV+Fikmh22lp1Nh4TozuUVzn9I1g8NrfWWibATHeCz6V+c
HDW6tslCXK3M9G1gWu/yPLRHouxibbRVQGGmJuq/euJdFru2sZo6Zxsoyu26PHJShjSItQrK3ww3
Vop2xMdAOwbpL1GMdhVtTeGuNHPp4DP8ECc5sDxrSKd2EAfSbuDK3RhAVcpVz9fvWP8chvu0dbL4
P+jOUqZ087oCjRZJApkB2uMMesyqBC15NwhLVOPerDai3/fa7NeDNEwMLKBZDWbl80Giw2am9Mgb
xwqfmerozaFWjnEW2JF+1tC6ZgFrwHTR4r3hzVbjkrkh5n8Ey3e/L32uFBDc+dlZrX5E5s+8eC4x
IqIkk2uWuB+6chwblIR4gYx55YKMA/OI+qEWoKABB41fRK6a6Xuu0A3tnhd9aVMk7W7KOsB4AbR7
Am4Z8R8y/hoNGzLWgiN02mNCBAN37EvXdFVV3K9GyFBEU9mjBe6lWvSdDeiFdje22Q161Lf4zbXV
+7MQKhmmLgVAwRCAa3E08ucIFAqGaN0iA7hzmKOfnzkdUjdR+b1QwytUd/R4uqbaMypYtm50bsZG
F8Nz58rP/pMaLj5MMlwqD9qhU7EbOpKjtfJCWq/rUGz+TdEFm/W7oLg20lO3hQe3etCoVKB8iJLJ
l9J6FiHhEoFl0xmHDD10jUfMwKuzYmt5a6EpyoWgnQPUBUJFyWmj4T9Ftx8udVeNgJpJnIl1u8Yw
HNZYiE7JExW5iyr4/TiJDdlrnnwpWrJhtAeNlDXbsJZ3p7Asjxjn21Dl9V38WJ1kQ7KeoHwf4/Cs
ZgBHOoUJiVHd0v6TyVjsomQyMFSlkggVZKes7MaNvfrQ/g091HPPlZd5menckUfTtno7cVpvfLjs
erYWOd/nhccrsiboEx+LDGNQG1nRLuH1rh+3WhJWHetijdINNdADbtSzYzXR/DntzfzBguuJz1Hr
VqrXxhu9JVurku9dYwGGcd7SRHPr/przMx/eLm/chgLKeLpR5PdWMYfHSv406LebQeTq30dpAM2B
oLyALf18MHoNvAdzmpeQ3TYVZvy8y9+/ajMpQ15YtXQTrBOf/z5Pu9xIatiIBvMWfYwXsxY9suKJ
08KreHLVDfWvyxLnv/jF/SwkSjpQplwtLQKJfDzyHM/Zu1LxWP7mNxsPpNXTXwiSTr+31CAGJRkQ
ZMzbFohTtAWV3Nas6epqGMF7ElA/6NyS9i/uJyWiegkD1MO9pclwVFH+B3D5qzqW6CBXN85rLQbG
BMU8RoHOSPSLfT4v2qIMladoVhCmV9MXU3O5td9sh1zVCnRGI/TFrIgmj14ruZ8GeOrPr/HErRrg
BybgA5qBfwIvE+i836ptr27jh0CZSVE0eRECZQLGLz+Y5Kaqdk3+RzWfNH78D9q3ECS9mgPFLIOh
nFcGLmreuGMFDIBfRHOsaYMr8X3WTVZ0wMehYo+S/QyN+PmoUrT6BOMMtqtktnDUEz9xB41Aox16
6O604yO77vc30en7ne9aTvv6WF+1bnLFDuX/Ie28duRGlm79RATozS3JMu2d1GrphpBaGnrv+fT/
Rx1gVMXmKWK0gX2nPR2VycjIyIgVa+0zmy130AjcOBIfJU1NEqs/v0mdr/LTOA//b6XoNUStD2/C
zr9Wjs1N/pR8Ue6Km+k++hJeTbunWLS1x/LGd0ef5HzjOl0tVCo6XA9wvjD2vqxIx1WBwK8FPSh0
h+q1chjcwO0LG1j8jr7XI8DRQ7DBJLCCwmPZJzbl82WPiddV+sxP+8OfHOl2+CI+jo/iW+l+BfDr
As2zKze4Vm/Y9aO24XErghHnxhfpUW8pkWUhmkLZPz+qh3znjU58EJx+3z9qB56xt8m9ud9SuF59
gpyueZEa+TxvvSLGrHCc3HKn2fl1HNuWU7/flp/UB9MWXP3OcEUX5ONGkFrtOpzaXkSpZix7cVTY
b+VB2k/2q/Ew7H8863a7113pWnwUHyxHOajuaMdfXto9GXq05WZrIez0JyzSqS6DlVn3+Akwh0m4
WLN7nuxhLzi/j162T9+Kg3Gt7Cz3coBZ3/cZNACW36DdvvjcQ6eOtd+x74Yd4Vo19f7W7t6UPWRe
+9ApbqIR2GdUOuneQzhrI41cyxeUE+vLr14nVmmYWPdk1Va7nUxH+fIC1yyojNyCjjDQWFoO5xdC
EuLOA6RNSeRMRQLv9v6yhdUtVIFfQK4KyOvDoLKUJX0UipigoC+55ZEg3fzAc27es9fC/uVf+Z9G
O7hqneTV3NrAtQv21PbCb9RaUibJw7YVdygvw0joBpQOhC3g0f9nkXgI0CeEJ5ej0npXVXE5YUhp
7endsuGNeki/+3bsaE+0AysndDon/0qBhOHQw2ZUWsuOIN361/zCUfoyDFPIn9nj0dbeh7f4Dpy+
gtg0bXIbvON3xOSc9OHnxqddeyvCicCKVTgkGME9j8RR00UePIVsr/RqJPTCf+nGbRd/iuXXSHOD
+Lrb6pys3nmnJudIcXLnGaHSA4LCJLIo8VN3lGzjIXOzm+IqPsLsoCu2dA+RYedEdvgyvEY7n/v6
Mx2ry0ufr/tFOgD1qAL6ixrtPEhw/jO8qk6DoQQNO+ifQRNbKSQdB2qKpkmAKB/Mrcx05QNT2dbB
+MNgAV/jwp4sj2amS3BqimXaHQDPgqXzoo6HULIlxbQSEkzYSOhsU+/SPijHJWERdqpYVw6zjHuz
GL+jvb2RTa2u5sTE4iNmYUeqrWFCqku7ySe36R+68XD5E62cfZMESYRLiUMJ8dD5J9LLNlLCAiOT
QinUj3cty4n3YDgu21krvWJoZjXizcDAz+J+9KVUqYW2qZxeuh5IDwHDdOpB8WxfQBD6ykzuiuDl
ss21b0R/jWPHoCdaUYu1+eBUorhjYqg2033mFVeJUW3F7flvLFycZf2xsUizJi3QsyTGRlxUTiru
eH5DUMO4ubKvGndiQHByg2Yf+P+9r4egNizd8ywQD5bFlVtYWRFCyVEhCnnveb/C4SVv/7m8fauu
AWuIxDcDPbWszYtDPmZj11VOU3wqLWRElXcjibhhXy/bWfNzoM3/2lmE5SALtTRtsJMXTqzcq+29
tEW7sgJlVphlgokAqcIZ5bvwPsEIk8ETZ+9L86cp8qBBjvPXalLm8UbVP47+NB0qschucym4qizl
q9WPiZtNfvp8ebW/G8gfPIapYmh/LeApy22V1EzxJCCjTpcMfmLXllG/9nngPxrJULyPaoZKa9QX
RkqHXYtdaKXM+yAOdC5NIS4dAlp25I/nhyw2hsQuyUtuB7PuDVRldT8HQzw9+pZPa1woBmR7GvTE
4ID7rMERXNlJD/+VLcLV9JgNqvYTfmPrSzMyTSkOIwLNVi8VbqCG7RNjGRIOXCHQhIhA0MjRQ97O
JSuvGE1bLrtwn8dj/k/PTLFvo8Ar7nx4jR6lrOTlXEqtfC23rRlu3CkrqM4ZOzqT4nOhQjeweGP2
QjONZjVWoDoFx8w/s8U7Riv2kzUda1NC6Vq5Jpf64Wv/iGXzgqS4HcjRFy4M9AgSOwCqllXfIFKB
17k/FrlEN63b4ChYcWm0YOBBoDyMvy27rQm66mKp8Y2RlrvpQUbk+XA9GF8uu9LK9XpmZT7AJ7d8
OJlZq4lYseqiv1cZkglsdMoUmH30cLoSszp+jkXr4Bte6hRD/3jZ/MoiOVMoh1AzET9mc7Ko5r5o
cm6BYN4mUnUQhezW8/2/uAb51CZTwozLwRd3vkpt8FO9YFzOCVrjoRA7dwTqCJl0sFEoWLuhGLKi
YwbYz2TWcxFSp1LqO6aXiHfWqO+sNqE7NTKHWxpd+VL5JI2Tn8uOnEBdgnxZtpPbzP90eU9XYi7F
J1IlbmJmHpY8GiXK32VTzHGKfKlr/6ngJVYZUPH++d/sLK6tKocHTzEqcgsG2Cy9vBU17zVKzOve
mgLnsq35Ay0CHovhzmeMBB3HJYA58IYCJjzctMopFyovURHbkbXvYPvxtzQ51vbv1NZiXaoX8BYd
sSVY1xZqjkFzJ/q3iSFcXV7Tqh36SyT0M63Ock1RB3poQujICQPZfBplUmdNqKV/LL0N7EnXss+X
7a2kMnBC0lwkjhKolxMj2RCHUzpfGlbq04bvn9N+q1C2cpzPTMxLPokmXaOW1oieIhJDDBsp0t6S
RqbO678IjTMvDf9DU5RQfm7GD00pH+fjrFY/KqaXB+8lEn5d3q0VzjP+8ImRhRswdacx78Z2oV49
912gKxnit0y8kqTPSnLQzAHsBpCo+xYSoC3fWCnDYJw3jwhJDaRjixVOgZBkccIKJ722DfXYI+HW
+/cxxdDArbtg40JcuwUk8moYhmRxnm8+39C0K4VmrGaXL/orL1IP0jB8A1Nxk/vdrQq7mjipV5qy
Jf2z5pEyjBtwmkOnQrg8N1t4vhDrNauMhvrQyPk9nKL/PfJzv/0xsUgMky5KFX12FU0MnzoxfWZE
j1m0yb3sLWuOz9eSiE7kY4yknK+E2lU8GW1GLKwsANfTXi4mVHzHDTPGml/wAiIb0FRAAssdKw0q
srKaV04bSGWOJBofzK48rWdeNa60fRdo+t7syuHFbIvuvkiS2E3k0uP/JPAj7VBkLNM2xKCWGQpt
SsNuhip3Ra0SRqdijOVRExLlTqAAuksmuTgUNcM8tieKw63XGdO1GnnoGk5yBMOC5ZVfGs9iCiuQ
UujH9Ca87etqerLUvvhUR9Z03YF1c7ummEybuokR2PnU8J8qRRFFDs+FVLPhSe7eFS3xux3Dl/lR
yCQL3bDAezR7mEAdeI/7faIOUMkVandQysGKbLk2ae8GwWPVKeFelErvSsi8qzgX5CtD0HZSMSn7
rECvaeoLC5iaNT5YsjgdVE1Qb7WS15YdJG2e7pQsZm5j0KG0SQdVOY5TPb2OlS6ldm9EzPrCKsQk
DzMYnj1GWbIztaD7NCSDdGjLNP4q+KHEEG2ogzkSPIBPlx1rNaOYB5Dmor82k+mde5ZsCXWWGDwM
Z0LT29Ari/u2r5orBnDUV6BtXmRXWTu4hTCY94i+Rpk9gF3eOEZrdxW0c9RhSC0ggFwEQ1hcIzET
+BVNJNr52Dlq/6KYu7HeyAfX7vlTO4uIwAYq4zArmphwmBjTPmd2eqIO3790nbmxtVtrWoSGDJRh
18TkLyKzp62F7jXD8emu/O9KLYDhJKZCdR5bAMcWX7D1rUZBJIJndhO4eeZW2l2hmrYhHf+zq0hc
WTxMZUCNYNkXC7K6MNPEtiqcgm5ZE0x4eMYp/hYoGVpf3/qUvNNNVWkjKH2Mfedm538/ufTjOkvl
KsJsq/W7Iv2kjOMhaTeMzL/9PAGEsX8O4yb04EDhFkaaRKnHToR+o9MCqgjBQ+y3G763ZWKRvEh5
xVivj4k0paE/esETL6+NydKVvWImUoLmk+fIzCl4vldVKRod8izQlYjFc1YL330voVBWPF12hY/3
Obt1YmZxXNswqfTGxAx9hiJ5yBtgkeEd8uOJtVO6L6l+uGzv47Gd7bEkC7wgoP3F10lL+u6pBs9Q
M+LiefMQTcauGdRrufFcA/W3vzCHuA3VU4Z0KA+f72I06aXeSlBnePDnSVOy00rdlQvaHUpwV/z3
XIzFnVhb+EXZDYNARC2cSniYkCSQ5Z91fNdo+wDOzWxr4nTt00kIhM/oP8sAf3m+NjUO5SnoJ6zp
v1RjZxmHof8niT5ZveeW7c9B3Zq7Wft2PFd12LoosX8IT6oywIToUxUKw2Gn5V4BBb462G0c0Wo2
RiBi7Y/Ln2/tEAAit2AqhoIW4PX5Eqnn51ZuFLBq5oxhoHcKUf1BhphiI8CvrWxumMz4Ep1hroUd
cxyNkLOWOVmN9PlN7cHwP+yCCoaGLRjauql/qbeW89xU4yRtSpiHN6q3XOSKDD+PemAX3nHcYuBb
M3U6yzuHsZNwm0OKJ/UWY69q09jycJTan5X6pIXvura7/J0+XpCgIAE7QyYGuRqdinNLbdQ2hpQz
xtvBmBaJjauER12yLe/1sp2PSe25ncWKotpqDUViRco8lt7G72aB6qkU7ePE+qohR1rE8Uas3zK5
cA0j67VomjA5c/hXnhsEz/XoO3Cextp70P13CP68QqpcAMZkE4Tz+U6Ofm0mpLGQGNCpSMjLoenu
wict3uL3WnUOXnHo9SnSXBs+NzR53SiLKYbq5IuW3gnJvkJvPLN2Jfwof/HVTkwt7pgMYhljUDA1
Mrsby7actrskufbh+gCaqG2Rbq7dzrBq/LuyhTMqoRKIVjVvoVju48C78ft+K4Fa9YoTGwtHRLcv
DdV23r3xW6Y/j5KTB4NtjtdNdF1N+7hHbsJm/LuJjgKytHr4ubee9eZx1GPwyZ8u7+9KvwGnOfk1
Cx+FTD/PRZVfU3VOW91AdWgjmWB3gB8K/cYimsninmw1yHbt5oTg7CjLfIvSA3ORvDVnVZ5zRxL0
MvbNesy4YuWvsQJzStnfCxSmTCk+jMyoTBmzYNW3zEqYYfHSrU+xap9uogZfHi2XZW+qgzCyD4Up
c1qwbIrS8X5N7Kz9LOqdrabKUVDp/aXed1Wv3lRxIzqsgK3m4guFXEhO5wrqYvW5Mosdmqy+67/0
me56cuWOZuqQHr56Fk/MHHFuJMnNcdj5WvwGG9HO05vbKt2c8FsLwqc/ZXHMUBtQhqRhIzLLLvxg
J1q/SHLEckuMfGXo43zNiwPWmKlYhD2GSqahkvhVYfJKLOw6/6R3rStkh5KRpflBHGy1+FfeuLNp
wJnUNID+LNGgltjEHYXDDPYY5FYL+HR/KuJTKu2iQdvF0UMw3qd/QVB/ZnOOBSfX6KRystoSmyXE
VOVODkclcfUo7WHVDYevnVX0z5cP9Fps/rNKCrDnFrupQgVBwuI4tE7uldzcxl0WvqQWpY1pq1S0
Gj7mAiJU2opKc3lR00tQ/M1bUeRvB6YdTI4oPmlqYhfGJ1P/Afl/kgOpVN9y76HNNk7vus/+a3pJ
28sgpxaj1IvcSTnse5mRqNZNFYbn460YKa6EKVPGe5B0QT9uyWxlVMyMVjKW0hwt4D2DFLJ/h/a0
LSnXSeQasBJ0G4tbPygnNheeY0xIREk5NnUy1tjYJyLcM1C8RntBu9HLw4SGs+CG0vfL7rNSkGad
J3YXHzTsTKFNJOxmaedU1lXV3Gs6gdBp+luo4UWhcXlMBvm+lW1P/+8DrVgHbgVcRSHPVRa3kUQt
HApzSsFJXn1u++gp7HunD14TYevumf/S8uo5tTR718nJbIYuEYceS7mXuEUQuApt4kLIdpf3c81J
qZawo8qszbqseedSN8AALLEgAR0VI6IsafrEnExVv8XSli7WqjWI2Od5AZQ1l45qllUqCTQ3YSma
+xUKVPOBkwrlk6e2zuWFre2fdWJq4Z9KISc+uoCw7whp5aKlC92gGeluoWuHy5ZWKBtg5joxtXBJ
Q8uCrksxlWc3tfxNth51ypNIRhXv8eQq0zdRepW8o9x9yeNnifHMLaKOtZh68gN+I5hPfAUCPr2G
TpA0If+ZpteieSupkNbIj2m4hTyct23plqemluG79NTaQmrDQRv1nzh4jbPQzvWOwiuOA7V9h5Lp
5e1ds/jnwuB9fn4QgilEfXG+MDT1ZyTcxIUtwNUZDGiR3UXJ1gFfc5s/1oin59Y8qRwjuhY8YbP8
OswRfKzhJ7Z+XV7TmhWQRpw4OuQaiLFzK0KkC3HNdKcTZNoV0guf2yJwy+4vZG6QIfhjZpE1KWYA
55iKGbLImyZX9xMmwkE7Qny+gZJf+UpI3qnMK0COACRnuaKQma/fLmhYPU0TT7XcXkzpVPvGYwQj
r6tVA9wlXV1t5BMrLyI6djSJgcVQGV2WN7Ki1YM0DXJHy0PhWWlTw0nBMG844exkC7eHZI3KNRAU
5tOX4xhTqTA4o/AwTstXvXXF8Bams9r7ZoKQZiQZRbyNVsMKCp5WpKJTBGO+ilng2YVOznSZdzAL
ljNHNZIrSufbSdvZ7WTQZdEcq9eOljztQnDasSZcKS24VMPfaU14aCZ6IX4Pw13venq/m3Tjk5hL
4IoSqMfjfUQzocgsJ4bC5bJXr/gAWikqTHGzpgh39PlPnmLqCYkAA7lgkCYDqDJ3CBOW7VdfKWE8
37C2li/rlHdBQtA5heBpERjgQ/RreTZnpA+V/6NXSruXX3XtyZiOUr/rWxS6Ni6VlUBLes5cE0U7
ypJLeD4UqnAXTNB5J1rjhj7ULYz3Q91q3pZquLG+lbsSBwDepM5NTupP57s5Dn0CoSvLy+raLTzy
1QgdxJ9p8/SfvxrzNEw7MG1N82z57DC6TICljjUNzUGTB9sLrvz+kxzzwmyOBpH+fzM3O9GJX+dS
NYnGvIWD/zkHuipZ91H3EHifs3kE7m8eVawOVBXgMWRKlpqDaVEyticyKuj3bmIC7GvsCDReLaMq
Ydfa1ZTf5VvdyrUvZ/DZOAMchQ/tDV9utSFIemBHldsoiZMlv7LxUy9uSbKteCMl6z92FuHdTy3E
DSSCkmYeO+sa6ibaurY0OUmxSfw+v3uXAZB7iu4T8+C8UZfe6A9VpYbYMqTHQX0UBkemHCGHTtt0
tmbtDcnNi31lMiOvHMwtKsW1s45zYprmytxfmbfixGtomkd6Og6/nbQR3+Pym6Ht5e5YWMhmpvbU
HpJh41zM0erDik9MLhyVTveQ1TpfUZ8x3ZP1AunCxt21+gFPTCwiWKArY691mBDK4LbUqr3gl/uu
Cu+0OPnSBeMG0nntzXa6i8tBSVlnWNds2EWj7H9WwYORIK0a+A9UFK8LpX0RfHNvUfZt1Dfmhu3L
B3/tKX5mfZEiWLnVjAXcZk5QX8XlrowG2M2fhfan57+awW1evEjmrlI+FepGu3HtzXhmeXFQQkGW
s9HEclVGrlDp9tQEt5oePVR6/rkukv3YP6OxdhD8zo2jl1F5lbpkI5xvbv58wk5cOFZ0VHQLNj8u
fybeEyznbmM5afTQlU7SXWUTr/Uv9Ra122os0mmFE4poGS8Tl3H0xSFTsRpIbta8GPWj1++jbMOR
V25+zfhjZTkZGkdemwsaVjSVDKklV9lP0lHWvsm1XfWfLjvSSi5G2UhEiRKcEaxFi1MTGmPGiBmh
yDLReIoPevE6WsJLJWaMFuu3kSbbibaFad0wuizmMCku/T9RVSSW8+6z5t1ElBygUpPFW8MPbT3b
8JeVJ8JM1g3HFDhF8urFadFBWfnQc5NxSk9FI0OIezVuIt5WvOPMyOJgaKmeeo2CkWl4bKjjJJZT
jmS0W3nT1mIWvh8KQBWNYrZj/gjgUKxHz96cWVqJpqSfAPeoYvwW7js/YFkJnDmmVedoiaMmr/Dt
mtNu1CLKtVsfZ3XfTjLdxXosGUh/LmKq8B6m7lfZvxj+i9ZsvKnWfM7g3EIYTxLBrM/5gkzYfGTP
JFXKQdrn8ZUlfQ7yN3MYbK15n5RdRcy4fLTW1kXqbgLa1mmc/R47PIlRY6knftRjkSE8W4DmUlAR
sJ08F6j2/2ZqWbOg5xADQJtNCb0TD/FRkL8oaJZOubnVx1hfFU8oS53xR0uGM2TfvWLwNegimir5
mSGl+cMsJOGtl+vipUarXduNeeLfICWR3CbTZNzqI7LmB9BowVXcGnlum0OoNo9dlkrtLpyCsnNF
Je02Mo6VKAoNugx8Es582k2LwFZoTFQi8gFHP+1YCsZ6/agB9E7QcVJyqFWrr5e/9tqBAUI5ywSS
parW4vT7OuDIosZe0CAqk+8U6+tAAqmLj2b4F8IrgA9QQQFay5jf8pUhqFXeKvPaprKSvgxyMO5k
o7ir/GJywXncx0keHln8t8tLXHtGG4gKz7LFPG4+vNiCREE7L/ILR4NU6tXMxPEZynfpZQoHWXKU
Lmm+9roSH2U11f4ptdb6jrRft6u7lim+gZ7PlZrV2hsPFh9uuiY1n80o1pjAz9W+d/WyC4Jd1enx
Fy0QBjfVldqNoE/+x58U6h2SxLTexsFZy4UNhmGgamXSEPDIIhX3CgY2+3iGNeVfZfVOthJX058K
+UmWoUMYrmt1R0vy8j6uuOaZzfmInQQG1ZiqTjWBNgnwk0ywkKXj97muqiUJEivg7GjnX7a41n08
M7lI+Yex9wdDnU1WOzHf5+ohnQ5zD1YyYCFu7LC4snwIYt0GyoviqbBeL/+A9SXP2pZM3ZA+Lk4j
ly3IyASpIFG8K3K3bp7Nhr7ctKMXneEMl62t5ags919zywQjDsu48CS+aiQGjiIfc+t+7K7a0hFS
OJsQvPH010I8UplM9Z8wSW3ZX+khndlfXDY5cpfoBbJcf7qKYgR8vhSo0YjOGH4OlOOgvRV+tGFz
JSs4MymfO1Ufkq/K8w7L8lPQ/RInJhb/ubytK1fomYnFRV10XTINIrsaIIqYg88Qpb1Ge9VKj+kE
bRRfdnfZ4kpQNcEcElVRfGPyaLGPQi9Z/aSAXJusa6g7RQC7VvUj9A7G5jdbM8X7H64DpM+gOlh4
qFWlqjf6PUPhwjcQtdoESiPeKejKAE13Li9r5Q5FxY5BPASREU7/AMhrNOZp6gFsY0oXM7slN91F
0Xu3xf6xFt0YBOItQWwj7VlySkmdqMMCJ0FF2moGtRNDRc1FTVR4XmpGt+2xFuXAHiwxu9UFE02r
NGr7xIWYJ90owa65J7LT1JUpGzGbsQhAnR94ZjZG+E6Z3ed+fptkCuokW1SaK18RzXsAowAsiDW/
A8NJaEXK0WykKS5opNoJ4lCi/ELj1Ip/KP1GfrF2GCQKYVBv/J6aXRyGLsuCXA1nlcDSRla1GCNb
rK+rgQ7ccEjz4IqL77LXrD16qZUyh4foMxPWS0SgKVRVUUqMI2viP2J8IKW1pTa0k9TphngfW1/z
/NVXXqNsYzbqdydxUb05NbwUfRmKNhYbBcOqgPIgIkC14EbWo+Z9l5POLvt96F1b5UGbjiGsNupj
ZbyF/tcpv6+39EhXL7KTPVhGhKEZ067V+SmCwAAOzttLAIlSVxO/RwYMHtVRTm8Zbkeu2IfgFzxv
NvxFpOWlzIg0pWR6JIugZCgeYm0KoG4PufZIewgC3Rbzrxsfe+0KAdenz+Ke5CBL4i/ZaOTU02d0
Ot0IplXk7156MGdHrvbReF1FHRzD7cbSVo7PWbyYr/GT41MnjSp2ilgwPzg81dN7Hr41oB3GmH7v
tPUtV6MgbJgcWDR9wZ+eG4Ohw6/QWAUZNNW57RmC6upS9pZbxpvAeMp/j7mcVkap0LZCM32poyWG
qHybOWQ/g5l+MYumO8qhWaHqV8BE4o3V1eXvtxLvLPJztLQIQ5q8rLEGfheapQUEWowYVGrLGDSX
JDPv16hbg6wr+8guznoyGrQf1vJFFjLmZAViVTqSUhyCKttlXXc1hMaxabemJFfKuMA0EASesadQ
ys6rPvEPmPVoOtaYMqPmmBrDITC2KNvXNg50NY1PrkeYghde4QWCWOpKVjpRwzO58+ufRiC0qA4b
vy5/obXLEXlXfaZKQVKaMeDzxZSUiYqi6kvwPCCfxfYGkMjO6ryrQjQOkDLcx3J5LcXFXvLMn5dt
f7w8eJgiscZAJpQBH9rwpaXA7JCTAIitci8k5k7Kv1rDsyG/ylC42lpLjlNuEfuv3R+MxDPiCtER
/rJ869DcaKPAmEpH9sZd4027vEmupLTb62V11+sBT4DaTgXFTVPtkI1BtFGFW4kus+fQyQGDqijL
FKtqs0YpFbF0il5HvRliB0fpu3u6IcFOjYQUmYFW2l3e6TV3OrG5fAkgpMtJ6KSSnNUFE/5NJDHI
ElgWLptZO4MGK/qt58t0wCJwpozgCIYnzxMP1kHsh/dS0o7aVB2hf9lfNrX6GZGfmOeW5tHaJe4n
rKxEnTS6wHkvOxkYTrVTXR9IKfo8biyCp21LN+1eYx4cXecf/kfzi6WaA7A7v8R83Q7GLk3p+Kkh
DHqFCkgnZOaTG+Rh8IXRLiP/h6FFt55Z/dj4ESu3I3NBCiwPQDIoYC+iBMNIE9gIrXQQpHvUtain
oDPsmR79Lo3ydeQphxbEeBtYvk3M2ni/r31sphdm3WLAkEzHnQeODJoPs7IMSE9U/a6vh+fCn54F
HxbDyfp6eaFr7nti6ncMOwm441iYgIJMTDUFwndjlj5EnR44eqVuQQDWYrtJN5A+OfsK9dL5quSx
MRWGCrix6MOT3nztVe398mp+K5IvEklajrzlwMnqMk+6cxtpo4XTGMsF3YarUnXF8mYaf7bxMUkU
O6vfgka/0f3PY3HlDS+l9DOyEM5J7oRinyKRlB3UEVTrrvAPWrHvlavLP+7jV5WR4OZdhr64NrPg
nP+2etB8Ne+Q5ZPQuJcmu4XSYJTfI+v5L+zAgAmVBk0X0oNzO4PVKR2tM1S/E8Rrqd1HPT0e5VpF
RPEvLLEkgj4a49ISXxkwXOv1YYKk05TZzfSMuPboPQzp98tmPjoOinm/y+pzfx7d7vMFWYOm9qbH
m6vpE91h7B9BWM/b0htc+zycBCr4EhDLDw/IuhXgHAsoPnTFkNzwYhXu8kpmRg/AqD/29Ua74OPB
m0vHdKIY8ppLuouvJMHKNExMRjuV4ZG0tQetNRw939KaX9s7WOFIR4En8URf7F1QNEqcZNTlhllB
6KecvF3+NnMwPj9wLIPBUNYyiyAsMTZGHMAVkzJomGquwtB9CvVccAMPmh2pV2r767K19dX8sTb/
+0m0kiQvVJIYa2Gv7SYYTvTEcC+bmE/hhwX9mzl9gBQqiVnqWkOZpheOdbsPtMMIJeSQHkId+ASv
4WJrSmjFE2QFhBLUATwe0CI5X5QJc7/VDQoV4rq0rWkvTKIbq1u36ooV4EmMh0BFM7eLFv7mDX0+
+i1pb6Klrp4PjmEKVA8jRx6jL2Okf+ryV3gU3Nh7YsLlfRSLG4ZFYARzS9TkL+/xCriAFZ/8GPl8
yXVPscabc3DLehImIm6z8/3QjbmN7Mb8krX5TQfowJqEXdLfDcO4EVFWNoMHIWUO7iEmBZeTOhB7
qUGUDxCz+uYn3m2+I7cQqcZ1spVMfUxJZRW0GxA7wzJlUorzleaFFIa05SB5G1VYPoUGB5rEx9Lw
3zW9fYjL2Njgc1ohweRdqKoayEeVHtryyEtWlZm9AZdSdit/m2zTDXfvXyOXGvwudoJ9tZNtpq+O
n3tbs5+25ldXlDkgq0J2FnoF2mP42/mCVVMINLmfyQdHu65s/z57nDDrajv/Dt36VwUVmENwn346
xrawlbnOfrM4vLDnM/Y5FwDh3lzstk/aLyg5CCD5rrhVbPPavIqdL/lbfhXvt+C6a04MiBYOSc4D
T7zfuchJMBoUr1XDhn0WXiDZPoIOOVCcg1UbaPkx2rguNq0tQl+QGP6kWyyt3OnX/rVgBw+JGwJl
ePiq3mRbL6mVtysH42Rx8wk6WZxhJaUkdSxufKrcghqcPdhG4hqHyN4Cvaw0U85tzTfziS1dijiq
vykyr9vdj+EmPrRv5Rs1LxxkeNhKw1YGAM7NLTxUUlsaSPPSmjcEar4bN2jVXOe80O3C9l+aQ/X5
aYtjaoWV/Nzm4k2TAcPtpRyb5lN6hA0JEvLRCW4te6+kdgljtbofDl+ZlNtnh9eNYDsXij8cCuBE
FMB4y3xgLOoh3KnHCtvSu/Uz/r737mSngZ+b6sB0nV9tfs6VkAdlyB97C0/VwlaMi/lzqnc8uR+Y
2nIi9rp0/MPk2/IDSConuTOdLe2dlZv7zO7CZZt+tBhOwW7rFHszsn88awfG2v9yfbT8EYph0nwZ
4RDULALJggOtvpYP7a/0ToFzXLCRmHKqXfc9vPoeXLc342Yned63j9/xj92FD1mZoqAXDfVp9RZ/
p8qAovItXGI7yRl2qMp+ftoaylk1CLpBYgAIJMCy16E1ipbJs+P0wnQLavemybZUJ5XViH1iY+Es
3QRxdBZyXYyO6li39e5Buhqdh+c3z/X2g+vbxr18dRd+/gW7ydfehUdlfwhuQle9tz593iLSX0kL
oLBgsIr5YYpmy4JdH2qhGckyJyX/VIzPSXYYt7xn5ZVB2Y9sD7Ei+MOWj8BJM+PSi7XKga/CHeC4
QZpM9e78busqXDUE7ICa7czutaykCnkk5XGmQs4boEYQHidb/qra2hMMD3lv1y7Uh7bhTo+tuPEo
XL06SDF56cI9S6NzcQ4DtWzLegQ/Pew781g8+qQdO/1BOITixiJX13hiaf73k4sjhARJSgcslbtO
dXLHtJmUuBw9V00AVJvR4QqjMnNwPTXRJh1ySXyvsvsciIntKccyvDK3MpdVMxCa8BJkSMJY5hJV
RsEaGoQKrZJbPXuWy+MUOuPWjOvqNURFidMMy9bMyX6+mthM1dozdK6+98HtkS2ID8bOt/Ur8zZI
7GnXXAf2fW/nR+/OuNoaOlo7Xbw7oMAWqc5YS0lWawyKoTTwSMNsoR8wj21j7cN+S/NufZF/7Cw1
WdNJAtQ6YGe8pm/XKU4BOs6RDsTI5/5g7SbNDoQdq9wFEMo5Ftgmt9tCS/xuLi2jNfxn+lxLkGfK
mPOtbrMwkOIcx9Hv6u/ms8+j6zbcme74buyrY/BdmWzlW7XzP4lH+I7eQ6Dcf+O6vDhmFD4sHsbi
F8S+mgLc4hek01U/PBkeKjjazgRw8BdH5MTOIoSPaWmOeYAdL1X2QVvTadM/t1GaQbq20Sheu+Lp
a/y7pEVoCWNNicwWU6NQ3emSt+81y83L3JGl7rXS35Oq2BfSxoNqNT89tbo4NUKTKVNXYXUCTlwh
rCL/GiW7LHkv5hBdXuXBjrZC08gMcV7J9e7y9q7cwuA7kd9gemRuTC/eNBU5fxZlHo4EKwoAYAbZ
/vsHhC8DfQiYVil+LTlzUtpPvJtod2dSYI/g7Y2vUfKyyTe5to9UotD5mC+Gefzw/EgUsg+kog1r
J01saV88qFf/R9qXLceNJNn+Slu9Yy725dpUPwS2XMlM7uQLjKQo7Htg/fp7oO4uIUOYxJSuWc+0
1JLo8AgPDw9fzvEc5ch/o3Zro28DvXHW9aVbuoouJDI7p4lDY9QZJGLI0YKVnLqTUZMGa7ippJVV
XNqnuXbMs6KduAPzSVZYUozYmx3yetfVWXCgF9owAaDY1iNNfUgojK1SJ4SrMSSwtmSTOTF+60II
k41Ki15tKiOoTd5Vz4HV2JjBSOzOuh9c7dt1fZa3RwLMFPo9J7tgPNSY1glf5RG4xj6xKxwZU4KL
qCeVqx7H1xVh4pJiCO1wlePFDui3S+vrQ/Q6+EoCliDXuOXtce85hgn8tegdPefu6rjXojnMxDGm
V0qF1ClpBu6cVrJqNFMI+tpWLeReEaf+1IixuNiTsxH9Y6AfKq3uLLugk42AnUQEV7fAl0xt6Tw9
SQqSH8LvysPKeq4pyFhj73elOmaQDmCQKbV089E6vAkEVIu/z78BtvzrusCFZ+WFtoxhcn3D92WB
Be2MU5jYoNIQJUwHeiSTVppZlyQBIADtFQqG55BDu7QUqe/h7fkcLF7pvqIoZCMF+i0PLeptrqv0
o0ecPWxzSYxNipxYjpwISeox4ki3U13Fvj3d8gUpNj3x3YTs0ATZEM9u1grKC1VeAFPNtGQMdKwq
TaQGZOfnlgAhzfRuY7e1vzcaWWsTXDLUuSjGUAHLJCZdUNSm/JYdglu64Y7cuV5ZzLVdY+yRNmkQ
Vjn0MXCLdQJJgZNbohEYDetrDVpLwR3WTptQMabnItsRQ9E7FQpxOSk0OrVJfeSqMNtt99tq8xo4
+YtxFB+Cu2EfIUkQf8TDSmi3lMO6+ABGWfQ41pXR4QN0wCT71UuZ36gcGfJPMBtnKQpln7L8OdY3
KOJKCoiIxadGX7mNxOVd/bkIzIGs0rFBY+e0CMdoO5xVV9jrbr9Xt/y3dAvwKxv4EqS3PUfYVSR0
NBcACm5/a5Anbava10/SkjOabYg6lfNnz7QyrRp+GPAtI0aGW/Us5yvtpT+yOr8c1akZEzRL02Qr
Y8NxFZZjyFe12SItgRDGTUlzEyCG8QNkReVNaDWb8cSvEuwtJX4BY/hTMLPVGScoWt1D8Ai25S2P
ty5vjjiu5eTjw4Ks8SxP5/6aosy2cnyexVUKeVQQSYfKReURUajwtF7Zs+kHXRHENn3q3FA3sY49
4wfMKZu1t5fD3VSrRp1akR0p+LxuIwutnfB4P1eSLbmi1SuK2hyavfm7uiRfuEFwakcTQa/Fg7lP
X/MTaxpOIcnMKvOcE1pfhYZNtMkKq5JR93FSxRQ4UqTftTVx021xbUGZcEoH3L+i0MlSGkJ5IN19
+PS0soa/9sVcriFzNyqgNWsUATKiA282X95DsufeIqLeSL9RFr3YLeZurKlUy1TA4lFwFfVPqXCT
rDY8r9i6xtyBiSpT/18r5qCf2hR3mZW6aOmhsIh4WzsV6Tbis3x3fRF/ZHN+3ahplBwNPOD0YTZK
KZOYqhpUM+7VnbaXng1kj2tyapGLkQnvFOYzPKeZILXLb3hLeP2NdBPW9ucHMLvYlVEcZiF2UZhA
Eg+NbwdgZ41WDviiU0YJkAcCC2bkfrClzswfAwAaNyIXaPYAYMfThRirczDTSv2ykhMMBrQB5ivb
fhAYfcI3OhRRXdTFzOhbgJb1m/DEWYmduN3Wt65v3XLUNBPIrFwT6ZEXGBCoIMAgQ0eeX0VS3w+b
fLMG3rRsJjNZ7AkokcqrQCZo5jYPfDa7sWPCmz2RtxQVe6ISDJqevNNncefbFMWr+CCZ/FqcuLCJ
gKwG/ivqABhG+JFtm21iHFdeUooguFZRvCYou1qtAirJ68u6EEpgeATge0A9RiaCTZbJWgyKBUNG
iaisLE51q/gFLbljm5KiuQ3W5oGXVEJzFAryoEX7dVSkTGR1rAI0oqkJP96rtHwcsKVrBduFh/TE
EQUEIqDaY5iSuUc7GpQjHjQTqJLl9VZSp5avkpp/EukLBSVDf8Ac3Gh8v76SC3fAXCp7qaZj3Ip1
I6HQmH8rEuVZrEQbnE0vf1sKWqV+riATkwBFJMvzBA2KXQjaVlncUVXGW0zdXBezYBbTxKQwtWpP
PdTMEpaRJ0RZG2AJkcl0ylbDcEhsFCTL8tuyMvQ7Ty7LhzAplRXBCxc3GucQ5KFrA60bLGkjbQOv
0TExaYb81tftxjhVCG+jYxm/1RRQwefrei48XS7EMdeQ7EN9TZ7wt0DA1fB2zBV2BPKFuLYEmOl1
YQvWb4CnHH1nsEx0HDFeBVx1RZNO5cux3LZpDG7ftfaehVv1QgKjjpYkShFQMPNUBeY/s9isozs5
PeZ1b11XZWnd5qowMXnQ4U6IIwhS+XPd5STzC3ss90KeYsT1N9LcF1oxNl+oFRBtQKpuNiNX3qZB
3NsNV/rnYjTOfEbFFd2WDjLqy8jvgJltukEvY8chbeRiUCCuNc5Zuq3Cb6sFgqXlQ2YZLhCYzeg7
Y5avLeM+HUTwDNX5KVRI12y6GKPC9+0a4MgCLzoagmaSmLXrvUDAeA8kDa7npt9Hh+4/RhRlNFu5
k+/9U+HKPrJ+161jyXvMhTIr6IkeZsxjCNWjTQr3xJ+01pIbawjugjWumaVD9VMWEoyXu6U3bYRx
Pcii/X3Y7fS1OvnSgx9+fQpxJhRCTB9eCvAzbQR7Jvz6eJvrJm+nx87tEagqeC3h4geXEjEsPGDK
leLHkhnO5TJPmMEPeiSEITf0K4xPPEfAN+W53xLy11XJPsy6PDGKtMNVieemGwP/I03ynaSvsRAs
GQSQB6f2cDSHYzDncg09IwMOuQxdNP57nmy69G4EzWBbkREFcf7juvUt2vxcGuMFxUAWaBxCGoY6
1LehiZV9rCUcRaesNwKyQ5LsHtZ5ooKvmEpW5wcNw4dbzArVNg/mdbNP2nobRKlqdRXVbRoX365/
4lKlFM3ymNydGGoAXMgYVZhL2ZCqoL4bY9Fu6XODx3cTiFYEmsKu/BQ1g5RtY/YFRr/49kilQSZd
iYxX8zrqpySotpwg71A1ulV4zyqMilz/wMU1nH8gY32g+ZrGRvGB6rF3olPn+huwAbkyNb2NfJ9u
sx0GxSMXE03XBS8d57lc5oHWBRr4xyLUBPL4mcrH9DcSohcLP8mfBdW5HMmxLMNdiDhVEnoGaWtp
wS6KTl6LafeVqunSGZ5rw9h9VrRcJGJWCGhBb0M15c2flDX8haU7fy6DsXa10ceuLLBioG+I4gcJ
+ZvYEoe76/uyVDHCsAEQSzFeZmDIg9kYv+jSPv3BMSg+db4GiLBtBXSJHBlFxVXrnYx2gnIt6bGk
21wos1u1IZW6p0wMke1jEj8oCV7Lx1UIqUUXD9c+8RGD/wVTe5dGIaOXJRxGAWGThYM3Wre1G2o2
dssujh7QkYjREflurWy5ZBwaIt2JewmvN/ZiCbWmTUUdxtEVsR2WqMDV7dOYqSs1lSXfOxfDnGQ9
1T0+LmEfAXXH3MKZJu04Ard/IDwPrldpLV+7kKgy5gIZSwFuXN3xPwxyoGYfY4gNg2J4TBxSKbK6
nNfMBIxcOQBSjHINf3ZtTRmDEQMMcEs81tTjz2HzGjdu1a+gAy7FbnP1GGPhRC0f+RjGEvbJXauL
ZNAzt9aqhwqwAOgkWtm+pdzpxXIy5xsNAlT3QHZsSveWvAPlzYtkWN597YzmsEV90akH6/pZnxaJ
Se0AtBUk75hDxCwpe1ujMKaEtQeJasJ9DVH3kSXyiohfn3mwemlKOQgAiUVq//LEjYIRN2WHWnfM
HWQ6WNIQv6Ar+jHikjfBE8wwQU8wjVYeYAtODGLhwEDSIaJ49KMqOPP+StzwZaGi7F1UG6Cqx4Lb
Go4smoABUVGrKjGPj9zS9dX81SQhE4PVEo/JXAnRz6WqcjNwmTiV9Q3pThGtKgU+0lpn9aIM9Mph
t9DxBOCoSxngQByNvIBeiervS9EV22JTFF/XFVnIwEGTmRTmcEVUrxLaQUoICHxhQDsjcNpLr7+t
Zd0UPBDPpFVlyW2HsEl5wDDEWhj569G7/ADm6HmFoOKFiTYMGg8vKrqo+zH85KRiwzclqYA6dF3h
X2+fS3GMkSqp0HatB32zwKXtU9g/0/CpbTbXpSzMbUxiJIybgp54Qv+43DwvDVIhb+KpeBB/G3n9
WyoOtqLFRKr9Qyt/tiWKeOBQII0U7mQ0kelpHJKsrDtiqEFEiv5boQvHECMJMs1WvPmvt8fFx+nM
8yrTQNPqe1jybiRluB91twGgpIIqBB9ZYDC7vhbLdowqHzwCsLzZfijRoLXnT0uR6QPGvQSr4nIA
i62hnix6H/WnGMaQe1noEAVATNQ+0+K2GSNrkB090c0B8yMj6B3WWsnWFGMsd6CCVwYtJPLpaFLd
T0AGBL4o2q/x860JYmzWD9RCFuppBbXHWLlBrwgporXIZXH9MGI00buCWphNsOJtX4RCjQYUD3RO
dfzcRTf+EFm19z6GroImrFr9+4gisEP0z4KjRgXHE0uHkxRNo3pTv0aoOHqpu13tysZxaNamxhbX
DwnxqTEeUF4snHxMkZbJY8hR6sEEjXUwCkg2xfZ1O190ZDMpzC6lugyiNTRhmaVSHLJ6SByfcq8a
Ragpis0596O1Mv1CGDFRQCvAEAEIFgYAGZE9NeJOzTFqp3OftCGldghkg+gegNMEIFNLpNLu1cri
I1sM3vwS2Jm5thI5TSIu44rLT2Buwl4KkiQK8AlamVp8oDixfDfI/alq/nZWdzKWn5vICMolT2z7
qWFJbTwnb15LBd0gfLjNGn8nRvH2+mYuusiZtOnPZ0GFLsqR2qAtxGxLvMofo2qndMF5rDpwm0ZE
0kP3urw142Huiywd2yisIC+peyfVpFMB1ndZT+yQRjd9vjozurRts9VkrwCdiommgeIDcEV4/fcP
Vf291L71ayDfy+HFz3XUmZwIotwQCLSQQw3xrY6jgFRRxu0FvzuIaYpOKeTD7EwHejJfoMWIiu13
jhZr5Axr2jLPpTqEYxYmbSvOEXWr0ESzwVOl19ZaZBe3Ec3ycDJILAJ0/9JskJpKRbCY1WZQIM3h
9PFZKGKiVs/BWrPbooHOJDHXXcdpRjYCpN00xCfKYx2drJkY+cDaqhO/W4NoXFzBaWwJBMhTwo+5
62SuSygQ8LGP4PPKQgEweEiXjuJRTbqV9OWaqOnPZ0cvquKCLzB2ahaacK+L3WsEosWsU7eVYqwE
g4sXw0wrxqfUEZdlIsUiyr5xBs0RxjKbD0B9rmi0fApmchhvEsl+5v3o2Mt8WwLYGVA0xaCwMthG
mTxQHRykp1E3watx3ausLSXjVWIt6Ju8wlKWkkyoCM7GpGpI3OVWlylrdaqFjAs8NC5zdRrkm355
uXFlmheAv4E0Jeq/kgLdFqJ/q/f+lqbhi5elmFasm+8RmHdjA42LOk+CCIixpQfo2OQZNI4rgeck
j72aZt/DdrG1nJYVXYM+yczHZBiSJboMQOFABcWxw6kWiLCLuvuNFQe+DabRkOLCrDpjUeARU6Q+
Q5NBxmMujM80W84HaywqC1fKWk3816QM7t6ZMMaskpbL9bZHR0ha7qV2z6tALj10qZVrj6EKPPPn
IFwL2RZ6bC9lMpuMRynVAPmFIyPssvA2pVjIwqLRfSwRkAPJ+dHnN3Fk1xXx6HHQwUazC+idFtqV
ug/94jdO8GwJWPB9jgN1gZTgc2rFf+vi+psqxm7ReytRzuRNWVMCABcG11Tk9oG5c2naQuHnUphD
TKQ1bq9mr4I+/kZ8MxfBuD3Dl1SvEaeFjWpSy3vwBdsjdxLiJ49/v+4Wlm6puSjGSFWD6hoVcDCq
WiBBeq650im0vQIStTpfWbklFzuXxdgorQMvBQgImvbyyuQxgsohuSb/7ZT8ZJQ6Hi0gqUJZmVEo
7g09rDmcurhG33AUAIjC2xdStrJFS3fuXAyjSxUm4Owcazzqs2NfPahc/VIDHTWhjsr3BKH3akPW
FB79anc/FWNO2yjJGR9RSGyy3gzyjfEF5aSboSC7kDNHULO3mfMbxiGCWApgHj/GSC5NnSIOpc3U
IMv79BChUZ7TOjuhN4bwQNdGA5YfMDNhTBRTJH7mIy+JF2CB+h0IqoOUM8sCqd7CaX20O7S2LDzl
xrmskA96AtPXKqTI4uUMcKu/FGbOtp+NSW9UUFhVQWz+1st3QYwL2ZY53GCF7XUV0eXbWnu9vs6r
cpkDX2haoHU15FYjwG8T4LCd84qUolOUwPJAw0WhFgRQcQIig+uiF8/kTGPmuIA8lIuyAZIL8HXz
7W5Ue7dde9EsukwAZk3gP0iUspE/1418zvkNBoQAwFNTUFFItHm5rsjCDBwO/kwIE9h3RkU1o6fo
vDRuvQIhzrNhuBV3SOWbNgSx77MhujW90fNP0M1cl73oDGaimVCfA38D1yK3ZUoJNRsFLZnhAxdI
Bal4UzU2BacpK3fdUjyDPIkCcjnAQmpsD4tSZBHvj5DIFQ8D6scG0ULHKzqgkZWYwtvoa3Dei6n1
mUT2dkUhJAEBOCS2mktFW81PQzwSD3ObGSigJbw26oLwwMO8vrSL9okmV8CkCkDdYVNRUQUQPaXH
hGjOHer+HHvHzN9eF7FonT9FsI19E3RT3kyjryWQhwOtsEA4t7JdK1qwbRiYA+24ZNJCQb9uFeeW
P+yDtTGu5S0CwRFGog0RaGuMGfK+kIBhBlKSOHjFr12h0jeVho43bzxmiuR26jkDETQC33ylirV4
AmaiGec9Vmk6hi3C9kR4KkD4YABcugubbeO9St1bXY6b63u2aP8zedOCzx6GZSAAOLKdFtQYXWns
XbHj7SIXCfrvbv1SdaeKQZgI1nWxa2oyfjrt217iJ7GiwT1x3keblAFB84aTS29Cm9qdWKy9FxdN
Rwa/E1DmkNZjG3ibQE4NOmJlQ3FwwGzxKIzFMRQKV9fHm0h4DIVh0/v4DG3AyIpHMTFlcM88yrJ6
7bm52q3EBIunBc3EAGiXJqiNaWdmKy/34dBEij41OfZuIjZ3fbBW7VqMSf8S8QtQXFvgQToGECE1
pFNu8HiJAJmOvoe1Uu+0Xb+EVDNBU8g104UDsn5q9BpCDNUzQ6+H5wxIEY+bLFjLCC9v43+WDWW8
S1GiDl4XftrGlm4wRaV3z1RYuxT+BwfwUwjjADKVjvxAoY8GAMxWkEhX+yROdqFHzSizqWaL0/MX
s/XXj8WqYOb4Zx4H4l4Bglue2p7nE7AyFfKmBWZ31WPwfSOVN6W2EoKvLSnjA/Q2j/WIg9BMtIBA
Tjzf1ep2RbVFIWCwxGQ9/g+Ngpf7JmVJ2uvTvmWxvulDtFOikRhMOysRxKLJz8QwjqUU1QGk3BBj
8Cppio8K7XP+1I4YOZ7XrwhbNPuZMCbmEwyq5eiHnrqWMjIkNwUgXgb/vc7HFXe5Jmhyp7PzpfpC
hTcSBIXZKepcwOYQDTW4cKWGubZHjEtSClwAcQRD4EEjkPrpfcAPTlrW99etfFkMEMxAJI3SJQuB
VxZ5kNYj3JIghaSTBuSx70Ge9FsG91MK4yiyuKh8JNGB8UOVDYi3HoYydKPMWHkmL95kwC76jzKM
q2hCLfEb3YCPxbt/DFywY9tKuAEzJSl9a1x7va6tHeMgdKDZyk0OcX5+E4jAjWlJFMYrS7emE3NW
kawJDLXH0qXITFoVmjIiEo7pe5iAAI/yMZIpZdpJtpSMzcN121g8v5iUwlw74GABA3Rp6VUJ/gXV
AJRIquwRHfdCZUnUkgKTR5vNdVGLoc9MFKNlnaC0nRUQJUjNQfIHM5Lv+hT083zjf7RVspV8cDMV
nriyuotbOJPLuCiZj/s2ioFlIsI6GkxkA+7Z77uVRObiHs6kML5Jio3OkybtdNmiyV0BaE9hyE2q
OEVl2H7gXF/MRQ81E8d4qLFpG0NIoVTi2y0SwW3hSvWbrK6xc6zJYVyUkHStXvJQS0T1vJ+ixjJE
8jm+b/JoLWJcTBT9pdMvHfMZxmu8UIcsI3gMuy2wK6QYA+KNOXYeSPTuMRnV8w85WK2vr+XCIDde
4DPBTDjVc2qijikEhzWgKqLvtWf4jt7zhMKVlTHnpsV92w7EaHWrQ7BatB64i0P0YQZEbLW7Xi5P
Q8qvVXaumxRAoy7PZkY1uQbGPyYIokfa7hX9THN0BCdPqvoWgwT3+iosH0807AJwGBwRbKuWJAxg
pkjghCqQCgOSvM17Eko1yYRtn70PaKgw/j6LCNZdAxw54M8B0WowHqGPPVEEtcAEDJsRLbBr+lpL
X6W6kr5dzrDM5DAegGuGKKrBCID6/rbItmlo1hyAoTYggBwEVxC3ffGtah7L5DysQtwvp8jwFsCE
xkQ9z7b2yQ0X0K6DcQE3RKn2Y2NPrLNSflPkO4NakQamFoDiAln5+n5OnvuXN8JPueyUZuaP5dDG
UHoUwKeLLi2vXzuwi7WbmQjm3AwY/0wSASL0LLQ4aFFoGxWRrBhNhKDm0Djq4ICQ9P9TM+ZcaFlW
8EkLs1E4DVvXPI1V4l5fvOU7469N+zGHOwsAFTVsar6eXFF+rNIMjYUPGq7/60KWT9xPIczdi05X
AB4M0AM1PiJz2xphZiVKpMaGqf0djXcjt+Lq1oyCOXFJx6dZI0Jk5nkosSU7L8/ermu1fGP81Io5
bKrkoSlDR1BbVgnJqmPm5W6jHkPgpP+OoJ+hCxMJRmrQebIE9yhr3UlIIyB2Z7rdAkEz1+Xn67IW
XfHMgzC3u6yXIlUnk5PKTaKGxIufMF1oNbrT+BbfdCuWsbiGM3HT58zMTy1qIRIoxPnpVxneyKCk
0G8zxbqu1KIxzKQwd3ttRGpSSJDSxuNWUZpvQiOuROvXFUHZ8VKRhAedRhZCRIgp7gDRCYd+Lu6U
lM51VRbPq440OuDWAHEuMnatG61Io9RHor7Pj5yMWYyUf1Ir7e66mGVnPpPDGDcNirjxJPgFqXtG
KUuQ7Ch0JAFDd77NY0692ageCRp+xdSXb7CZXMb+xIGr62acLhG0VFVtufNGieDxaE1UcwBnsQPj
vc6CzyLC1H+pkQw0XJqGTujr+i9u5+wzGLuUvDGTOjpFJEmzK+RiX6OpK+17InJrTNaTRr9cXzNR
jHGmhlJ0eH1htjb9Blh8tFzhcVc4dfcMlPsVr7iiFgsPGtexl4HBDcetcvwgNCHLAKeQvOIZF52I
jpBnosWY3uKXh0GWezXSOhhpObhy/YVOnSJPrZC3FPpY8WukZou3y0was1cgnoqp1mOv+O5NrB7V
di8aT50XoAF3nxXOQJuVM7gmkNmxuPY4Oc8n9bKI+KoJthShEkmV36SSrai2tJYOWvRfPzU0GOei
BAHagEUMMKCkQAZkGsaIPlw3+OVWkZkMJsTxarT7ZD2U4hP+bISdQeoElN55KraWkPQ3ZRfd8rT+
rKQO7dny+Fh745abuler8DashMCsqiSy80TyzKxFY2s3YBQ9Mjxu5coQxIUDowGAfGrcAz4Cy/GQ
eBzlUw0N8YmEsn7tuzxqekqSFxsx4tFdE++ClrpyEZvFhKgRdVu03q4lgRaYJn7QKuogsTEw0fLD
kc1uLr9IDa6Z9mQwS1PTiGxqL/gvNIppN0oNAMJX/oOa/B13yFz6KEdmcuYOg3t915ZuA4yt/fUR
k+HMPoICW1IsOCwFmEtJ3wngnjbBtLLiDJekqDPTmDZkJsXDFL0SlDCNiB93HOpGSSHf+GX8WzW4
mRwmzgFGSlREGg4ysrgbycvtUquBsLGWhF/2TtpUVUB1Fvjul+oA+ChHWxvUAVRvq44E4CQA9UB1
xhb6M6/+BjMgPOHEcQMEGVRj2PqQ32m9F8uwlASAE5j5yxvM4aF5MXjog2OXbQz0KHMYncmUlZOy
6DZmghnr8EMDHOho2DAHrXS5vnO7tXGgxftkJoGJRpIgVRBKYSl7HSHw6BSqZ8XaJpfXTHDxkjRk
NHRhASc+p8s90zCV3ecdTCML7pTSDtFwwSMqle2wXbv6F619JopZNa8XWz7LJlHlGWMqRK15kvrR
yh2yJoVZudTHiLwx5eq48GCgMSBEt2e2Nvi2eFGhuRlIjYAq/KUPOOjQK4YRpgnqCsWK8DBEZg6Q
JKm+NRI7ihNSSis3/8LUOtwiCD8BWANgDXDhXG4UiOjjNNYgkmYkPip3w0l9qG/Ek+fwFv9SkQFB
3db/jqDuuidcOtQzuWxkI1ZxFgk/3kjjVge0Bhpno5Po7xvBGqLzdVk/5oLZkG0ujLkrw0yNWwTC
uCtdg/i25oOPQjZHop7SXeoWe2MkzzxJHkvHt2JKZM/kVp4bS+dh/gWsS6ZUClUZ5jP2ThPtB0wS
Nw96ZanC+3VdFwuHc0nMyVNSIxM7H5LEaA+X3AyNJfF7RUFnibSpVKdMQUu3lvRdnMibS2UOoa63
vthyWOGa5McRYf49HxFgfqD4ETzTR+9uTyWSmKH17tn+WnVbWjMm5nCKYxzybTQNjJLA8R7UU/Rc
W5od2qjCuT429BxZuiWb1Va5Ky3ujYJFwK1fClh3YdYbhE3AIzGj7UZ6rRz+zO3DtXfSkmsHKtRE
oAduEllmIuxEHcY4SjEYqfU3Xtibw+q1teSg5lEWs+9VltKEH3B5ZBORInrcUtdbHVRYfO7NpTD7
XCVKCLpVSMHQLw8IFy05FiAFCb5JDXopEs4xBLvkH0fe7QxHGXj7h3X/n8/+//pf+elfZ7b+53/j
9595MVShH1Dmt/+8Lb6yf5yS98+v+r+nf/jXX7z8Z/90v/Kb9/TXv3Txb/DD/y3ceqfvF7+xMxrS
4dx8VcPdV90k9MfPx2dOf/N/+4f/+PrxUx6G4uvPPz5zkPpOP80P8+yPf//R9tuffwBWcXbKp5//
7z+cFPjzj2OevX/mv/yDr/ea/vmH9l/AWwI7HGa3kMVFDwlMq/v695/wuOsxv4aYW5PBqPTHP7K8
osGff8jSf8HZ425G1leUdFCr//GPOkcvxr/+CBhLIPkD4hCuBhRl/6P4xf783K9/ZE16ykN0qv35
B6jUcIH89L3g5NXB6yKjr27i95Qxh3h5wWgBD1rPdgArl3iuAZpnNfuzAkKp0QnMyGo3x0GzGj4D
mxVq87vOnlAtQ1e7HQdnxHmBCe+f/FY009x0JRfw+7iTXvqK7MB3mFqR070MG2XXgg6k8zeKuuMb
q9dJffNU2+Bv3qQbzdadsToMFV61kp2qGzF94odNakoFaOZIjn5jkh5b5a4ISYsPGyYuGEsX7N6Z
8IrfFKsxzw2+ApxFnm1YiRsAEjhwQQFI8n1wljpTHQ7NPgwAy/rUkODA34jnBOi3/E4hrSPuioPq
im5hKa97YD3ih3AW/yxvql1iix+IJUBw99SBmU0iEtCzAVVAZO021oh08BwptEON8Hftq3hszIac
PfADCLegVFLI0+789GSQ4376zWBWh2Rb228glyEaqQ7VISfDDkEDvj0lKXlxHh588tFbxYECKj+9
y/E/xk9lERENreka2fMukibYjnAE1yFpngLMIlkafrZG3kLygLUi0ZZaFP9bb2mfBuGICoIU8lG9
SlZ8Ry3ExIcUNHqDEZnhoyBmd6FqotZOQeHld5aWBUQ6l5+jy2+LDd3LEbgjSS45AoTg3x2Uc3jy
zcKtNw0RbunYEr+2g9QWb0PoXu/wH1W/7bRT9TI6CVx6ePC3sIOn3h6IYqlvyQ5E4RJIyhMLF4CG
waZTaSXJCYPeHPrXz8WH3Jk5iq1fxa0Qm/KX4pTnxm3cxKKfmMAFYcY+C7FtkrJ9Q75WARdLaQ3Y
67Yn41d7VAgXu4Byr11QazxnRUlawj9inh4orBo4Az3Rrt78bQ9uymDbkzzYnrJg+1r12+B705Oo
IRP4oAMMzD2/lSzpUL0Ob11NegBzJshIAOBjE8gRqN4t6ltC55a8pR1q3m7b59HHq/nGOOP1YaFZ
7bk4BgfxKN1Xh85tHlXtxH0YH0DasHgd7I0G4DcxSQkjjG9A+XWb4/cRd+w6QDJX8QEZfV5xUvx/
HcBByO4jW0bUwu0O2jbrrRHAv+AhN6whs0XhKNXbRiUYe2m+oywuAkcR+QIUkB+ad3QEKAd6W+Nn
5Ntu2DVgZg42kuXtglO0jQ6I7Jrv3hk/0gKMWktOp8MO3w9m5XtcxXABqOahRyx44XJSPGQtkSTk
ZM36u/qmHtN94BpbT3cSDN3a0i520H1MqpCEnK184oELGxBcK7A1TCWYXu7453wkeByqHVKepH+B
1ZUKCZ+FEwa8lVcLRNzePf8ZOYDNzUjrNhv52Epma6kYEPuEYgbJnMBpnNOwEQ1i+vEeREpYHRkY
MJZ/I916j5wTW9MJBvjG8BzEFt4b9Qe+yzNBt1q8KPAbmtm+eOfo5O/7b6pul1/cRxMTD6weJakl
p+w34JT3n0tUBoYHUbKEzXDMHNl0BnuwUb+lW0DqFI6y/+BIfcSxCffRt/hG3XEgUXzPLAx5fXkZ
loTvTP01+Ug5Um3E15N/NN4lpAlJhmD6TjqFxqMUbVvxdRy21BTO0lF81Q9FRdEKBQw98slvhfGo
39pIEbn6i0e4Y3poTSCJfIinrXTnaqZwE3yXbvQT+DDt4V7a3ZTbaJM7Qkl4/06Lt+iQlJ/kCgpV
N0VNgg1g+azIfn8PNhGqVFue3Aeb/LSLbMl8Br8DSJsGy1bOYmB/ipZo+Wb9TTzgV4S35Jfs/VWC
M0fbKfqoHGo3VucE742VEfBlkYk9rreTjWKiH+NwIzqCeZOR6qkOLPl23EEFEgJSAxgvDWgK9dt8
y+OvFPi36PU3VQuBv4G/Y7gJOnZvlF1n4YPwn+eDYCYkyTchSG0lwCeY8VF9jbeyt6PfFYXgl8n3
V4DCT19xQ58ARFDvE7cgyZNmo3yEABLTtvWhPHROI8LIQVDVfo/EHUhPQB8D0DZzcFRSNvgvaqdb
/PJguG0CN4Oriu7+H3dnthw30izpFzr4B/tyWwVUkZTERaTWG5jWRCYS+46nnw/qMzOqIo1lPZen
u2XWbWoKQCKREeHh4W54u/ROF7He9daRRGqI+Rl/5x21d8DmlhGFme1pvnN/CJNepndwEnHvHb+A
Y/IMkYvV3CIQV2dXou9uJaQwzrcPWIXcPO6vfhtMccf2G/9NePhwW647T+7TcOd98/b5dUvcDN5Z
t/m0X+4lSzQcmriJneP2q0+Mh6DeG1+Jsdx+cCzsnXgqv+UIQEfH7i03FX4uWckJfzak/ZCmy95F
zVeM6IyfzFYEfeyLnXTv0uQhir2J8KWPcNVGceXWxDnvi+aWjXrnqF0XHmrjyhmvotjqzb1b3fiR
8U/N+a+yx6eq4J//MYljQLb3v/5PfvYscbyt2unbcpI4bj/wT+LoWP9BohHJBgefTRxhXXL5fxJH
9z+IesF7CLHk43foCPzfxDHgh1D7My2GwTZJ1u2H/jtx9IL/gFqQbdJGQK+VrPPfJI6nSJUfIR4J
RL5ZzJHCYly5/f5fGCaErCpa63qN3cxqHnzDqu/9ygvanWHX1JW2sqb3fy3Nf6euf6eqpyXadkVc
5hA5xow3ZJjsXMdidYLFtNvVj11tlB9qz/KPmV12169fJdjqsP+XD/9zmS0nx+GcWpCW4OmDRSVC
rGUmSIHTYvhkda7x6OEQdldJPehdJD37yeknXJ4bsw/7fVb07qPuN7vtsek4ZarM7OWxaFBzjp3O
B7qwJpxEkhZc74f5Z3H8Vi99rOe5t/edbHW+g8yWFrvSLBC9WfTaMy3RVmtSdJU5H4JpzJ7ytkGm
29U0EveWPVoC5Cknlnrz4OZ7LHYlR5ojrPR2Vt3w05SykLE9VUMXe7KyvqlsVU8Rgoykn53KxZup
K6fHDIWvJmkyaX7sQ1n1nG9VSXrqVx0y8s6UY2rne8V4k05B/uhoNTGVlk5K7XpYS1Qdi6OL4xrm
WXC1oq7iw8DKsejoghztvGXudFKMubPuLanF9dLUskqsempvDcRAu0RpD92lQvTC3f9XqWvAkbT1
Y1M37n2ZS5+kp5mqN/k6MxSm+oyVkqaSKjYdKS8JAD/f0VCYbGA9trbpYG9/+uJHc6kcSxp4lDuV
kwypYWFx13LauqgOS1MGF3baWeX1Z6fx7TBOa2/bzT3/hLKwSvMgH+wYOVu8t0qFCvbboJ3HLPGc
Wt11wrabpF9d43009kazE2Mu0W0aUj/bD45LQdPIWbhxmS/qM2347LuzikDtTH+Ypiv0gK3f+RL2
8mA06LG0RliTDNej/X7swnZ7VQIgKO+6rSE8tddiLNp0P1mpFnsjVRV8Em000SFVdXatA0nPJwzW
magY4Z20c6zK+NiNXT3vrCKKhrjBL/cmLxpVoki6DOmu0kJ+XctKXWoBbGjM2TcabSZ62L5H6Hn/
+Yb/OnyixarCAp2GuJjGNfGzlRFRs/Wv0k4+2WbRX8k6si7QNM9Ayn9elxvRcqCcd0P3HIm18mDw
NBNHsUid4HtRGSrOPKdiHkd0aAZNg3oPYylPwkEKuIaOyHajLpoklFH9UUBIjAO8Wj/UhkqHnTAy
XihCypM+aks3n+mQkyNHRWUeppCfilzvklS9/fwEBRoCtbYwpA1s+9wiDd3fkHnP1EG+ogoRN+K+
3xSlBvsf5jHKyXSW9F7LYoSnyehGuUvXFWKMzAu+Vdw+i5nJt7moY7TUc2/PMHxGCVUNwt2JOmtw
z2q6odt59Ti88YUbTruxToeelK217wo5m0wOhXRF9wuieJfkgE7xte31BHQwPYIeUAadqDMM2e/c
0nLBv2Kl5yXRc/m5WtHvdloOlNdDxBmEu10qRAoExwsWE/zG3Nb5r+2XcxftMK9GbBsm1gKod6/p
bs2DSqGx1DUZ+sZLe+8NUfkLnx/5JvRd2r+5U+bW/vVbef4h4IpLBMZ9lajIpMTpnSzGorHLFFmy
TMOaOMr6tDaMmOOiiaiamJULJSy6BCb/AUNPP78oZAm47a1VCqh1etW+FHlTBD3157i0et8X7lId
VF/Xt05qtMxEqinPY68IKV2DPGSAUrNjdsvYTu5Rhd268e+3zl0bVWOwz23h3Tl9qUjeIelYuPeV
efrWxekPLpiRVXVsD0b4fmxKDrfMBDh3pNAOUk95wSUGa7wbwnxsDrojWN20qBV88jJOH2gSq1qT
wFx8M7YDyYSciAzD3M2h436EW1pW187St2IvstSv3qllkFdWkbpzMmlRXwthSbErlCruitrrvT0H
6XrsotIFJxii2aU9Paz1PyDqCYb6d6LzLBBt5pmkL7xUE9qne/ZS+2wVadRmgE/FGP0qhqBHijbw
rmaV0fXJ3UuDri9fDydpUEjUMb2z3sdMNLCR7kFtqavFIWjDhc5LExn70evdJFu0d8k24Nm3CiXZ
RPYM8m4YBM86xstsC98SlU4cdy6u1jyzjkuXLW8MN5+eXv9CzohXfKzbtRjjDT1yRqY/tnv562Mt
LA07kvQjsaZ5ejv30jkOrlqqXT4M/ac6GgEkpeHNb/FFrR/XzA8hG2RTZlCqDvbvC3fz7AjmbnDs
JtiDCTO7/ezd+mlttzWWHXZh9dc6spfbqYYi3Xpj/rYWRrWvVL7+nMOhRxiu7T4wyR4ma+9LFEUt
8bbCO+xYpo2+cJKcdYj+WScb3VK2XECQ+5Ot/LVOOIOlU5N7OWwbmebHLq+sh9CC/7yTyza/nuYL
SGQzERL2UyORHa8tXXxdjVYCS9TR6u/TBYnVxIZcq7C4HuW9iQRLeBV4lSiQ+jF0/0Yv8BGOry/q
C7uJ14uCgc2I0lYxnb7hdG5W5UwyinODubs6kLg2FKn53jSa6l8f/XjX+CwOo9kOTPdnzKGJU7zr
hRFXS2l975ulv0LfqPi2CGndhjhAfc381b+ui2E9jJ0dfofosV5IHF/4XreKkE3E6yJ1PKtQ1sCd
cQKDGaAIsvIwm271NPiFOq6ogGcgtR3UvteX+IzN9Gd38ND4iZscExHf7ekaK9NhmqEu0ljLrPaO
fVcglqlNFzi3DGXxoXSK/k6kWg+x9oxhH3U1nsaDz1vbV2UBfDpFY+DHYmgqh3HzpTksg63B4xwZ
fFDrsFIv1Kb6MJaFXx8u3P2zmo6wQelLto0wvc9Y4+ndV/SRthMniDdXM7nXDV6DOz9th2k3pb4a
9jkNkhm0Bz2I2O1lChhrOiO+j9zNj84VRnEIzMkB24kme7xwe39m4U/iKX61AaYWAX+oQw/m7Ihy
a7HIth7psxj5mt5MbbsYcV6n092UThJKN7vx3nNLr45HczLe5LwkuGt0rI3DjImUvcsmQ6odzkOA
PmrsgHxHbAxjrwuVjg0rM6a97Nv6Vi8dvcEpL9tfxmwxOF0bTjXHvb16BdNVHoojZtRh4tLBvh0+
OKKd53gYsuzJN7M62+dcYfwyCQnTRq4+tYH0VH6booP2NHS9/cMtQv07qs3MRHo48od9X9uuZL6z
cOyDNiMNPag2EHvVwgvvFitaHzdlw1+lw42980RGOTMGRs9+GdF7gCgiG39Xt07JeePI9t7N+/TL
qoLxfaeaDK7g6o1XnfKpWtdUFF9kbfg/c2fufllemZqJaWa0ToJ10N+yTte0XLqS0BYIp4eM3Raa
zdyHi79zDOUYxyGs6j6eu0lcKB9e+GhRakLuk4PDCRhDPN2CvotKSO3U9JfauX5XtTbQY4WUaZ51
5bWYyU8u7Pnt1DvbVARWcmIaiATb86mcvsZFRC6FEY+p1z620+LGRVCnBzno7CZMsRPciSVwDhSd
3Q+vD2jTWM0lxtRLT81ZSVqxHRokNKdP7eVLadOXNOJCucvVauEej2BKCW91+D4vMrsAEb10uS2o
EvQJZI51tshhuRZRbodp3E6M6igrrKA5W+uPoi8f1sm/OH7JF/DCKm8CrpgfOQH/cnYueq1hRJwO
RpyJqB/3tjsGebVHXyOb43bVVENUTdil+hPzcFcWBhy0+ky3fRpVUQS4ROJvf1xKXFCY7AaV7itS
MRThwtlNzFW6iKoMuYr7dTa/V7lGS6PE6rK78taUw2t1W751J1MmbNEij7BzMzL/qssyae9TL5Lv
80YJvAhVVKIsVIQIREXaLKjRirUpsSLOV2+HtET3ZHngSbtSz/TvhNF9qJrQ/dXnffHQ61bdd7lM
zZ0IVWTvejVr61i3VfoAo7XOjjjzrT89Tkm997wpv90ml74P2llUYuWIJcSDpciYp16jdDmlyq5R
Glz1O2syiV+hzAHeyd9CO3ZXY6TdGa1rdDNO2fS1DTzDwNXCNb+mU6jMWNp5DyaTVdN3s0nB9uel
Dd8vSznTTurUyhL69fB+7bDU3c9O1byvcolYDNpi8msNVdGi+qynEulpX74L5gkhPl/l8AeDWnp3
VTc0CgsoBPdjwagzggK6HMDClmEOdnZlGBJPCB/6VzOmroEcq6PfhlXbEkO8wPgsU5n9bBBZyPc+
LMZbPgA6TuM0Ab2bVf/LHGfsgwaUvq/a1PR+W3mYlXtMVYr7Jev9DzUjw/etOzSPHcpTH5fIKZjw
6dNJ7FWWE9e7aHLD3WQbk9oXtSE+LZadlzs1GhHeWF5viB00kwo0UlYIb27WBQfZW77H7PZKj9WR
ZfikSp+psVXVxjvXGxpaICvZVSyryjzWhYryG99fTPNKVYWi0e1hh+VmjPO5YVVVOy/foEgxTWK4
QI56/v1CdMM+gmk3MlDnPDsOJcCVFZVBvMAWSoiA/m4ZquXWy1yQq4je6OuH5POvd+M8+5FFvfVH
3u70eCqyykU5rSDwFrW/5yWlT01rFB876+IM8/NHg7pP8gHyQsYG6nd2qVHnXiVzjqa8DT/KUOe3
4YTGlmjH5gj8dmkE9Pmj0TgAXURbmk4BCf3p9azRGYLK66K4qiN/HxZteVMKRLqLkqTh9VV8jof8
aVKQG9o0JNDhOTsEbSmMvPJUhKl5C7Y168h7V86hcT2pxUoC2bsfVld0+bGc5PSG7LV7mDBLuOQu
ecoy+5OjwmRlcU3aH9SWZ1meU7ne6qoRqpg9L9FV11oTbcg8K+6HDDxrNxbIViEo41X+zl3URcrk
MzCGZYA5hkYVQokoZ5zl5VgJWAVDUWkstbYfomEERR7xuGToNz1EwlzeZcacXyh+XnpoF9VRDHlB
JZ8VP8j+TV41a/bVbDvTMaNPIBn7dTx7t4aVSS7W+ncFM9+IhPXyAmvyhU3NnuZRuT738Cc6/lUz
2pVvIdtRGbHAcvCHbPuJorAf8ItUPt3Euqu/XNhq4baIZ2kNfScEwHyYS054nkfZ5lLIfEU1tRJ+
Lg9Wu5rfRD50025o13a5GqNlDmPfQ1svjuYwtQ4Wykn+w9g6WU8rtpp+kpVUwX6xh+rbSnmFXLFv
GtEBf1QO8dKQxMF8WUWx1xM59l6INbsP0lZ9L4eRmqAFAX2nHUJVLMNefJZk9lUyuaIVu2pCW+dQ
RY3/2Qxs/DfscCbaTabqHPKRCMYEGfm8Eyiyf6qifoL8uenH7Rn1Vctuql0azgvzaG/wp/T6xHdD
UNQINZsbq3HoIXeD0JzOkzKvFsOCmrEWmIMmEmjnB6rrqYKdYE9fp9IPaZGlDHJMPH7PA2XEvCiy
q29BMM7dIR1n6eASwlnMsPZAiJtFnqe7pg47iOCO4d9anQfva+1Hr0oixuvV3nXWfMOubeNJR3lN
S7ucEbwpmh7rkW7IjG+EEZj3dbZgJ9vN/PG7FtE0RsuA5w0aFVn/q5rgcrWOpX6TukLTnhohxKNU
Zo+XTpbWv8NFQtDQnR6WWFfO9IhhQ24k81zjHDt1lttgVpvD1in6LIPrUxeoQapuasXbejLNhyLF
lTI20qG7mgAEwSXABYO4avNMH9cx6H5F0mpQj6hm81NJWwSA0l3gQFWkGDdpA1FuxyAI8sTjivEf
0IVTN5+QMJh+cPyAqQa57oZ9kc31tVOTuFBFLS19PtKNdsccofuTo2fYqspyno5mVRX6zlmysU7o
E/o4uPY1f0oh09Z9S49nta4toTp/36citQ+FXdGod6Mqx529F+CptBhDb1/Zkmf2RDN+nQpdbA49
MoevMQ/B51miRLBDCy0i8AucTHeEVw1HyCzdh9Fp1/nKn4z5O8Z72MeGhjX/MLPZ+yEiPqdd7RrR
bzI0L7gJc6eqjjIcAnmlF9NrUFKyWnhkVVj9dtZ1RrIYqOGtZ9vZuPdavzXwzEihSpSru3wZ7W5+
U7Nt5LtMOvawryBLferD0v1hrWkd7VVjcBRJf6aVFzVVO1zZsvH6wxIu7oqm0bBY8MO8VSQzQ+JJ
47WLE7tpa/JcFGX9npZmhdWTbxkY3Yl06uJWZ6MXR3lZPnEnuoptiSo/vujr7FxbZu/KN60SHcqS
wDPZhTLr+ZkPJd+i5UD9vo0FnIXZRUWt1iEyGsjXg4UUY7qlnVNDYuqYi7ruRJUdMV+4FHNfOgYZ
f6GkCgHt3HN6vtCBN4cLOJQmjaIjl6G3GIzufKz6iu6dZzVJ0Pjzg1mMXrZzK6D410/iF/KLTdYy
+oNnkmacgW5BjzKr0eV809Irb7yxst6JdOUsibILIxAvLDFaD3h+b5kMDb/t9/8KMn3ddyKY3TCO
imyrPsaySSw5iZ8GNnRHr/acw7iIS0NNz5+PVBTtORzHeb9WcPZ8Sxf2prkQvbGPXK+IDctx8Fbn
A62Yx9dX8nkE50rgPhS+WEgDYZ4+3zI72mxGwCkbzdB3uS/m2GYwF1jCye+CggUl+faHz53SF6Lp
C8/okCe5vhfRREVq7/TKWC4IS7UmK+tP1q1ZwRFcMzf8uLKeF76TM2L6lpzBfAb6iGx6cxtn5PRa
XjkKc3D7KEb5QYxf6oXp1WHsEfPR9Pljus3ueiMx51n3Gtib4O2bfbYP15pRCacWY7VfMtftrvOs
bC+UHS+sA9Cm7YW0Rp3Nm/z03oKq4gQJgzSecjW9i3LPSdzFa7Fjaf6dHdCfZXAxe2EoD5F0AsnZ
Zs6U16txRSskaCXgT2Fl6KT09pjw30xgvL6znh8SlgtKTf8DgzCMz873sOPrdTEgiTp0s8SxCO3y
SumlsKiiDXfeixAvIvq3mGDo0c3ucjtILw2avbS2FD10kDYxuWcpIq2AwpprHD1N1RS/1WxkX/EI
KtodwmLWw+vP+8JJQWfbsQN076EGnDcCWkA918+rMM6qpekO2Rw1yJtyOquD5UL5lXZmfvT6tLmQ
Br9wXcBjDqcNxeNf3NP9UwvPbeYFa402UmSCvqWALHOz+dgV0DgbMfVH2cv135d4BB5GRf/0uzGd
27Lzvw7G2U8Nv0ldSZRkluAYLOxWkquySgKysAv45QunFE8IBYskFTNz7+xipRkYXc33gbJqOyRh
aYYQStwA2Qyx6J/L0rvXjjcF7s6PWkMmr7/YFzYRGj/YF3EWs8jnbe4gHzMLRkWWiCUUjzjvDtdg
9+Y7Q3fRhUu98C4pzglseApRX5w3X/MwzCE1QcGx1qWy3jpubSSpDsc0KYCJy6Qwc1wNEAX61/HU
5vE2Pyg4BSbR4PRlNl6pcXCiCWt1TvA7MJvqkxmG6tpKx0uG9Nt2PC2hTi919iqdqenVZNMRlYKK
fq8LBbXbg1F14bN4Xh2i1Wy7G9gB8E3f8/SRACcH21RLnmBnXb4Nw7C7K+lnvTXKFcYazLHD67vk
TI1rO1wZP4axh+wdpqcoepxecKC2Ugwu6iQaG+YBKlVEaG41rYLNGqABwWRXOz02URbNh5Bpm4cc
rPATrbOWUSx7FIwTWIY6lHRpMlhgqvR2xZRWcb1ode1ZKc3Z1+/4D/59/ipCIiK1O36KYF6nd7xK
hJejNoK/YS/AA2MrUdRvhf6QTbje3zVAbPRf02GEEmy5UZ9M5JO/h6Dog9hoC+QSxkiX+VHYWfDZ
hGTB9EelJhDfpgq+toi0GEcHfYXHsXCyr4UR6Xu1Wh6TLboYPxQrNj5xUbghMwOuB3vYG+BVXQj9
zz9eECGom7wcM2AvnO1sKygcqp5MJt0sv4jZKu7nMP+Wpq799PpqWi9sbBABIgCug/BSzzMpNSxB
ERg5LjPAw4ep6KxD7ozhfR8q5xbker2vzGZ6P1Ab3bpIM+5oBqaMymX1sg9yq0wytfm09GlAn+b1
e3t+fAJswi7EHNSC73fux7vWI7bkUmZJZrXlUa7hl8wf1U1TgNAJsoCD1SP/IL31klLaHxbh2RZz
8bSjuxiR7MFuPN1ioRwXNdcRHWvcSoq406Z1JU29NnHQMXp8sMkIrh03t5yDzhc7ePKEgPGPmnT0
Lh27We/baAIvSZfJxeOvaILPoeXI4lgMvoiOry/TC2wNKimOjQ22xKb1HEqEcCXEUIFodAFYBj6q
BdMdzaxFrEYVGUmddm6c+1nxxnMUBlrl4HSJW0bqlpIw+vX63bywn7gZMMVNc8Xhrk6XjkAf5qEF
u4rXUhww/xx/YbK3fnr9Ki8ckwh2QTjFms+Gu312ajWUGm6/puDdmdf/YgP3B3t1jF0QDL1B9kCN
//oFn38nG3MtdIHRQug3z6Q7i6W2q6aVXmIOSyWol2v95K1B8w7uc3owqsy6zyAAHb2lbq8jcDY8
IITHnE2XB+3jlAnzbb/K/IjJ9KV08VnKavPl0g4nBG5Z67l8WqMGc2xa30vcuQslfQBdFRh7LS0q
SZ3TWMdqbsJs3+W+/9SXo8fsWeHDUXl9hZ4lAdwFLGA7xObWRgrmPHEWvVEU1Rgm1VxO8NtoW8KU
hpDTGyk1/pLfCLZj8vpF/zgYnHyplIF0EPlGHQpq2qan2623xWRUUjFu2Lkd8Bmm7s2B7JWRENsZ
c0C40lfOQejUeW/nafYLEmX3g29h+j51KcOStRM2v5d5bdSudYwo3ckwBOdaF51+sysMrOGvrYgH
zb2efgcT7HeOfd2GB6HS8WEa3faBVFbCAlfLlMVlAWl579tFeAzlrIqdnp35u+erykzgwFj3ejR1
sF/NSazXo6sCGyexxdtZue+Ve4f7zO7Jl0fvRgep41+9vlwvvCMcEuD98BVuien5O8J/oqmdtmX8
UmEmthTtXe874uC65htt9NmBSjq6tDGenQikM2DOlsMva4s1p69o6WZvaaq6SxoKt6sKtBgz0jkI
pgsb8HlLZcubbD+iUORvItrphYbJr+vaWnm60LHeDUTYvTF74uiq1k2asGxiFXXLVZS1zAp4w7wH
zrM+/vsVJg0G1+cL4BA8e1hoYHjVB26btJYpwXkkw291O+3npXOS3HcbZDDZfRce/Vmk5MszacuB
FRAE6BucPrkFFwhi5twl2Ps51+WKRHdhGvLaz1KdZEwmHPFu+YZZpHnzbx93447BzKADGTE9cxYo
4WPb5ZBbDLTyOr5ggTnu82FpnB3TssUaI+ik9q2lDPdCEvjs/OeBtw3FicxfjHyfPnC7qiLw0gaG
tdXmtzN6LcfRyc3rsS+sN1Ohhu+vP+fzGLtdkGyE5cVdm3zk7IKukfZ4V3SJjHJziVtFypcWKm02
skT4OxAMWPiqLYJ9bzl4V+mgX5CrQgt5J+3WvCQU/HziZrsfTNnBM30YFv7ZAlQGRn0ElS5B07Ji
ohntNqfZQzFGIdFRhtK7bG0ZX+sZEImSKVMbz7osXHtfFQ16WdjDdm/Mthr1Tdg4Tp4wftJNu8CF
25VkI5bvO05O/CNaPdHJRnEu+7VqOEM3kLjV3UTe+NVwu3bLsW0jiXzdYlkiGIiJm9kkK84rRBXe
IqOnvhgDLAx8PoKREfS06z7k9rQEO+Wa3JQepH+XDTpFwdxxPjvOnPc7b2qyj6aRz0wjduto0RWw
Km8/C7NBt1Pb3bHGy+IzwxTe7ToVyxJbtK2uotV08M5s4GQmTFs4aew1upp/pu0m2jdB1z3atCSY
9m1Wa2aUMG8i+dRGHbP5WjbWvpQTOoOpdJbmmlxZHCzZzcW1Q33woZwsYH/me1bnimEBWECj02Oy
no9DcEUzl5nj1CuW30iMtk3iNhKK3OubcNtjp7GOcS7qAQ7wzVTjnJ1UC5pICCJXSWss4xXspADV
PLVeeYD0F+LqP1jt2cWA98DnKUJphJ07LSNj7ypP2EWSUzn2n0fDLb/osLQsegobH87AT/Q7hWpK
w3aW8xfSI8d+LDtDLwdyI8aRvW4e4TTqytxX69j+tuw+NeLQNNblzZCK/kMOkBpctxv/8EYb5my/
ncqygDDeqrpiwCcYn6K+rdBo9xffjRH+MgmUfV4+Km0iml43BnjgPFOcxiOsuw9R50+UIlDrw/u2
htaezDiuF3EK2aeNG9NhAmcIGMwZh64ecKFgtgrN2Ux3TNJriE/uNHjeW6/N2uaKsje6m8u8+akl
vqkw7occPR0ojQ/WsphBHGlbiP3Uu1AMvWgwHitOAhMhnqx6S39TwOBroq65CZq16PF8AmTCqd6a
vb3wiuprbvQjrJberxgRKrLB33uTHyDE1YnxkM90oDlzELrcmN4jklN1htYLfdYpXjR1U+wXFImH
dCgIbgxtBMs+wiX0Sha+sPfM81g/ZZA1xWdXjI4Xz70JJgyMbF77oz9A6Jk9Ve+gI0KEyRms+Uk6
U9uJtwjxbtR9+Gnqwav4My3p3roub3fvwsBBU9RF++JhEU1twU7KA2sPv6H/AsfeHWndOPJXZ+dN
+IjedD8fs4UmHTSeKe13emhdxqZof5HdFOOcMhbvy69thrKCb0SQt8bFwDWjD/RVm3VpjsBCP+kn
tnuX37VjPz1oEVg6QXsDIlavopV+4Vy7h07JaYwjlSl5X9XD/H52hHSP/VDWKCgY/hIHU1u6e/LC
btqbqTsiJUQ6zGAeSmzyGHmGWneLuXTq2KXFmOEmt6Skk/zFDHhEV+oY4fjCKJ1VDAyDS7f9TftR
hQemLhtsp7TnfZO4Cs7vmPuk25lmznor0mB93zUmmlOQOvBpHIXCE8KO5GfPqJSIvbnrnnJrZo7I
ygduqktpO+0ZcVtuobuI7z5TE8x3DylCBlU3ip8ioKSjawUdC+HdQUY7XL776qETutUPzuCvABJq
DL9DXc0d5nqm5fMgB+/p9aPohfi7TbNs+itbQ82yT8Oh07REB8QaE7DH6f0Updn1kpY/Q+brHkAZ
LnGOXshvNpBv6xeS7xOATy8nPDy3dOYMSZnaudjR8aDAm2GmgFDkQwLJpjkw3qmvSxhsF2xDnufM
HjhOBEMy2CDOPzpNfyHGi93PJvumSNayzIDAsnW/cQSuysaGidTP9metnEt6rC+sL7Uz+DS3Topj
bwvy10W9htpkbOYqMcICHl5Ve0kOo/IQurP9MWsm7/j6+3zhIbkeuTkjFoSY6Ox9DoM7D6UgtJQo
mR9rZKURxlgGpqO6/jpIsSKC1XiJhvNSUuV4tAs3nIs07pyUb+Cwazo9GJLRG7gO6TILh52ZigWu
cT4Z8AUrYd1UoueIhFre6w9hkJXNFUQw/3OXu1N7IY9+adkpH0IqLAi4lPqny96ZhV8uvmyTwIiy
j5jSQP/IFjhasluTtpovfUYvRPQNYWIknE4mTbSzfZ13Y2mowB0Su67U+6aBHAETJ3oL/eaSueJz
oJde3dZypw9BLs6o9umzyToLJmdQSKXUpnMFQ0Ff1/y/cUpunwAK9IlupHHoe2XRqhA6drQFo7JD
4oAyFa/eqkRfvvHtydk1QVjH/tIWB9PuvTB+fTO+UMh5G+8ZipEd0KL5M1jx1+4fcFT1vMEdk6zr
9Eem5sRdrcvlya0lMmzGJKYvDSPjSWY43iOcsf4Knej+wifxfHyDBWOd/nCiaY+db4Z06+qUgRyh
Kek8P7q9L4qnQkBRSDSkzy5u8qV5zKxuwBBEKstkSjsvPgzOan0SxNJtKLqobyc42z9ULc2bVTGS
BsVfYxxYTdX4CYp0+uim1nrhdH7ha4bATnkAkR1Y6Bwdq6RAHbBb+6TCtuzNALU16UeJ3XNd4vIH
mf9mXfPiQsq41ZhnCSPoMSUSxbdHv+ns2zEEfMmwp88VhKqLba9sP1a1cC4Ccds38ew64P9U+bgx
UvKf7mM4FMrn3ITnVQ3OclBzWH5pO1vcht3kQrwNFqwmmro/6Mxt6sOWtb9NrbT8/1hjGsVwmjg0
w2duGhHK/rkXYodKLwKB6cm03rRr1sbAlupt2a0/LUL3hQLg+fFExUfDHbwLSAXM7/TRIWxEkdBc
U5ZKX+shW75LRpPxyqrKLPnfnJ3Xjty6tq6fSIByuJWqVJ3dzva8EdwOyqISlZ5+f+q9L1yqOi34
YGJiLiwDZpEiBwfH+EORRMae58T6N54vNo9d3tlQhKktqu4maGSFbctSxUWDvoBZHoZi0lfoU9FG
PmuaPGuJC/5tyXUAe6K3kJqZ0LZ4aqhE/6fkUvv9z5EBfgYP8RUzSgt3GxmoLZQRRhvj0Y2TBAIZ
MQKJ9PJGGV3QWh26AFWlDo9Zrq5cWg9NJUC039/+EZekdjimq1s7+QCtNxR8zz+D5w1tNyvWeJQa
tljHegHyH+hl5d3Pno3ozNIiynxwYTVTkDbb9n2zzHPpi9k13zuxpc++3sdD5Ktt236P7KlBB1Wr
lekwUc34PisRLHh7yNvbHN7JeDO0eZrzAk70Pd2Oyz4HQZaWn0cFnsYBXKrzmQyUJ9J4aMYjVKMS
BMDS3ZQujTsyLMzL0lmbiLFtdptTyzwKJdUMgIyg832YUlRAVfQz6j4Vt05Xl3dpgvexOqAb9vZ6
X5a3bXAQa3dyjSuo7Z3/yLqfEPAo5YSqedWd4PjCiK8EODdAtB/gDkzPQyXV2xIw5FEfsnbnoF8d
noKhqjtU9TR7c+ionmUT+LAZyYShn/whM1avQkc60UPpCMUNupa2N4jXwhr9ysS+dQWjRspOGvra
iN0cRfJQmoH4LtDw2C7DYrl0oXRQL1xDtfvYVUuWPKSalNo7sKmwkGI6aM/wKwAKKUmiPFn6iO1u
n5benVf1VX5jJ4aB/oIY5eznposKRIFTNNfU3EzIBGq8dTEFrVDmn2i/6rdGBDgB3mFiNLemkio/
KgOnbxRXGnLSqTJLwLeRoNytjUp205S5a/rFkPAVJgnmd26t5D4eC2n5eQq//JDFTXyjL04XhdWI
xgYKLHF22xZVRsk2USPPFzmyFHdDb3c/3H6qv7TRYH6I7STPP+M+kt82PBAa355JjDEaNuvT7Hrm
gzPYlRdQ7VZ3UHSX6RnYGxhKKo8PABTblGmYe+pag8lBt+f0oTJ5vBWiY5PrYs9D/fXFtPm85MK0
T1bAD7fKer3+lfOM3uKpgxqNR0rcjZn4qsZj9FCD4pJ+lJk6phPUPMonTYkbnuUxwjrQHafF+al1
baPemlrf61/VSlE/v338rlw6tBRhapE2Us/e1paBKsqm63Rky5ZU+W4lUXWAptC8jEP3FWGYPTPI
K3mqQ6vNXPFuVLIRXDlfiKGJVNlXa+EpNiAj+6C/yspP7ETlmR0PhQydQhXGHR62dXnwuA7aw1AK
XN6nscNcFyiaQC9tGEDFitGGk14vaPQTT7vheYim6HkA/m0e3l6ly62C8yd0Ag4mSAeC1fmvdjAr
sCFq5vQeIppIWS+HULbjeF93qCT8+2AMRUxCgZQ+67aj0nG1xLO+IAukNc5dPglU4FT6XjG9tp2h
LqMfVxw58Br+KAXam6yuKiKLomO1HBe1Go+6W4sfCpXp0CzsGPd0pxQ3I1lmyJUZB0jydHutjctc
luI9EKq1Gc8jyV3//K9z4USeTtPcW44WifVPoCXOp8kT6HW0Se0cFUC6AxhwSzg7t87r4T47kMYK
AtQ1sHFQuGFOnA+cIGw0RA1KGO0Ey+xOxqr61HZLjqB4Oal1mLRdnZ10CGmjn46kQH41VNknS8Pg
BDeI0f1Nzzd5rnPyuNDK6RVzvwPPRC+zbia/aNNO+oMzz+DWozWIM080nJuJ/KDP5x4h56W0okAK
E5i6HUnrp6n07jfRzrE81CDywH6W6vShnVJ1Clxb1uB2+G2/bWr5gz9Fg8RQgEZjftt1TrITFi6+
C8vDytAQh33tIFV/vjwAIhNTj9PluNbiEI0VZX3b9p0mjvkoNcfvRwVXP8wS90i6647bfhfw2bqB
osBamdlsiLmyIl7Lpnqc9DGp7qZIb7lJoK4gFEjV9buI4AP6UHCoDUvTVb7940Fn3iDOAErSSLV4
Up/PO4/hgCc54qU847jjXGuCGZhp4eJSfnp7qIuzR3MHSCYy9mvNkKz/fCjIoUCUqpYl7qoynDM5
fklaGtPYvUzjMWlH+2E2eQ3MHkwSL8HY+O3xX9WZNksNEhalOnSPKNJsGw5pqvKQimvtiDoRDE8I
GoJKuVc0DyLSKvcw0cutDvivWDdFClMsMMeKqimKM1lyQ4C3qOCWqjrdDlEMh02dlxkd1ULPjslk
RgiatoX5UeHnu4cZqbUeuZksCktHE+qhV4U+H10x6nWw9KJ+t2Bf7kJXhZeU0a9GSy52Y4AYbdnt
bO3XZt523iZwD3VFxKIjvX6Yv2KONWq1ISNLO3quHOs7VdG0X5PhJO2TTGI6DFMrNRk0OpSMYKi8
RX/sY4M6CfLTU31sm9k5lV1rxiuna7mZSAmjoK0Kqklvf6ArZ3BFsqrAupHKBsp3/jtlnVbRbKxV
+y6BmQ/Vf1kFaVx3eqQiao+nGA5b4rv6EqU798JlvsKxty3kaFggx7TVzeaEs1URHjGx1cZKQQp0
Tt3Pw9DPf1gawlGeUnh2TSrmYHWcp9YqtBoKSxJ/N2EhBXBu053Tclk14heBm6RKjAohu3UTGFwj
FpmrslsNunofRDXMtwshGtfvKvNueKuJu55b+tCWvfJBgGj/0GSqvRMeru0diPQcG57NxKgt5lcv
EKhv8wERBUdrARwOAm6C4/UFPWGEIeoDfe3oZ+2g+xGYFibyQ9Va+U3Sgwr1Veh/wleipH8mrqHB
YDSwuAMY5O3z21vnIqszeFIhbGkgrOA6FxV1XdqpWwrHPK7C/k8CWgxOVZn2QTZL9bko6uLln8dD
ytAhlSA7IrHbHCmY8FjYjrA73QYP6SA2u+g+U5T8uxMPyYxYN1WlndNxeVGApKVQtH4MA/jDdofi
OpNg9GkeOa0IjHceUgZqmbetb8wwJrJspjOYRUvowi5Ydko1V3YjtxMSKtSSYSPa2wY9DOUJNrlr
HoeEgm4be/qqw1i32n2XJWl0NMq5usFgCoPm0azvslSqyb0JhHVnQ1750DyaWYK1J83TcV2lv2JZ
k8vaclPLPNYS4mQPLf5HxxsaTfQF4RZcjsDN7ZzEi1yYy2ItKtAzQYnrMoNfvNEwm9g6TrS97iAo
yeogila5b+3UzMN/3ljUOK1VCnIFQ7xyX/+aXy502vVTyWCupDDdCQUFwSJ+nNPyFzCRegfSv11O
h8VcC3DcyHgAgAc5X07PAYwr0yYOM8tAYhLhxzvYInN30MbIukvAuu1t422Qfx0RoTr0+dZ8AwXa
sw+I4Amh3FKVI/eH/QBfvkeboBHvMQdRIarrIuhcuYspfY1Tf9+B67C4BWu0ZtBtBIx+PuygV5Ez
ZTE63+mkP5HJenVYTM30TZNA4/za641fphopqFbVguIMen7anUdzuPe7KPJWooymPqMAghjcYHeG
Sqtb5LeVniXvEd+deMZXhlUHczfHH5rEqD7aoAbQ4VRz+WtE8HAMIxGvfNIq6X70qSq/llOPSq5q
LbZDxm1LFOiUTi2CGc+LUypIwZ+gbze/l7Jw8F6QiROOIE/Uuy6b5J1eNQ6yFUOa/JekwAxon9a4
TKudQA7am0eK9EJpyWHcDg9dV6lR6m8WPCj4393wIwbs365t9Hg4rGkPfxWQ+N/sEhkF5UKCjW0t
DflZQEELErMXv/OkBcuSEc0bv43mKQOtmjHxtlUi8wB6SXn2aP0mx2h2sofZGuIlGLGkuPVUvjXe
SKZX0hg3sp88ElDPqNhokT95dvs5IgUVx6jRUSfVrFmTPg1u6najNPJHRU2hfUACTmD0FjrM3LQr
wRh2WhvraPko3fKE7k+2BFJvBl4Kq6+rH1OqfGj5s/dRGSMd663eN8FUVbwlkjJtZp5ZjYEkDJCF
cBD18NvuXLJCBBO7b4KO7O9+EGgN8up1Qbn1sfimly1W08Y4N/dQLKPiAIJlRNcl05I/RE6tOmST
XeuBlJM3AzuPkJGbS3Op0SqJ0EHKgBd8daSqxTdZpWY3ke6MCGFqYNt8Up4aXGmrrqJzJmKugSVE
XwWkHBO+CRGCPbRGYoPR6Bn6CL0o1hduZgMIyEBzBuLvhI65F3sLNQZd9vGtITWkvUdPaR3AT8Pk
BIjrzr8WDNn5v2G3m35VpsWjBMuNeJhc/mRRZP1ygY4UAfQKSm7Q66cDkXFIHqji5v9lVs7J1crR
ngOZJ5gN6Khm/BQz2grwFwbnoRFe9sLCQUK2FEQQdi7BK/HK+d+mzNrHoqd5fowXPM359DaKZ8oi
DmnswSDsRHdwkcF86PJ52OkYmPx9m7BB84V3IUqzZIfbaGXNQhhKoeJYBAQ3o1VgDQ+1qKIdmsyV
oEgTBAFPWD9rfWCTTrhUphe76OPQoGeqHZU4j97RX3WawHbwXRyyPPvUavZex/rKaq6+MgZ9wVW+
aJtwI5+hUChOk7Af4uqoxot2g8iN8cQTFH+xKLH2Pt8Fzo8wjHD3qw8OVSVzS3ZxjGauYtPAQYVe
afcil6n/znO/blEXUDLv3m3i5KY0KmS/Wujm3/ohgpGqamgFBH0TRYj5dzaYqpJK8VNewXG7sZBa
aAKUeDzrgG2egltUr2mfNa/U+6CjefEzpb0rwqqeQFnMNDzRzkmhDPtRisgo3p+5ca9EpYqTSbXM
7yhGYSThRbpRhe5sqQ9JXg+rIkNh9r4CeUQBelVWK0CfHVGW0YDNnANghrOuanZgZIXxWSoYXmEx
0Muvdj4DDRKN4igHGhc13Ql16Ht6DnGuI1Ibm02QzXX9UVrzIk8TSkVLCONXQ65jrrWXWjgo+k2F
TkjO5swB5RQZaXdAeE8bSfsqh7gTIxfR5kBn/LxL8K2qhV49RVo8DQe1opO1CvAt2ZE66zifOJ3e
r9ajDOsvFiXXYIm9/OesFtVjUXuqvHk7pdEvdzepIwR1QiDPUBL080PrNNYUaeqQh4uR6FYwVyMy
5K6toPptIYhQWIUetIhthzIR2m23SCXwZB6NQSFcVCftdlQXFjDtf1eVMUNyrEekrnlxlX2K3UVk
Ovee22JfZKsiPUzzgn1EGxsBYjcVnsfm9ITSXDUfkLb+Myliz7r2ou2EpCidHMxTV+cwMvQ1iPyV
s8m1q5qNXhkiJzIB6ZttxKCXZKCckw56jcsLigsAFSy7/qNO8ZSQp8/lTwhqsXMwu7F8Thtctg5z
LdybGrtOPUhcd0H4aKj0/zNY+H8qy175GDZQEAAhK63hAhpj5V2ZGlFdh6AStEA0sAlSwOs/ZJF+
HRLzG5NUP729AV5ZqOdRlNQSCTo0WyiEUwE6XyDhIqgi67YOVZsSlm+ISNxMeaOKY511FA/bRLMr
bFYqII6mUg0gZpVymg+V3ndW0M160/oIlRefQMBVaCGOvR29s5vBPo3RRMrG8c5ALjuF+zmFzVAe
7ElraoowNrAGF9DscwqZpX80Zm+htzqJ9tAh0bR8kCIx0nd6YswwEk0HXHuSQgkslUnCacCnPXXN
+HcsY+urBYgwhT7sTRg26UX9Y6FHjvBz3NM1dNyeZpM6JIV2cLO4ekqVqX8plyFmU8NaRWgES/ZP
MGTN4lSxxB/sgm8UelpedrfUw5yvPEDG4c4CiolqDpiQ73IcKOs72Zg+eib4a1KEsvrTJolKc4tL
EgnueK4OXcP5pnUbKSck7lQFJOuS4NjjFFKgcgnkMCCzGL7VkzaNh8TIZXurtbbEHEsrEJ2JG6/4
3C9o+JxG4K6N32vEwsPODuADn28AuFyI/9kG+rv0XjbXdoJQvb0MbhGa9uCcxt5A+qSvDnVj0c5w
2vK+d5J+5yX1Cgs5H5RdR2MBdA1tL96K57uuLRfD7QcvC41MT5JDHusGrwzV7PzIboBQDlPjoJ0z
4FUzc4TRbrGtz3ioLdVJT+zJQHe60f/rC5wdHgaj1cunaf0EQLdI9XmVDcJ6hDOaI1CtluQ7xoyo
sa/nZTmGhNGBlFqNKvHOG+L+EU+EeTwUNIE8tNBthepurDi/+7ZQnkuvtX8Zdoky5dvLfnm/oymK
3A65CwUcd1vUmmB8OpU556E1iepuXhB8y2JK2hXeuicqjfHOS3k9x5sVp1oFgAQuA/SJbaFxGIt2
GOpVYKtMEg2dI63qHr2iWE5vz2v7Iifgkq1QM2cwalJbtWqMhsel4moIB/SUHjOnFeiKtt27udXn
nZ17ZSg61MYKG6FfBKn0fBMBcKVeaE1F2AHlPCG5CBa+s91nikLKDvnklZu6WT6OyFpVoglBU3yT
BUZ6DHnVTdOwL1urDBWe44OvANO8icEBeE/jMLm/I62LbqUl51+T5MKWsgeY72bS5mFXoHyKobQ1
q36+2NmNV9tN8RRl7hIfVKs3nr28kORKEnjcgY3TJnd937SIFihafMvZtP4Muieh+mkSjSBqTPJL
Y5krH7ZcaPjM9Kjx37a69vMsOgODponC7EPU2bvOGJdb1+YcvTZqgXDSFDxf90YRgHDrnlVQlakK
htGT3sfIUZR7pWh5lCvuMO6xlC/0rykcrj3IV0UbACRbJZ+0LDS1G8cqzJQcd72ut/RTl3XWfSkV
9Q4StXVTYhvpozsmf5tKPGPo56Y4aBmVdePh4eBbSH8+ttWiS+R3VxlxryyAS2uqrHy9M+Kd1Ory
MieiIhQAyBMMBUn8+SoRt0imgOWtsDA1RFsV2FIH/tHq9TxoUdY8FZPZ7pzyyyPhISaxukdo6z9b
cG1Uu3nJFdOGMDbazEfU0PpcOQUwsZoa4NsnfU0Nz48E1EvoScDDXIL4VsLQhF2IrlAnwmWpvWMH
M8sTRQjJ3zoOc+k9CST1Akgb6ve3x72YI91hZoaSj6XxBNpKQMw2UaxGwylsZ/czNYeMtoOZm+E8
GM2Ht4e62OkMRR/Ycmy0ywm8m1OvuBOEskmrwyWZ899G2ZknCkzlC4AAKjZOvOw8aS9KuUC9EJ6j
CaajbuGRmJ1vGpMQ7badqMMejdCPSVR2FrYkUAfrrhlPpaVBvUiSnj/nArmjJ1qFqKu5O9Hu2s+w
yD/x0AB8RgK96faUxVAjYpC0ISwH5WemDauDmmIfZwsqGHWz0bzHVF4x4BpihC5VIFKzW9U78f1y
9WlFkpCAB3R5o2whYzPdKHWxFhmqhTY/ytZbDiyee6sV8ajyK7Cy2rmUL7Y025m3+6r0wA3J5j5f
fm2APxOlKfJ7eDfdFDrFTmg12amMp+XR8koMViRK1/QPi50qw+WmRtyITi/wH3JwIMnnIw/SMNsF
Ka0wtWWuwaXT5Z2wSG5JiLJoZ5oXoYlprmrxnB02HKXe88E4s8oM07gL3c4wfgA80G66Dn/5xtSx
w4O7eTtBot4Z9OoMQXeihQfqhszvfNB2MOjhY5AVujygDqoOb7+pPf2mqPP+X6Mg8+N68mjkUHIE
vHs+VJWjDhnrXhcaaoLnphx+oM03fDU7J/7H3pZDsweVn1XS2iGZ22qoQE4pynrUSSoTxbmbx6l/
D0X+JckSd3U05eHxdkC63KAAltZbkIhLP83eBCSYxApsz56ejjIWP50oTwJniVzbdy2a074+lUYL
h61FVX623I9vD355HqH8QpFTSYJWYbtNvpVkndeDQiRl1Qr3lHDsCUu69+CoZfQAefL/YzhOvQbp
dkWDbVEx1Cvw2tLKIly6xXw0l272p4bGmhU7+fcRGYLj29O7PBVU7fiMAONeU9jNrlkzvCGpbabX
wb6xpT3dqZWMDo2Uta91mnJfTcYevuraoDyEVnQLKAUIR+dbtST9mIAicm/K2Q7nynNPSN1MR4+O
RNiZoniw6yHemenlUTRwI0IywwHaDhh3cxRrZ/bc2uwKsEJ6/k6pXeRD2FYHj3bKTgy/Nj/kTXjq
2RTQQNmdzy9uHX3ktVyE46QND1XOKywqSnRWk9J9QVMJv1zyx51TcoEYAMsHRoHXLC1g2vRbJBfY
IGdRFqsI7XgU7+NVT/u0lPRDgEbpt+gE4qmAlimtDHTHHtMik35detaLi9VRsKBj/uPtrXV5bMG1
UWJZleWgE6yGkH9XoYB3xZVEFTT0SlU8VzPkVGnwEgDojmSV22HA2xnKwROt+8+fmoVHAlODvsDG
9jabOuGJ4s7YgYRqnedfho46iqULeZum7p5r0AXHyvEg8cDL4IVEAZl9dT5Lq8eej2elg9eU493w
DHKe6CItz6uI900xWEbrZ0K64ZgZ8EWsCMZTrhVfikrdg9VcRCp+CXsAN3XKWph3bO5xxIKcurQG
B9w48CChT59ovKfv5y7Gw6o0rZ3L++LzepDZVo4iyBiyxC0cpMgqY4wNe8Iabmo+ABx5EB54A6Vr
6ntUC6JnU8j2RTq6cvP2vrqcJ0hjCik6zzD6tdbmILPYeCVlixo2Ulh0+3n/mMg8v3Py+Ede6XuA
2WvDaYAqSFRcCjfbBniKCqwusloLe7TmfAEr+YRFBw2qkdLqIGvl59vTu7KjeGaytuDxafLY2zdU
6lXqbCuLFqqUYZ5Nb8zeydhOTyIhC/bnYmj8yLN5Hmd5+S2zKpU0NXWOi1nMX9/+Ka/KNmevHboe
JsgGYCXr02MbqEXJz6SFim96Uqrzuzhru84fJm4Jmh9DHN8I8Kv9s1pn2jdoI2DlvNFKxgOvr95E
trlyQzyb5vqBRmFPzlwYyxfdIRQcm8jQFl9p1NEK8JNpAGTPMHL8rmrsPqhQ8i1RiY4woapiuFw7
sfJy79LNARgBOXAtBG/FNdGM6QurG7VQgDyfAVc5zmc8KcVzajprmlFkxxRZrkNhT3vAlTUe/L2k
WI7AUifTpncHfGZLSezBEkgcrJYgHw09iIVr32X1IHZgFNsbaB1llZzj64GWuvhwE0oGZpuoS1Bp
+vIzc9L/qskunvrUUx7pDNHGTdo9raCLC+h/B6XnAE0KHu9W6350TcgJg7kEMdl8Q9NwMECLus1h
MmP9k9Yit1bUkCMDsGvpR9F7rr94c/WEbW97atOh2QkUVxeBFIr8mzsYWanz0GxONupVXqqCoKiI
u86rNS7rNYOgcJGhKAcsq4G37GyuC2Ij60CtHDl4clZetPYmvbHKqKUj2y+Bgr2kHxmld1La3PtU
mSL+lTWAObIaMYRuUKcTLOCKMnwT3xY6r0xEiuYnQGlN6EXgik2nKm9QWwQ8VvbFtynGbCMu3GTn
vrwQwl1/8av5G2Ga63rrIJaJbkINHlhha/bOg23QJo+R80NmTYmhn9itAzOj8FRkHJIxbM3cPuDs
6hwdPVM+AfIkwemzvfLjBVNh/VUr9BGkHyGIgHj+/TQFdbgq1lc0Yz/+pxfdgF/LPHhfxkW4dyKN
FPWAYKsWHxJFUlE0UYJR/LJW5e1ENZT+J891LJhURX2noEj4pbZT45kKYTr4lQUQJHw7XG4zzPX3
crR56/GIJoPffPcBvm3VD/kM0i/tnhEGT+8kTioHadt7yexFseJ1LLhaqASsPIXXL/pXi28sbLK2
AtBImqfOF25+5b2iAMuKi0G+NLFq+oC2MrZ3nR5nxenCRdp18O/z5bm5ApjWlGNLqbHjjsDVo9kr
jOVXUiXAWyLN+6T1nbnr9bYmL5uwuSZY1L7Wqwi6wPleaHk6Q4QmbBqLpL/WzUmgUFe4AZ+AcRdu
RvgriNy55bTppxJIsJ9P09z4tRGN79+e9jYhYOlXSbSVKQcC7yIhGDzEKUXcLEFJJyZos345xJlZ
3alqNyOAuRg7r4lX5tl27hrtC17a0CTAK5zPXUFvLGK8BQuNqLnVRxDfT5aYOhpusEOl73YR0MNC
6cj1ZSUzO4gB1/+QFtxC38T8CGUsI2vRJImU+WXIFKRTKpmgRuoYi3KaiDSYjLVm+x822Ob7uJhK
9ktc97eW3VvjTlS+tnyACdm3VDIJy5vXfDx3noVoEDW9rixoPOfKuzguFQJOtzJdI/Pp7c915Rag
JA2SBYIjydQ2XUTVP4szIebAjpop0IokPyqTg5FG05SImivfZZxlO3O8iAQUYMhMbdAFJOJISZ1/
sWaJAYuh6IO1oOneD0sJLdDNY8Rn9D1j1ovprUOtVWGLNg1PvzXV+SsQNPEyLpHiMpTeKQ9Ye4yn
tKpm2GyWjR6bsI+L6PqdNb06P95VgMG56CAPnQ8aYR9tGjmeaXSSmx9ASJJD16ro6a6S6G9/vot8
ifmhqbdCUEHh8xnPh2oztv+EkNbBEbb4lkE4CewUpNzepX11HJONspZ5VqnP83FqDIBQ24XQWUbR
ckc1hMKLx8Ie8iWNPhlRXgWIo9T/2UM5vEu0GTgbLmpBZZfIpkS9Y/0kIzbDHMGWnRW4ODBYsUOV
AmdNKYFbepPGtHoz6hGONpQPDe8j77/pCBlnhv85e6cBUaSdevyVjwu62LWxDDJpNG6ZRwMeTXaK
leihEY4TAoUACIJNTxAv3t7HvTY1Nu3r9Dii26iep9kMaoFzgiM3UPkMIGcXJ3XQi6441bOm7Czl
tanxVF8lQeC3A70//8iQyfLCgllxkDQmPyYl5naVUzf30nH3Kr9rGDsL2nw1tFeYEwwAmsKb17hL
x141FzCBiN7M6WHMmhKZ8sl44bAYDx0+LU8IXg1K2ChWdlTzvj+8fXDWg7/9AUyTkAe3EHTNJjCI
Xo2cqMIY3Xaa6RH8lfKuasvmZvXwfFrmKb0bUYBLaAhOZfj20JeZG5OnAqOtFSmO01ZPiGet6DUb
JuuY9UIcbVNmwwlGCd7ZJN3RTaPy7LqjKEFrN0H+yTlFZjniugwm1/yTL1UTOhoy/Y/NUpifm5na
rN8tyPTHqDMieQopaCdiXwmjZ79487nislLilmf+AduZ7qNjz8Mt7LcMLqwJYgdR6o+DSVb+9jpd
G5ROEweN1wKbcj0ef8Vu28mmjAewOAxelP6Z2xZJLi1Hhafsxnfg7mQYA2E4vj3o5TONj8O2pLFM
UIXIs4knSDxQFVRKcUgazUu+px7araQGcVSdlkWDXBllgC4PdTuYt0XS5f91i9WnR5jv0/S8tBFq
WC50tY9v/6xr25U1IL1ZH0/QDc7XQhQZiNOEnGYYSyfE1G86ugNyhHpu6O9zTNGBrjdmGbp1sWfF
ey0KAY8gPcDlj9t6E/q1LFWpnRQ1jmFGj76hiuAMq299cal/4wfb/Pjnqa4m6nx0F5GVC7RIg8FX
kQCLPnR5ox8618zQFBZRgDWneiyn5JdQjewbao17PgJXJkofA8Efyg6r5Mgm/CG3k2YWxdhDGeO/
p5l9eSuLXB50RTFPsbabtV+5U22u7zVHgCLEP+ffdHTMJhJRzMKOdq6H0rWq5BbplV0ZlfULbWId
0hFkXGvPFNjBZqAapZjIHenFRsaKL1vmzD4NMuoeRqzokLCZlFOj1HkQJbRR/bGS/aM9SVQAqri0
fSoTiT9qevb+7e985XiDhlifhPyHPb15s2Szh7ye1JA9hAbwJPU+DxSAEzdVG3UfQNcZD20mPr89
5rUlJwWAVLY2V7jjNku+5IVeqSlPgxG/miIu7EdHSZqdXvnFRgIQhBsFXUbqkwyyGSXNqMkpNFtY
6SoNwEfiBhsJCKuTVO8kuKGdu+zaeESFVa4fMwUKW+ezcmq909XBcQOBf/paevRONCjtR9WtmqBJ
x12E8PppzjYUE1z5e+wpQKkgj84HXOgZOPqkM6CuwLVRisT5CeJjio8d3q/poUas4R1oJGxKraVG
dVmPUfBK4EnoSHOnHfRhQCCnTOitcVQwkw3sghgTWqlMqnDy3HT2GwMJan+u1QQ036gOJ3xMO89X
YqfeU7+42IlMh7cIYh1wFDRzW6s3UM+vqrp0A9dSIKXpwFaR0YGKeKzmWj9piFCGhvXPqnfIRxnk
H9QHaAARrjbxRqXTNSN76Qbc4CgaNZON71hfGcsBeJh3mLrZo+JV73mXX5yBdVhk7yySAUD227BT
zirC3xbDmqvR2I2bOZhP4D8f7yliXxsIxQ4KfTiAcalubtJa4SXdKKUHSRlwuNnb4wchrPLL20f6
2uanw7IaOhPfWNDzvTjawlCLeQZ9rzv9B23ENk3IQqAGkaq3fYM81dvjXSTJdM1WDj4bn14SXczz
8dpEDvDDSlhXVU7dT1adeOiRLNZ8oYv25e3BruxMgghr97o7va3UxghHJ81yLj8LHOGjZsx/FmPM
fLPO5a1XFeVDwebdyfWuLOiqYK6t6nMUGLfV/xkNM14alhcId4DSNjU26MSJ4Iyz5ssy6Lt4/CvR
hHt+7cvSdlh5m+crOll5vQjgFMGCxhMQ8bLEuYKXciNLnj450vVxoSTHvqUwP7VOA4l38U722A43
qBXuKX5cnT5Z1vpziN5bTAoSQ5GQehKtIAp5Kgcyq3EtsJaJ843EOg3f/sIXiR3bac2tXOgWOoTO
dbv9leQ6mHYUS0IoVarI0u9Iep2n3BuHhwxW78tiLupN0xkuPiOaNHbGvra7oECamMGuacg2qTSJ
Mv3gQFzJImyNLXSTH5oUnlxVtt1HWWbjB8x/J9N/e8avbbHN7UHEg1hAngWqTd3EvY5KPr5mRRRU
bWzN96jG5PI7QHqEsaVQpk4EsFtnZAVcr3jv4uo3BOOg9T+VpcMotzMVZ4L2B4ny5DqrdaI+Re6H
KNLHNkh5iuDVktB29r0+7psAGxWvPLC2sPCaaEr0l6VUk0/ZgBUFZT4bkWhzsJHENRHuOda2QK0X
wVuvus+VqS0gaMaJchu3SmvcI0s23FSpKka/7crysx1ZqHbPhhsVOw2qy1fI2ptfGyRAMvBzfQXL
/7UtZjVKO5FN6Eq1s428BoKKf+xIlHcNyNpDpy/lf+jQoLolvfpWW7LOz2pv/FgotEj8Ip7rPZeP
K8eCXj6ManIMBEgukDfSRQGkm/QgjSr5dWlGe70cs+E+Q3x4lUGO451Cy0WJgFLT/2GKSRHhHp+f
jKaqGzF6GRnD1JmBXOiqAufWTnMJ8NEflJ6Sb1Y3sCjJRFqKbSnM17e36pVJ8xQgOyVrxql5a24O
mkChkNfqwTiPDuSbvupwrS1U74iUtHxS0AAp/7V2iK0k00Xtbe0SAlk4n7XAN4X2bm0EIhPLw2g2
pY9vRQGrUy63/zo7YOvUfRkEp7YLFwM90SUvDhqORTby3lGrOXRk9pK5WXrUtexfNaoIqBDkiXV4
dJokqpswbyujaqT8GwDiRIhhGpJT7Rbiy6xRfX57Zpd3NM8pEtT/hariLHi+iPOgt7GobR3TGcfL
/Umk8kXKynZC2kVQet4e7XKjMho6KDTiuC7oLG9Gc+ZUG8vEIH3M3Xs3x3DYh6c0p36OLOtpSROv
O/S5Ao1Xy2vxohejsndrXeZaK6wcqXO6L/h1bh82Xms6MjZH0Ld1q94vxWJ8ZNfInZlengcQz0jR
gQKGX2G9eqP9FZVGC/vRuoCql00C+Sh7joxDbkAxrqgBfV48ou7bS3uB9lg3zap5YKwNQygq6y/6
a0S1bZC1SkvIPbXnivB/ODuP3biRdg1fEQHmsCXZQW3JtpztDTH/2GbOmVd/ntLmqNlEE5rFYAYw
PNVVrPCFNyiT2h+6vrUvBgrtH8ERwKDKzDT36nyovwe0HZBCKIKfYVarH+//lq1NBWEQVRU6ZyR1
q/3bzt1QTyMcrM6McFIs8+gcd6Z8El4JO+u8MZSCxhOZugkBi3DzetbTrGmSBUXECxIl+6An9mdS
5OCxDacv9+d029qGh8CVTrUFPQQ6patLFlM2XJGSRvesqSk+UfiqvgQEQBUWg3bVuEZRxtM5rcN2
cqe4sXASbyEUuepi2yntm7o0XcOEB+spNfT5tx9j4YZKcEhRWqXBd70MtirJbTYAKc9sajNeX/XB
GVGIfETSQS39naUQWfl1WCI2GVkCcAhcfG7qEQZiJV3ba16OgYiGQEOl9At+TMoSfbJTqBtemoTN
zylzqMOj9DP+yW2agovO3/NkfSzDvc0vPvP6F/H5hRA0HEO+zvX8xdMj500iY3cXZQeUDbTfPZ4Y
R5yMpH87eMotLIccFwfACDHWFIV8nJeu3VmYjesNVD03NnkPiIO1ImJULEIcMkQHqAqmQ+vMqj+j
2PB7Io18WIoqqd3QkeKIsGPIftIi3XsSb0SNuAREJASaDuAmfO/VJo3R3pQCK5e9oMjGi6x3ybss
kZuvBl7EF6qTeGDlU+lF9UIImEmh+muQ5fKcTfFwKpo2+wzipvw1lnJ2MUoj+XN/42xcvWjXs02p
eZAWroGFto5EaV6msmdWmD9pKIWjEtKY0Y4C6y2mQehyghYh14UeCSXgejfMdlDWc4gjWFWrJlp7
I4iFpoNj4YZTVcMm1acvFZmbKhQg5A/JAuEOkdZwJzTdeAPoDuHeJdRCRZ32+meMpj5YVtzIBGN5
9EVN4/q7rsbxN6jL5rsJHOnOKRABz+oQQL0QGlG8Ojyzq9dVQd/GqWwsQwwUBj4UthUe+jHLL6oz
Vg+d1oCfoun4cP+bbm45CGWcPjCUaPuIX/Xq3RmZTbWQMXkmL94/oil1qcZs/tLocX6e4qTIIO4G
wV/TnJsfuVCxAmIvTFfIz+X3ejiZyCiGcu4tqd09j3mJMdL9n7i5LhTfqEWYAjAgtuWrX1gu9H54
OhRvKZroQW3R49SqILrAWkOjD851/WzpS7Oz2be+PjuQXhTwbW7KdWkzdfoxLXLFG9QyxBK2nuNn
Ah68PqbcjGtPHQakYu7PdOuAAQcU7A2T5OOlnfZqplJryZVez4onz/ryGZ+4b3hfjj/vD7Lx5BIH
//8gqzsmxfyhmuhEeXMDq8mHY7YgwOeERY6IZTf9l2UEvYpPG71Pio/XHy9YGl7+AmcpFGK1/EAm
2I8HDsHs6WNNw6uN9vTxxe9fHyMhRWYZxEAEiGL+rxdx0RWpqGJC4ljNH6oeQ8QpbY1jj5HOA85E
v6l7VJcC8PX57QsLhQJGEVUOUAqrgZ0uWVKrRbsAuC6kTE030Bdthvdw2tqdjbI5Rw4Dj5Rwglxr
cybAFiST699rnXBqfiq5EoyPU4InNK3eQkOuCrWnY6jhJuWpyhS+1RBavFMcCi4MTiW4j9UeSso4
GyObjFVFlOoYzkgiNPJSfKwRRDncX9WtwI0ZAnwAXsKLsFa0q2hklfgrqd5imtP0DmfacfqAsNoY
eggjsMjYjIMpLuS0kZ6GeNS7d3k2q9LHrEPaw+0qpbGOVhf13yKZS23nctq6JlDtpX9Kd5vUfXVN
BCY2ySEqnZ4awu6qlBg/jyVqH3EV+g37bNlJmrfuQsG0QpQHt14ErK83d9cDADEmaljoUkM7zLVv
A/Zr56DPspM91pYf6FG3s6+3UhOKhDQ/+Agkms5qjoVlxNqgcC0VS9MX3+10ii5649TTAW+njIZw
XtZ0Lhepd/u4kLTL2KZj4UoReEGXVDkq9/bExkVJJgrakZSe9HdNxgIGoJTsPNmLpKmUTnJoKN0R
nHGd/iDTWMpTGJHb+F2lLeMpCmP4aIT2CcszZPqPRMnVgeQcoLIrTxjxgDxXwr2Nu/UbxY4VHirw
cNY00k6VctLlVqaOVyvUbAL1mGX2fLx/PMSlsrrt+L8jSYroAObsL8j9V7cd/c5+wIUdB07Sioep
XIxved8/y0ktnd46EpcqO0D05fFpWj/DjhM0TRdWJjz+MT/FoY0iB5Xyf5J6KD7fH+p2lzMU7Sk+
oxhx/Q5GRRxqrdaaXm7JiBvHknxkM+GWIMEAmCVlPE7GPO2s5Oag4PREtw8421rkoF50C84i9nA8
SR0FDJNKPDUA++ggNP0Y5/r04NSyunOT394fou2hchVQYwPfLH7Vq++XYSGjqbWFKV0MHZT3F22U
STZOCO/kJ6vEyu7+0m4E1/BCacELuJ4iWjvXA6IkNfYpBR6vmefla5RXdL+BXmWfof+2B6C8wZOC
+N4haVTtKZis+UtbzntP5Y21h0DyURAXtjmiCrhOdCJMH0fk4kyiq0qxUnSvhIpUmEwD4isQrWtX
UTvtEvbW9KsrI/VDtgilLSOA4OOqiVn/lUvT/mUUSdWhEz7W31EyQPMyMqa5dNtBmn7XtV07RyfT
7UusG412geshfb2/mmKxrk8f06BkynICYb3pRyvRrHcaOliepdSjfDJzJbYx7lNLivIRpnhArqfp
2HOFpYe01+LSK6lR6Dsx/O1NQ+GA5iOlDZSU0VS5/qSNarZyoEHeU5MGRqORxM8t8hs7O/X2phGZ
MRRzAWWjULEaZcEbspIWW/fkaVTKT/VQZZKvC9flaiGh3nl0NkejCkbaJURbjNU2xXa0T0PT0T2t
6ivtkpuKXjwtKrJEnmW2SAbe/5Bbw1GEQnsARVX7hvO/yJNgW2HusXSx/cu0k+LQB1H8o1Txq74/
1MbXAjQh7JNhTnOPrkpeHXZvwnPCIotuon8VZPW+VWG8EydsXCsMwsqh207yoq2uFaDANhhHBlnk
StJwSCjTI0W9CKbN1CzmQ464w46Jx9bNcjXmKih0VOAg9lBYmGZAZppkrJLQDpqOHdz3T1Q2w8/L
rNgJtpDjdEqmSH43tNP4/f7qbnzIqx+x2jdG0Cz6MHMiZ3QjD5bAe49x1DzbADjevkXpaEKUAZHP
llljQ0DytTk1RduDSELnZGDRL9JSc0FJ07JXHNgIwkDyUBcSIY9IEFerW9E2rJyssj1FGjLtVEWZ
9lE32kU7OUpep74Tq6i8ml26jGerGZtv4Zw6C44w4fgA3jXId5pWWwtNbZhdzETpHK12GO6BekOP
mm2ctuZvyJj5PyTw0+AmmjruJcZbg3FWyMIB01IjWQ020MIv4DgwWIZ0TBPW9hfih+as2nO/Q2fd
GgovPIYhMeVxWq2zHsZxMiiJ5SmzJSk+UgP26NZRE85+VKjOj/vb9aWWtXpB+Jg8Ich5QGFdL2Ne
Uu+wHQ6qHao6zqXj2Hde3cV97KpZpn6Ol3imCm1yqbswXIrT0GhUYAoAklk3RM9OpKun+79pawXw
ZiSahEwA7UrcLa9CkgUFwzBCkBdijd5/zcNm8Cp66rCmDWVnqK27EGUplpotrTtr9pKNpH+cUQr1
4mRsfiVU2S8VMmfRzu0utsdqkSn+iy4reSRY19X2CawZh8kCgExkGFhm43gs/0Z6FyWiTtI0t5Fy
+VeCXffOTb8RHSAtCHqBRE2U1lZ5k15qc04wYHtjpdsFSg5RfYyILvUjvnVL6M6zmS8HVa7CL10z
ZXhwj52l7PyIrVCLO8OBQAdVWvCkrz+nY9t5FWi14wW209mXeZCUxW8soLwu6DXpUyTleexNphXi
ugxAJXRLW4lpvY/K8F4el+XPnGXlTyCwLGBvKlg5671lhS7muVrr2XKLGqs1J9WDVEcj6BWtwjnX
7sYuefvRNAhbhS6OMK1cd0mKLmxUpQfPVTkzlk3OiEVEJi+/W8Ldb289AziOMBLIDTqdRFXXi9aO
2lQOQRf5dAq6RytGGgY9w+yAO1yxszlvn2qGsrnU4LKjqLLOAJTOSqs5bCLfGPr6lJpCVdnWilM6
YzQMYGMPC3N7vKHlipCboinY7zUORyKzcgDGSl4VwGPviqzzK6MyHu0+2QM83Q4lrDGF4SwZI5II
4vi/uknqJS6ytoO9IWlqQdk45fGnUvVeqzrnzXuDoSgIwJUX2dQarOZMg41p2USPtATd0lR97yYL
1g+trZXHt+4NhhIDsYbgNta4+WDQajRE8M41AzM4ZhQ/PHTs5INaITp2f6jbvYHY3EsKDB2Jnoh2
vYBJD98xiVLJU9UMsbvEMeZDLAUz6CXrQy7rf+8Pd3tPMpzYFPRKbUiW6vVwIYW2GaB0QIpfBkg5
IOKH3Vw2/28q8w9z2OY7jeYbgVoyXhnDM+JUavtwjFZ3k4zyMTpmQAyXlDvMpaWDZmmC9G/+Li3k
TnQlI8i/8Ncap3e7zpB/2oixxm4uJ+qfxCqTJ6dtjBoOFK4972lmjOoJPTQse9ylrPHFub9AGzEu
7zEZH4gA0a5cdwUCItieVozkTUFpfjYxGvmc0jh26x6zQn7e4IeOVZ7NRLuoaCc/hTHCpfd/w+2r
IkgDaBHxZJI/r7Fs0WyMOmUtRIpHE9PKUmDWo1o9Jk1eUn+r1AerCpIDqtwJukRwqu4Pv9EwEiEJ
r6gwJSdZWj2mVuQUIwBUBPxT3gnXgaTjJUjm/1Y1CTsItFtbN4dp+TOaleZTpC/xkVry8Bu/gQbc
u9afjEhxjmU2DMEhcTDZu/8DtzYxaF9q/1zfglpxvYlfaoGJbHG/1Y590NMgJSFRImyMov6E0MTs
K23e7Awq/qfXEQZdOwUFcT4LB3bdK8zitsFKHKlk0jvje1CVJU9iM/hqZXX+TEnyoY/j2UukIdqB
4G/dsUK9AvlaWmQ3Tq01nGCQohkysoqCtkGiWr6TB/ZFM4q9qs3GyoreOLEx+lti912vrBSpcTHr
rCxcZ8JDa0wXoGKSpnuKMgU+PrmpT/9vry2/degYlvAQWqbFv1c7DiPnmH94sULVmu2fcVV2Pq3S
3pf7WU4OmZqFf1HUcYLjqKNWBUXccNxoKvbknDaWmt+B+BiHjkrBmoK6IHADbRTi6YxfYugZ9gBu
H53H/pQqwx7WauPqBwmAIhcNHtqB6wetbC0l6Ps89J2st9B9UMvoUxjK5ewu2RRc9NYwdnKRremJ
e42DLWCy66bOUKpyXTbc/rUzAsiRsvJHLoMMRrOi+37/jG4OJYxPeNtEjLU6oxSS+9ABfuNJOplz
plv5OWljvDomJEP/w1A0IIUUlgA6r960oB0rBLC0wAunxEEhVUddI8/DInKlxNx7r7fmRRsIW3uE
kFhF8eevAh6Y7l2OfWzg6Xo49H7hjHJzQnwZG8Xczrth5y7eGo7XE+0legAqe+V6uFSr+WKjFHgq
Xm9PkTmmXpmhRE5oroU767j1VmPSyLci1wcWu353YhV5nr6NCQ70oWreBUbcftbjNPmuVUrxdwnS
ukW7p9bfx3JsyUcymuTjpBcGHmXjMv3bY3YQcB+GE7LqBDLYyZha+qFHjv73/S+uiGmvLmPaQgjf
I8TFG6CvKmxQTOYIRRJxdPIKcYPMhqAtBVV3SGpL/0T02CtuuETVh6qWo9mf0WY8SD2axnHQ9u+N
GL1LMCVARaW+1sadj7bxfouMXyRkYEMJ+K8/WtiifVbMBuFjaEmgjFLrEfaF4zbyqB2oveq+Vk74
P9dDa7hZC2Xl/vJsXCxQcZFj45yzPmsSQhjno6MnoAnxEO2PTS8N4O55GoNpeg9pZa9Ktjmc0OqA
AQjjcJ3eNMZM0djh0sTC+KIaWeFhGk6Y1GbjSZnkw/3JbZTJKMaJgbDyAIO7fojzRVbbUcYiMem6
+NhQvDvAuIgenAnzglpLqwIbBKP/sgxZ9T20nOIhagfzoRkWaycj2diFIDoRCKY2D9zwBtXdqkOP
GLXkaYO6XIQhLmq1enu+P+GN3URtgeua4JnjuZYrIP6RnDBQI7/H3/GcLlH4UUpG50JSX3k5eMVj
x9Fx5w4dsVjp32raQACPJCdRj3il6M2vNnOhSb2tzUB+cEdUjjl+HVhOK+jMNZHuG7UhuzbqIzsn
aOPag0NGs/0FJMe0r09Qp0xC24eMuVYC6wA0NfUx0rMOwbh/690iE3k54O8L8j6nZV2hari6HU5i
5CtLs8QeoBPzm16P06XR5eigOun0qE/x4iJZTDViTCFVdGG8J/2wMWMKDejXg80Hor8u/satU6Pj
Z4Z+vIzKqSsJKqnXZP/rCdb27nmRU65uT10IbICdAWggr5WtYyyiLOAEETITWflQ0cT+0phSdyri
NDsPeVv/yNLOEe9pgXU5tN4HvangqWRG8E9fQ5SeOsguO0nPxi0Ck0aALMRPooZ3/ckbEBa6loDe
kJz4r9YCa9HCyD6Y+ZCcSqeddu7IrfUmxyE3pRIMJ2VV/llqHfxlpeLZMhX0nUdsSbifRdAX0Zf9
D3Oj0grki3IznaHVYJRyW5TkewYrW5nsdXIenSyxH8rCUPCf0bplZ8CtB5J6DPB2gwYbd9Mq/LJG
NYsXxD38pZLV09Bp1smCWOsHRnDCl+gDUFyY747SuK2iz6cKV9IPbTMofos42yXRULAcwio43L/K
thadPAa6FM1UotDVs53gsDrbqRb7pVyik5lLn3odznjbB+HO5xXzW29xdIuJz3CcATkvjsCrMI1C
prxYBhcIZfAPZtTl/+twAHY1q+wenUIxnw0L/r9jSdlOwWNjirRLKLpBMOKLr89xIJl6EARF6EsF
wnjTtBCQtjE8fG34D7EhEBfQMZRyBDd7tZrgnZy+q+rQL4diORk4t78zIyhTaVvsyQlsvHRUwzSO
5Uu/cd0wmANU+XMxKztUgictCrWnslyi05u3B7rdQjSR8guQ3NWEYGtFWW3MoV/EQ4hXVdM79SEZ
8aZvY3mvMbFx33Ak+fysII2JdbCrDR3woJiohWK58ejkA6/ZXEyxG9fO0PiBpHc/709va0TiBfD2
nGpuntX00mLK1ULjip/rMjjZHfLu9mIvbmRq4TsQS3uEk63xSPRQ2hAWNPgaX5+BJpSXobaM0G/r
GvFdyxg8DdFUL1oi+2va2vF/+HwicUAIASYWdIvr8RZEfYK21EPfHAlx04ASjDljaI8V2B6dYOuU
sVGE3oSFXOt6pxQ1BoeDLmy86mrx46BsPCuPjeeAl+ntoQib5MVwlzsLNvH1rKylg+1VaBmKxuri
hkEvneUQI4gIT5+3F3qoLzGYsJcB5bEaqo5jxyoQd/XnsW4/aGpuXrC8HR+TRdrjs28sIK0IkzwW
JgIP0+p9yGs7B9Yfp74aVUgWpB1STHrdFLWbDsO0s4Tid68uY8H6EN65FDxu8J3a0NuLRTPOTw25
/gaepn7XhruSJ1tFJITK4BtCMCe+We938FS96NOnfgu59EQE+SUyAvk8LjbOWBDaXatRhFLn3EO9
Tqpz1FhvdTUkWIZ8KCh04gAoazPFmm9aOcnIsppWhUWQ/bsP4vwLQqDdQzklwc6G2XrmaalSLGY4
Ur419nqi/5FpSk2rTEH6A82Mon6XgU249GYw+lPg5E8dlcWz1BXWodfj+gMwxuJzCwbwMSx0PfbK
vNb+0Y0x/vf+Zbfxzanm4fwEVoOC3vodVGikN1peJv4SDzKwSAmKS5Tu0Wk2nnn2E611UPxIXqz7
hcFMKNVjYsInn234e5KMX6ZKaoKt7pKap2m0zHdSP6IKHseVuRNlbRwiimjcCiRI1IXXQQaslBmQ
Rpr5WTYnfwpLCh/DsTYvsV3sVNO25km/HuAX5QS6NqunQ+2toeBjgwEpGvNCdpI+EBXIB6r32mFE
wf8RcebkRDign+9/x41HhJeY/o1CqUU0xa6vv76N5MpImCNN1PhvZxjtYZy1ASdio27PfT7ugdC2
pkrtmdIOM4DQL/78VeTWRYsJ9wmQddrLw5Gm8+C2Say70MaiY5rU9nMwLJWr6mH5/B+mCmFOIT4F
UbWG3JPyxKj0sMg6QhUuYtbj19aef83yNJ3swrEe7g+3tXsoHtCCJsMWVIbVRGdQR3oyIVEwGMWP
qTFCT5lQuJWjTv17f6itjyg8vQk6RKyzlhWtCvQDi0XOfHUsTHhuhfJP0WX5x0Ghc6uZmbMDFLs9
/FTYKNJA7qKgz0t2PbW4WZp2SCXMEOMl9fDaKd+3w7In93m7gNejrOINvO7SosxQRGjUTPk6FAUV
NqXoPk4jLYO3LiBXDEA7XhY+FEnz9YQUqZnbKFsEcjWyPiPd+gsPYPPsAJx/lxXDHmRY5IPXD6aA
CtCCIYcDp7wuIOqjodSpHBa+LawzSlLV1k0hyr2Xp6VBfQZ3Y9cYyeCsCYNI3rU0bnbuttstw09w
qBAAIgDb+fLYvjqGVYAJkIw8kQ/Izm5RT9WrL8bU9pcAIYFThkrOmxUbMc0Rwh2i9wLjZP18D4Ue
BbjlFr5MX+2QVrFyWuzIoRWl78kxbO0cBsNVmYY7+A8x+VeTa/WqocpTFz4COB1dZ5oVT7D/mt5F
5N7ZITtuHQYUF0Rag4Q+KdT1YMDQOjt0RhQSddi39IMKFyPWeC8UEE/Aes8ILyvgptBGbqTmUrQV
0Q9CCSyuW50KlTm4mTmYNKoX1U+0yTnOs5odKrWbT3YUgDII1ODP/WNye3fzCtDHAzhBufJWBcpK
I7u01dwfysFxtZGcqgCH8oB1feIF+jQ/sOlnX57zYacUu7VdhTo2ARbZB/ih60XGXX6xgoq7oEvt
+b2RzH8zQx1ywJFoJGOKMh7uz1TkTuvVRouBdhPRJqnx6kFOMmDSocx4srX8HpVF792yGIvHKeos
D2Xmyu2jLtqhq24tr8C+vNjfwaFeDVoikFJnXVz4jk5HqA0Ip1BlQPQlN1KAHEp6SmMn/qZIffj2
KrCFboEQHkaZShRlr9e3iKuO9hBKsVLVR54mFe37OcItqEOtys8Ko/RMM5l3EuaNUj+PMT13eiJs
Kaqi16NKhV2Zg4NqJiVaVJsKR8p0L85M7RdXRNgdwg5v9AcJKdHObaxgykGNDA2Q6EGor7aj+nZk
FT8IUAQ4JOITug/XP6ggCOwTGZ2/xWgUt06t5YLEPvpZahf8vb/DNifv4FOOwBlVvBsUuVGFraHj
eYJzqzn6VZKnlRuhnVC5Vt3woBrx8FiO0fId0DtRGJnj8DwbYX+q9cTxdn7Mxu0iOjy8fA49CFxJ
ryeeNxOUN02IW7eVdYKsnnmhU30fxC+ZlCA+29hME3nb+YOBEoofdGF7fPtvwPWIn/Hiv4rE3fVv
4B7LpSAlEw8Jy+SnOjLGJ92eHYOzZvV/ujiQPxoEiM2jZMbRt0rnTjgRvZbRztu48TzT/hWeGywI
NInVYkyJNOO8Hqb+orTVpR9V+5wq+XgpSiBjkhZol7IbMg85iP7rBIV55xoQd9n13SOsAIRCNIJ7
tAtWw8+xrtTVgNTVMuetp2Le502aFLlDLzX+/TW/veZe+Cb0RXB1QpVO/PnrhzLrqynGm9YD2edA
8FWqb0OVzj766vmDhLPKd30y5eztu42CCzIZ8KNJp/nP62G7slEmjBUcPE069dxC+/FTvS2e4HWN
PjaoXDmLqX6GenGeR7t8p0xtvvMbbr4xC2uKphcvGiCNF+GvVzOXsrbNOg2X+1mJAX6lMUhRtALK
DCrVIFmuYi/Gp6ic4w6f7GYqDhRIs4c3rj6/gSYyjUXSAxLN1YceJTAP6lSi3xgY4SWdu/Jk6XVy
iBLJeh77DDvnedf29OYlfRmUrinCCEKCcJWWtErbhUNVIXIolRWCKFF/Diq9P7Rz/l0Kg+F0f463
5F8xnhDhgXEI0mEdWkPcHjQ0mEeUN3PnW5mZ1aVxovZSLcvsayhFnTvHHC885NbHpk+CZxxLjXPf
Of1jOcnarzrsZmPn4988tKLgB/SNBrqIJ9agxXTsUpQYmxGoqWQfi7JS8YAvOk9vssk1nHT0UgvB
MnXAMPX+ctycbTEy0hAvdROC6NXON/DndHr6916XOeGhburGh1WfeLPV7KEMNycpKqjCN0eMeX3I
cvq3OoZ4g2eZjfQeaUbZLeNEOSdR3J5KxPMOjVo3rkwvdidW3RyZIUWeTfS9VqdxzKWQnIpJ2sYA
o6+ZauWpAM31v1mF2FsqdvOM3SQyosjbaTvR+NYCi28LgoBuKy/J9ayDAud6IQfoDQsCVqcy1rR/
Q+qu6bEdnWznybq5PskVeR8w94LNA3pwdYARXJiKdoJdAUA/Py1DBFIyxgH38zi246nUcnQt5h43
y/ubaHNYQgZSHHroN0qbaL1rTjOlA+TafDkF2mie1WLCdTVZ4oPzYqiSx83Ozt34qGg+ohMMVABk
1PrCBI5Nfmeib9imTYIvctP72L9rbg1hyydWCX5r1hg+dEuyJwK78UmhliB6+yLiAmP8+pPSv1YG
WAWI3RZy8TArXfrB1sbsj1Ip6s7O3bgcKbPyHMJoES2c1ZlJ51rrCEIHj8gM2ZqBwAM7jKp9zHpN
fyrKsPn69k+Jpi71WMJOgTy9npuqhkjltPWAgWWkH8Jkzh4yzUFlQy6aQ9wEiAlOcfFW4hfb9gWK
QGWKC2J9JXMd2wqo/sFLymg6BijQXcaqDd/BBY92TsjWt6NVCnMH+VmaK6vCisxymsbACWlQSD3F
SSM/2WOTe7HdBz/vL+XLWl3FTWJasMtMCqj0MtfF4q41MGGwwsGTEqX/0EtpMvkjT4rhQXd1IhfN
xbg5zrrSm24tOcFPJxzST5nuBKOLsUz/XhnrFKfoQFNnH/3N7KMmqZLhFaMcWZcuay3Hl7JA/+Es
Vv6ErE74q0abf/LajgaAO1OdfTPSizIpMSgnDiYo79TqNlPSFk3pweEm7RP9sde69tTVUfhc4Log
cNt7bfUbm3q6U0JtWWwKcdLX8EdTmcNFq4k4G6AONhYenRX9oZaVGW6SBWN4Wbox/Wmxkst5KPI8
f07qORt9aprobfZWEH+0hyB3XEMtEPygMtrN36dsmlC4MFA5dpd+GT5ngzLuBM0bJxeQhyBXcn65
iVcrRZs0M6NAmjzyKNjomMWFv5veqLsPkB/7yI2GJDd28oSbyg+Lxb6mdE4KR8guftOrGFLBEqwZ
WwVXs2qunkPH+V+nlurOtt4aBPdVCuVCW4ASyPUgebvESteqRAxR1rtRoZtwY4r0cP/wbDwpFCMB
nwE1AHG0RoEtVWXHcicRiirDcuaTDg/60gldgXA+L3npeGnkODtPysbloNFXoUonDHbJBq6nluhz
5+QLYVjaNMXfYV6i5RhIlkYbAJW4nZhva4Yg3FC8YZ8Q/K6KK/KwtFoSEvBXVZzVAOv06rlDnO57
gygkdJmkOdpNaD7fX9eNV5MyL1BzGr6Iia6hWAkUvLGE7+FNpdx1XliY8XMyIww54KeL+llmpI+y
nsZPWTdKO990a3mB2IEtZItTeFttT6B0sVI4XB6iWXfom1kOT7Qi2kWQBKVx51HZ2qdsUMG/B15/
w58oZGcCUBRNnlUU5k++uaq6cmLuFQK3JiXMYqGugL2Ft329ZxbHqRuDfrmHYd2MP3LVvhsm5AWQ
4UDx8f7H2xpLKMJbtF8pOa6b6BOvM9QAkMc9pSffiCbCnVaRm8ckbdr/cBaE8DwPF7GOtRb1KJCV
BHSIQUGjICwesD28mQbsZZaVZOckbHwpsjEubZqqAhi5Onb9uIwolHISNBlt8rbSA6haTbWzHzYu
ZOp6mHhArxOYOPErXl2Oml50Wj7TmVXqiAbDWCkWTT2jy11jiMr6MmemuRP735bUcNQDrEuEirgh
JerVI0DlpOZJsgfU16pYOnC65T9wmvQnFJ7mv3jugX9QkrYCBeFMuexDrc9Pci21qlu3JRJUb94/
IvmF/yFuVgLL6yWI8hAkVEEugtyh6SbTbNGy78vTiFLKztQ3tirQKl4+ci7q1WuicjJOakKZYxAs
E/NktJ35ta8TDS5bmu0MtXGlGZTodBqOHHbQENezMpNm7JteB2yEnMhZHRRUhBRjfC9Z6vTBWFL5
bNd4GiC/q31883rSORZaInj/CaWP65HjjnUMNCZpGHP0PswqjXgiHiuUz3Nt3tHf2FpREhqhNs+r
gWrh9WC9FcdaP1sjFqBt+jVNYETLkmY8AqJNHu7Pa+OoCLk7olbKMiDIVkPptWFW8qD2cCil8f3c
KurRENjOli3ua824BxzbeAoZzxKNJNRjwWteTy111NapFAMh3KIfjiEVMlca6q+mEmlnK3Omh0Le
NcgSR28VnHOv8e2IlyCnrqGhpiQjbhoPvTcbepq7Ib271tVnx3wfIvdRuaU25N8z/q7phlVdflHt
tNwzWNz4pFTbgHRwVKBdWmJnv7qSeidQINexzqGR5v9GupR+mmVnfjIxjN6L3LfWmKIXvUd6nrdK
tGZj2HGoRyR2mI4/9NpkHBYtHJ4SPLN9CEgkJaBKdm72rUV+PehqI3VKoiyhSQZUmcXgpYs1P2RL
COs4Si2cxpP4nWQWv3OyXyEE9x+eMBqU9EHpKKNZc5PLprLRRmJ0dH90vxyV6ggHX8LStdjrFWx9
STgZYKJImwWj7/pLNnoYUktidadomM9KQeKVwRHxu8RUjvcP5wu9Zb1zhdAWvWQQ/DcRB35ARdNN
eu9Zg9kelqZK3i2SmrxrlCj9VVpaO7hOUtef6l71jKQ/91Vu1m6uNzEMg8w4ieidEHoxf+OSsCQk
3b3xT9Sjt3r/h27dIvDjBB9I8CzN1eNnT4tqArRGFm8upN/WFE2qW6Ry/amtoGcjSKJ8vj/gxkeA
y8CVxYdgadZxBKjuoksTjhNsMTwl7ax9yqkpH60mXL7/h6FgHgnIEC2ZtbmBNlLvawa5R9a6kT5p
RQo+KZ1z7q160HYyyY33jccFXD2rSIS0zrlpF9R5YQAirG1EqiWNRmDLOf/SF4mEUGZRnSvQjm4z
4aR3f5YbgRkjE5YJVR7ql6vATJ1bCt7G1HuZZkpnfEpNz9EiZWef3OIoAStQVBAwDEewccXV9eoa
rCtSjUVnQ0u5ml/MJv1oWfV4GO1QOuihFHwaBydxJxk2UljpqEBahbPz4m1uHeFkJYQ3RQn1+ic4
s6a3LASvgcyp1UNb9yWbHBc83+zfX9TNoUSNH50NKNZrw6w2lI3aSGx2qTPbZ4wGUuQ9U+XIrfJm
0IBYWNrncHyEuPYa4WLLYRYtNAU9p7KCQzxQL+oiNUTKsuu9jgQa2fFyj+hyy+p8GRXkMrqHwgpy
tWuWyJTzqNB6b0Bw/bjkVnpAkXB5byNUd4YlYc3HqtTrY2onGpaIZVaClg2Gx0DOxqOmJuNpkEZE
+6ywjw4Z+Aq/oOu/pze78R6KyFx0nPgXB+v6i9eNHSZhpnCq2nD40MdzwjNROhdYe8lnNBod36TT
eL7/7TfeQ7p8ZFREcJynNYpDR8kAiBPbrOmn4QFGSPMzTZb5SV6W5DT0eWq4atAHj0kD0V+KenXP
8Htr1pwyASvXKHSu36kp6ajrREQ9mjTZp6y1p3dNSJIX6sjz1BI+HIsqZTtYma1rROwDoREJUnot
DxN3aquW1Oe9wSjtpxAvE7cPxz12+9a5AjNKuUjcJBQorz/opKsVouJcVnpdtwelKop/67z9EyR1
t5NJ3ipsCXQV6QYtD6HYssbN9wF7Btpc71VtYLvoTkofqqL7YZpd8V6VwoLepa76cijNyMAWgOrl
ssW+vdYfizSPft7fU5vzFtg9USmjAbMKPcphjIb/4+w6lu3Ute0XqQoQsQustKN38HboqBxBJElI
SEJf/8a6rXts13Hd13Njl1mAkOYcc4QxuR4PGTNHashXGNLaV0xAxF+GEX9YPDiCMnh1AGoFOfiX
T6YD+ryOgiCYHlkmb3rZyGVJBp3WHLZwj3wV9Cll1PzP0gGUyGC4AwRE/g3McX65wTBUmxVBgUQP
fO5zzFRZ+8zkj372f1Wk/+kW4TcPJikAZzgJ/FKz9LD8Z9iH0flsUXqUsvfvYTcCZCJx+XaVoBZt
oRakyTujDUKxYIp4HHmhLuCFL6cqFbuvy2UYUvAJN1gasxxFWEcEObhM+f/HkgftDcK2K+cdrfv1
bv7r4JRTvEruKqQW90Bhp6rn7TSw4S636/+sXrr2KdgvAHP9Z0j/ywHpyS42ouSGpHJznirkJxsP
Ak6/SX6bF6L4y1L7w5Zx7XOvVQEW9m++XCvnZO5wSYxO8NQqnc+HmJnk9d8/nd8qK0gCodXDo0OH
cA12/Ofz4xFcbipgB03u4HvHpfMHyFdks6si1FDnIjvN43iGW+3fwN/fWQi4NPigsPwAQxpRCb9+
SyjhhSDMXC3z4y8brDh+MOYwREl3nR6VAUEEWhzKv0PVFN6w2rrqGlVRPbAB+veDnEAfrrEQ1+d/
fyS/fQDX3wU8E2ERkBSCB/fPR1KUc+yJwW4C0kNCm6QI9Fg4y9vOLiuS22R2sDsMt+p/v+xv7xvU
lysCcM3tulre/LK8CjaarerxOPKZjR+Wpezj2pFU/u38++0Avl4H/GZgqBj/wXjmn7cXWaZWLAZc
x0fDaUp7hLPHpee06ZPEvOeejaH2MxIxu3SBvxiggL+UAH9Yc1jZoBpd91DgK78cUyOKvtka/ILQ
9Q5vcDVwoxZpPRe6atWgusO65hwTiHl6+1+fMYCTa6AS9jYQuZJfdgvloyzlRQ+0YSi2+5iR/UVx
87fcod+6PghGUHGCt47d4gqM/fMJbz1EtzgydaOHDuGI2qZnMAe/hGDsuffmb03m7+v1Kp/AaY8A
L7Cnfr0psKcrTMKZbqBbExncNsx2MyamOw80Y88sc8nNSgb5l5bstzMXNwmly7UAwBmBYJl/3uQs
rc91RnQTNMKnOzH7VsyUNxxZfn/5Mv54KexNKFVBhvytXQhKjQmS/MAFWmb2pReefffDFD9aktOv
/75A/vgs0ephAwC6gFrqn3dF4t7hUQvTkByDqHO+yC5u56TreiDX+VpeXKf3DZNUiFP+0gP+8S7R
puA9XmcAvyLTLlt3CZGRaUqd85NNkvGCCSTy3wb+N7Lf7x/g1V2bosnDZAheY7/scNxLxCwnQqM0
Y+VJpnbkp2oN9kSpKn/AslKUsNHMivt06fPP//6Ef291sXBgP31dqUA7sdP98xEn1IUeWV+6mQOC
Cmtb7PJtGTOXt4jKCR94mrv52AW7vmblEn5WGxKjGqIKm/0FNP99w8UPQa8Np41rb//bu2b96DxL
dDPOegY3YWesiaelpH95sX+6zpU9irLxqh3/lTvaxYCsN1DmQGCZ19suIeq4J/xv8NufNp3/vsr1
V/xXIVRM+WAlx1UKv42wDgP7v9RMwXfUSHMEzmp//OVFXlfJP0A4vEjMNVBzXRVOkFT984qiGEuy
oLFBtzFSuNPxXOU1m5LiYTFl+GSxCd+YEQBo7UtHL0m+m7upovwZqvb5puip/ttw54/P4KqhASR1
ZUX9srSEJyUf6WwaMU76LSdiukEccfwJytuiLaGnMX95tX/6ZlEOoQG6im1/s3bMNjOvJnDTsJHw
s2Nj1TK5jweDZPfLvz/uP17qWghCZ4Lt6Vc1QDBFcHm5ayQZEnMMxTJd+j2CiWPssv/5fL6ih6ie
wJYGZedXj518JttgOsTxbVExFW1WDmB692yDBbdKrz07pCTRyqNjFOhw+p9vE/UuBiDQLl9TDK6v
+L+WcRj2ncJZzDQWLcP9tqvoqXPFVGvj/xbbDoDjD59mAiNauO/D/BWW7r+UoClSeEu18iuOjNDi
W+LHEioSlV9VSSMVz2tPcJtd3ifhtMYbDI7AqanatVyJqdO+GPkxFsa8kDEnX/bdsxexMpbXNEMR
2SKFV7lWlyqualCa9/20x1lnWz4VPDrJLZPfFXyn5XFdN/MtX5ariVeARhxRC1w/7RHmsw3PZfq9
VH78HhtkEZ3ByEgnjEalf4fh/iZqMabXen2g0zeU9/HbUqJ6anOYmn90urD6tAcxfLyKDERTDKnO
a4SOjM88pShh1wTsIGjwdD/UhUmjez3YSp5h42Xza/Xp1nqIwvrd2jWfHqa8IMc9Z5M4ooAFvwqs
K8ZaP/E1P4EcnTWaQixw7KtQ8jOsA6u5GcqlsHC92eE/vYtdTwcX8SW0RMTcH4GKTOdKwqIZ3SIp
KUzkdtU9rbYTH4Oi3ZdlXbaPIETDfjYRSO4Fru/EVS4asnvoAcBhLlxuH8IEQ9yWwNsPnmRV4uNb
NiCEo8YmMXxbMtOT+7Lo4+cVTCpQoHjBXtA4xlW7DUglhBP5RHito6UYni1G8cOhtMIAG8yW/cNe
FD18wxOz7fgTNbwFHyxFc4T2OAsi62pqe32/BHj7gauz4DdtWcx8UxWB/4BesQOBLR5jJCv50etH
aYIr4GLXLfLYOVmtDTaP5IFgAs9vdMiWB14UDHfaV+NNl5E5O84lln+DEyr9KOzQf0EWIQJ3gNBB
4oXxStRkdthP84p0kQOPM7UgvHCAoJalHYLYp2UQqLNBCr0HKLa7QycKRWvKY4/wvx4q2Jtebft8
MpKCM7V07IOdQ5y1rtS9b1eHMN9jsYlqajhf5HhfzmNMazbDdlPFEZcN7iI+dibr0xuCufoK33WT
jjXUKz0MN2yxLefMFhFpkb2agNxe6v2GoAr4wXkA10j2AS8hDqZyl2ncBlATuqj4krpKZcccZoND
PYG7UtZIqhDV8+aXcT/xavLlBZ5vkKKD5yOyE2UM/xkhfr9xKc/IOWGDeCoTJR7ZNEgDW+tV3w2s
p8/O8QggN7TUn/OcZ3mTwP4VIpssmsamR3OS3cQlY7QGS24A6xPQ3XYMugwxqBKZzt7tvMRtToX1
2Id7n6mDSTvtjnB5Bz0RsLMRx2lfFYdERLFvW17s4zlVzHwTLFk+oLMMfeuIS5HzB72HOO7dHv/s
YZ54B/Ezxy6U98rWqS/WtEZoYVrUi1qrF90RrFSxq1FfH+949liGoib5Nj2xDhmDJ4924MYDsSlO
UGygn1xEsvzUg4GAdc9hwdLMIPyPNVz49KUoJppBwptHy3EizAXoeqZ5O7upYG0V7wtQnL5kyWXc
tRiv34P9lu8Z3cBCq8bnCqPNsrXr7C6YHrv3qyUiqnfYw37KPVZJu4BJv15s5/sfaLr3T1mqctXa
mTockjsyt84MLzlqZVmRGTmtW/VscuuWQ9L1Y3chfXC+MTOJDeSw8N050NJFyA/ItijUenVISEHt
Ua4Hs45M1UJAVN+4HdAnrHoRmgV4KgpQbzDZla2OxBLV69IP6gg8chse+n4D1q75ttt2Ry6hPXM2
eHZbLcKtiAZNOl33BYipTWe8tRdRkgn0HKNH3ey+wzSG7AjPrIs+Iv5zzzs/vaK7Tb/Hpesx5JX9
Ku5jhbT6vh6DWMOTxs9xB7i7rekJuL+f72JFC38yAcyUWzx8DAjyXcVwuIPwcDCPO+xR+S0LBL6+
qiwG8T2nNp8/dv20YDvcd4VcgdrmyHEwpzxbq+Jrzjtdfu3i3SS8NszCDPrAOuDxH5IxW+Er77Kw
kReVZkP1Y0epKCF63pcVkV898zGpM5gP0ar2cQI935HIcpR7vXSr2yP4XYz5eMIIQ/dfAE9FU20o
HHW+k9halWGwnEt1Zl2WdMUtvPGxXTUxr0z0avwW+7cYcw6M0GIRuwfQAbj5Pm5IEv9AUgSj3xIc
KLTRMu/Yz5VCabcdZcmGYTmt6boPT7lHJ3jvPRKCVJMhSbcktZ5jAs+Lla1E/ODIPoBTZ0WN2F6A
NHNxO3qnClgblAH6qRUhVB/FErJIYvlEW/cwgHiVgl3ZeXHXgXmWQ9o2Z5q+lgmBSqCwKaLA6sXB
f/+ZTLkeu4NIRjrgqFKGlfKg0qQnL3huEW1hYpzoxzLgKqQOetZ4biykHcJ/0Vpmwn6YkB+eHIZo
KXfZeI1umdd7Vzp2huGe6R/MXFn5Y+YBrhO1o1j6D7Ce2LNjjG8jUnWUmZGkhwi4zfADjjy6W1tL
IYm69OieuzZh+fxgE2/MeQW/EQYsI6gct6UgV0egaq5godPkSHljj3siriFLcRH2FN6C0lVJLYY+
RUiGTMVk7tOwy+q+n66xBPu8aVbVOd0rhWCpda7y11lzvBSE5hE3IhIQtiDy5MdqQOLzvKXJWZSZ
Ti+jQKzYXR6JajjKPMaXkCKwTTeCIOu2CchVi+Dc1Vdd/70sgu0e4J6WJ3XI5tk28OvcESe3wee5
1gRyyCah+/6o8WFOLZxYUJPKiQqQcxInMUUURTQfNy/gnqwcw7YMFrnhVQs+5zzX+cjjqLZ0wXx1
AbPmekAG1rfgfkVdncXb9MjcOngwouPhrTcr7RphTUZOVKX7Y7XkHa0TQaqttTYxH6IQG0i+Obbx
lkSIhGFJskXAyAsP83WOyX/Lx5w+7pPXH6nPXWi2lMRrjTaI+ZtFVjA23CbgfhC7waUdznuQiTd5
YaapDizB30du6r7OmUCKs6xst5z3LEx34HpDF0q9FLeGxFF/z+Jy2Q/Bsv7RYt/Dg9OqeJ8lyLTs
64BAwRJnFXipjVnUpBsQej2MLIcNdUExFMnS2B7IajOs8P5s5DXvGNGPWkef5aiRl92bapU1qkTE
01WskPQIKqOtYKglwEJ3epFlWxiBnXmVqkeaerxpDH6ibTevcjZOnTifg/uKqjFJa9ql0/CjJ26Q
4GQo5U5ME7v5hw45ueMxdMEFUjs4oquPJZIUouIYIF+C2y+sAtaD0rmbDipGavTX2K7RJ7lGaM0w
dFD7JXKrK+u817D22vnAi0MEpSCp9z5TSNMdysTcLjobzhGsdpcbC+JcWccwWtue4shFEUpvOMy0
XcSWcMjRzK23u/G7P3mvEoOatthmLPXBpC2IilAwxHMFiBaJTMHUeWwdaCZZCWPyRfehra5ugwfL
V5RkNTrptXvAZhyPD5il9OMTN0u8PO7w4i8OAxWraAwp/cvcKzadQcwsLhwe5BKZElyGU8oBsMHE
sMhO6QTxfRNBkr4d1hFty5PId0oPvVTljR5I+FHIhDx5dS1Jl4kvD2M2rx8mUKN0XagIJYryIKI1
KnVzXpeUI1oJOPf0FV+N+ZrFDt9JooLM72QwcjuIaM5/5uXW6QPNnZpv6CiKn9am8PDssHneCWSf
4J/5SIHjoradmzgTE9wXVTW/OGwTz6lWBl6HANFwTs98YQ+YF1GYIW7jjNWjLOxWl6lKnr3kg6hR
GYt3YcbpdtF9gpNWLoieuME5vMJquocdGTwkug5bVgGfkBaGqMrfVyB43cONttLoqQhySrGlKiR7
E/hOkJXP+nMp5/EJezk84KhZ5jc/jhM/4UvoX5jM8J9u+YCsIL/MHJWZJbDFcAPXKOM68DwPudlx
eV1V45kksStqWH05zPHH6gqVa4JODILsqtEqm+Km9yx66vmQDSirYnAGTanFbedtNH8AMqe/MKYE
bZB5LNcbfJPFCX7JGf2U91PXn8d0HoYas1v2Zu1gERrvs6DbqpvWqEaBxz+bXCGgU1ULvHksTGtf
Q17O4Q5eG4Q3QICNuZn8Jr9aZJPgB4O6WNQdBUx8Nil2gXkQ1XZUxWqnm5wX4TKueFvPgpX9XWyx
Mx72NQnxDT5NtlwAdIi5ThVmunduC0rDVBODhOOoFoza4CAKhlW2G0sPpoDS8CP0EePyMXZRvtRL
r5bhDeaTedXAxSWF1c+wqBnZTxSep1Ip86UjU7Q4ND0wHkIIwyaLxsMxPQJ2naDALReZBLh7Ta68
6VeKlKFZ9tH6caBqL+uu4Oxjgr21qHPEyL9PB9N/isbgPpQhVW9qL5aHfZbhC4Zcw3SBNwjxNbdY
yW0yw8XxxES/vC96w4B+cjy8JS5784VsBXU1XXP26nJVvqk+r+y5M7r6WjIT9CmDODd9rmCXkh3U
nqTfGIl93lbDkpUXbOPYUjOOSnUN4xTfIXJX3PU5iqoaB0WpsEpk9Gxn9OrnCQJK+tC71eizg/4M
m0zBxHI/6bCNZ5fKIX4/h02u78YY9e6dtBxxb7MfJAx/LLnBm/Tf0gCrghNExG55N6MwpXfplm4/
+3lK13adoFus09IUHMWQ0KLZxAAOoskE2e97Pq3FIRZCx48sKcl4gTSl/B4hwu8Vub/BXIBj8KR2
w7RE9xuIOxfHR3iPZyQt7clqylCKmWw6zXRx3ZmLiL8jdnbIFl4S486IcGbHHmiMuVvckF1yG0PO
27kkRLczng70XkVGlhNEk8sF7M18uHQLpa+0UxOKC2rG60SopB/iKIDQZgRA25oYgIjNmmYT4AFN
kxFXz+apBhMdTYUAo/zj5pgaQAzAGh1kxJKDSmL5nDhFlwZnJrm9Cn6H1hV0pVjduHCtnFp/XI0P
ULUxAwP9qp/4htLWpJ8y78f5kqxyBeiXI/8y6Q1izRAJ7ek7ePWUxxX+PuwEVXEy1esKS5+DBcnV
1XbGYmqxg2JzQ/3nv8VpD18RoSyBn3NX8h9iWHek0+e5v+GuXNEST3FHgRuDM+/vJgHLxTrdMHRG
685hOhqJYRHHaAfX74Qmz5S4cRJ6pLnGCxgfoD+U4iHJyOjPmFsDRItSOHa8oXuo1qu4ZbpNwpDd
7gMCYesIOHX8NED4GI7Au5LsaPN1/QATm2RvFATK/BgBJOiQwLKY0JZ5NwksYw4TNuTgidooQeIT
PuskPlnUKIi5T73KLmkXdn477P7KGCgHltaTEYGgB0T4bFPiHamzon1x2nYa8xa7TqxrguSh7Ajj
RxjslTg2wj2S4qw5LJVItjdDUCceAn7OATUrRVpEzwBuWUlH2M1eBUf4Riskd8YqAmyicWlVc1IU
L3BSXQqk33RzX3diA8hS9p1aazIuDHFA46weOYGIsB5BNlkf034vzmM0DWsLyCp+h018+gh/zR7Z
cTDh/9qTdL4pt0R3NZl5NF6kQ51Yx/+ZZgxjSJ8HY8bP+LVDVLMxrvRpADzxaXWSvsKob7SnKVFq
OqQmzT4s1c5VTalb702Kw+mnM1H6Xk54IIdZoVvdOlsGdCQ5YB+gZ/tnhGmkYGxbn/SNG5KI35EV
DwvCOuEuUlAtDqxP4qcNQnMC70VQ4O4yTAK2tkdE3u2yzmFsxcIreaxKRp/LmawwgOBIPK3znLAV
Td9/3m1wFfkOgE7KFzg7Sv1YpGAWHxSshJE7n2q4j2xrrF8ybBI/gkWl2sChbM4udNL2fbQm3B/k
2IXqUOK4ibH7l/bOS22w8vGdnEZfIUVWLOP2NSSFE62ZeqqOceom0/RTGh6Nknq6WLDKTI3zk77N
cRbgjTtvPTvTPWVPIREen1NEUCM7EilY9PY9snsG+JfUCIirVEMNXKDqLRhF8Vo7vLaNheJRFgaw
IZaPQYqdGuFEu0PBdXYWhMI6kRTgpF+iaG3TUWHPkmxbaFPArO6LJRmRzcAmZDPyQnAghrPpn3d3
zcexDAX02Q0obeox0+OTkZamRwC16+uajVAOgqFm1qbvCWabiNMsv6O38ZeCoH+sgSXI08wTYA+V
mcT21VSJ0keYWVN5u2TdSr4EcDZ/VitH4oee+vSOrZP8XgITHg/D7tL3G4wwLyFh3XRAyYB8p8zB
DrLGlDj6SUfgZoceEaZXHbB2qkFFhkl8jbc/bs8rjNHD0VxzDFrIS6dLimJ6OgRsga8VEx6aqJ7o
t4ou/tnnOHqmHTgR0oDW+FXsvU1vZi+nJ787Fj3nKAq2I4mcYgCjyxLhHchLe5wSrJsaW+vySAKa
x0MKM9RLiQFg0sDDueruMw8tvaNVgT4hxNN8SPrBfEgWJfRlctP0ICfNEM/TZcaeYqKnc+lFwm/m
K40ETU42C4Bdk0DphDNirT1z83eI1f0OtHmFFtYainLeITq1r+c8GIbUitIjix0dSj1CtvjuamuD
ftCXML8BDdgcCtgifUFtOiF1zaB1axEnjdiNNC78R1mx7B0RaphP3Vik79cyBVhnYdOEMPRir4AA
i3L4sll+fdVJyA45PMo/XScefSPDMqTNSrbwtKQzWjg4U26hDRHrYccYOvUuJj1Y47MrNnwIci6O
pUuR+2ZzVXWgUQRzCMOW64etJKiYECU+3qOs2SFa4TyxrS9yF9cVUPNX0YFM9jaqccZjClOkXyI0
YJ+6Ha1LIynULw9y59tdKojL8DUo/DZseTKl9div4eckMGE77fsqH2zJ8oBBQFLyR8pzLDjgzLIe
kuFaTHdOITZ+0XCwTKMxPSR0hvAgGcb4xcDBdLnNOs7OGifKiwhLcgfLWNDHknITcHeZKxaeSNUj
hUtAuVx74JkQyEREJvfdRrKvAAczeUEfn90HJfIOvrMqgpv07OjnDLH1Xxl2LADYSo53iNDiokbB
pd8myieC8Q1x97kT0CdbmODZxiBmhcLYq+S6LVkXDTUi2fF94lOt3AFOo+jt8OuKu73sivQQa68e
hwW6lUfo7IFP7NUGESteQBnVQJxSUid9GV7lmqGyUDDtWg6MUIxiNEEc0BbSEDddLGVXA/XAx4NO
Cxgoas4ddlNUhBLlA2YYFziryQgYakiGM/Bp+4IzGhmq416I/ZD3wfK7PNY4dzzqNvUAhHIf7qyo
0P5AmZbIyxx3PW2zIdkf2RDmz4MqzDG1GWjsyF1y0QMsr/DYliThpBmlmcK9n+n8wWaowN6mOTdf
Jsuz7HmiVIPUabItvivByL/ZfcrtwSGuAF8UozwFlrrk36cR2WA15mWiv+9l5O6N1hihaMTNfYSk
soD3PxC2J8jwQlGvCD+4lTng2naee6SlsMFuL6tFZPQh26d1qVPaSQxtWDfcdB7ujO+rvUq262vN
h9Y6Jz7RQs39BfaXnhyozcZX5b3FiuWwBv5KV4BxnQdA8+bcVH7w+/VH87mDrqnKkSDSbsJvAmRn
yiSS+Xzhb6dyXJ52LND9hkrJ3pfgGaavi5gL1fSYPvtPuRzWq5gE5JcQUUSjzGvigc9ZmALWG/Z8
g3oJt4IdZZIWiV45qc4MMDE5L5pQcj9x8A9ggUiHL/lAc3/q1hxliZU6Ce2+wAqndTaz+4GQgX6m
m9Gkjkm16Jp5q/hROQzS2pDS9Q2QTkXOBtmWX6ErdumDpPP6PTfR8GgmS8cGhzs2VZPs0XgcY+9k
U/AKRij4dKam6PrqsiMSN3kdM445Epwj9q0FV76oPngM0MYzEGVv70qe6xeE/zD/VafbNjQyNgIb
fT7vLQLhLSI2dzTgtQ0+z26TCt/TubOQXN3xIK8xygr0zAv8g/fpVff9ymsUMarHbCcATtVo8K6S
dks5nmKxA8zOxweXuXR5qpwRP6HeSiVUohEcpdnckfVsMCKUZ7DFcUM49zUeTQ9n+TOYJ8XeCHB0
zzthqWgRBwSYJ4kZu8W0J0M/wJfqHsEgUPTNvBqgTq2U+gmBLAWIu2iw7vOw5aGh1SaeGPX+UQ3T
6hsJVTfDCSor3uaYTgH9xqa6tR3Mrs9X1heEIrLY+DtMW0cwCFXKvkXo2HUTzwX8wiACXUNT5vH6
wEGVXus+5uELJr+YDoK4nbFaA14Eto0x8hVJyvytyK2gZy2RCQUvGOwc8xC6b3oWbD6g58YfuzQH
Bxt0bZilyw3o+XGYS/Y95PP6A/7TKLbdGHPU6Uv2BCfwUT3AaQjQupaUHFBOkv6ouFrMU2adPMeo
7wLQxykTMABGx3QE9p5JhPyBrQroa95fKOyj4meF/ludrHfkrZrMHte7VVV84glqtctIDErTMer9
uxJTl+Fg4DM0HtGn765RIaBlAZpkogMNMfbBoHW8f6S7V5gjVotHc1pOi248pF0eZpI+et56XyAK
pYf2OvxnfSyg0U+tj8yC8Xdw8dha0PI+RmvoY0wy9PRtiVnuDoIIA3LjHOUnW8LXGL5+fnjpFFHx
S7XYxdYu0ZM+Vqui+pSYYgfCs9Fr4Nfis/yIcVk6AOaPoHBy6Qp2ZCaYXG4wfpplzdbMw6ZA8hTa
5U7AeY6lSfkYkN+DEhDf6M9FF9PdpIDVnaZo2FqGNNr8MGBLuUKRs5pAV8Fn3lfyWgWsLhmgQ6SA
sORmyrsxKyW5UBmL4SCBCMh7tJ7dVqPfRyNPZ8T0YJrn5U01lpg8J2hNMaYuEysOFocAAOSOAJiz
s/myUjpi4FsuRh6Quq3QqWyJnOvFSv/JulXj3PN0OhGYWSLMWM0pP8OzY9AgcS8UzyG+LthJesQN
dCi9YDs4RbyBxxDwMS2Y7lrgKB2UFZQtaT2IJBdH1vcVvNxEXyU30A6CN0FowEdPFjdFh0lt8kGN
HPNI0Er6skZjIj+hfh72Go36lNdxgZIMlqZCPC8cWoPbwRXogojOvEM8O7i5MlvntQ1L4Ya7LFNy
PiC7qQSAkvnutqrIuN8R2/E7oV0Af9ckGOGlvoe/r+7UJs44pqL3IpmjH1myQxfSX9mpQHLEDCXW
FCNeNxAGK8wCDY08wEVfw59nXJZPfplQxFs47D/AwO0aveCXFXSoBEYtjSK7XutS9HgdcJAjF74F
TBbgMzylNfia/cvI0yk+mo1hloXyZrvFFNv1Jx2nGNuFuMNfdxoUnIsHlRfBZntqZB3WZVox4dzt
c4dhlG6QYIsEUMcsxvA07NvNPhcDP6JmRlorzJnQxKHPcpdqH5EuiTHbqODxFcKzHfMibTvEA5Xn
qZ95fOG+y94U5pM3LiB5qREY03comTY3HXe5EFJPaCZytNWxfD8DV3lbwh6yhrgrO8GWOUKPGdcF
+mmM7NUNwYD6RaFsSt+jG9TyXUq9Kn4Ad+/BECg4hjczACHfTq6PgfGAhoiqt3PiK0JNtTx1lU5Q
utOIXdg8dEWt9zHlFwrrQcSNgpBGW0zN2f4zJwF/aNEEvYCkAb+4QHWgNXg/8AnVqqqOvOyzAvvp
vCfnaZLjy9Ap/rnbMEdueg1fSZhIVDZAIb8MPzDTiDFgCJjFcWznvtTHPUiTtMAKwIFAPY4cG8yq
cl/3lalul331gNV7tYMcNWegE1kh5Vd0CigFQllM3wTmZrb2HCjUIZ5h53K7jyM97NDX2WPoE9Vm
oL7LC3qNTR+mbttIywBF3STplXgAE7N8bsC82HHCwfMCk3KZLRGs8tKwPop9UguwsSnOaiGxtakJ
nIOz3QT263LNl3cg8qj0KUrwnj7nMkzhvGEvh5VQZPv8ZShlUhxIB5O/z35C0/yAucf/cXRey5Hq
Whh+IqrIiFvo5G7n7LmhxuMZchJIAp5+f71vz64zdrdBWuuPnHUwy4Bw7kTfSTLUWSOTHJiLtzVs
OmCWlrQK5h/vHeaIq7+dq1y+h4Zj/6Pxy4YV9Hrnc797a6rieXrFs5vVe3KfsBfyNQ8fo1GRuis7
2phvQFlg/dv/P8pmi8bnD8ys84RtDrHBMmzVxzqsBSkR7SLpIBzyarytypI8hU5tw81Cx6W8yqxJ
i3LHzOGqlVb06QNl8GShC2nTpWaUODitz1UV8R9/jyYIDKi6sF/Dfil/7LWo8gS9if1NUWhYXDI5
Ru0O8i6cD846DK9Gru1fMTRy22P9q8ztoFoVp6UnxnFvvGLVuGZM6Z0dZ8r/tdYkCnJCi35OKtHa
z+xAaM/pD0KWiZIogKgViLCqwJm5vyeOdLwl2WD2jZH5H4Uq6nVGRU+feFY54U741G0k0vctdyfj
Lje/hmjqX7AKxuiTtilvDviDXHQFRRnSGTvNxLCCL632znYk+oFtjOdyh5unKG+nhmyIpKrFDG2a
T4D3I9Dk7YYQAFHRugT/kNya+jCXw/g2e1JGSSXF+tKGg+Mk3D0ezHUtcvd2GzgSd9fSlu08Aw9n
d6OcgPincbGi/UBljPmldGf7qa6ksu+g36lp8ruBZDzXypoHMXXuAlLVcItRFbnpp9BYIXpgSSnL
ucJ4w5NWS/8uzIh/2BPrQzDoRvGoved4G+ykEJihdiN0zb4Xg9yweKJuu+Kz620nJic86FU7xBj3
47DuOypKQ3i+tXm3NMpAIALFd14bxH9PWRnFHNhqCC8Zc8JL5vlovbwYxaoGp8F2ko2hOcSxjB4Y
Q/ovCC9P3ouprk6z7S7m1I/80/u1bup7x6cmap+Pw/BgdXX0L9wapgQIV9Ed4OH9B8no+wVZgGwf
lwwCm6Bx3TEdhyUSSVAggLjJfBAmK3eF+Vt7xbYmFeoQ2FFDy/eOKRPpy7RBgQzt5Jf7ceyo/igC
Vf4K7LwSEB42K1OC7oYZ1B5Qfe8VJGCZZBnthaloIGv2XdDmiL+g859Htwfimo03/WQrx9ilmpFn
7DKncfRuuG6SrLKVYrDO8vJBTUsrX8saqd+t5Q3261VPuiXCX7dTCKo8fbHOTt9Qta13PzcZkT2o
ZrJgbzG53m7Us8ypg/P5tpyWxU/QQ5AsXIDvq9tlWeRLEQS0jfMkcwStc8DxJ3Qw3PdbuJI7Pc5r
k2iztr/CVgX1mfss+DaZKu/XMFhe42kMa67KAKE7con6rSgyTYmsDeKKkskWj2D8/kzDKxdPMsgi
DhOlQv2zlT6QvLG8fDs1blHf0YdcopKCywfYkBNyCOJUxJkh3St2hQMDslvDvH01muCdQ9G60n6o
Cs3Jwy4pf7p1qWh/ywgQh1UuWMSypj4481BVEIggsR9r185Toi3iIRKG+fW+JxBI/gn6bXnAAavF
keE+c/ZzNusY+aIV/9qGOmAhbGwBqoSqyPkTecgE97X2+qPtzxj4VOsVjH4mjouUo8hMl8rLlxn2
wEA167D0HgYrUL+5ds1KvCoNqXt3dvqPvCL1JI2nGEili+0lPw+1mmA8xza+dwYV+umaCahlTUu0
e8rjuXtj926hpJcyf+AQGKNdgbz3e1ij6ovqEsD4Kzj24bdj8VplvReRZb25fGaM6DyMdS0OGc0L
5T7a7PytsYveOYUzkiPUQ02WI5LrOVDzZRqfoT7iJDN9D6fbTx7g04SglfFBFJ+NKptpX4t4eM0w
woQ7FAPBI7pYhFwOn++pnYI44KjIqzZRcvSnO9Va+RcAa1kkdln2WUIJNsdsmNfT2fO3ZSUnrDTq
YCa9/AXVqxkpZrU1qaoguPd1C5e/d8YwltddJLKfa9X0LnK1hXp0rMTt/RbX3qfCWuGetXDMmaXN
5U7jVtFH19+87akG/PpdiXWhX11FbBWsmXl4KJWO3jeiAat72jDdnA226b7ofo3Ufgn5Sjhjy42t
pJx6ex+t0QzwUzQEXlQq7guUFF5+AxZddQf696pL6CE6hhNvuFKbdQXl37bG/W0tPv0SedNQ2Asd
495VgMwWT6mRw47iMo+fs7ru5zp5TXhE0m9OLkvAdd2X46MwllvspyDgyRSIsL7mugUWNbnXoRpv
iudSRnmejkoFf9qrTzJtVRe8OW3nvJS1pS1UcmGNKC3WUZOOEaPHwWrn4CvSc/OnLB39TtJoGKYh
cW3MgI61gWBVsU5UEG3/NFITdXTDkb4u/LjeLX5/81mi4hsPBhqH2GjnSjtDyikcjSOOOrTdTG0l
9RprijgrZyzuhuYyZ5HpUjm51RseXmdNzRwt1nFrr5R/DLP91KKNgjvJouYdBY/fo0Zw+KLcMgyg
jNkjHkti2k0ylLH5re2K08ZCDoCtH4XlwaxGmASsNv/KamUjoLUCpyUCs2lXarNh3hkeY9QeeTlU
ezDS9rNFyIg0a3aadbf4/YCafNqi+QRAOnHKO5MLaljlTxmPNbry0gKomGQnkLT4Ybeli/LcU6Ec
uzuNTrA8hFAaVToj9omSEfVhlVjOJOVp6bjsCQBaIV2wPrfxY1Rn1jNyKUQZ+TRXb1rD0XWJZms9
Zz18GfoqU6J3nm3m3YJREeLIGvzjJmeftlYZxSP/YI6cDv1DvyU9+uE5KWQ2kN8xSQjDeC3ouB91
rn8RFDn+qfws+oseKLp4MgBIdgxzPTodIth2grxIuge8xXUp1Zy21yguXX+PCE7dKBt56P0E3vnH
jFZh3yPGCPR56pdGPRTOIJ7gO/uOdDrpPlbkiQ5n3Tvtrw69N5Ir356XpLWMuncxS5qkVl55i8hk
HhO2SOsdhrBAcoxGPXWHkJvCNW3z1A9W9G36co7/IDb05gOm49aHzzTVHVp5wMdB+fFPrwWwkoey
bC8xlhYJ2sG+TIWefetUr7ra0K+uW3cO5ozKo3ZyWrp1UBf6t5Ah2aMS8P+HRXYDMLyXZ/ZhmSrI
fQtP3AGPOsXhLVvri43+tTmwWIQHuRY2BYChn2MO2QahUawpiMUa0q3bLwIpyLMe1fKVT71+UKHI
h4PK1AhBEMoxIwbWhk2vA98HCdBkrRxYw4JLbpD+JfYU9+pQN5w+76bza/kdWRP33NqOlbXbkLXV
d55Yu/E5aEuzJPbAsIBmX9dOoupF7cKRJTcJULw7STjDaB9Uhe7iMGROBBMzBM09qTUbUzJyx4Pr
ahcLhJrXS95pjvqm0EjDZN/mP+U8uCFDN/DMhefC29MFwlkIATu46I5HrvBRymtLcxSM38YV2I2y
3kg/DW1TAfoIooS5NcZ6fHNmF1iHRRV20VxtBqjIx7k9kmbd16esybvnvC7JhZSERHTM1JW5oHEZ
3lcrGC9rk3sOgFXJsWaP2CGhpFazODvfM8LZWwOB83dCGbs7zo4y3WnoS3sl0oNJGKQJIDhxwjDi
wsY4dxoDZNzYjL0aYVbv1N8sRT6+IukYMh1KtC+o8AuNGiKuikvQWHBCRVRUPAnCW+7aTnrNHiFa
t7fLsO9Zd8XAr9Is8svHu3igx6Dtb2J3gFXmiYAPN/w1pqdpyBFiysYf7uKB2yLJrbUIE4SjMnsQ
2ikRDFH+Fj8WsZ9H+1oVQXkXaXah1Fll7N3MTd52jBtho3fFQugYNO8430I39/2RDVY9BcpHn5b7
2K4TJxOuvOHYmmZWtb7/KyKALfT2M+kJ0xaLLg1QM2WHQPTwsoBFvXOjQCcOjB6cJLpQ26ssm/on
iuDJ9sMCEptE46Q+LWB2j9OQhY8sOpWvhx6pmT6KoZrQajm6eXPLwhSHtvZsJ3EtLte9VQwBxPSo
DTdNlxMKFVaDeN9QTjCQE2QF+lEtSPsNugH2iR5hbok8F8gsow8KMYNd71ZydoPUBKt+mPk8yx6P
einTbVO0VIAqdc1dB3k0JGXs0jJSbyHj7cb3vvBe1+uyg3xFizFboXXUnGr6MBnPLQ7F5l81BovJ
7v1FD6DT1kDf3mgb/VEFnXwyvZxZG7u5KNMB6X0AZYlHJgnaulxSr1btdmN4mgFz2zX7DPiRj54X
zS/tpLNy3/FFwBhGGqGxbCI5nMmJdO9AspRKwSAIw3a5Oh6k2erqIIohipJ6LRfcN6gfJa3Vtl3t
rm5+aFNOze8I04C3DweSiVMJccU6rhYHb2ufIx8u/R7xbOxzKCAyHDNWbI0oakSDow5F2FYvli4j
eaOywL7tXCWA1hxcjBO6R7CDoPfCix3hv8LbYKpnVXoTDFvUTRcS2CNealCq7zqz+/AAAM1/y2ou
1RRwYn6ZmTuyhAzs8gFAIRD7cgm8+iEKBvViOs9ePiq6dt2bWdXIvDodLjfN5EkLsj4r7J8Vpkze
d3KhhAL1uz+ks1M38zFzl/roItav/jpiNOE/e7CXPkEYUFiXyp2cMUX4aD96UgDUDdsUvGzSa9v3
kDVZAscSLM6jvl0fmWFtgd4tKY78lt56wgmhzo3X5jRLeY2LyDbaCIMAEVv2GHTbBu7J6Pomx+G0
8HkkbHsGaPeZ5x1ni4Wy/l+X+/ZPZkbER65VhA8Z9iWg9jXHvFgBNcVHZYC1U1Va1gxN2yhk5Hbl
f4CeOXI/REO/QMPq4CeeB+wkyCZRTzsIor/mYbB/ZVLG4Z1s9KY+DBfdJ9fIFu/8cEE+hJojHyB1
2vAbZwwwrcTtXN5rNtZ8XzkjoXteEViCP0ttTv4AXYQiqqjDXTeO4B6UedsvsoDjPPLLoIRkYRk+
GiTBtKQhGZ32bukhZ2ARaP5OOBWrf1aYdT91h4LjWE2RN+96wpqegxK2rZIb+78HbBLMUM3F+m7z
WJNkUwY5W0+8bQ8VMt/1zNs9Du/lEiHiSozu9S9gknE++hDkCwuqTzopTsZ1fmuIeaqe5yEIFFNp
iLbe3+L2d9b6zi1hkUBEdcTgumuFANjLDWiys9rOekGC2GxptTXqeY46jB7cnZTa+LpTyWq1SCRh
DHlXZexzInuq4eyRag4fi7BZkLJbubibvH4W1wdmhumxw62q09yTcfHZVmteJYyQNaqm0XdSlI38
NSiBzi8lkkJ5M+toRMs+hSwEmeiYQ30/k4zJBPybneXjUEmEcuTKxOIxW/BLuI8L7NJ81KW9vPJy
SX2qqrmyjzkX3wmmDCHVPM7uHXUbzvqtoQ+yPV8yQlF/8i20TkoNt3E91fPOidiHbhZchrSncXjl
ydIvLmoxMhO337NPGvWDS7xbdtSwdP7tsLTi0FTadQ7uVBU/BqP6HVATYuwFBGgfVFemh6/XhjSO
zP9HcaULsOZe/Zttsb3VEilr4khVvvh1yGe0m0k+WKu/9scubID/Osu0LS0ZORidt/GiH9SMXoBO
1YqcsNrxg+6b+FEqwGNnzP4BslDUWbujrg/jhGMkrQkprZhw6vyzaGxINGZWE6dtt4G3VBG4c5r3
CFbOZgUnUu0ESkudqg3NMIDLsxdWbXOq4LK8R2mZa6rQ2nmJmcP10rCjcyXbc8GtPdFamWwYrJnW
/BYfZQmaGN4vGpMHRjsOBDG69jPCCAovHW7n6E4PshtvKIhmKvR9Hsk9+9XywExa1Qk5A5rHwGBE
BPttWBSubWyKIjBcg7tgBjLe1RTVvIqKkfns1AWLkmes7DJwXxJWEKoP0qDg5DyacPHwVy0CtFlw
UhAh7tofRjKiJW01qpcAQ94jLnjwk05nzZc16+zVBkIGh1tpgknHURIWP3BasK9aChEZM8Ef2wNd
BbpjkodybdbHcVs1D32NOeYobCL4dzV30xOwSwC8rXDuHoXIgrfVqzrrLa68jHG4jcRH3w/bZ8/c
iMpiK5m6NE2LKRvB6KeWtpEWSqed7hse1GYf5bgf2ctMWN7mBEDAGfE7AUoUFnsGUS72wVfCVm9N
0Eb5jd3M+fXv0xZYRorFY4BlsoMUCbwmCceofAGMpL+rs+viC3uMvYDDdRL+MMCydOCM6LqHrrUD
GmJMiX60X9bXtu6sT/403Zoik2vf+iunm/ZeHv3VWtX/emkz3itv8ILdvAnZ/KhuroLrCeqaHtJ4
sN+kq9vgjLZ5617g32k/rbZZgN1Ulj3/SN5MmLosHBl/q8JhUKttNy0pX0KQtVpVBcdT15cs0t7y
jPTWOytJxHhahygLTl03WOPJnQDimV6F8g+gCCWKcYNiCCq1imGkpf89217DPRO5YXmqCzM/UgKK
wbPCkf5K57z9x5vy9TzlTg2oSSMPJ1C7LY+4focn5Gp5D6xBtsyTX/jjW9m71rtqG+kRCC7aB2ey
rew0TJZ1h8Yzm9/cDt8dJcWNPtHCAohttbp6Zkr0iEgucmpE8XbbFzH2EbLcmCcocUGfSAsIFvsU
tSrqj16Zr+PRX0e9UAeikIeKYQ6qx5ionPLL62MZPwAMLPpOSobL3bCEx5iMsHBW7i9/q9wXaB17
Yuae1uBYZDRmnyaMDf2V7HL/zWWZgaEO1fwEPFYXJ0SN5UO9brp4BHwQtGRsofnbLDXHU4FRfbGS
bjGlOvilE/XgdF25UU0YcUN3He6wdPBLPzquC0DTKWiDaNg3pDse23mwfErURT5+kSIdFCSQVhLO
uUI7Br4FFLBTq8DgjcKBFZFO9L6ob5pBjX85uvPXjWg1vXeaCqpq8CZ8MhVJsP+oRq0vyOZXc+kj
tt7UL01U7JWzeXvjDkG9G1tRicPm1CVuigXEvqHM6WjBk85JEFBNCc3bOhhdnczxbjCplx9oSESN
yZI+h5QBKBtfrdXqvvFsQP8MAKNkAqxq8DCKSHyeZd/3lyYfHecQzbRHH82ETft9dSIzQ4WBYcPd
92XIEB/4DMq0R3MQ+DGPOnrQPzno+cLK3tXoy/ErA48TApgUeAyQ5I6Oy68iF1EerEwPAcprTVUU
UhR8Woyj6hNisfnlcQk4PGAs1IiQq/xA3hk+QxQC0Ss0RHG/YMopkq4Z/f4oAtqydzrcCICkgtW/
dZjM/7ldtDqHjYY2mYxkxPyZWO+LG8i5+q9bBqgSc631N4fIsKCxZww9YJPrf5dOGQl8Lhw6CR43
VybrhiF217AX4uQJugxi2Y+jX9hkWzJBylY4MElt/x1F2KUleGuUVgx8lyyfRbFrpC//MAqgIeuN
H8QEXHR9d+OhlHju6gG4TlAgEoBT1v0/rWzx5SssD4QiQeq6+cJ7H1s+N+MwTYM40nOApDUPu+Ub
WrsaT4jnSJlGArQ+bDPSkxPLPATjPNubwkU52z/4zgDH8Cnk59bGS4IQ0mkawoW9xdljYMWUGc2h
uDigb82h2WKshoQPoPHzHeH+HTYn+lByUPfwtEDknej028x73PKWh+0FMwxit07hkqpaD87CXuvy
wUwk7hzWKfc5SnKJ0r5A3H22Am6c3dAF8kFPevgWpeP/I62nvmwrfgDoMr+H0cP0+K9VV88Ceyls
qfAn61BGs/281RqU0fW6jZ5W5csNvSJZgnt+QXZbJBPbI2+1/IPiMQuAMWGiqDccwhMDABkKXW/h
RrKmDh1igz5kV4yeG3yRtQfQWuVB5xKNFBfryZs3V9+Ypu7OXWAToJ1bXeSf4L77loTtgvVs7O1t
+gys1XVukJPDuxNs0CJeQjA3IQXhwU9M1C23bHllfHZYkaY7jQT5qV/8NiSEoC25zwWz7V7YJDIm
VaXXO89cIRinMnG0M5Pv84+QUVv/KgkuyY4A4zzmonYs+Uwckd+nflbFl8KyroBbFlYPgWW6vzYi
Epv/exld7ELkv9gE4i2JTNaENwS2dc1laECzn51ytMob4rLLbZeh6EfgSr82EBE2l6iqhvpR1qai
LJSsiF9tTK/AjigzWETjBI3Yz7mji12N2/weEyh2RdZKH7N2aJZbPJZw7xGDh5sMbquQpCoqdp+m
uvWXnessdcCluXLfDJPSt242lT+umP3+KyoW5/cCL9RVO7sds26P96i4F8BbzZHCkRhVXzRS6Thz
UD8gxvDcP7xPbXZpi96955wsOJz7wMy3PQcChsaGz+fcNkBr3rkO87K6CeAEH0wx698RaqQfm13y
eZYwwvtlq6ZPMZW53hf+3JnnDsH3rsB2i2t/JMu3Eyoi2tVd85PdtwbWM5fFnoLZPt9FKKrzg5f5
or0Bc6WRocliTl9+f3oYJ2jgNxVP9vzQUAl4iXh2VnirEawh01SxHhUgMFlRTd2kDop6PHlCYPU2
V+EjSvT4rRP4eJPQROOvXBf+lYOuyjnpwyr20hgWuUz8oM5/9x2UDOoJsM8ktqErdlwqy0tfhbxf
ZYUdM7E41+RNVmX6M2Befcydpmd68F3zEzjSvC5VhsEQQ593iLFo/apkObU7xGPWye6m+reQMwt5
7XVzApvlLrurdNnbFZDY+pD5ZdHvHAbATxRP/W8rqOgyyUlwwChSRc8tdUnZxa2NeyHRZPFucqFH
yBVI2/ZMQpB67vxo2HYY9zCkDESJZBe2JyQ3UQvhn6wQD1Mi3VB57EF98AUpFxcnh8eeK7CO2ndg
pEnf5sjzmkO4os4/EI9AEQ8qYi/tM/piuaXcTu9wOwj/JNmAsNFNY48lxF1yN62qq1rt2irY3pI8
p82hjmcPBrdr+qcWFhJoyKkEsv4lC7a7rmKEZp5RoXfTjW5MqTBYaHZYA4CKvYnoPShArtmL4SAQ
x2XtmNbYfTXG8nnF5bm61o0xDCh7M0NPJTb4CIqCtS8ImtCmZ9siJEleZn0VhLsutw3tOFOEnCrD
BoY+s3rYggAuy6sWSQqN0ZF/27b+dvBzbK6J3RD5khA3J38ZMzWv2dSt7blZu/VhqjN1zxwMWen5
7opscvLH2wzdKBZrK5sYwj1LPbg4/V18VYG+TF0fb++4/7f7yKYbjNXfRTnNMCsB3DaBkZxX4nmJ
yEA6WOFWTvd8KyIi3YVT6FwJbvtjMLfENFtQjVy2COmqPTkG7UNWtry0XH3+M7uy39HhSaAJ+Vtj
9ymbLLpsDsd9wmDbvo9e1d5pK6RnOW/IrGULExjZAHluGHRRMNV93whcBbY4UM7AXrNQPwFtHUXj
9jP0PqqJYQvGHQ282T1ZJnN+C1QYFFUqWzvmY4363arz4Dxg8uZbhUI7Ls3q6/2EiJDmbOBSgPky
ctsf1/hrcVEVhjedWKW/9B8N6Sp/2tFDPWbNzkJqvXSaB6P9YEm63uujAyMdww+9SRww5BKO0GX1
ii4Rgt7J963O7EvvhFerEEa/CkG95SFDuKoe03pBdo4HzvVBaekpYRIZljXYRVcYBmDGz/DP4VPf
khEl0nxvEfC+PQx1FH4P8+Ch0WdAkPuNwFn7gxtuEOdlq8ku8UMO36RYeok9bAkt9BBBtZ3DGj6G
zHSjZ+swjEyEu9keOcE7NJ2pjbc/T2Pki9iHuRvTpRT6HrycpvFiZK47yBqfahp3zuJdkFMJQyxB
TksokID8Id52zt9QjhYT4S8zspO5HwkWErBbmPtrJXHeYiAsHlXmDs/IiDR+WHZBkZLVEf/xjRL1
TdQX+qdd1uJOCR2S5zO0wQPVJoH7mx4g1n+s91GQDLAbancd2lkKihrjodRraEgMMFcX2ZqHTyH1
SMjZXGsACHXVND21Ne55fliHbUyESzntRTn6z9nVCsvEbfvtnh3Wx508Ic3AwVT09hPiCqRx2s77
+6vv6GZpkXoArbQgHNSYYm8aY1rvWb27qDwyNuFr8ML1JRxISf215jjAtI5F+7j2ftHdFFkhu7+0
6yJUxkIBud/DU08n9LnRHXp2as360cXbEAOrAQNlMW9+i3TwCfafwUa6isifkCyeDxnhHkm8NVhf
wcL9J6nk8l3Cgn4tluV071486hvdBwVmLNZgEJqhaxkFouafQ0XFXxsiJ0vmTU0vNb/VFRqBAt7V
BRZFFrLS/pz6KHO9ZPOl4P2s+Mga3mygQQ9Ivg9Q7jMsweHm1H1W5GZASwBn7J08RIqEcnc+YB+y
z/kWOmV/5OCQxZnzxA7SAiVzuHcRE3J12t72jbBIb7tyjIU41zU4ZOr7crmMLZfYvnbrfCScyu29
l7AZC3kWXaZ+99AfGKJIVXm/2lpL8hTK5Z5jkaErKrmhD7JowZ7lxMpO5AZiiz2Sq6L9VVgDB6+i
Vy2+qSbjPBWrGpeTw8uTJ/la63tLxStZ+eQvsGkEE+P/NEpFhVF39Y9CDBj8m06Mnb7x++6vU5A5
mLRxHcx7r3MtJ61wCoAI2CYDA3PD/HZG+fUVwWrADJSFI1Of+sJ4lxOYUqYVfZCPfTd5H1a7btPr
7PGY8Kjy2iMNHVr1xhZfqY8oRJ+OD3ab3yyyej7Ae64G/rHoH7O85tPAlapb4jlGO8Wmj0wn7ubg
JabuqU1NWW1cDWz4iCJxH4g0rmzxEDuzxAW+IPnVkAdlP936kSeQazj5/OhlVPQeHIIqPiKI6N98
3V5w8rPNZmufMK8ebFkv4QmdbXV2siLrU28KHJAzEAKCoWYkv3QHFbDIObuvuIubhZ1Y94J/dg2p
+7yM/Wpu+zwfp7MpswgaTZAVk4IkCfAR4Ad8sPwv4EQQ9f0BMwBWIT2RJJfiA1FYuWp7MzvGWPI7
itXllVt1nvm7eipQ6SqZowMAT2VuHUhQRjBAXpqzXzAFHZFcjOHews/HZADUZ+9wWbptsnU+jnKv
d+2nccqwY3NO9nsMsIWVKoVQIS2nbXMxE4lKnowJOWSqps+rPy0L1kzwjuMGiV7N8FWsW9yfEPj5
YWLPY/5ahjp/0zjhITCDeA6oROjkb/Aqvi9R1NPX1Ng2FBHOEppxvFLews1DDcxyJYjL9ZZCHDEY
jn9qRWI1iR5izRJVdpg/Muyi60ERBP+0+XyZML85m14BcPkRhp5FU2bfOTnvcifes5C/xbmhY9U0
nHA2Ikmqkdkth9gKzgKf8HAum4gwgo65fjqyv1cv68RBn+ao2eaEfUUX+whTvzk0HfEriShJhNt5
RZy9qNaunAenb8MbdAGqTEncyQ8kMtfNae2Kubwgv+Nqm9C02udYg1kncGgzTo2YEEHkSeERXlLK
W4eUNScVUvevk/HjVwc7tX+QvD1X+3tvHQkeH/Mjz+j1vFeW5LxWQ32A31XoiBY3+iA0HMHhtFhI
mbTPixkr1z+aUaHcaEq3FUfdTyrcGcylhytxi+MFI+oVq/QBRbE62sNhmY14tmSP/KP0u7mhIXFU
XysZXtGuQTX8jCYd3inDe4woffWRvavBDVqiUQrUzIuUuHssOJMYuSkGLQaxkpVtCdASYjRaCGe7
ygqL0RmrZCaT7Udzu74t/UbqAFIkd3ww/Kx7Z8NJsSdGw8r5uc10WjFPWRfAWi9MF/zoBpFuHdxk
WFXVrukKoFOOD0PxKTzY9SAeRfnYVi4Q6AhPlTiwjtnFrIpOGdVQcXNNyvH8vxMNA/dinKWBmCdH
B/UcBXVOgo85stOStvAn/ni6gdbo+u84LoPPAWlPdI68rLJPBCavMQO063a33qK2kFcucH9h9Ire
uetrZ6/QfrL3lk787UjLeSEmgD14op7pqmosebjL9icep81NW4Jl1HnLcic/AmfHf4eQSP4bx7Nz
gtCB463UeGrY9qOHSeGW+Amv3DFaMRG3vZYfG33FRSIt0WNltgoHKYsImN5r1Bj6xgnbmXcobtrl
4PXYCXZDDs6/DwPyPQjd2zzmqZz+zxcyG7BhhDk63MMGyAi8Fyz+jQMYPEDJ+ESwBQQqnpXI2ZBJ
HiPxYFmmJUtc2xecI0gXn6pxqXyYaQXiXSAYvngCizuhsC5RcRXcEel9rrX8Jmsle/NCqytP+Mrc
b2gj0jkZ1AxZnMp19ysonJOGYpp6GK8AG3Gta5LnChwzXOg2FedpoK9J1EiIGf0ilN9dQhBw9+8/
zs6rN3IjTNd/ZbHXJk6RRbLIxe656NySRtIETbohPEHMOfPX70Mf4GCa3eiGbBiwARtTXaz0hTeY
EL3yO2URpa2jlPd/iwy0mqX8AhibnCuX9B8lkvaFsItVyvthmDbmqPTomyjtegC+ViCN4gdT+ixd
P6K6QTzMDqdCkH5AqDOnajmZVBViroWvWgL6/ABQtkZUMlWUFh2iVBDZmWF7sI4xiwf3ovOpn5KK
JsWR6CQxjuRVQ3wHfEfUEAO7GP1RKwkcGL4OEgrQs2kETmnJc85lMU33KmkzWCPplDiPkGhx4aAU
bX9TJc25Txp6MM52pILHgBoALyQupgKSlEyiaW/DVaVq1oZ++cMFAHmXQuMaHwC8iWkvexjE+87B
jeWJzqr31OZ2/ENkTR1+AA4OgpE9OFKshHNMPlFKMa5F21nqu6T4H93BnQujTY2TAUZRLGAO1dMA
FDZ7O2p3geGJz/EYaPYhbofok8gbxA66PO8hFMQ+jCHHCZN7Pkz37NZ5Hm55g/L0R1QT+GxrLZzK
fWuF4zuQ5QiQj3plfw1igIYD55tj61d1ABhW+cNTNuMsqUU5HwRCVRB/DRntSur+GDlDni8/ZLi0
DTsYBXH7ELtyUDuhpdl+EuRCsHVFiTgFq3Gv60VXrlFGc+1tF5mds+sQVAW5b6HeDwEjarNjL53q
GxKgBc0KyVt0yAa02Ld9TYpziJCH2I6R2+RPrtVkX61wir84iAeSDene+Gmcoih/MAaAdVtiG8fY
+gZI5o0/TL63aZwRPGaANBNnwwe1RY1Zp2dESkinf3AMAIUpJtQBQkLT/YCUULvPXT8213y/uIPl
6w9s1rzKPiRa1GsvAI1rnqDIntSDCiPD24JDJniGekS6pPd9lhzI5uLqXa2V9bMYZNFtu6bvQvAK
UWBtdTQwv8ZgtMKdqt2m3dNmCe5QsCP1GgoDvAftkpSHcNKibtu6ZfEgZV6YKMqoKdnX3mBwii3w
vGQgWtr+3bgDOKzCQg0QMrrr7CeAjcGKzMIgs5z0VCIDGTf5l4E3CeCHruFgClUoo49GdX6Ab2VG
KQIYqi1WgFvl8ExQaBRr1CEp6eJiaN0ZEVDvY1flfXgsWAsKBoBgiwcwoX2Po5wr38VO51tPfRO7
8bt+CAfa0nE97AGShr96TVNil3gRi6Ybk3Gkjobsk2Fn8wGvNes1C7pyeKQLrKpdnaS1ezdocAJp
I/TQwWmyNf5WR/gTSazaFJ+13GqpiUx2w/OvRso+KOhEEEjt0IG3YKUzW01zxNppMoFy4ERfkhqc
4etPdeH6PYpltrK2BWrfXAkNoddOL6geoV2ERN8ktf4XuA3rNc4rmNhOGkFAlnk+voMBF/wiCinS
mQDfbNx+AAk43+Ub8p+B/mww+B/yKqLSC4yD2qCohMQpysuq3yiXhT+iKaOV5BH07RXVgOAB3hhG
Djk4tBaXjiZpP4Z9TobXBNJ7H5d6/gueDvo1JRz5YRvrtenB+5sob+iOjhuDou7poupgILjlcGnw
EEF0+BykZe7ceX7efp6yafqInAZKDITkv6FN5Vw+yq0L5Bhq9yBrcFzI9kzjJxGX1gxrGMEG2uyu
97UMokOo2f4zuROtKLuBQn+XWDXJ0qw/lq8RCkNQwax0LVo5TaerY4FN1a+27CFLGhUEe0RpS1hM
DnWI8SDgJRSfiwQl2l0qJ+9vKx6a9i7j7O7hLXvN/dBk8Su1xVoAM2vMewvARoMQKWyUV7eDN0VN
D8wv59cn+u6cVJZb5Olyd1VJL927ketXa/j2ZXI3RFGi0/6bDCq4FpwF8DNF/IhqmZ88IlfDVZx3
MQIMtqT4uykT8sY5k+28O0fQYtwKY1L5VlQuwrUYT4/xykRYFqQmPPfmMeekfTcrt/lVqtx7QAII
I254YyBD6qLUZzV50hsCfDuetpMT6O8RgwYEVblJ8R6cBM3ummU+1IiC0conUfwuQMLHGwC9qDuj
IYsG++QVerzVYmm/sliVvs4Q4g6OZjgY1G0KBBHXnpXE1j1PXevvUSYygz18SpaA/7M7OFGW8DJZ
UtUP+B3yYihIJWzBOnO+BMQo1cEXaFnrWab9tgR+Jocpa0NjN0TtlM+8mvQ92Feqsnyj9HdWmVQm
rbiZXtMUwb13CLlUchd0ovmJmn3wm6RmeAwBOb43+xwCYJboxefY0eULl577GLZp89WFMdlufc11
IMunJryt3vjiE0h+tqap71c+iggNudoUaVvK59kxBt8ENi4UJs+5GJt6E5NnwG93HPD/TdGizeyZ
nvWE/VujcYVG7U+SZvqYSR/qf4egNb93rVTfRNFhGjG7qCoybt/6mBgtEKlcJvBKx9ju71HKsuU6
oTqRi280x1LvmOe+029TCmDmOoLGXO2od2kfJy+cvhuiqqqN9BrrGwVztrntzpkSErTV84iiAWIG
SLfQBAeY9GT6lMRXBDEGoVKmh49aCTJz5TZ+3m9dzU6oodEV2tRV6LS01ulFAFw1+t/mGCXPuG96
4J15wtCs8swaCJ1nY3dhqX6IHlDlFC9NR1ygdYmXrCFgUMQUDh233lKZtvZcHN4encnV0d+sLfHN
hvHwHhxPEKxjgKkOSE4HqK8D9/pAbwRCf1Zqzhesr5S+0YgBd5Q1USVqkw7ZEd2FFrzLePFAEIDK
W8OTqqIt7DAqmlaKKNsHgPcC1hy6IvDQCnyjtWFuSmS0eyFdJDCN+snQm30AwGDWBqgTcq6QbvCq
tugSokjRpM0dQKj+BfMJs/neyBFpR4A6mrFP9AG/JY9SpAQnXtjp59ZGRAt0M2O/r+x6FtFN+UVj
WTW/sF9zHFp4eLreEUvlD1Hf6EhtDH3xe8Tb98GgUENRn1b5OxkbRbtzRheMdcyBlQ8UDKdoY8nC
5daVvNiP+gh4Yjul2E7tiqR1vpAbJOlaVAgvrmgx8ZaG44SYXxlVDbIxRID9LnUmwm5POnk1d5n9
cGP1cBs2ZmTMDV/N8l5Ge0xem4wo/RV/PBDsaJLq7X1aInWzQu4PofyupJ+4MqMpt7dZxpToNlA/
WQWhab30QZHTeXAMqvxRGUImpzNU/BrtCRd4lMDrfhNCe+1W6JKV1poIxv6dgva7r8ZavM4QI3+l
d+QE3D6UIFYtOoMz+wjwPuKwo/tRT/0ufu41pw3uw7qwofRB5+c4VtBfyzyPIEhVfrNPcwHPzjbd
hPxTm6YfIXUdZPDySt/lvt2Y1HUcE6Rgg6TyO69EUWdlDegQHHplUdaCmSaqlddo1scQ4eBfjY06
MmIubv8Uu5Xnry1Zc8N6Ied3ZwWAFnZJZY3WapRF/ojuLp18DaUWlGQH8cWuZf2jQYscbI1BGLp3
7E78jvA0Sh55bfNHaE0BYZEn9HarVZ4AMp1AVWQCfkQRFL3uO6dvok8IodCZQjyveinMskGlf4y6
n2h1lfmqM5X4XZm58DYIUNDSQPvMeW4SOyA64LZF1a40o1eXI4gOsNFF9J/M3n7oCYBhKwWt+pki
ZtuhPIWKziohFVQr9Ji4BLJE9D3c+wpmnUsD9m7Cj3Ig9RpEvEKlx/5l14C966iqvLWReLweuazU
O3DoUF3AJLlfQJcHB6MK0eWp0h5ScmQhzb1lPQCHIF3eAN0ZHDU33AJwF7os4+xJpIXxMwcdUBxd
pCNT1Mpr8Qt7D02uRz+TkEczu4n2Atz6o+kMabN3DW/q1klFl3M7Yqcj9uDvxkfbGVoILIOvDxts
K4u/E98Pv3lAGl9M2x2QfBsqDtMvNw5EukcFqq1Xdip8Aeymbd+HmEZ4h6iK4/AI6oGYGrhdc3TM
XEdOCiD5lyELnS8O+vrEL103AIBJO/Sm9an7O0wl0frUYHRsJiYpJ9BI69PkmIqKJgJdEBIt/Fbo
xuBx+kRd3HrR3ARWsBabCRLMDoXuFi0DG9REWtkgiyk5zWFADi79o9VMXIpFAeeOvmfd1Tu7y6xv
rY+H9To2JvnJnoAWYpvgi21ExxrMBiobBl1ok+yUMxRYKI9CudgATFbQLwuYgpQ23FKj0yrAsJkd
4rcrP+Vq3QTUwLY9Sk0Ywlb07NedAv79CCKkQbmMdhAa1wI6hBGuGcstt6Lt4+STj+aIh+D1QBsS
FKXbbVHehYHg2fFAYw6T7/TAgxz6G8ohZnKQElzdtjA6+cOivZ49oOdPcJ1W2ixr1eRIrkcmfhDs
M01+1Svf/oTRouZsZapPCTglOG4bqQB0bIDuEKFCY8wfBuxSPqeAIn60eaVl9P8c8yWtxw6pDAjY
VCb8Qv+KAH3ywemqkQI/UK93LnoUqABm93Ey3pXCxkXHpQj/mnGtjsDe8sBBUbErqLmjg42vhnKG
l7Rrh6/lBOJdc6IYHHI9dfdVOFBjlqYIEcQF5P2SAMYz7geMCCCHEV7N2gJwrfZ4MlXPemewN3pw
dZ/GQub6Pf3QkGQRms8jSo09oCoExuFh2MA5tR0oI8SlGiX1j2jQ+cZ3y66pmfd4fz0GXOA/Td03
xp0doVD9ToNiQq14dJ2ImxWZd+qAqXSezSSAg9DC4ii3kxHArYyCUY4bHxzmkcekTVAlzYFP15pp
fWhTq+URS3iXCoik7So0Si0mlLSrO7sLXXcTZYEiPkEmRm7V0HTfJzXKz3owZsampjWr1qIrHXa0
j7cdcrnhSPU4g1kjwR6l96MlpKC+4nrNt6CHw/1AqDLeQWI2ml0lqen73Abw7OnhIwoOpzd/BgBK
dkr/NnjpesVN5ra+jDa0gxwK8x7ljg3ZVPxVQ/SjXKNbOaodzmHx1yyo7QEFGm24+6skJyERosuk
EosHRuSodXRViZL5X2Xg9n2ZJTjRODIVDxU+Ij+kHkQUgFNB76TzICigz13Kn34D8xQuGhg2xAp6
/0Nh0dHB1SWi0odDGvoggtwdtEuLOOB3SuOt81xWQda+o59tEL7nle990ttBTBsjnMwjhKMwhW5T
BtnqL7eXcswI6zYAbKJ7+gou4uFs9Xj3l15QrCioDW4C5dm/aNg1L5mMwjl2AosloCd/+WuaYDSK
TkIBtmvDI6IVIBY1IK6UQYrU3v0Fg7JxhfKSbW4bgVwL3s07EWPCc4gAMo83/OMu2J0Zs68af4oS
qFXM1kp/eArVYB1jUZSzAZdhfkksgC67oW8GeRhaP3mYwNl9H714PDZmE90wyr1gSWWY9L8J401T
uPrC67AnmlHccoydITE/erbahkj/U+eeUdZx42z/8z/+z//975/Df/m/8+f/Z7/1H1mbPuchNbb/
+c8LNlGM55pAHMGbuM7C4dCPxgrvIDIozaDViibjq9Y21SO5xnDDn3Q20zqx/+LCAINuCkn+Y/Fl
T79qj09sjsKWvQ4rLbzvp9bY86D2a1PDJcJK5d+V3SN3jt3GfW21P69P88ynj04cQ+rKFBbholi4
nZVB58ew8nGSyKroWIgQD0uEO3a138AXNLsARZ44eeu3/WdQZi0E8Dpjaa88jUXfBBYYuKlui89C
IpOdFaX2hDh++FZ3RSbmWqZ0cLU1MDJbLCNds6HB7QC6WVHUu0y52QbiarMZPOyVrn/Ksx2jTJ26
im7xT8uyxcLy0PSMrkARH+lJZX+s3Ch5N8jy1Uy79PHtA5FPmq6ldDqpYuHOlui2BcwJ7QBUc+vV
QFXgyeB63dEMh6t5fayzY8dkTMd2LRfHPQfi7unmhG+L/UrqmmuF9ijK0qOximVO0wLM8Ap7jG5z
fbwzI7F5PHdeLi4YA+bc6XhR0fjInjFeBTZ/jwKktjXbKX1/fZQLs8Lh03BpVAjKG0uf67T0J551
h6ATX7K1l0fuDvooOrmNQApF9vbH6+Nd2BqGUjB9XUPRFVoecV2DFZsKEHmJaOu1Ydl0dUvEisze
mT5fH+rC1OBaGhb7XfENzcWCdXN5IA0xn5iyxH6JipamgyrM1wa5wj3o1eDGvXxhalIYIPsoEXDA
jPm///EmaLgD8FKCqdOQ5j1Mfk5UDqBqzTN+y5nx0lA6YhcCwSYemOUBQ/GgmWkMyM+gCnrA3oUT
0NJCgMnWvtWPUOHsK9Clnf922fmnszI8eCowiuazbJYrzQjF0QNOWGmReeOCurRe3BnchQBvuf0X
61UYQA6HgKlUABrg65Jk9/4Q7QOrR39tKqPd9f1x8SPSOTVtGxN0sfQMxvmjTzqXrZjhjLwfeulv
TMzD9k0dvf6LkQxXIjziCMXTffoNofzjpKOgiccVrfmp9b1tlctuGw1+9W8mJSFXCj6hbcnFUD6x
vamHA7dUb6Cah27A0fIgYSADoW7YR56/1uwMRD7prQFXxN32dFYAy0HfeAgMo4yTAW3u0dDZ+QTm
NOUxDn3tqwrwXmNodEImUMp3oytJev/Fp3UENuq640hHX2zPnAQ+qwZUHwxPK3FEgntOwbI6CKeP
blzI//xZp+EJbGaBpYUt6ADjZH86YeGnTU5TTK6zKQu+ahVdnFUzYHRUgDl7EkESP4dVZd7TIKsf
cMUTTzy505Z2u3MEk6N+j3HR/QaknTnk+IC06PDHhyjUKfBqkGFuPFhnMSon98+fu1gfTQO0GtuO
XMf0LPwsoAvrDRghYHuxRbxdrNOxCVEeRjbk+pr8E4Fe+1DG6YdCJwXCS8/INVKOgB7QmUudJ5vi
2brU7e7enWEBFApevUpWDyJMg0PZejd+xaXjzeXPetnzxeUsrmOoRGYkgfnA+0Np0gtRHK8B/x+R
DC9vDDUfqrP5IqfACQcUbNuLQ0fZJWoh8plrr/lugdjc05jJaO2iKlsgKXT9614aTM4Oo6A9IEMY
i5jHLeLGnNVwaT1mvr7OdbN40FRU7a1+SKjHm3DQbsxPvzSmQ8mAiMSwlbH0NXZhXBNFYMaJnEuN
0i/OBOCxveKoCNePI95fAFIMe4d4YP8Muqh5GmVPLjTF2O5RjbRXmuW72xEgeLmBUiN2JVXz/fUP
M78Pi1WAZ6yjqOJQ9OMdOd112bwGOapaYOTgWjolEHyTHtz2+igXthVvk0tUyytlCLHY29400IZF
CWFdjwKVXRPNFGUZK+j44+76SBfuV+5wndfd4LNLe7GBk152YO8IAGkTVccpyLxjQZtnTVFl7kXY
2b6r9QB5SFd7wEykevvNSlTNDYKtNrfEmRv7ABk07ANr7Wq59r6xBXQLMRb5Ayzs5Ov1qV7YXxaG
xybpArtLX6bT4CWhBZeMZQAUPrSglFcVBTvKrxGaH4QFt4x6L6yizfPIEuLXbdHWO90r+Oqg72lR
2we9Vt/hkY4cYNE4D5XhuDeWcf6jFtuSoVzdILYhfdYXGwbjnhqvII8XOVH0gpI6bFEtDQN0wfFZ
2/amMN5hlqXduCYunAYbIJNjW4BvLEuf//sf0WiSDSVmtwjvWQozIuS4wo0XFPbDmxeO7gTq5AbF
GIX46OkotoayPGRTgtzJEx/NsojoHQBAPsCxjF2weF1p3LiMLi6da5NV8ubryllMzJKNzh3IXhG+
35RbDYmxd+icWNEmhGj+9nSFD8jq2Y5tSCLg0/k1JE7ACjLkC8khQBsR5yiMu7dVAcTz+qe8NC8u
Lcc1THxhlVzMK0ZUOweIbK2hn1nYDaFFrCWY1bYAEDfXh7r0QM+bn+SBkg7Mz8W0YO4Lu22ZFpZP
yl8XTt5ZQAVUfkCKRqCznECISno368nTxv53VQGAx9mnuptaneD8+s+5NHObt4wGOvepZS1etDrB
I0r1qGbivqsOLXyo3eDWL20PRfZfjOS6qGOB8eGhmO+hPw4F2Rt2pfwCokUDewHIYggfGWBf8ce7
8Y0vHXs152d4rNH7dRbHvh4qYFo1kIoCyO8RdUY6bXhZbSr6OHfISGtHiIrO4fr8LtyjRCFEprzG
PBuGPJ2fr1B9HJHRBlWc+PBugWKkga1/G830UEyudyPjvThHWkjKJMRC3XKxcDlkB8cYUXHywrx9
r0IzWuPIMx3Q14gf4AxiQIFy4Y00cT4Hy/vUseQMr8JS3rEXc5wQpANjh5B7Al4V7WMXaTMoVkH4
7fq3vDQ5RznsSPalzR13+i1RQzO9AS2PtT1a9cswucZdlQNkjXAl/dwHTvLQ9tr46/qgl44CZWVU
RV2SONOaJ//nBq0yVZo9agnQYYZNPmrj2k40+AH0ifdvHopqJ5UYaoFz6WfxHTHZntlmtA6gAOub
gBrlA2XleJeUXnfjCbwwK6rkUJ2EIlMkqDmdVQuFCWJWjVqsK8QuBlNJKySxkcB2Xq9P6sLmgOrH
ViRgogYjFos2CM+r40Kv1xJAyWOFcfUA3zPDp/P6OBdiszk2MmzochRHrMUF6qgyiyPkbUG6VO4h
0RxtJ9NGrAnMaXjCT3+WHWiFgkcQIwQV/7g+/IVzrpSwgZTQJ7Opz5x+UKfKWstXknMurP6j8sT0
ATw3sqVOl+3KMdNu1FkvnAWF3yl1cSpb0lnem3HrQTmO6SjG2FjtQ8NVr7UGsTOksY+ICRaVadTX
T2+eJDc1EjBSSiFIH04nifwxwv2gtNedi0BdjlLEk01feocmJLom5JE31vSfr7a4WXgK2Z+OtDiD
anFlu0k/0iWtEVdr4/iHFaTq53yx/xAKWifUqQqNdj0YAhhME3QPcFz+p5S6o725PvHzr20p2yWO
kMRWuIsvjgs0DiScQsqjwtaM9xgnJq80InBBhXpwj1yCpVYj/BrzxjN8vqksNhXZCi8wA6v5FP9x
99hoDIcOxkp4GOI6BjZv3GBGGd/BZPnNJgxvzPLicLozd5Zc3eWpPB0O2UId5hLwplkH8BMIHvNY
JcYDulcginDoLNTb5zd/Uby+IMLrzPF0QMeelYnzvob9o9GVjDiwH6fWtI+R5fWYaObNjRleWEdM
3RhT8Y4QrC6eR1l2YYrTEvRPN60PoSxQsMfeYaN5XnwIAs07Tppm3Dg1881zuomp5HOfk9OQtpFP
nc6SsmxO84ijiq8HuKZqwGgwJs5RelH8soOy/BU1NR4C0ItunJ/zW34e2SYeIAG3AV6djmyiLjRW
pcWDiYbpls6zOlbSMR7Q+slvNAov7B3qtrqkFkcBl0vwdCjNM6IiME0QDgW6jdUwTlv41cCcp+Jj
7uHmff1AXpwZK0g1CVydaS1elThVgTaFgE6gOWe7nLgRgL+n7ZDPSW58xEvLp1PWcW2XZpNQi00a
GQPsjnTWkJng/3WV5m9NtHdQ+Zafafwae0SNZquEQbsRy82Xyum+IRlmSMcleOSLLjZr3I+4E6VV
A/mDqpKGU9EupNJx40icLxxZB0Vj9iVXzdkZ7HR0SSB/N+u6jpDVgQ6wQYim2KHWieoQ7jA3Pqc+
74TltNScktFvMoiJF8ehEgVCyY1swDpbswioFu3HNDC3FMo7SOIQafaiqKEJ2CI9lGWKXGnoNtum
8yXSHn35TiCs9nJ9O52vsY2Gn0EBj34zL8hiO4G59iHfzWtsigw9ybTWPvlxM+zRCrK/NA1EzEM0
SJSyQXBzGV4f/cISuGSXRH38BWNjcc27yh6g5QJd0Orpu48EMu0WjKZHyExcgbvrg53HSdxCOs1Z
zo0liQtODyp+OwWiiDhUCEDdB0y5ENpRU3/wUmxzqaSpY+6nCEq2TRNtLQAIb68CKw4R4/MrbETZ
F+dJWBXeXlnWrnO0LHYw3vUPokzkBu2h+kaQdH6CGIqIDAopjzcTPp1rO3MPYgu8jTFkMI7LoNmH
dDlv7OgLoxCCkVfOsQGtiMXyYSoEnR3h8bXhwNQdcQC6Q1Ow215ft/lPOT02ai46zrOB2cJ+OZ1L
jnAtctIDGq2zptcYyO5o69FX2U/T/l+MZBPiSRI66mSLULZDuQziSt+te98e0aeJXLRqvKNyuu7G
SBf2IhVzkhAdpWr66cv1CRysaexZPwbmbg0/orV25mD073SDKv0qlXX8KR1h7NWqK7/Uvf320jEK
dCCGDGAJNv3NxblHpJeqTgqKasYrPtAEn7Z5jzZlLAbzX6zfP1AF95/VW7YB0YHpWtUayEr4kf5Q
qpj+XNpGzyge3upHzJ9tuVUUM5rhKwJR6cWGdDyMqvQRnmUpJ/kRzbviS6HZxhdDA9m76hrH3aR5
lr/5ucKXF+AaCaVOxWy5mEj2DEPim916AEl5j7lSsdF717px2C4dA0zuqP7NKALat6fHoB8xhxYm
Mu1wDdEGnSR6rXKq1vj5vb00xVTIJ7k+aKdSBzwdSjfgKgOvBuyksC1RCLVuccOzVr5EkuXtR26u
oMzQAfre1uLIGVWNMVAnu3Xp1eN+clHHDmgP75Ju+HF9pEuXFe03npkZVEVL+nRSdiNTd0pw3Cir
oj02VW2vMweM//VRLq0SD6q0YNWijGktLqtCehT8IliXpYN1CMr8yEFXVnmYmry78XieDcUkiKrJ
hDH6AleyiJImtJZqu8XfVVid2mORMh7KvqXGAP9oe31WZ+dqHoovZ1MaJdI1Fy+Xhpk3jCIkj+Is
9Q8An31kiJrgGV+2+hskeSQJXH1mlb15WJsoF4sh2ga8MstbkgY2+6DAD5MXgKi6+Yp1or5P0tj4
jeyqkyMEZZU3ztnZPiFh+HPQxea3kMNJ/WCYkcymQfA5Nrsx7LvD9aldWDy6di6Tk2BmxBJ71Fau
NeUIJcwdNHnE4WjEIgk7t6pEduD6UGch3jwhsJL0Z/mMICRON74HmiSUQzz7ciYDzmwou5oS/R3w
Ctq+6Az7OyFY/HFQ9Y0Td/bILQZe7BrUXMDSm8G0bhq935ECIl4UWvAz9Skq7hBbDzYIeUG7x3v4
gU5yeuMsXti19lx348zTMqEUfTpxNPampnJxOhEBHlSrUKBqufGDJHvw0AWI4GWUaIKM6Foc/8UX
pwGP7BQdM4LN04EJuUodk3Zkvz30B4zQdb4auBDt4b+oTSnUtM8r19niI1fcKEhfmjKdcaqBPH/A
vxafvC80V8+8fJ4yGP41GvRh/4CcuNB+Tl2mPXdBHWlUcPPq5/UpXzg1JFEkwHxsVwKqO52ynU9m
OSKAs27RwJi2UYus1zpqsjC5cSdcGoigUxJuumBIly033gujdCqo0zZ1qNlWZ6y8+yCAsnJjES8O
RPltbpwIXBgXMwqbSZmJF4tZGBkH1xwThqnubnVkL9wDihv8/4+yOJxBjFA7mh9ijRJIs1e2h5R7
4M4qROrNNRHwXgTrtEbgZdKXWbwXiEmVaRcYYG3s3PgWaKP+3mgVTS5gRJvru+HCNlREtVjX23O3
eQmfwy3HcbPEE2tk35DcQ7gSafB+PEaqHo5VM4DsR2XqRs5z4Z4jYEHvZo6PwIYsQgmhAqXhtKWj
M5dWPym9/I0s4vTYczPcw77PNtY0G8y5CmX569O9tIj2XOKinEDBf7lVcLzzmzRml7SpPe5hpOPG
GEHwM5DZefvrpAjbZxwk8fsZRtal2VP58HvgKdX5Pi8ytcNs8hb4/dKEqBaC3FMQF51lwzDoK6cd
K6zcUJIqd+6kymNT5uYBf2D51noWu3KuhsxwTkVmvLik3QHLOGy+jHVlZek2D9pxh/PXuIfNeKsG
enFWirtDEKpbZJKndxSdmsIfNWYVaG1xzIPePyCAjpBPUk43np6LQ/H8UVOkLEib4nSoOASfn6rE
WNd4Yh6hLZjHAveUO5ttkt3YfZcOGyvFhWgQodHWOh0L14SoaWy+oJTV7xiC4iFs4MnFuONuGswi
MK6e8v31HT+/IyeJFqtGqvNPuZxayhIgUABv97OB6350506TXsbRZiz7NIM1jwcjAtTZDXTHeUfk
nyEB/1g6dwoM2dNpWvjXZ30AVDBGKRl5OioO3GbOLgwsNOcgFOq7IcRRHlZWh3NKEeoIKwyufmNl
L90yTJvMHXgXvZnFLRorHYuoIATsFjnGs4YXiwCQYfd7qmj9zyxvLAhLKNJ3dSVvxcPnY3PquVbx
8KOKTwnp9BMUmm8P3ejh1JVH5aY1zSFGHW9luDsYSfWmNIN+21DB215f7POXkGEtnW1sztirZX4L
Q59yVgvJDVt1c6vGyHsXo3h3uD7K+ZGZBwDaTQLN+yCWk4udacRDbgA461lHKX18tNB32Q1F+eXN
IymTC2BOpYnPliEElujU5gZlwEmUxtaNp2DfO26516fevjGp87NJ/3xG6To2yIszMJlvh5aW1SE4
fBdFdZnlCIcLDR2qzPF2oF+1lUL9+8aFcH44aTeDvSDNJQel+3G6TVoFe7u1AOvB2AwPZomtbYXD
3GFooNrWIaDht37PuYpEFk96SItp+T2zLo5rrKfQxQqmFnLvUHEx5CQdDylgmhub8fwMnA42b6M/
OoNF6wV9P8OFVNWgQe3UiEP4rdyIyepx6YWor3KJ9xeG3jfKPJdGpnfGLrVxq+UJOR05F1Zj+XQ8
1z5iTJ+dUEEvLdA5RYkUv9gBzdKywuLYSo3uxt13vqA2LyScqZlAwrGfd9kfc4Zn62d+jacaNzzO
HSBgj4OewBhHWflDnJbTjQ10fhQZj6YzTBUGpNxyOl6CXCNKP+6IdY7hvqO6POB+FsiNb7a3Kgvn
H1UJrhZDN2wSYbgWp0MhGjNMSGL0G6uoOswEurp5CV1E2vW2iVvowYP1HaeV6t7Hfv3GVjr/rIzN
WgJeNimjLFlUyaijnTrkqHcUUfHBk5F3mLBrveulUe8Dobc3ouLzzzrHiHR9iXccYIqLtBCLnEGz
Q9VvKllyZbvRsEI1A2dTUX29fiL/6W+evs9qhq+6xtxHmxtcp581CSq46K4/bvCKRY2xTwEPrSoT
b1TQfLL93CGN9WwjqPME5nZE3D+iE7KaFaExJcBRd9UnqX2jUXr+jCiDa1cQIM8P2BLoh0ZUKwAJ
87k9gcsgqj3BWvbZ+Hp97vMDvJg6VC1rjk5I+s9uPzjh2GzpZgeo30PBOgVVuwHhU4Z7HaNR4GcS
NANkKGeDNGcjV+mIPN71n3BhoSmzzKNTmUPzYd70f5xX0/XQiY0dNrUl4gcCg+YgKkvcgYmXN7LU
i0PRPINlw00Prvd0qDqSxB613m+MSWswP8sC3VwHdY3Es5J9e+NiuBCEURkmuZKA3ebcbjGzoGMl
BMokCB71WrZuDR1uNNI5dxJW6rprdDjqcgz3UIKdx3qq/Gd/0m9ROi+tMPRYukEOIG1IP8s5IxVo
6PmAoZCuP4yGxBgmxAs7SydkCbF/RdDS0DZJApef2KX9dH11Lw7PueLygFENr/R0eDOpvSDm4thk
aUYvg7iUFl4HB9qJrAFZRNDvCbQ0KtqcvFxTt9DUl5acnAwkPMV5MsHFGjQ2OI52qIaN36XFjwKL
wn1CUWRXRsa/uCF5eNjL0D6pgCx5K77eOo0x9QNqKDGKGVgmH/rBljsUbULEbYxmf/3TXpoaKCPa
tHQtdUKm008b4YIZm4rtVXbu8MlmgA0kxuY+KsJbsI1Lt9FcCJmDJIBdy53ctAKnyBBgYywLIz8G
mYOqEs5nOA1cn9N81S7uI+oRvNvQWiHRLlmtKhm7ws954fJSOve4oVpbL0dtKG+b6WNjIXCNqpa7
vT7ohQ/Jwz3XXmYYhfEPFOGPGwg5U9X7Mbp5tl/0uIZhDrQp5OwKVNVofN24Fs4eUuQHiE4IpSm2
SsLA02WDFp+YSauadYNtRLTK+tR9SJrC/IZrqfMYaXF1444/m948IIJ/Oo0cmIzLW88craofc5AU
cTKpg2k2n3RNCw5hWOv/ZmpqTksULxfk7tOpmUFSlGXPSLhJFIeiRIU6RKcMcT8xHFu0Og7XF+4c
Dj9Pbe7q0FEHFr5EcyKr7xuq5FtmKeISbSCCLwPt9ztpdtiIVIMK4Wua0/ckHKJ7wJDao+b40QG5
t/bNZS1+yoyJgyii4Eg7i2Wty77qLFova/6lfEq8VG7Qa4RsYLeELtfnfWlFySC4zyG2860XAUun
6zKeFN+5oPmSQrtFxpiWE1qSUouHD9cHOzuSTAzMFgoEVJy4xheB2ICP4f9ydl67blvdFn4iAuzl
lkXSLu7dN0TsJOy98+nPt/aPA1gUIWInyJUNeImrzDrmGNJqshiVz/VHAlnw92bonQ9VnEBCMJkr
ABSGqJwf95e9MTliWcgIGFsTeKPt0epWx79swBBYzOFygogmRGWjkk/3V7lxT2IVYmmR4YI/3sKO
tWSATr5lFWg/Jz+cIGoKUa1wkV2FbwHWluewz5NndDgGPzRgXPovy4v6BGE1ddjNg5GiGUhhZWIL
4HA6l7MB59+4QGm69v3DavXrY49FPzvw8bmo1YcH7+f2aCnN8GrEDBDDDvqmCNxOc5P2ujwiZbmu
P+YRPaSwt6hOoZFcI5wTWpPkjpUlHwQFt/eXRhP/i94yF9hQr+1ECV4J+mFa5lXG4uy1/L4z23ew
Gsvf72/wS6HryqFQfdJ4lSAOCQNAbV0vtUBEpKVdTLhVwt0eTLItvVcSvc7ceGmzH3Jrquj1WtJP
RJPKd4MdwzOcoKUNJXH+vVZG6XmE2e1TKYfVwdXb23zmE0RjE3ArSNPrXwZdY6llFnggIw2T1O2Q
6HLb0UK9FWbhGNEChJsh2D9CRtzeeB6zRjjEvmNBzE1A1tMKs/QWgXGHam7jVivUWG7Wmd0PmlWK
ia5QlJ61sR5/wiu8RicYpefuwH4JW7g9FABQsgARK2CvNiZlLbrami2EpONqbM6dnI9vk6ivv6qQ
yX2Gx+PVQSCXAAPmQMdBBEzIdL3Vq4WoFuNggzcVaHlnSZP56FAOng472cGT2rnafJFATQDIBs67
+TR0tTqrFZr1Oe7YE9w0Xkh10i8hpznYxd2lgAEKVhMIfbc1QImGodno4NRkJ36LytageAUNzScT
/v8j7OHuWqKMShLBoJu92UF1tNC9r7XBkwpVaWEUm2rnUmXddJKdcvl6/9HuXA8xb0kMDR/HLW9R
HDui+8xidUMrnDLq2xQqXYTCJqvw6RUj5X5/wVtfwzAdoycgvKhw4Ayu7wdeINH6lvthLfn0dg2x
gEqNJbi/ys6DFxeeWgOUTPDDbFbR2wyW0bmB9nlVk9kH0piiZRU3GfUwy0ESo1WDtA4RX7y/7u7X
0f0yiE80AkH7+uuQozZRZmoxNKEk6DSTKjkzpAnR4/119u4IJpY0EqN2O98pD7ShqXcOXi8Kbx2F
uHMxabGXaJbu/4elxL+m0cIh/tsYsayGbXtKuCEa4nweUZLyWIzjb30o7QOMwG0SL4YcSEWYduCl
EbBf757EKI/NTD/GwobOrdW76u+qpB6CcGf2UK2S+az3+sdonJRfKSQk3xw8ysHG7h0gQQpvgtEo
7PPma2dEinpHwVPE6CJ4MNeup84ej1gydhwDpLakQBSeQBdrmydeT3FR0QwePdSqVtzAFD6MyLEG
WmVDwteAeoZfGZIteHvPjcZU8uuPlEYGUDqHCQhtm6hrdYvsO90G6PVRLZqlrPEho6QwYM5Hifre
RSWkFXxQxB6c7/WRduj/wQ1ZgVwtU+gUmyX1RwPswgzP7MHb21+KMUu+S9izzdEx55xqjQyTb0S6
9Useu/qLoLl9ANIaHtzUnaW4HeBjaQnB+LAdy4ETRC+lFZRsSBbi6wzGBtJsTW4xdc7Bhdwx0FQ6
gTryTcKJb67KBB+qEudo4CCRNp0StR8TD0EayP07tWIqOdPnh/u347ZGS04FJRmD+JQ7KCWJ2/tH
jt4WCDzKwq+WKH7lbpGvlfF+kKZJCapubn6bvZ703mLR7HA1EvoPTWEppR8jhfxuzkItClCcVYa/
Dn7W3qaDHaLRR26kKNtJoRThGomSAu6esf2TNJlZcxp6lDwfMBr1P6aBYpu3pPTRv3bxZL5BrT2Z
8Gsl1B+KjqyKno659jwbsXXSZhqTn3rQZ/VBULLztEWviVIy7XWiko0HUKCPQQE2HTyUcRffLFHv
jpiSDZwme5c0Y/GAs1LQw2qGk2hfv/4NMJ5NTcyi0UbTUtymP46usgzychN+qzpOEnd0DOkpiZRf
8sDg6v3j2DsNjXRGYAQNMbl1vVIKG7PUkKpxA5GZYTKlQ+sVFmNjZSb//lI7zlykjGwrsAUg6Zul
YLSLY0ZFCCnjZnmq22ghmG0Rn4F7NTo36mJ6StMeTeGIf3UTOMOMxhwTx8iQ0ba3ZSVINEFCNHrI
vMHpqc75D2QjywOUyc51YRWLKAVoJx2R7fNOVCUddUrUijKgX7r26lPcZdpfTppaJwm2ypNV9aaf
oGYFi3ynf7y/tS98a9uvZI5KDH4wtcqs7vUxJiMc0MWEoF4/Oq1+UcMQbjFYa8LFDemJhF7YDGkY
oOgh6UEYV72gAbe6f1J9Xv7NjUH+2ZRxc64GLTmhYRw/TJRJv3RSlphBRHWvO6Fko0pukscdVaIJ
Yxog+WbWYFc7JbnYRj7lyAJJZZBDLVsdfN9tTkogQS2aMjFD3FTKNv4ng627N4mP4OV0vib1eHZC
EzU3pLTd2JGcU2YXmTstMIMi9UFzTxg8Zn++F4n5oeyjB93oP9zfcmEArnZc3CiTMQ5R4blFxaBd
3yjWQB1iyfv0a0bq8hkZo/mh69ACs3pkZaWkC79YRW6c7q9840peVtaAZovRDhpR12ddI2Gqoz7W
A9R3HJJ0pzvpHbyda7hYwThk3YEjuTERL2+HZgRr0UndvtuC+lUdL0bvycw/nOdZRQdQh2uqZ8Lj
IN7fW4oGtOjU2gTf2w4mWW4KWj+k5T5nLbJ0U3nW9VUJCt7egUPeOz9G/+gKkwnihjYvZihVo0uK
sSdIbZk+zKxe/wvFuPBbP+adn9L6Rtgmnd8Oy3pE/re7NPVlmxgHOhl9U8bQgO8w0TxxgKsZB2mj
6kKfAgr6eYqe0XWMPNj9oZKe6+h8/+rs7S/IXUUlkhMZ8MZMZVIXw8PdU7ur19Xtc3WFOw/tYUiP
j8DRe7dUBcQFNyQAFaDK17cUPnQjNZyl99QIGC0VxcWfnWR10WHM/XU01QP0xO56grSU1QR318Zh
U5LkkOkHeDJ0b0GRllnQ6HqNZkjcPZuo1BzEjrvrkRqyl7hqTNL19xF6pfO0JgM+K5s+9kPj+J3S
VQ+wwSPVxYjhQUhwy0vGMwQUQmpF210wOV0vqEpVQ128gMW6B3uGulZaNKdYGg3F0wbLeFekZkHP
2bEGXI8jRe8qWe+n93I8wL7upKBaXJRCSxsBp8GmcYkM9Df+Uv2Epgxa56+/aHCDYjIY5xBzaNc/
liR0VuyYh5zh8QNnttO3YSJ0EqB0/35/qdt0k42BRplMHbQFGefmJUdTQmO2lmihSLL0nTdbf8/0
Vb9Yw6L86ltEiZBSbJMnrID5UZfs9R9Fbgf74Hz2nhbZNbeBOgzwC+36iwHlIskCKbon5+HqD6qd
/rWUvYruli3nX+9/8t7dAw8FTBD+PTGGeb1WHGk5ghzML/eDNrzDFfWDi8YCojIk+Rmi1vUR4Pom
imKPMVbMg2uUXal3Xq/YRFmtWC2DtCTz0mcgbYjfxuFBELW7iCiXAaAlVNuW9h1oItfJotGdj9L8
xcgk8w0qi+rl/ubtHZSYTPz/VTbXRVHaLpftqvdGFMf9GIIPL3ZyRPa61AzuL7V3TlgIKlj0Lelc
bjw1lLyjVfQiarHb5Zk4Qv5QEYR/r4niKldasLoHXm3v46gECFwKNhBc4PU5jSrIWQmeAE+pYQwI
M6s7J/DNXRAgiw6e+Isz3kZAAhDPtIQMGekWJrFamPJZw4PG46zFgdF32geVUo55cuKk/SRNCBDA
59fMSRDqyNsFxDMRIktt2X9RpHGx0FIRYh0xrWQDiet+LoNSVUe0rPPa1JinyZX3KSoQlOFyNXtI
p0HS3VEr0r8nHfI85i3DTj04st0N5GtI0hkyucFudpyJWRl27zmWkA+linvqtUxGREzKDjZw73ZQ
qhVUQRCnUIS4PivLRhS6NIggofJegnYsjF/UxRBnMg3JByN2lNLufRpvV6GhjeUg5bteL5ZXDYHE
lfVUapqlNBDCWUVKhBX+l2sINgAkIdTo0PZvllKga6bWSGfXysPEi5upeU4XdCS6rkwOEtidYIpa
AskjTC5go7cN9NGQzFFfmLofmHT5J1SNvHJrfRk9U5aaR9i5imCq5cqfjKE5wkvv7ChJOnBi+OyZ
ydwyKzIrlKGdxMD9qiI6ZjZGf8mklYlWZcpO903J7lJMsdoCGqrDMnB9eBa8mFpTElokSfTv2Ffa
Sa0HdGi76YgqWpzN5lkDohPwXsZLuZabQAq6wX5NZdxpVEpVkBYwVuhGLQev/x4oRmgf0ERmvHlz
QzC9joqkA5VvA20e1Ivb6XuD6ttIclnnv/7LYjhKSDcFm+nGey1OJxtSQqxmJmvCyOXUPeZQm7+d
q075cn8p8U/d7B4gTEHPDEJvOxM4r2gEpDn1FMVJUNdRK+cMEfRwyrIJekrQv1SkkVS+v+iOJRFT
uiL6oARB4nR9OVKYPdD9Y1EgLeHzEDqyP2iTelpCZfZGRKIP0rS9jyRBE0j6/2Ux1+shTLVYVoKj
Jv9tYPUcpo9ouOoXrhMDSfLSVg+JNJWvj7iJfkXRUEDr6Uler7rOemdQecOoEA+ecmBlJ8gxl1Ns
JK0bDfGreSGg9aFhQu8Jz00dcHNrMjCWVSKK+IzmlQE4P/lSSdNvhpWO+gg7+ylm00EaAtygWrj5
MtFc6DtL6vBztu4jdqR+Q2dKlf1KlpGoAr8rJe7cq/rP+/dmx3YSaglCeHiiaKhv7g3GNGxaEdXN
rTb7dorQO9pf1Zuq0FdvBhmHDpER07cpmoNsbS+bIVyHguwFSMLHXx9mi96y0w5D75ltX30ceDFv
5GEdL02mRJcQhbsHqqzTO+QnoqArcFVWKhendOgrkKht/wGiZaRfdVP6XS9yi3JkWvWvf1UYKH4k
8+/CuWx2p9ZmbUBqlFhKVqZAMhr1IdK00C2dfnkwI0M+3z+NW2gWyRLzxBhe3jGElur1nmitHVNy
pi6gSNTqvU6qCJcytUjsC2J460dlKTv9NCBn+kh5FunbScrG1NPrpf13tEciifs/aMfn8Ht44yC8
RcCwOSOlgSJNlfk98Yz2Wo7+LT0uRYflE3Dq/aV2LJjAE9IoZygAHMBmr5n+WSi0pFQL5LKNz2tD
aukuloYqYG0U8dvU0ZCCvL/m3qvDl5JpCG4tCCI2221FcqFWZkdOY0ykUmsXaOj8+FVdrR87lcni
QTPUgw/dXRS/KnoyuHJnkybaRd4sbQSbYRZ16bc8HE1Pqu3m0a6L2IukCFVoCWnZ+1+6d5AMlfCt
JMq4iY1Lt/u4QRUWtrLCQitYn+Cm1yj5nNVeig8u8d5SWHlkQTAoQLQ2pkxarTw2Gkgp00qjJYri
5Jt5cf7WHYS27n/U3pUhbhbSOwoVmC0oFFHBfGqVpWM60IwvRjeVzyi/fJfMLvKdniTh/nK7HyaQ
ikAnwWBtIQFLH5LkkHB4ywgfimyUlZeWWuurCn/2H5aiFSNWY9JqSzVbWObA7EhMoK5wPWa0NgNS
47+rwaz/w8UQAExQXiCqcD/XT0C1w9FCew9HTpYGdMpJfiBZy/51Y/bp/kftlWkA3jBEALAIx7pt
ljsJEtG5zXNLRqvEmlAaTKDvQ1xTSfw1m4bT0tuSb+lNTPmk6M5Ra+kHycLenRHjnUwW0F4GwXf9
vb3dNvQVcemKXWZes5bFX2pttS7DVabfNK8n0MeiQ5zPo2N7GazamLVJzkJTLjnJOIRhSU/RBTCl
uXSh7ykPPOre/RToNEYBNepP29I502KTYqN17MHFXAYUxf6u7aj5WAP6ONjEvahBdEWZ336hoNlY
E4qL7aRBKOmZQuA2cbriRzi11TMVkIIyVLI+OVkZiZgiOrhDIinYBNckrwS4tIC4S9umrDlnll33
lG7isVC+lVVSA+2w54OdFIdyuwq9UJwwhAZbrEM/Anoya6o2qj5JF6AAyY9EK+tzbU9zoE1MXpA5
qRe5GGX6FENyEJTtHqSA3v1veXVTOm0REzQLh48stNqkET4b7xdHgYdJ75LL/Te5+xxgfNIo4qj0
kzYnWQxKqzQRzz8pZuQGl1RBAVEadZi06Aco8yHx4u6CfBphtUmss81ipTQZVj4b2lWYEIGpLUgd
x7LBQBF1baQ1jgYHdq+qWA1UobDaGxefGuhjtqMgCC3i/K0TF+F5GcsMWdYin7Mg7HTpY7oO/cdV
sasDh/ECZNjeIyI5NJeo1gOGEgf9RxPf7BnRV+2IQiN9lgUtFg0WxrVYs6/gH2T1gYTUUoRmEDxH
6RCbeOc8Q7A1Zjqx6evG9Pq0kR3GHYBEumHmdJU7o10MtWNjqeigo7z7DX3uqXWlcIQy9/7l2LuH
JtVIgV5kGH0bNEy5Ya9Ji0EZlUoP1GidYTiT9Lj2nKiRu4O4Ye+k/lxtYymXKlXKVMVStpIVncwG
NvcxTYvvbVIkj0zQRWyUpXiyVKYHtB57d5LSACqWZIyQ1m184AQUrpscKhEo0K0eGVpxkWcNEpt8
qU5OV8fv7+/rnnnheBXGWslmMRXX1yJai7RYJNq3YKalJ01vEbLRzWWR3TxilMdr9CWb/EEZ4q8p
Z/B7XnRE5O//hj1DKkYFMMmg6GFBvv4NaFnFkpm1YHCWVfuCcqvzJbKLI9DYLSoB90eKJzC9qB0g
d3m9jMpRpmFHMbWqoAuCIVJN/47aiVFRiWeguaEZfi7KglEvKDMLP1Hy+B8rtJuEtlE7SFQPIxoq
0zwXb6QSriNf6WqUWSZJWwfXbov1Zz3UfeGh+QqDctpJoeGmJqLhriopRf0WuVYl8aIcfl5/svvm
1TAd7gbdVOoglJWgDNrYT6ups7YI2cYZYpZ3ox3yNmo5O/W9fOBzdx4jrp1uMXKWFKe3BdVmbawm
q6m4ZI2hu3VTGRfCLLif4JI+uBt7dkvUV4jQqEuT+W0uR1JMRDQ2VQHGTNPSs+p6Cb01yuufiMNL
H2izppYbpXnhPDA+nWpw3enD58rWqrcwq5jcZiOaUJA2mLt2V5zKG5tSWeumcj0g29y104duYVOR
+NWd+iB2Fq91Y3RFfAC1uWjF3ZB5MvSbLV1KOTjP9CSopWW55L35lxImzpc0jKOEd82k8IGt3Evd
Ya2j5Cfa+gIUcn3Tays3myQmA2+1XH8rdZPh0wRBQL6idjJ4LSprqKxPY+bZWTMF4yI5rtlCMMdb
V/+9/7h37grZpaBXpDrHf+Lx/+F3wL5DLYX+vMesofYriUc1UBrBotqNC9rL9xfb2W8bgBvZisAV
Yz6vF7MlKhGKPeJhw6Z8trNe88ZujE6kfzVDbGrxUzMokN9fdOcLWZRCOIaFcHDba20tlDf0dqXB
NTW5Xw2D+qAPsuw5Sv8f+kG2GN98ceJU+Dff18jjqnZ220G0MxYBcrKaPyLNHoQadZH7X7W3leJ5
vzCr3QJfV9uejSKnbTeqqXQCCpN7HQNNZ7MGPoyaW/xk6XF/EOzubaXYQlIHcmnGHa/Pb51sM1KF
CIc9NIqnp2l/0gW7Tw/D0OX+9+0uRdjHf7gF/M71UvkkJwY6V+h9FGp8Fvrj596pJx+e8SPQ316y
SdeV2RVGZRhS2ELQk0SuAANQhigTXloG6YZHkygOoLYofDMXfBAoqgdpUs8+7NSRK09Zd7C1yt4H
w4coKFVBGt1wMOpWLddjCOv/uhRdc6o41s8ULaIva1tbvWsxwV+4dYaq08XuRuYeZ7mua7fo+9z2
zNWKnixlpiFIBdB8mMrWcCAamJcv949lJ/6BE4fw9KXFDzHx9bGMcVPl1AZaz47nkqZPvAbaoH3p
WiV/DB0jOqji72wKE3TQflHvIzjYAk4reQHHYlKLArCTv6ubsGICM4ye63qVjzyZuLwbZyBG5qDr
hWCINGcTVBL1jaE2U3Komzk0A22xBl9tdW30jLEpL3PZVBP0AuF0VrRFOjP2HhWuKRnS6dVbLGRn
CBaYiIAtY/PIajPurWQmz5LHJfaVqQZlrSZLYDhD+1SVTfT1/nq7ewyEToznwJ+9RcTUMmnDvJKh
a85ggjIjZqfw0T+O1AdeHZiQ4TgadgvGBuzHJnqu5kVRe1Nr4RnNnQv6aDlyJbF8Kpr+CPd4+1Vi
KRahvcbQg7m5qF1Rz5Cdma03yOV8MpgcduUxHE55eDgndvsmqMADEqE1iScFvXb9JmKHzq6kSq0n
F7oZyAiiPxAzI3/IjLunLuERxdpLWfT6prKBZAS0rgQX1jYpiEvdqmij8W3U+BFdHW2jOo1Sqxvu
yBt5t9RLI7smmkyQeRu9/gSPgVMGkLNEnRtHEzmENkX56IZWWWRBXZjaY1qE49+pXainMEz6zG/n
WXlm76bMr1Utfh9FsNUH92/ejuEVUkSCPpCUCksvDvGP4COspMWUM3Yu0/XpH8r6xUNlddlDWTCP
BtVz3wcQeDpnuArkB8cO5W9GbbRH2JS9q8K42MscNFdlO1keV1XfFXmC6LYaJ++5Jcnb1NBy15rq
9OiLRUV7c3S0LGgQoowkOM/FXfrji5021jRJGLTMXIw35TxRXtD6VLrUeezaeXqKTX16NsyuCqLE
GU9Q5p0UozzihL2NHgTlJgks+PMXptTrn6EvWmgPPd5Vi3Q4rlVrOM85mhZT2xG9531yyfT0qNq/
804INMFmUwgURBCb065Jjua8M1rPaW2GgaxqeQ61pHs7ORnkSjAS5kcMMbd1AsgmQFsyWSu01bfx
ymTJZRXO0JI3uQRWoJEXL5/UNqBbiL4dOsC+mUyyb41q8/n+1RZh8/acaZ3Aw04LRUD9rzeYsuBc
TzWFuCVGEbUuq/SNjTbyQZC0g3TnAxm1EoSLopa72dJm6LI1nB1Mj97ANhGaS/Vgd8siasaECMqS
L2ogCUXtaKH8miZS+nkqEsWXnSz+0NtjXp3aMI5Pa6zZD/e3YOdZ4cOADqMMKo5h40+lLslSNckI
aNJK/ayDdw2sCACMr4TU+w68996FpvcqBkWQMzG34JqGyjkVMxaTZIjY0DHRvbi3rXe9k4VeI+G0
DSplB4vuXeg/F91k9EZTrYUpx3Tih8ykPwENoiMRL+hmqL4baQEdREO315knKyYlAUqRtW7zelme
UnhUxhbhPWd5AHfWuk3YSkHVZqs7WPMUUMDUz5G8HjG43Hwp/QhGcSgCURclIt98aZ1Yi0nvn7kY
CbWfi663UcGYbWsjnxSuS32BTSw6kqW4uUBko4RBpG7MTYIM23QHwzVO8yVianhg3ro4q4PWPRtt
CNGdqYRHFnF3McZhBN8HddiX8PwPw7x0WQ/zTgXECNz7U5arhj9KmeU7TWl9vv8wXtLcK+MAyQ/V
BhpplGmUG5qsBfHLopSX0U9QwJwUdw5LZ3CXtZSt09qMyhpM+OCK7y6WX3RPjO5k5KmeuWrTy0kw
NTJjh72cDuEpk8vuLRqh/XJGoUOJThPQlr/XOBl+DrJVAttPB0iEsHrm+kFSIikEUhmNdmDW0dw/
8kCrNzDzRLmX4CoO7uvNreE7KRmyny8Jw7Y5UTKwlVvGMPlOONef5Gp6jCapfk6H3HrMdeOIBvbm
CDG3AqAiqmsGnVDx938cYTYwTRkDJvTbQl1/G728PFawAf3Q4X0++LK9peBOgdqDlJGW8mapyKjz
RioH3VeHsv6gFUrx1NPlvSC5Ef11/7bcWDa+ii4y5QtQukDhN9Hl0MVIJw4sVQ/D/ATpo+0r/Ro/
pjlyEZTj1WdalPpBNrpzcqBY4IZhJwG0bAdQtVVtrbAKNb8ozfJDYiUwLpewBLYT6qx9fzQAsPeN
fy63eekl+DpBiqD5a4GWyqW3I3l25TVqKPZ2cKmNAANnt9NfDyxkc4G5UeXCewJP1q6vTDLbaqgP
MI5Pyyz/yOAQ/t7IUfMlz4r1oJJ/Y7wJe6CgoXSCd0NjavONnWKFeSRwOM2yykGXNPJpHrR/Vz1O
TsUsqXC1WMW/TQdd/qsvEAtbCAlymGQMmwtkIFnMMHSn+FlvNcE6qdJnNLz+Rc54fDv3qPyZi1IG
99fcuT/MY/EuhEYsNm7zsZNdW9R9WXMMwSl5ZZf3bwok6aBhUfXWLxHLPN1fcedFvtSgqbpRO6Hb
fH2SXdPHzrDWwJz6SP+hyH33dtFT51eJusRBFrtzWyEKeDlNjDhw/eulpBx18qKziRurXq4Lt29p
F3yw+tKClL9XVU9tbfv9VKNY/fpvJHcAsU+eTgYhdv0PA5c0MBJrsBz6qaKtazDCUfyNyLa13Nwp
2gPY5t6GcllfhrL41q2acGupfZbQXPCNaZ2/wn7RdYjO2/rJtJPlwCPu7SjNQ1ojAitzA2kEF82M
6WIovuWEbeei0DE+Dc7aogIF5ixAe4Ea6pQPB828m+YaT5JgETwXLW3W3UQ1WNU1bVpdhRmzlsaH
hQ7SxQojlI2bJUKujJE3/WNBtPq5GI3h37KDMPn+ie4ZBeC/Qs2VJgo/5PpEyTItY+oaDWr0Vplc
c1Wc4axXufFXnrUyId5UBTHjYX63RN0Rv83e5xPSobpF0UfswfXimjoPc2VOmm+EcZkHAOiixk1D
tfmUOUg66lWYPTEPbfoQWoxAUfRXI83YfyYaaB7ROBJu9PoHZEjAtCj9aSgLaqU/2r3sJrWjX6R6
fXU5iKUEhYAgDYKmZRsbxEqWxpbDRhdTHPl5bA/nArr9hwJc/MEr3bvMLAFiD9AJpIcbn6JGpRIV
VqqBx4VakQZH1voI8+q/qKVUpqsSbj2NUn+oMnprc6HY4fnAfM1wN1MO17sZGVUdwlu8Ypam8f1A
SSwAsVA4Ln86/1XDKHyQ/tx+qM20BvGyxTgdkk+bBZ0oa81u7FY/V9T0e9OoT9DGSIqbyYtB4GCQ
nRjLfGB8b5tnNqmABi4f3Kfgrds8mVmV83SExM1PqohJjXmcladJN8K/Jj03PuXhEj/3UVdb3lKX
5gVo38RcmD0C5XDkv++/3lsTCZ6QqEHM/nDc2wHZ0Vxye8okmKkZ5v4sW3P8q5Qb/U1dNuW3+0vd
vlWCQIaPhUclGdpGD6oWjVrapswKVhmNiUJ1gtgpZWp3nfE5sZkeYE38QJJKT3VdhQd3euduEYMK
ThLQTPpNbTxarNKErnnFu7ZJ6SEBr0ZuisRO5mmzEZ4dJ68O5vt2bpcA/QBxF0MzRGjX19lOdXNk
GmHxFQeN4DE3WzoNkhMkubX+UhIY8jPV+nB/l2/NMaOYzErSDSZvIdm+XlPSYiBaDcPHbZckX/JC
fd+FdvURcyhdFIgo3Jbylg824Ghed+8mCVwA5oLcnpL19cJRkWelE2eyn7fKfO5nNXqScoRmsz6L
Dvz6i/25zj4B9mKcbIgRuElb7B8Tcm0+GfPqa0zoo+4IJyN9ZigIxGj7266YJ5f+tOWn6jQ/WEq0
fEwo4X5uiyl6lPo8e6M2VnS5v/F79wuoJaBH8IgEAJtH3c1FWkFlvPrJivKtG5u9Vbl6STiNoLdR
PpSOkWSv9r2Cixz4OI4fUfEtgD6tsigTU9l+V9fTs7Mq6tdsjHLqZ1rxd9ku2RPSUpavZBRk/8PX
4o1AkZMZM/57fdpKBTsIFBuyz+x9/3bulMpDMET6xgho/9jGUXhgPPZuF+aD52SgCcms1vV6BcjF
iQkcPENUDKd5xuUxiT+cq9muDnyCOKjN5cJMsZuiecV08yakqgotqaDdnf0im/sPcOfrHGM/fbm/
gTvvlEKNyKagTCYS3jyXRk6yxe7SxY/rYm4gQNCsh6aUNcAkdXqRldjiVJMeilpK4NLBvdkxTERq
ZABExyRV21oYTOPN2EGk7K/RWrtr2TQPRj2pb4cmrp5gch/cWZmr4P4X7zwQwgncutDMwuttjtCA
Qs1IknLxo6LT/VLX48dETYyTPBpfmCtUz/eX2zMS9EGpOVARowgnb3z7BD6rXkeE7p1FtjwoBKwA
jhcEdSbD/ABPYfVT0aFyXiT+bJabqAnaVjbPiRpmnxMYQGAit7P4wAvd9sgRf8JMAM6kGAkp8eZ2
EcWhqdH1UCxVlvo+c6T1wRqH5hPia+WvqC3DQIbr9Dmb2vh7zbTi71QAS11GiauTOgHxoU2+PPdY
oIucQQ54sGniELaXn1qXsKlcTGoK1+9skZYa1uBxZny06hpfq6cp9xOzV390siZZJ0sCIvloylH0
eyqiJvJQ0pCfu8jMjsiSbyem2CnqRtA04cqEltX1TylSKMtpbEGNP3Zx5xZEnSfIV7snofpC6piU
2uMi58vFLJfpXFRO+btFm7YKtDnMvcaSyjfoM+rnxKqL5wws0jd4iSXj4FbvRDUYQMInwTwmIvPr
X5mMjZWWizz7aVjNNbOPevKkLlXxhId0fla6DCNglZY9W1nC1iP3S/j1/pntPGZgclDXC0IIgTC4
/gVGY+VyVCNmEiWYjscoDvPHZozHL2ZuIykw9n03BqG12q93AZSAWZKxVkHHt3EBad+oI+oxs1+j
/pWf2hbE3j9xq0nVqVSR4rkklVWoD6/+WIYLAP0zrW5Txt88H3rgelmKhtcsJ239M5KW+JKixdGc
7SyvEjcCgyY/KoX66r4/2wvODb+Am4UQYvMwkMHTZ5BdlIParG78JW3jEPYJeQrdOA216shO7DxE
QcRGIoRoDHGOen2qWZqrTKNliq9XEKwA2piyZ1Mf6idnXH5pjBqcUnl4r0aR9aCHFbqNhTx8ur/X
4oFd2wKKEswQ492ZjobC8von6Fq6woHldD56Z+o3ikMGWu5GJX3oynU8qNbe9tEBXVPEFPzzjLri
Hq4Xi6FMGeWVd7KqU1c9Fdim0tfy2PqhD0Ao3xTrstgnR28X0PrGpDteF3aS/jT3RXUk13MbAYCP
YhIJIC8BLf2i69/CJP/qhJ05+FY60IjsGoUJPfr5Bw/31iFeLyP+/o9aWD/VKBvb2gA2xrYjhFXs
4amr4aJr5raDSW3UT/cPdG9B3ir1Ihh1qFts7lSfmoMxF9noy2ZeXexKsR6kYkHCWyliN0T16XJ/
vb19RLRVHCdlBGbkrj/QLkcFhZxu9LWxjd5Ua1d+Vo350NELQ7O5pwr02PRnqYpwXpt9pCozIMEw
jH6jt8W/aY3Uu4OkwPuxcKBpbwp7eVrjQXMzKw0/NJmkvanqqPD7YbLf3/9g8SK2v0SHYMvARhDP
bIcBIxh0VbjKRj9sTHQQszqVvqWFaj1GioJ0Tre2KUGeGv5DvJ4d1cJ2QgsqYRRsoGmnf3RTnm8k
TdIiiDbheElQ1ao6J3yypi57KuXebCBSkFrJW3pV+R5Xce6Fej187ZvhdxH32ucuWfMgq+PZq5TR
eqZn03+8vzm3nlL8PCEyKxqi5nbKrwJFkKswxKB9MtRUmGFE/SiZVXxepFrTXKZ1LEBV45S5RapB
com9OAgJ9+4jLhooHkaG5GXjKUO71MPW4RdMRjRYbhwWAD9Tuzuoye49M7gC0IUFDgIQcmM+st5e
RrWORl+S5PFLU8mZGixQrS1nZ12b08hc8IFX3P0wKlnmi4AvhAHXDy1NOn2yMlClpdRVv7WhqN7a
zvL62j0RuhhhB6RhgdnYPOd6lErmGrBXZd7LQS+Flg+hnOw3FfCn+3dlx/UI0nf2TkBPbpr1IV7c
sWPQi9Jop+dqmhzfhCE0CCOnPghjdpcS5yRKyCy6uRQDxHd5Am7QB6EPEI0R/UCN1RR0aHxUItm7
GExGcS/ge6UitN3Avm/t2sD+6ryud4mZ65deHWRmwCvtExr3r+7wCspyvCrTeWAttm6MbkNZD5KN
KgUK015YFe25nZvIV9oxPN0/rx3D98IYASJKIGW2dXgEszRIas3R72H5ISBZHcGmkiI2NHYXNXII
3yX9/6g7j+26kTTPv0qeXE0vkA1v5nTVAsA1tCIpS25wZCgEPBAI2Nfp1SzmKerF5gcpqyt5xSO2
ZjWzpCheXAARX3zmb+Yd7ePkhT39I36IC27HNNDPrR/knmQpwsQPi6nMENua6N/WxeJlsWnB2DAy
mifHrg2M+1m0eh/qzroiwTrR3uwXMtRQlFaNp6nSh4dtBmgd080sJf75o3lmfTG6pOe4OThsxPun
e7NZ/LZntjXFOOG5EP3L+7a21uOaui/E12eCwJMLnYSdPqGungTueytj/Dlek0Ygj6ec/oXu24/1
BsUhOCVOdbzLGBM8vaFBVx3CVKxic13RiRpHSU1qaDtpazL09Vq/1qRwXrjoc4cbLBOXTj2VDn7s
J4e8SZse8Ew3xkPuiiZatUXdIvnf0fibavOT1lZ6zdWVFedLm01hhjrAbW217V3bLaCMCBxDQZKT
pBc5BeGBHTO///mbfu7BwEHZRmHAWu1TEG3RGoVrt0AQc0Nz35QOKC5sAzT0ZAP6HTmM05lzMfz5
RZ9bXrC7Ny/fTV7ktDGmD32p5V4yxj6L+ZiL5gHwJw2COX2Jpf/cHt/wec7GxyIun6yvJO/XHmQR
6UWQ1vduM34oZNsckMWpLzU1Jmd0WLDP7eyXjGyfmZeQrrIBcciDtIEryNMVBw85UYa7HaiIv/dx
1cvmOlu8NAiXZnEOsOrLqKIUw6/YaKcjWitTPPXoamB75L9kev1MEN+KIiYmoJapQrZV8JesPUOt
Ih1Lg7dc9eXZmPc0JIT+XnlyOXfn7iWe6DNZE5ej/PrOHjhlLmoMEcYcYGlsGmK86wTMQZyAWmfn
TN2Mg7CYs4u0HpxrX7ObV5qPRdGvL7CtEcN4mbkNucnT+zXZdpCKAxVrnnFdaoX1bkmnlrncNB/+
L67EIJVJ9uaOcgqWK6pWMDvmSqSi8w555/WoubLZF443/HqiDv2ViT/YNTLS0zZCXq9LUSnWRuaZ
U7brfQe5c1qSIVa3/RFIm3rEr0rXInw8zV8PEwyLUQJjLAQs8NQM1jTTpqhSrj3UmrsfNBWMuOsu
05XPv3aRXefqfHY7f/fzp/vMQgI8w9SRaLFV9CfvEZES7GZMqeImzdz6WOjwqnNbo6bPEm2+mz1r
6g6jqVmvF8xOC8Qx7JcqlGciCGgMWrHuNhWD1/B0KbmTgye1lvQxy7TYB0v52oMvtJtWc9jrbdCe
+Y0t4p7T+tdXFuiEzQORsA7DYWu2/GXPJpkng0mVrOE88x+krtkHUMUtU6J6eOEUNp+9SRfg0LZl
gE6f5CO1vvrJqm+2Z7PnfJKNEueMhsyDHMvxbFWDiEXqisgzsvrdoErXRYcKsMSq2wtW7AiUpCH6
V9PZOM9WjEtxiTDyUnvAjnKr/9C1ljgA6HRfTShPWDEmb+MDnI1g4nmu0/lQZh2WQnilhTSJ6qjI
3e4oFuwyfr6anr3Ljf5IHw5u0yku0vfF1AT9pGLpaM0bbZ7OS69yl0iyxEKG24sWTcDWr2h/di8U
O9sqOSmyQQ9R6hCU8LY8XchmnflCer2KlZn49wTO153VwAqB2Z3HjjDf/vxOn0mr6EgxZqONAW/3
1Ntu6HJfkDiq2IUaX0bQGQczrOr5088vs51hP9wVSToysJsWxukg3uv6ZKyFpmK9G2Y0EIoqS0On
7Zfz1jde0nF8LhYAad0OMR/umbn9/i/7QWlNjlfGSiWn2ctb6duyvl1VkugRUoHWFaOTcglHWglW
tFBN76bCaV4oTn5068APg+EhYtKIc5IXn+wTDTHlcbSMDua/080R9PjEzMOg7ZNLd62tNEI1Sr4z
rcaurjwBB6AtFU5ZnamMz6NyvMsmr6YXVvV2dp+8BJJaJjNk6mANTwMUSi9lV1pSomztTZebbgGa
q47aV2m97DLZo24cjCii/fzVP3NVqMQbhiggrWI09PRtCLNA3L/Qunhse/f9ZrlmhaIoljcGtoOQ
PLw2uCjE0Hz+9csi+LqJeTKu/kG5UfpyBDcquGzu67B5sJO+LBpmKVGgpxVsiwKsBCfVC9v3ubsF
9MJAh7425NiTZM7SM0O4ydrGY+0E753OnKkc7CTHN1am7V5X9bB35/RFd5hnwgawDzLkbeIJn+ak
bNFrQxY+ouJxW7C3riyjrzvEdYPy00JP+y4PpFWEpTWUx2GxaxdLhQKuNXaPnQnSXKznxPWcWfqK
LGlo4Wsrw0KNrh2ujZY+/vzVPBMMvhWL2wiaV3OaCRlOIaY2mFpK9drUx9Aug2y5gXUYrPA1kwF1
kF+/IGGcid+G4KCR9HQJgiNraXKXbax7LVh7sujyQpZtdl4pmb7UR3pmBbC5aExsS4Alf7IChtnv
fcFxHydJ7rzvpfu2adfqys+qNJ67sd1nXfpSBvDM28eIhUzvWzeaBf/0BhdmhnaBk0S8NFoCRLDs
vagI9DINM7eb3nfB9FJb+pkYu9nEwd2iTthq/6dXrFLdXpWqJI0rMRXwF/JVHQWWBxBGsyAQ4Wpo
4sqDvFadT2tna/j8StP8+MsvFm1tKLGMnLec+uRZZ0wDkkp2XWxUAHwXT1qhlnrEMWHO4wvR87ln
7DHbpjr/luKdLKKgpAPAdu5ikcvxLjXK5W2hjxVi9L5/qNdWvNC5e2YdIfuFDZ1DxIZ1bj59wp5N
bwMkCAVhaXS3bjvOGozyXMyh76r8VdcmZHj+OL4kAfFMRgAnDtgGEAroWqcDV7Toc8fsGVVlYGB2
ws3M2PCpi3/5zUGQpV3NLMHChuykp5vpQeYFRdvHSIU2USPt5TzvvRzt9qL79QfJJIqhATnVds2T
dGBtFlWN1qDioHa6LkwLkFVFk/p3PIFHOD3eHoZBuvv5/T2zWgJ7I866m7TtD4DpLG/GpsLWPrbc
rL5CIGQ+X223jqplMfcT4hovtJSfWS0BXBISrO/n+8nz9IsCm+eO67mDEl9rvQKpq0ALtLq1XHe5
XtzWjSk//PpNMmeg0NvyCXrmT5foUNZSDkaj4m62PbXjiM3XI087uNCzKX2nKtN8qWHwowgRYwfI
os7WKdvERU9u1CicrByXkY6BWbZaOHnLtOwnOuBVHmZoW+Vx1+vWWyPz1uLMGGmv7tOlU4d01Ek5
7U5PrDCwG8f8VDl1Vd4UHdvgLBC9YSCzJ/PqdmVTTqEzW8lN2tfpF6FaFYS5FjSX47j678vGr+DW
9dbs7Rkgly9JKvzwKtkOHOOAeoB8M0k6Ca3Ub/OABjJ3CA7lNuecimdLoifV2usxd8bPPIK3P3+R
P14SWWR6E2x4+Oo/6BGJFRxiUTdO3OX4Kl7gaYcxmzNSr4Y0CuS61wpynfMBaM1L6eEP4YaJJgMX
6leOEaZnJyG8z3Ufo6fUifu8gSmZSn+Os4R3/8KG3D7nSfK7XYdoSlHA9Bvb4adrtfeBEZhd4aBQ
N01LuMhZRs2Mw4sLIE68kHD8sPu5GLwT0IEcS2S+JxfDN6vevLkcIJq1dVv0nXMppYVbn0h2TTVw
GP78/T1zvS3fBIpL1Yh+w8n5b3qV1Mxse4h6YkLSXoWzXK/9Oq2A6FnDrwOrhsH984s+s2iYk5Fs
kgEAsjstJ2TX6sGSSide57V9ny7GHLZMH5jBdmbUS1VctNhovXDRZ14jOQ5zYNoPNOdPU7nG8sXQ
Z7kb96LT3o4poLFjXmsOvkRtKvc/v8Nngg1jMaIN1QspHWPnk0VjDqXeloEVAwsu27BXwr7sSsCE
IWlHfqv7XQq0wExN6vPOlC0Feq69MnCcuMvsvPpqdlUQ4H+xVFYMVQUvAVfvx/lgZpihR8BctKM9
ZqoN8Wibz4cc1lJoKh3UopeoJg91DaG1iFeXP7hNsdz//PZ+7Dwz4tA3XV8aZxvM66RItYVDxhZs
RUOa6ZeA9c0pDFAt2pC9MpfhNPuDs6O2ay8GRzpd5C2OzENtzjzESBrLq44//0Y/tpe2bwR1mgkD
bQI6IE8fOFZ6Aj8Ru4kDkGYTMoVt0e/xE1y1XWAsJiOOdaUoqXugCOEou/IRI/NijVTa5Bk8dh11
GOl2QoY6KPQaiY20aliguq3vM4gARZT1eX5Td3qJ753lLvf0u50WNUL8VjeadvBmMb3M3PTGBAWT
4aqzbJ2CLFwzx4BjI4r288/v+ccV7aENTqBAcY6+4Wm3Yik7iE9L3cbQ7xAIbczyKCsFwGHF1+Dn
l/oxTEAEYoBDLcTs/gfSaCdhZmBijea6L4d7MdouPCrXiFxMb0WoUw2+sFufXWHMtSgStgzBMk/K
UolgZrWBUWNT5dOOg72I7FIWOwx7IFWONcSbztfBmK3ObgWxcawxOcRCpsm+I7D+/fP8P9PH5uZ7
pO///h/8/LlBIT1LhTr58e+v2sf6tZKPj+rqY/sf25/+13/9+9Mf+cs/Pzn+qD4++WFXq0wtt8Oj
XO4ee3S2v12T77D9z//uL397/PYpb5b28W+/f26GWm2flmZN/fufvzr78rffEVz5y/vdPv/PX15/
rPi71//4z+a3N031j//128f6y2838h//u/6ctY8/fMTjx1797Xfvj60LgrIH3Rj0CXjWv/82PW6/
cfkNECOaB4Rz8uMNjVc3Uom//W78Ae9sa+MjKksdom+/6htSyL/9rul/sIg2NveGmWB2RWrt/P7P
p/HkjfzrDf1WD9VNA2u+57O3zf2vIxpEOvbYjL+gM4Md5tg86RSVtjkvdTeETWZHNLTbM71e+zma
bMDAZSavisTUsmhS+RYfyyE58ypCSWghjXE+Yp1Wgmn3qrf6nHY3TuKlBmFhWR+WbtTiNPCbN7ab
qhetqbeE88m3JnUBx0u/cXOQ/GGCVNgNJkPe/ei0hRliC2zciCxdcmQK+vw2tYo8xOq4vrWtxBBR
JZP0FbLZ3VcgFNaVVVr2udWb8ztNl/mrcnYJrGnnGxdzgRsdAjvjdD9WLcgy6Oc2xonrskNhwL3k
zDK00M9K7bNMnOlRz8b2bqpnlJQGa/zEWC270tIEB8ltm4dS1vklsWVf4iiZwdyWYGfJkPs19NO1
/+oUiQ+IvHEurZLDdGhxK4j+sjj/fN1/fb1P0wUmuMhEsO4QoASc9KO4jOI4L73tOXkURXpwLYZN
GJSqZWd6Cj0UQ/75an5pz19ln2XTN1/V0w3+NFD8fxcZQA1tCey//3O3/RgbPrLHfrv6KFVW//Y/
9vJj/fnx3/4aGP78hO+hAdz4HzBCOG6ZBKD+84299j02aK71B5k5Z5OFGiZM2O3I/mdw8P8wCBeM
5jdYIk1HNvSfwcHw/0AomYnChigmRSS1+Od3/W9EhqdHJLoDm5QwWgc4A2xnyWmmWcxFr2aQgfEC
B+jYdBXaMRYcfavO5hdOrG+jnX9t5+/Xwm4NhAOyOBjkndSXlrMGxow/RQwgYDp6/a6SfRGbhbDJ
ePCep+AM6zHNSTOCOm5VKJa53PuSb8IJaB/U10xPnaMq1iD2bVVhhyxiJhCXXqG/xJn9pn5w8mWh
DRHRaX5tTszbg/vLpMP0ldePvLy4b7x3abEW4Tz65SXzq6smmMK5HfWwa32w8niQed1R15f6kM+J
CDd6fOhsWjgAR4wQ/a5PRda98WQGmURpiFcjUDYTS8gVUM3JV42eSWGBQRjVwaqYZaTZTTlUFZP6
2o/za1P1dVSn7S5FlT8ieHkRiWS2h3l67uv5hXTz2MqyL1XSpiFfro38Ljl3kuZPysIv7fqfnvRP
zv1X46OET/fIXmn73/ZD/eWj4hg+jRZPkoX/R7KDTSfiJxGgJQT8dcdz9vPjt1TA/oMeJmJBOLCD
5aFeZE//ud3ZuBtKkFJyI099l775c7vb1h/AfzbY/vf0YfM1+nO7m94fTPZApyF5sHF/ASn/wnY/
SQSAQVE8IxBDJbuJ/bBtni7ryWcEILqsDhnjVTKsUbZbjzBeXIuTqQJmlhZ4ngTTYsjQw1xyiGd3
m/elxZLInRowQwnzueJfzMQJ5M4uq7TfDTjvoCyG0bwdNYtMWvjfXtXGoNeEf/eXZ/3MYcfJvxVP
f9mbGMiRONEjB3m5FeWnLM520dHXKsevA4ij8ZaLIgaOzZGC3KGYLYdetaLPj1L4ujNQwL5MMmc9
+JNpPyaBWab3SZ0M1sGVlTVEDUISxfsUq2hcksy6EnGxUBga7P3h40AzaUA7zUCHRVpL40ZO60mc
wkpncPdGhlTM61ZLaGHZpdXcoOJtWIcZEdJxN8y20x/WMSmTcAZtNoamS2kU1chmVVFQap6zw4cW
HaRqBbwB/qi70UwR+BHu4QsiZWBnxlDo+azCNU/QwOmSVnsr3IUGZ1pliTwo36m/WnUvLBW6Zt5d
Z0bW3ftm4RoXSEoEh0TIuY/cqQ6q0FNlU+LkmbdwMYZsHXZZ75ll3CL/au74kMtEpra5K+tpuZuQ
9khCa26Xe81sdKYrgOi012sHAmVPnyxwz5eZXs+uxPvrTWa4xCYXTZ6DqNPFChsUx0UstaIGlKHm
bn7grzHmGtp5nN6IoHG126Cb2wH9NUfPIl00+h0mvYZzNWZptewt1aO9OK6Y84bMt7t7pRvmEGlj
X8OaWUb5patE4r0WdY2TBobc7Xr00XSZo3yap3unzspyL/zFSKN2TsV6MzAvLvZ+pxW0HzsjTSk6
8Z2LbGWIc2ca1RAOteddp7rVWXceQlRZnOQZd6Fys71v4DcGZ8WUmLd4hzh01amRzlu1runOHkcx
7xElk3bUpePcXSsBejBMpt5eYj8NumrHxFrvzoBsNGi46tV67pldZoWVXvofhp58PR4xCi9jyxnE
e1F7CWx2qm975yRT3Z9paQ8xeczrqrufsir/2gAoINTXdmp8aRw533hKrHk0jA0NhNCs7Y9GBwTi
HFTLlOyTXlV+BLgcIdW+HzhzJHtK7PTGScVbcMXTJ7PJqfobU1fspHLVISMXCSLqTpIM5qtVMvs7
T2eDD7Mxs1+MEF0O9n0HM6Aawo4b4+mOq5tcNCDZdKT5J9/Y10Ew39RBh5BK502j9rq0lW+f+ZrB
ZoOJuI4hnXw+dFgQtGdmOc83aBwUMHW+b0Vwz2MmkF4Z+YjWqfv5YW4Sxz4KDQ+sPARUPjdppKxG
VF/swipXtMGCYQZPqm3CKnnYOiII3kEHdGcbOuLMhddgbu99NM/MV0gdgWj+vlxXs0ucD7gJ8NIr
0GpIoHxbdHICUr73Oe9pG/drXV+KYmKUb7kllg80dT96kA9ofmYafjxyTJ0PaOA07lltT7kZIh9g
Ra2T97c8EwvrILHY95pKikun9NQr15i0LixzYX+atclWYZ00X/Ki1I90NvIL+NByN6KZdjb0yCO7
davKOPXN8ZhW9dd0mGW81qaLD4RWFddeaTLnsQvyImTF5QAIIVFWH4LrnXZ1joToPBoDoR9eQb7m
dGha30NBTa/fBqMPr6RO0+YBidTgolyyDAyHVospwi/RjIY6qWLZNOU7PWmDsw5r9isHktMUVmmb
31gUlRiTwEo6pgZ5cDgvnnhbzs5rxJKlwZvCjjOydUiFt745DUMc8AlUT6mXmzyf3lu4xJDRMXGY
iJlNGaRxn5jZyrQ1zcxwYcAUt4a33BU0s0VsLqNz4xpVc2n4Le/A0oY34F/Qck96Bx+MGSC+9Acs
ThUS86kjs7ulFcXMM/SXV2s9dJfp1NAucYyFcKze4mufXy/m8lXPJ/neNxrSp9VJtDwCu15rZ2PV
JO/nIn89rDJFEmyQl9x9iXTLMNzPwVQyI8mSsyKYiqgth+bQIoQLCqS1+tjL8pohFRs6G4WaaPP5
RtQwybYiBgfs3NwYEbtfC1ESzUrxdWiW6jURu0rDNgncOoSc1B10ZEf4B68Sr6agC4rd1HVy76Q9
Qiel7a7dpvvomFHeVfnlGtipgIzQD599gTZGuEKD19D0G5OPzRpYR6OqzYehkrTobc3rPkHzcfUd
WJ7ldTd17oGhTqeFJe3NIvYWpfwosHNz16Sue72WZXGm95V/IJIMl9VUeAhd2ek5RMjuWKIG9TBi
6h2lA8SdfSdaXIpTPW8+cTTS/Sw6VFbzJlfHqmlljO6yUYYKlo15npG+eMeyyjVsiyFTk3erYvyi
NbP96Irxa0KBfZWWTRorsqm3ix0k975eeA8aE/IMgkT7SdVT3W4KHUkk9cSvwtQbDSYfyK+SxwTe
RZ63OYO0cuzubHtJYpomcxaD9GsfF8Szvvp5390Q4Rlp+uy9a8Yr6rNhKO81AoNDLCdsB8MmWWE7
1TaAFFmaJT5xpn/bmov3sZJLd5trbnZHwKyQO0vX94UxORfKFwbRpk2u/LJYP/f6arwfyLj2Zt+r
WyY5QYTZFxgupL/jCpXC8V4lsJWj1gtkf40Y/PpmpemXRy14P9KxXrbjsQB5Hdw3KJGloQmmW+zy
wqgLaAwgdUI9H5cr0STuPc1cNru5jkG4QkjFqBGMK4K06VB+Bf0LhjWf2v6dL13OfsKBjy5ittIq
wUCuCQUzz30tqnGzf7E5jPOJRRQikWd5+ynLaY9wGhTvCxdsy54abbywnXr0YkYZ5aFXPVJonTc6
ddR0SIfdLo3fH4E5OI9VnjbnqyC4h1TLsxvRGi7Xg4B4I/ALXrJqx1hmsDdtAUP5b0fa1X3o0w7T
4WB4DWEuzR3/g9nxpaNZd3IUeJzZtY+JidZ2rPWj6HckQUXc2Gyu2DDqNoibpNYeTW9AgnvyU0Rk
0nIJ0DvXTIBNwaz205ykayTaMQs47lpit6F5wRgC42ME3G2op9Zphiwu0O0a4r4zXe0OrQmjj5sx
8NKdz7kJf8U1SuOBxpvxMFjeMt8MyAowrLbt9uBkpEKcATrFZD2NndjJFWr0jUumlF0ayWwU7P/F
VOdIgQYzbwKL7csgD/oP2WK3t5zI/nhOO79Bz5qsgwEClCTisGzbL8OinPKgNwicHYrZHpq9N1sc
HyW9yqOVw8I/5COyU7YIvDZi/MpIcpocVwt7SydrBVrlGrdlZ5dGiBzzeONMXtWFhTDaw2AVwQX6
UYG/M0nweiDJk35ctrqDYJK5F0vSOnqUFXN+tJI0vzOHmXPVbm3nK8nRtVvlRsczRE7l3LD6GcFr
sHsjKL6AtiQBX6v2WjLnF8hGWRdU1K190IdkKKIy7QtEvauZ9a/p/liEgTbJLBTkGfdemyZ+aK9T
d11whjrRODe3diKqPNYHHeiM1eokHfNozSpONFIxXLwQhEYDZmGzl5RuO+oZkvWVNOCjrFP1GvgN
x/Lay+JKGoP7mBpev180sUQJBpTZbs5d7booq/YhMNKA6kiU/D0SJ67BNLzd/F3UmBdhsdR4g/Z0
2Ollrpm7hKLHGfJY1w321NOYWX7oVFNd7GlFdt3B9FLTCofV0S71Ove7eB0czTin8FFuROM/exfA
IXAi7CH8D1OFMnjm2AuTJZH57zrUQCu+NLEnUi4A6Xykk2u2vo/xDpoom9FKzdcUVmO+89scR8h6
5vkv0H6KyBty79Idt/ou1Qf7raWK5t4u2/FQqCB/sDOUcEOjbOYvYCq7W79jgMYdi8Q+G+h6ndWm
1U9neqljHegMg/6Q9AjLhZB/+DtRGrN5uRTFuzxFhWcHNK1b9+M6Nf5R+VOLkAneWRqlSjI54WQk
Xy1nyoA96PMZ579/Zli+ugx6ZKURNy4Hpjt0rKx4CDSIPGR/2GasprW+F0zX3w3GMtg7wx3W194I
+BflqMq6KJ0i+2JaCU64cCHQKwRY1oZ1aeObtQULx5AWopQ2HDRppvI16fcYamz/0F+m7NgmW0Eo
mjSHPc+6ABzTnPVCk7vW88SZaMUX3OrRbFgzVIRmazKi0k/xIJd6xUtWmnsUWVLsNb8Vt3bm5I/S
ruyvw+hod1WQyQf0K4LX6ZKkO6Za9Ik8rdIip1595pay9gD05dNjMs2aCFtKlg9qYPYUYR0lQH5n
U9kdOrl494ZE/Rr4sb6E2vbo/cmAaec2fre8Gs1ARKZo1N4vvNoOEbGSYTmj+xtZtTUeR9OuzxeV
zQcOyylklnWxNZlVlDBaxcJdn290Mo8D8Mf3meelbw3NdC9MaRMsUHA8rtV8JHtbXm3Qrg/Mdds1
rLpJXBhNv1o7khN5cBezvoE4IGXIai/Sw2zPw9m8lP1eLMb4di4N7wBbJ3jX6da+qZzxVQ/vkblw
bwWXa+l9aWZDW8MiETpbFIzjhV9n+VGNK3skSQfQc0Fm+udZM5tnnD6PYkrTL67WjcdFGNbOJ6jW
cdBo7qWeA3GLMS3Kmkg5OfbjwP7FHVGyvKoQJ9pNGMsQIlpWJ2d9UKNdD5V6Py25+6HJgjQa+pQ+
XGuQ2sIbiSoKv6jLR3lTIV6zE9Y0Xk1r+ego/mpclHYmXau8sHPNPI4JEtocaPauM7Tq0c9ba5d5
ffcqKHuUsBz44c4+lygxHkRRq2u76fvbOkmKg9ca2rnU0rQEI5SQWQ6e8EKqEN0JpepoCJbBau1L
6PrRkPSliHK/yc91lYy3QNE+rmk7n5NeqGOByvVlOXh6iGaU/Qpf0fLdWImx283fWrAOB/37CVeV
g3CSnvTCxPBZ+gFKvFaZsZZYn2dJi5whdiFT8Mmus+au7nXFy7eSMWylKNWFMSGTF04owAY7Zebj
11J2FC54kFnESYTZQ9lmxWHS3OWTh6rdqx6jl+Gc3vV4g/E3mwjeJuFeW3P5RZ+FJGEu1Eoyq6z3
UlET2uCm6kPhefOnpKh9I8zJOti9S9pokEkpUFjGKzm5tFOdOXw2vLb9SjsjGe8ByelOEllt2kyc
iLqza61a2Lt+sMd9l5j3dtchwZ03WVTVhto73ZS7+1nTHvRZ9w4mfq2RkefzhUi09Gym/gDqq7U7
chTOVpmrMfQLIznrFiyvQkPVy1FCYn4743pSRsQFp9i5iu88o+7xvvVrTN3UHMy0o4LiBgXd7sFJ
axdhnaJv3ixz8kb2qfo23JJnk9TYOF5hD/kbWY+VE3rBoG/W8/l0k9mjhjmGM/rRKMfgXa2Xcod7
yHRYerrb+zmdmGWRDiwgzvLyjnxw3RuTZXYhgyf5qXBq+XEoUknHrBs/z5NC2XGw1t2SaeVhxI3p
QOap+aEfTPb5PHYQvapRu+YA7D4NhlbcCCftIpmMdPpdhHivTEr/5qDRLTybsBnC/CLLb6tx3Hte
6W9yXUv5aQXAsQB4KYIzQ1QXheUzzUKz/2jYFYFiWMXRa+ihTCTrQ1S7g/8oJx2nY6gnvgOneBnI
AVxNqsOsu+utt47DB4QZl2MzmL26WfBA2zdCPXAcV69zv553fgFyrVrE2cDdHgZtYKP7bjE82hM0
pHOct1f9PPX8ftp1SBc/rIA3PuAIeN3mZrVr6N9Gs+VlHzLkje4koLfIWQuTBpqe3QdF3x61dKBf
6GmvmwRd55xWGUJEagwW2hga2TZ1chNqk1td4mRenFFO1gdLJu6DtnkXFKklrnLekmpG2v7KTcY5
FCsycfR6oA715nI2CFu7g3/GPQC8YStYd4Y3DOc0/dIIP0O5l5pmXyW2Wi6bzNPEzlwVmPagt+Bh
rr4BlsNzhuxal1Cgk4HMDmUVmexQQWougmac6c219YMnLHK4cvlqoJu378wye2eCgyexSrJYBU5+
PgeC2XK6utemV75dNbL/eqy/eI2vv3H6nh3UV339qmSgYk9z/07ZtcguNb9W73rb0c672lf3fq0n
GaVB0Zg3OXnE/FA7fkoT1hv0EvHYIR9i6iGXdteUpcYathWEYnB1U93dZGtFM9UrOXlioXf9G8hG
ZICWpHwJl60TlNiZ3h2ENdK47KyULDVQja6FzH/1t0tnDzGaSPitpkx7LzTgn3SIMbC7WcBfv+HE
lePerTNyqWZqUgdEUkp7YKQYqWKjBcl1oVSTiLgRJFXMqwtYgw4iae0lmUkApFJJwgwgT4ou3qlP
80mgtPLC7O25jjnjYeZ7mwgSQ4Cnbf+usZMJsPAjrNTl3K8G3TkuqG8XgGJShdrtkIAjSeRy7RVa
++HnDfun2ANGDmhwBcCtHSaZTCtPVVZ8d+w7o1k/+k1fX2WBNRwAtOXxStMVI8tuODZWOdxpSWFj
0jFo+gtIsx9HHpusMt/ARhYWNv0pnl54jtBml07yijieYNBfezQQgyxbPieV7YxvWhRedSJ/wCuY
NV3/lOe53e+lR3dzN0mEkiNy/i6PFyebi7Nk0JbyYmjSxDzAGqu02AaGOP8f9s6kN3JjXdN/pXHX
HQUOwWlLJnOSUvNYG0KqUnGeZ/76fqiyj0vqc1zwooHbwAVs2LArpUwmGfHFO16VVOPi/pgTXfxG
Zv0pqoBLyNyBuhJWiYYlA9nIx69PRBQqzqrMXE0NUnMXNRE4OEpITfGGAXTO71JyYhiVUjidqLAh
Y8JMXakaDHYPsk2pkECXMA30j6xTvaiFmf3GGfvv3iQhOiR64SVfbW+fGFNdZ7G1gjpzzapJhl1A
1w9xTKRK7iw27usuGuM3B+dL5SXpwkV+Z5GcktRrX6tDzfSjJCTocrKaaAY+hC3+zUOwsnIfeCNc
Q8RZoFSH2cXRY3+STAFsR1VQI9Lo+swZbn4+dK3WJtNOrcCoLlg36JswY/B6koSb2TyEU7vQh1xE
05S55AGgDGmnlPGBqlRul3aibHob1JM6n+VxTbOU242daf/G8/bubfqV8eIN860bPEUkIVIh9km/
UyXGkjlRTQuGJLNir6ek737NwroafDHzYL/kmHSpbhWRTE8hTmGSiEstSi7CmaCcM2KHIM6zrArg
sSh6yrZQYG1InE0rF0oxIhbNZGWDQAIiwxu7WXugNsxsXKfJzAoULEnltmZuJtwy56jBLF3bO2GX
eckPzMUPTkzJDTIksNa4hjPxpsUWL1U02uP12EbmnUMIWubqHcWnv3k6PlWKUHKG644HgM44uoYQ
4H1a3BaICTh10C98kFN0IWKbo03fxUvgxcxMpV8YpdRP6GY5UDVxrBHr5JhhejSUgn+XHNouQf/b
eOcUULReoRqy2rOIpsmZYs7EvtN0YyAJ4ptpN3XaQ91guealGiGiMRNSoTgjEbJ9Yr9UZp4uB1CX
5AmAX5nv/sliumpKVwkXaQbcDAQbKJ9u4WhU51mmQeLmpFesE3TopfGUHXIlr45m3IAHKCV22k5S
8El3KqrXv38D77rCv25F3gEXec2FQZNiojf6HJuyRJMxFwkidopW2nJrhqpkiFxsMIWflA6X2ZIH
0k+jp1iQbe9mEd2/gHeh9s2IjKrwssqIqQ8BnA08LQOr3Ob62H8tEjZBTp9BcECcFdQ+Ajm5M/oU
e1nNYTd2C2MR+UCiYyB8QwJU7n7z4T7uVeg8lLXgh2TrVVW5SnI+LrRGZIZKYHbfOZnUJ5CWghK7
PuPdgxA4J06RfeCSVqEfAyuNXiqlAE60rCYlfNO2A/yuTtGpbkm06OUMMroZ5iS51aaJ2M5cqMat
08/JmdkXrClKYBSJB3uDUhNLvXqikMPygISBze1ZT+ieK4q+AsszUMo4VXMjAw5Dv5GOfZKRvn/i
9+Q8km5YtJEtfPzEmSitzCiz752+8mo6rAdniLJdsTNUCYVnAz0NW+6x8pQN4RTvjBLclZmcY01X
69Hk//1X8IncX98QknDiV3EwUQuAoPbjG8qljBki5nUhZTs/lIj9b5PEIeA77EkOxrBhzvcDTUEw
uV0WUAlkzHZw7jhFHIM2dW3vjhDViauGhvOjiOyE9tJcMS8sPdXVbV+l+Y8mNqAqjarOT/1Q1Nmt
MtoT56uV4GShqZ61qjXuDEJDVXdWFNC79/8qViXiFl+lIGE9HOJhEwrSI7dtILhFyq6mHXVoOb4Z
LYIeTNg5w+Kcq23ljdDYoRcs6HRIHJ1a7uihAK3LGMojfuQoZy9nFemeHEJKCYh8ZyC1XOrhHsND
vccoqG7JOm84SBpBj9nB5kQLzUl6qK8nWV1uCit35KGYE56UXmjp+ZxV6n3rzCDCRsnZx02Txspc
4u1OiO9RJxeamjm+3uWMr0aWmbBlXF3hzmoP3fT+xf4j8RCSWv76rAD6oBr6j6rC/4Y6IYPl4z/L
hAjZb/r2V53Q+ud/yoR0+WXNBFi7+dZoDZabP2VCuvaFYJH1KWCXIYZ9Dc/8QyWkG6tkGLMdqxRT
ILWb/1IJrT8PmazCq6gSQXck/4lK6FPJpsXizu+lfILBF6P9/xUIWDpyUNsA7jUfFsA5zme1CpOU
rpUOdtbfNjjwr0XaqOdOJYNXGHJuy1KqzStoOPiOheN9b+Wyuk/UaaxBNuzupTTM6qkNrFUw0KuY
2uqkqxrPguEvCH5Nl9+lVn489KyfYtX8U4+p4hgmIOnT1Ex18FgqjVA9KN7ca+LGdEWbGB6Afr0p
IWjanPCWpH/+5Vv+NwKlf/drMSlz7kE3iYbzk8yRMyVQGSQLS8TsjjJA4bi4mpJfYuY5VgMoYGP+
blf+KOP8+VF//Z2f9q1pGoVedevvBCVX4V6QnzAk0Evx9e8/3Hv39K/b/3pRuZrYodYx2vgcN6Gg
YowFWAeKJaZkLy+1VcM0pBQEJMUg7rrZkWd5NKPlRDWT9C6lhAig+rnxpzg0z4QojT1xbADqQ6oZ
sVtFulOCCPZ4CktNfVGMXBjupC997waZU16By2mZW6lDmm3+/sO8P2a/nAjer5tqEgas44whovBz
OJgKf6tBJCxekihLBtmHXp/8EQUMV1fVyZdGVFAtWfTW5Fu53sQbkdfLk7NUVrwbRyM7W8ZBPQVB
sYxb6KGJRqSwBmeWM08MkCrWDGEJBHFZzykb0qQSFCm/f0Rt/bQy1dJDl1aUOy99xuWwq3KCPlqv
EmiGeeaEI11AARdRFoSCMUytl7Zdr3K8Xu86nWmuyd6/hlGMtU+8ZKBusCaBbuq08EabIcrl20zm
P2EZLB3l0dDtcsCi10/1BomEIJtgmX7IqQpH1L9xr/rRKMFHls7Rf6RVvIDY5lCveHkE5+iB3rDa
q3RaHjcTibrJeYvQjB+eT8wuhGxNKJnqBIbLkDqN4V24aKpPNFbE9wrDFGxSTQ2T29npj2zUk5+o
hTYcRxQqnmouk+EXhH9Q7w3A9lgYOFa8VNPybgtVfZNxHr9J4BHvoqSMoLZVq26vlNAZkRQFWX6T
Z115iCaMrFtjacflO52/reoT4CC+UZA3q9cTQRlEpIwirn17aOeb0i4XkDFzdritW04JO7Q9uoGm
ImmASDqZQ/yQHCK8vm8I8KJKODv0Rg5tknNkbWl90ZZtG08YkLF3az5z5DgThDRQaKaj7Ey9URjj
nRbMzVFTYk7jvIobJAsabfHqLl9gWBajvTXBKSYkLKH2I6LbFM+YHPS3MiZbDQOpBt6GGKJ/IdBw
fKjUcpReH/M9cxKEWMLmqcQoi2HAPYGlmH6YoW7Ocr60ydPzPJv9IKrGYJdSIuAZEP0kjPdl/dSu
y/MQ19QJmOuiba7LN8g2K3mxLuplq7G+w8EGQOos+u26/BPB2d3+7xxdTtrVjeYh1nP8KqxMfwqJ
6nBNJ4Keksok7JWCWslXEw9YnOR49X73HDMTfliUKDdiKATU5WTEA/3pBDjSlzBG8KXIBaxLJIHf
7YTgM4ILcAj28fnUN+xJmvaD1PFN4HTtZmnMc2k0DiTRcDMv877OflcD9/koAWoD3a2xh9L3y3b6
abD+68Kgs+QTa+8f3oaqco33a2K8X5+sE8yYxFaY/rxewPcL849mrv84UH0Yu/5W1v3fcPRaUby/
Gb1e5vyl+F+HNsO+9WEEW1/3cwRDq/GF79xhU8ARrnKYYdP8Q6ptq18AWdYDNngLg9Y6nv3pzOBV
fLW4UvlysVEavOpPZ4bD6EajiqNiO1ztHOo/GsLWo/xfNzVY7YrT4j0m5IB3Qfzax4NQgVa2KEi2
2w5x2u0S0t8g5SL2UtXaqu0UbjtdjZ9JSviOtDm8shSouQZkSqnVBYHQEGycsHT2SjeXbtgAS7pV
bGv+kC/BVSvRyqpDcujN4TlTUvWbA+N6QCT5u5a3T7Pkz4+xpqcpq2KbYewTLBjVWRo3eqNsFx3P
YJjeWxV1Blo9wvWZU9RfzDOUItAayc5RVZRI3SYdgW057KO0iS9RLFU7NAPmeS0m/agoANYwY5PB
ZjowitppdbO6pDFg/uZs/O4l//ANgJytXcPcB3j4aBj7+A1olIvUISjBtgWXiXxVNnd2G07PxEGA
YjoNqLE5VeVLSe4PaaHjPcp65VSEan8R5/S4e5KY2KsBaOYhqReSsTQ4WrTaZq8QK5qPb5E2OIci
6p7nstHBcKLhBTYcy7M958V1x95MpzM995QWWIfGKTXLdSJqGjhrMjBIYnq3MImPpG4FIVu+Cs0q
ZhSvrh53yev/s7Xk/1vjx9pn859XFfeleX35Xn5YT9ZX/LGeGM66aKisGzoNU2xHf60n/C9MXGtQ
F0V/eMLXVejP9UT/slaTUsLEoY/gjTUc+8/1RP9CCAepzzxENHPhBP1H6wm//sN6wpuiF/g9gJXd
kkH2491coBorNOQLXmKo5xCDYbdJZEgvTAqe4JtOLiEG8IEurjPHS+y1rdCEF7FNdojYtOYYdTN2
RihUntQ0G98GQY/fgs0w9CMDANZlQRq/q4GN9KCtCGcC4Do1aPn03f/cip8dypjk/u5ePH9rCYAs
f0UX3l/x817UuBXZMRSylgmApc/qX7cidiKsxdIgJI9jHP/g/v3jThSa/YV4dmyHf8IIf7mQkMJ9
MbHasB6ujkPMgv/kVly9hR9uRiBsQ2dP4E1S6MpWaX2ajpB727UyWXCePYEzdZLijC3QdYSjTZ5b
r1xUeXPDguvLecjOM0Xr/K7sj9gzvtb5cAjMYV+3nC0MJep3JKNvQZOBILSwh5uYIi+LHRRhznXc
dW7qPAb1SxlUXsj5jBPHcYbPzXrzceiawq1kd0GCzR35392laOut1aGwdazvdq1/G3JNcZsRwiTv
rpqY3N4u+RpKh5yjgHU6k/30UHSFg2jGaDyd4MGAaqgIDot0VBSbxTBeIiE5qztdbiJZnhdZvDNF
e2Wm1uiZkTp4Rb0cCos3j+RqU8k02gSlirW5b98MHY/1MPkpUZJui9KmFsOPejLHLVyOl4fLK1aB
SzPlY4kqy46y7jaGRaKFSSy9qTdbKyp+IJXBsFL2T02TX/VsLMT0tRRjOt+MmCE4PMTRwwS18zVR
1hyKzq7d3liwTowM1NnM2xy6Ocm8MKzEXZFkfKYJUXY9Is6zbuzUjL2qTTgQLhBDBqdjk7zUbi1Q
ooR9k+l6vtGn6ExvEcPqfXuJQO1aDtqlLm3m9c6jAu6EKhtKoyyekcxmqECno5OGFg6M4mQg1PXU
pkFpKcoKfYambAXgxm6x8usoqfAgIUCxm8kNF7Se2Ulv8gtCIo9tE/XYvKtbeJmbcCbUWYRUDJkd
pzEE79/EFODYMo8TYo7NXPOHScJuoKjmeicymW8GchcLd8lbcYbp3+2ZCN3FLPdtnl1kCfOTjlS3
aPRbYcfiNm2cEPcGpzEVFmCn9cuDkOGZTMvbulmg7mok9tmkeMQfqT+ABDS3n81xP0D+eq1OuxOx
8+Gm0KNwW8axftBmUlmTZPGzKQq8PMPTPTcIPhODY3sayp1ptldNE/yoVf2EYvixSKESWI5xpxrp
ZRzX2rkuAZcHyyLjtZ1R1Bo4pGrnFDfzfo6dfGN01hHwznC7mUHMAmXoqkHZlqEqrunquZFxt2zr
zBIu8U+8rzp6wn7hMvuCbaUxAhYRGedp3zw1mXOviOxkAVBso1ppeAS16UIW+SFbjH4z98nz2Kvp
JmjqwVf06oFSLZ5GrbwYq9HyhEQqH2bxq570JxV0Do2Mmfixruyd5JTJoXaDWI6HLgmx0GJwd3M5
qporp/JMJEjt2tacdzIqc0QFq99tytCK2dm3UY1R+cZNSV4/sUFd0p+pTXxvOsSCd2O+hznlAY/g
cUKTlyXTN6dIzxEntPR8GMoWv76nNfnRmmqXg3TtqbH2WgzaTsOE6NUkdW3yGBdaZBt7J8aQkyJI
79DjRdllrGW1X/GARB1yPbF1nK/oniduheRbOCLw4ZCux81VJJEvZYlGYOPqZ+6HOZcuepHwVqcq
C7pXrc9NQQCL4VQ5GvGxhTIII0RR2QFJ1fAVknbczmqgPo1Oc4sv5xzwMfCQU9bgRqFxAThoePNk
FN/KnmpArDbmZsz15CDFtHgzdgHQhsG3c5zXhVVe6st0SpfwWGON2Mu2To8DRencCNXV6IizuRrO
KCf4vljDXZKMD1lueHj+cC1M4g2PB1WluQIpFgaXoVl5ctGOcpjP2hKC3zTm3jPNBKeorfOLSrEn
Hl7B4TOOu7bU85OGItuifwL6FqFdOe5LMVxRW3wBhsVaoIREbY4I6ELahHvDPrap0DaVQ+Xt4ijn
fS6eapM0Cq0elDccSYjSSEr2KuzWr2mh5UelQC+vTtMGhf50rmRFsevzsHNbqxgxp0/GVq+t7TwU
t4aVPafNTTnr+2IUuLkSHEWZzHwSZUd3SbP5LsgOS9mwfvfq0D3MptaSDqEdi5FC9L44RvPYKq6l
260rKB6FvJHjto81g/0ht7xRXapv9PHV3pya6Sk1o0uBZRGHaUfvRI9ehfTaaatY4eWYv2hpoWzw
HCSelc4X2SzNFzwy3+Owa3eNGnHg6Iw9oq19VIrt6octAzquKiyxXWQeR+wMlhpDkMcPC50SfjTk
x1SkBxTIbm6QsTQIhJ0mEIU9d2+zRV5YHWZnZmAHB81EITaFaGEKzj7pUADSscfU/SnGk9GY7AZ9
cGam43dFrb0ldLzUQB8a4JdHovzWtNm9agWLX0qkrFHDzVQaWb41ownBcFQgBRpQRM9dsHWKKnbb
VgcWmVAHRUh1tnpDb2fXjzdyUJ6neNmWVhF5Ttm8pIroYOxZAEY9NbetoKSVRt4O9+j4HFsBTkyL
ALod9L5JiZ7NjY51Zjs31Gwnop+xvpqY7QqxPE3L8mibPSqFsWOyoF7Y1QUps0VnVPvJADKNiik5
ZmWUvMZJOGzlIlAHGlZkbCzMIm4dpCUwYty/KpGeH5Z5TPcoMvrHWGrzA7LD8nl2ivxaSQ3fmfHG
NMalEW5nw6hdA5UnS++tLuRjXqTtXaIMo7dYj0VldIcyqOU26uTAgJRhoQH5ROAGh2JkHTHfY/DV
aS3btapK4rMa842so20L1Eu2Q+kW9dvYmvp5oNqUfAgDg8tsvECq7obCMg7Uryq3ddg9arPJXmbd
BFa/68ZBf5Qh2KvRiBP1UIUbanVxHFGtenoNClq17JZZWnUHTv04Ihp3ovUyKMPLrkiO9A0c+glP
aY7TTcPHYhT1nvS5DSL8jVVh67NKgpKJkl+zAzPjwYrr8yAw3QIvVV7T3D22znYO1JZgFayICPT3
c6reQXGWbo+v3K2X1Rw3jZedru2ibn0ezXBTgdVi5vCU2vSTxGLPLM8VujSwASMQ5WFwgkuCzm4x
V3ydSywa88Teino2JsZKyvs2AytVl57EK8xyc+KaCfiJM1hu72R+FqkXKnFvRTB6RiY2idl4udTe
tDbbldp5odib2CECD0eHkYZ7aVyFRfwtI+Vrac1NZfY5lhTmpZAHwco36KJ2edDvg7g6lrW2y+zW
Y+za9ogZBY67nepgAqcQJ93Gc2htArncpIV5oROB6aY5ufvhtNyX6O54J6Ph6VHf7+t+fECFp23k
zIbWzeYlegOMsMpraJlnqsJ+1s7Lj2EYT3FdJlsDpD8o2n2mhgc9xu0rCkY+ZPALuL9ZI3EvTT/L
5X5og1PcN69NeyOU8baS5iZtg02l32ILfR6q8LEo1V3V2dvBaQ6LyM7zUBxIu7iojXwziaTZlLQT
bqaRnPJKibdTS2A1brkfZWqjlmGrYm1Izfq5tJo3qcDQj/iyg/K8jbPdqPU7EUsE8JprxNUuNcbv
w5j7sTkeBzk8L/We+OldWYdM881Wz51zPb1wlvHrMGsUjZ4r8iZEA1xOzhlMiycRbtlR4jZRc24q
CFkDvESRykJWTs0ZydKTO4f9iUyfF4J+XZJS4BAdqqJRsLxqtbY3W4Hu9NQtVeApYW1sHDvlcxX8
mFkxfxQpNzbTtDyfTWvTLc6prsvLUm+uB2FsWT9OpskfSO0rY8r9pbnRWzG5Sj4NaGIus3juXFFr
JyVG69tgAhkFm0mtlJ5kwTk4mHcZ1AIze4zj7CQZVI1WPSMp6CGWmLoLSa5aGIf+rHYY6ti04v6q
VJVnogzxrJZ6z5bQ7+dev7Tmb4MeUSaApGdq501hC7eZnENfOA+dyfBSd/1xBsCbNL3B+SWuByTr
dfVkgclNpvONOyne5F16A0RZuINJvyWHkdAfo/G1iBbHt1fVRCbliSJTfVdU+X6ZtAsot6vRXPy8
RRzftGbgIjWmw816M2OIsKafH2LhrCcKbKxsY+F6Ww7O88SslLCVKYU4x2nqLdM9KpJdJQAUDSfG
JS2HmwJxxqy0lyjzvFDrz1L2QGSgmMMwCbr9ZByCJXCJmH0eBlwW1QVxiydd2Ch0oKca/UkC1Kks
e+wZTeP1WnXfL6+p+ZIY4m3Rz2JhXCmmb5KIsC571/Ns7NulP5V1r183ZfJ9KuNTqRgPObSjZ8jZ
T2Xnjbw7rAEXGJr81O5wyw4I6KsfjlpeT+Hgl9WTllhvkd7u86Q4IzpwughVw43G4LKqEWe3A3lc
+ZHTGpRyR/xNmvD3FGxjtT8QzOrGi/m9wI/lReRvihIX05hZmifG9gT1SEfx4od1tG+a5mtqi8eG
XLx0Toi2Ujq80I0WewCIL1SoHMQYXhgNI+kiWGx0jukQWjiZkii1vWC1jyoN4rNxwNEUVT9E0rkV
EmK+JuUmFbYN4cdqHltDt7GQ8hzUETdqbJWentl3QRU9V3nKsDX056GqXVR1/TAsWY54vhiPJJEE
XjAbD5L2TvznA4XtevLaVfK2FHq5K7r0JdKYJSEy6R5Ri/thmC3skfXaS9mifmmeBmIj8rSAOW5F
6LXRlHvWmHzLObR6zTIpx6Asre3S49GIbfMVM/iN0hbGRu3tqyZJan5aWtET1F5qSn+idesilRjM
kkQ13aWpeaJakvWCQDfdpKWnLK3DZ2GyDIhW5nuLnotdQmDXpmynZafYc7aNhxITXIWHktJSwvJN
TOFZi5hKYFV+VNXwLqqtgrPKOK0/rb9MWYlDNjCxh3/b8uUMbiOMwFW0AE0m/gRXl/1ZRl2GJ5rw
Oks6bxq1mwIvW2Q6fhC3Ff7t0XfK+k231KuMuNkgK1EJWAHtIFmYVttmDIoTsYwcJupE31hkZMAb
zt02MkvHM/EH3MaDjHwu6cT6cJi1nDNkyLQyldMVOQZgNuYQnMdl3uYQzkI7k31RbKu8QhHgjMVa
Q6AetDRhUqrr7GtgT/nBFHHLEe1bKHi2lWQ7UxkTp9ZTKezzUXBQarWjaeQ/bPZafc6/RoFi78u5
TFmnk5F0AY3yknh8CJLiIKTJ0T3Uj9gdBTSkxMepn2u4aTEiaaQjYc03Was2TQ6RXOFEEvLcNFjh
LLW861UMyv6MBo6xT0QHtpYceRdGgoDNz9AYhUt7axVq/KJmk+pP6ZDtHM7Wu7ADg4HAgDMfqogW
q4QmEx9/aYYtaulcuvnW1SM4S8LgRKaxTpDMYnphRunhYmkPfRC99piS1Uk9wzh0IbkT7TZ6CbnV
CkvcxXZLa0CV+mS2eFlTbKOC+P5xUaGXO7cJZjSVHdtykpcSC1zakNbR+wU+aa0P96Y6noVNH7qN
M28xiU2bvozJ5TWKM1XVLxJGtVwrjg2ibEmSQCyHo4N1C8fXmaxfMzO4n1r7ahgHT2rGtre1o9X0
7tBnXtvLNQ+6/RoQoNJm+WuTjhd1FpEZ8Rxa+IOK+VqX4eU0p0+iqM6rtN4bDG1maWCKi480+V7j
QfP0GB3DGuVQiPFclmRI5CQntP1VODziQYLkt+E4lsU37OoJVEEeLEZiBsayZYsVEojApM04Czt1
myUzvpGI8TSoL/qAnhXollMwDZeZ5lzzWG4is72TIdTJIt4kc9+i949jRCRiRmlwXMQ36aQ5FwP6
pQeiHRS/L5dNu5TE/GeU5YjmORsKcjxBx7VSPReJYrkB+5Q7ms4Zatj7oQ2Bs5CpHtsovg70KvIN
uuHdtCAQZtDwy2JBxbKIvAQXczqJx65QL8MpsDyEIEyXi8Qc09RPJC0hftTUG+G0DRNR9qCV0P5L
DQSBEHYRvbNNB81NyRpiQol+tCT9HSgxc06FU81AOYneb5PU3jdxeoVojG3R5rDbb9vSfpDhcq85
rJxDms9nRBgc9DA6AQw5nsgjk41BV0JOiUm80xSGHK1K0t43wvCA1YUDorRuw2K6TeLsaSCh9yfj
9j989X+9I9z/mVo6lUX3VryFzQdE//1FfyD6ypc1SHjVeBHcQ5QvDNJPsppYMULiwfl5blbVnvUX
t0SsGKl7+DEwDBBOS+7Yv7glqX5BZAVTzUmAswCyn38C6PPnP+D5qHZtMD/oauiDNW38syxMEJtA
ol2GP18HS8fm3qzOw6GToGh4J4AOumr6KgmA1XzgrTXkbu39dCcqYUOOHlpi+tU8tdDTlab4BbTr
OaEY7eInTMLxhsdZuZPaQqBebjbWd6yAI03eee5k54ZGd92YGXm+wYRGEVonmzdLTtq0k8KxtjlB
CBvbAnjEAhtlCxTAOFzKQiYVeqQgL1ypJvMaVqOAMdbMhX3N0Lmze2lvy2FpF0+OlX6f5wIUsoiZ
HtFpr/lD89R8nREYnJDpgtCXrdXe67Jeg6W4AsKzAhmoriRjixoPliQXvg/5I0pwYIkqFMoes5B+
XeqScJM6K4UH5VEC44uYqSAq43yz2LH93E0dk7WjdxjW6ZKxqg1oFFT9SPIVymclJQcQmyyIUKfZ
O6suo73eZPnkOgs2gr2ctfAOGi48xkq/TC7VYBYWv1TPL1Jz4QgbcbmfRdZRqtLqWsf5dS7PrIU5
wK36Escmtv8KJNMpfXXUsGTWdGVCwyu5yXlk1IYrxa5qzG8Q4/ert0hzo3BdxkIjmOCsg5bdv7ds
PkQl5/RH2hvyNBlTehkOUn81ih5XWE7kbOfaZe8wNPW505zmMFePTD1awtfbq3snx+NCxOZ0jTXf
Zq9bGCW0VIVsGcaI4IpYNO1VURJFQh3gKquJ0nPqDePHWq2cB5P8b8PvA0U/Yoc0mRNiR/BZwIVn
8C/nBvMbq60ki8rtBzPADEpbaQYpWjih2wYGqSFdkzbNRToVzdXSNcuZVi2gZE5ckgsjufnsg2Dc
ecixNXD7G2roZ+Nohn7I7JP4IaYbWCgRviiU8SSMiqN6L00xvMRIetlwpm5MtlmNa8VNB4mJfTZC
y3ArtEEwQmTPPSvoFKkO6vrpFKaijWgf1Bss8GXa3aRhF5zGZFb4HY6M2U/sKB/ZX+CtcmzDDbNY
YjpQSwt1QACs6VWLsJ68SGsqEB0oVSk9e4ngYjqc/OQD45nGUCZafoMhWEqwXpD+YxfCSny1lt2l
TMgc86tpHBqMw0qMpGGJysOiVMPJEW14XInyvaUJeCOz7Ip8Q1YEaDqGnOpAtGZeb41cTeCkipDW
OZJQEgMlpH6ag1EhWrieri28F4aLBFlwY8YSpDmPWuU6jxWlOFS6mM7BsUdu4kIxYk+rHVXedblF
dSur6PBHber/bFH/ha3o7xjnq7j79hI3/1ZV9f7SP2QQ7ACEWaKBWG2ABDWuPsA/EzBhkS38ayij
NQx4q0r9L/JZ/4IAwqSYA4UCm8maTPmHDoKt4wuuIxXrnmSrQn38T/aqj8wzEghkVYZhEc5PMx9G
H7bLX4NdTYdUhAFE7MKYuHNzVMacY2HupjjFzsFC/ctFuvqpFvo1m3lVffwqu+D3If+jwYXm47Ul
/HOtI8kelMs6kXYhSCV0lQjyQKMWw2sHYrRG7atCkMq2DLpkJ4KrPH8SIaBYU2vzT9EEKr5/nwG+
Tggf3whVMgjJ2LvfCy1XuduvH7wkeLLDx11e0AQJeKqtqB/mNTWHnK3blzYvgp0eR+BfMrIYBI0f
YTveFphrN/BIBmeS9rovoTYxa91hEUJqmkv1RpPBvkuUchuWeb2pkXr5xAjomw6DzGF51kyCPzjS
lj9T5//jx0E58/nzYPhj4kCFzsxDI9wnCUFl1BExT0BkOYsghr8GPtXVvxkmp5N2S5RYz84HJ54e
wm7bdPusvQaRa67WNByIYbk3hGe+lcc8dZtm11Yvre0vms9mMqUen7dOwVtO5QkAOYm3NrY1GCIU
sRiR5MbwwwOnCt3yQklmCzl2HExds9hq3w2yfgTEhrtcjLDoxT56VL9mM4fuXdwe1fkkAWXqA2mc
86VTPJDc5+rlt0I9mua+t8iL8Y1iE+zxWrAyA9Y5A4EiOzXf9fYOSh9LUQ86bW2sEfX1lhlqXrlQ
6p2I69pUN/1VQxyg7WbX1b31rD8jvGUjtq4QE1PWFybbvH1MbRfreRls0BmIcwzsu9fQZ48j4EZ9
LK/Fo2O7iuMpZFvkW7x2c/tt6vxBw8V+WnSv+xY3/4e981iSG8m27a+03TnKoMXkDgCESkWmYKoJ
jElmQiuHcMC//i6Q1dVMdnXRavaeWXNAo1mSRAQC4e7nnL3Xpl+KQyyuz0lje+71oxOEZcUMj7b0
AV+TY4TmZXHpnRiN3PZ+RL8xeR08YDOhv4TtefrCp+bcDryr4rh6Uc/o9c4K3UNyoMV7oP2SXeYP
Ko2T9aj6U0EL/oO83yeXwcV0njCqDp279nzcVxfLIzs9rcUGJH08p3H6gpjaj9YzyHin5IbNcimA
VkVLd4leZFkO1seZcTbS6pj2ePkheKoO2oV6ql+aS985QK1ltJ/ucSYe5FtBU/K6uqBZcxGcIGbG
A+34qHteT/5+uSdqMkoid8d7PFFl9VlYIdUIs5qpR9S9FW8IQIq3Zg0L/QR4wzmjO7ZvzzEJ8+VT
H4tL0ji4oU/NwYnyE9qNDobn3ojKr+WpfVyLQ3DjX6hDcDnv5Cl4na9wIrPvofGLqiv1ma8tPm+o
BQwbaJ98NHbNNTT8MkL8sdj0U6IChD8qEz3qfo/i++82+D9sQj+s8P+Of2/rz1X++Ufh1bd/8X33
cxAO43tx0OwR7PAj/tnWf0PJZ3xjLvuOh3/mj73PMPiRg7ZqM27xp839/c+tj5QIF3EpFiwXtwp7
39/SAL6XFHt4W3FZkKSARBk5IZvp+y2Ajp7EnuibIbmo4iWX1hAWE0SL8Ic78id73vst9vfLUJNi
ZKMshTjx/jJmXgxJomwzdKtiAOcxpCchRyOedSDmmbd6t399PYxu7/YC/LqE6W1ga+xqlMnIjN9f
MQEBJBN6SWEftIUO240J16KHOiJciGP1qo0YAPR+wioj647KzSeTtz/LXS+BGWiPdEgZD7JBXgsU
K/6ZbSx2sLfRLLT+ofQzFHbUQE2pBGIoLdFm1tpCUlbmfpBSnkIss/QkXrw1AddYppWQAa1ebZrB
NOcGeGj8HZON2ktYk+cRP4EF2pPngsBj+cUwunmmm8cjIjHQcIACRDjr1sKKiwNq9VQk/aB2rSfR
1GsuY2TGNvIohrsahmQHJYbbs6PhRDYiujuoOGh9VikLH7goK3l0VjmqeySalbCiZTAQ1YwY4X0m
WuPA0Ey3e5BiIdwsD+lMU1otxBXk5+uC3MBjbNJFOjTAFJNr6xHyFzrOUjkUDNIrkfe4rh3rwnIb
c5ctlSeb0MzZmp2Q14KlhgrMwoxmZwKKNeGopp+Htk8b9BqwlJ6d1dOsATAteeNJWOetqM9rx6ge
bDRPEBiKoMx3RaeMFtQbAsb0eUhJczpx1Nv6CJ6ozfZtLUZxBwSqMU9a4eY52gFlCmRdVmZgG0eS
hc6u9s07GzcuUrEmbaYdCqO8+ArGjRLY1TVPP3DPNehLhu2LPSmQQfZFlpxWX5tW2W0OzEkZS2QW
WEzOMT8bWqwsmjassg0F6UuJnbLcdzQsMs4f9QpRl+i3XnLOAJYXXOS2pJgTXpkk56DO5vqmU/jh
zlyv0QSTLx2qzla1grW7sJZmmm4J3tJdJjdT09+sxcoFKVFL/aqSurTOWw56ZTQ4ORxCYpVQh4TM
bGGH1f5gMeteTUl5TWmr5+0+R3vunrvY09wPDMO7yaB9QmIR6qkWKnqYO844nmD/6EAE5oqm8m6R
k9shwUzzma4F+qSOeSlBxx6HPcji6olMYxMYnIA5pd/U5QAVbyQUurzsaz62jxYz7eBKpCNpglrr
l/WtlmMvu3LQ1Bt3NjM/Or4m1eRJS1R9XBG0ho7bBVFmjGW6a2Z7YyG5Mqmaq3z2Cd+dGYO73PTV
6U794tVpfzmn9tZRrYQe9LhJmeNXB99X3XrqazpVZ4U7qvVqhXbj04LA9QwkaUI1EzqpUlkVw1qU
hXHIxZB7x87oXPEUIC2V1+msJ/R+VSCa+VZA0KQtoGtMzCcK6Kp8bp2iHs+1uSz9TwUNFCRAQOQT
7G2TpfcoTHH/meUUZZONZ/BGzoszKBUO04K34Rbgnya62zUYrTy4Ys0CsBQJjBzVdJ1o0Bin877z
VuG/qLEfHSSiZpaIu4kSXQPQCw63C9FFWAs8P6Z4tMVnLy12vat0+rRtIPphR7GPwILsz1l2cCHd
zI1mo5OI1VqW0uADR2uaKyHSjTLgIFgH3hANpZ4uYY2dNN0z5krEwRtGT/+AQFMrztAGaNrOGkY/
iYUPHfm4IHUDKI7nfOXu6FN3clk4jE8audTOAbUrhvOJ5pt9VuL2PW/AU5RxSV5bhjbTwPHHXNhc
/XhNFFYoNAddE9gggdDXYGMQ+Fw8gpJTWxRPqTavIjifwbSm1TXYS2ZXl+lcJxmmRMac2fSL2u39
dsmu4lse9mfytQASuJhE3+8qrplPI9oWnGuTk4pdXYNlDitX5Q9/vX/96XUw0+IeojCG0/T+Ouz7
+gh7kgZi2TEy6CBt3sLv/hX/5v22/PsmuZlwtmApnEU/bZJekfu9R1QSugItcE/YNc97sPSDcMSF
ndmzuf/rt7X9f/+yz2y3T9eJubCJEabUJhPj/dtKEHEuyjW5fWohOHEDHIbKaTdQAYzclKBjSs1V
/wxpXv7ik3tfG367NGeCb2U3d+/f2tGtvtK/I2cuHJ2k2hUSSMPYt/pe14WM//pd/tml6HMQ/+Zv
+njTev8u2awduIxcSpWt+0EaZXYxGRv4PR1+4b3+9/uJZt6gs7KRMTxsJO+vBGyd8GkiuWClqYFB
6NLxhpLaebRtNFl+K9jp1iI7zhbCum9v8r/HfQYzfBv/82Dm9vPL+7P+9td/73SR38TT7W1TGXJl
6Vjhl/i907X9iD4VscjY5BkA4Jf4Z6fLINDF0RntcPzWLc7iPDD/NPzwI7wZOtMax+PpBdP2d7Je
3j8vFCEg12iLEBRAkxWXMS/vx4aPUXSupxLfjNUYaIe19I4k0ONUmOSbuW1E8g7E+BAVlvwypMYp
MHL9pKnuyuIEHLcKGigy50ugTuBDLfvSGb+DEv7WQ/WXvlOaQVgCvycO/u//v3FCDMT+6hG7/Ly2
4/j6Y0X57V98f8ps5zfyQx1ad3ye9EC3cLLvDxk/0anVLEZ7/L4RGf54xjTD/I3Hh4EhD6C9VZT8
7I+SkkQyepHAQlzMpUTb/i0vz0+bChcGdMGAEZsRfUVe5/uHTEMJalolwqrWCujbAPa5mIjy3Dul
9SUZ/V/FmP60VXI5nmqLEpM1Hkem+9MaaC/5Rr/pgnAkHALpEnCyhETnX2wfP40zt9vJZdiIqSt9
MoZ/3pGzSlMcwrGPG33g7jxG3Wdloi+Rjnb6rJpSeUyGgZGJsVoIQle06BzIzF/sLN+u8sMG+u1V
uA4mZAMPMJ3xn84fYun1aemoJOtOtC9FpafXqjyQBkQCDKCmr5xjbQ7W1XCGP4+zv5HNaJpJDt81
ouw+NjOC5qInbihRBJgdGsNg9OaZ3Q1wSudmnMEjq3YsL/JB29BFbWWcIwWGYOohA6foTfw9CSP2
KZ1nLLlC24jbmZ6UO9J0yVsfK/2rL9hmYzf3uL50B5wj5vRMLI8EjLp+tIMuuXI7ZmF+lbV71JN0
jjWTOY8mirjmSK9AK0qsOf/drsZ1Cy51eAb+824Vwdsjk/HHpWT7B7+vJDCC+OboJI395E9FJ4AR
PmBP2pKft5DQH1YS4zfG+fhTA6hcm4qAb9wPKwmOV74h/xr1/I39yn6/XwFn3JYsJuBbcwxAb/Dz
404cgJ6XLj71dILVo2vOetyQcjeTyvUba0ydfSInx9jZBghivdHJLC67+tZsBgfGl9DVqW2ap6pq
8MPBF08z8BkT/BO9ydDlK5fqVRLj8jEZ8KpEAXFll42RJCidfXdc6KOk0x0j9eS+MjZ7yUxawnNH
y+WibUQ7xY1NGUtgiopT1AWXm3VcxQVtgktKcvW4EkR2S2FoMyAYWnK9sk891c6DJq1WRDrQO0ZN
RIkdaKXg8GiljwZUJg+50zZflkC42i9WsZ8CF7cbissSuI0LIpEy5ttE6IcMQ1D3xloBoqC2r4w7
1U7izKHxwre4lP51uw7G17GU1c5VthoiOUrcaX0y9DeBUZcPK1E2b6qv1FElY4fuIqkJorFVfivQ
AMqY+Kn5jLQDxzqSqJr+4sX/tK9srx115EYaxFsXoDF7v6+wAFNXro1Da2Xp4Oo5yQFY47JDOehD
jsr1Xyy2P8FBv92sdxfcXtAPN8tK9CzzUJGgL/FD9F0fajBsxrBJX+1rmIvwYJ0Ou5l/pk/WHq3Z
RQXFr6rMM6R4D2Yy7wZfREspjz98g/+kmfrTjvftRoCXpF1Lgzjwt+Pij6/LpASWPPBOSLhkEqqk
bs80FL+/IIz+6VUME7SFxV3g9Pn+Kh2+1wFdCY+K5owXQhhi11t4bv76vXw7Dfywo21vxoWLEnD4
9WxQsT99xS2rVKS3By4+O5+5V04zAz2mkaTnZiWT+2zKsPTlZr8+6K7Q7wVpJE04uXrxuTRQ6NLj
PHlsevCFQFtgERwVuOa6Ll8NsxpIjlCJsVPTAqxh8Zc2Zm/CNuIlyxbjcuzMYPpgWEtd7Ioq7W7n
amge+w5n1OrUAnMdpSJRU/gb+2aSxGYByB/wFlWnRZ/pkBnFok6EIzDa++929X272lLm//N2dcg+
N++qq+2vf9+sjN+wrbvI3eDP2UxTthnC77XVt9IK0jCDCpsBMHCOP3YrJinsHmDr+UVqzo/HXkQJ
gHjgM3Ck+30f+zt71bf1519PMtuTRTClxf/GhkU3xdk2sx+WCwchcZUFn7Ou9Tdljm6v6FtcsrcM
K9c+Mb/XLuqBVPpwyRYMIgQhINlfg95JQ3xg3YnQEkfGY+8VayQ63XoyS60ojgJWV39mKBpqKO1d
cCjTCmAJtFXeWh+Tunfms0FTARa5upgWA7sy2WLnIIyXcvN84ottGFzP5wlPLONgdxrjPGuRck9B
x/8GkIRhZIWccD6DCTxsevtivNNQ9l1nmWuN8TDqrwztu/RCW0eaxMCNMyaRGL4fSpSl5AUx5RrP
iQ7pyqMqugG7AAQl/YoYF7M7+gEmwtBN0X/Hi0E+fVSYxvzmC93rd0GRz/qpLfLBOiLFWzooy5YH
Dn+afe1Ix8Y5tEFWAV8OhH3ovHmeSFHyxhbMfCOGYzEQMInnrcI83RkT6gUznTGhfJtkOXPivDZG
o507TuOaRCFZqxtZQYF7x9OV88kfsGoRimNgtnL7gkq4m4P26JQIl3bzlPXPys3rzzo+3CryfSLQ
Ujqx5OWla32DkUgxZIXCDB4TyvInqzCKV5suVhvjS88vO92vr1lC6SzrSmfgk+sO1qJFpVq/T5s1
eZ36pNciEj20T1oyZpu02GckH0gdfFZhVh7pHm2fIy6EiX3QXKMkQjEJAOG6oz2+2IWdMMltC+9W
ZyniwJ7DwY2TdGlcrJDmjIvIq73kSIPUM0ML/FXs2AOQMpv26ctYb8o+xecyMiPSyqdVtfVzB/5/
hns/Qrzvc3y3ZL6SNdmwGUL9SEWGe7AJ5n2jGfJEIJNcY6txgOLnZaN9MB2htGjJ8wzXO08WcU0s
oJvKJc9OZUdQUOjO9LvDQhu4e0am4aHtp3ZGDDbi2o1U2SDKT/0p+6hUULxYc54Pp9Q2vNfZRxGH
/s0cX9xkbR6ZL03DTgu0rI6lnlGFLFkvzztE2i+11xbWbiRx5FrP/QI3+erkrwwvsMr5Ai92icql
i8zaXlS8AguYY1uk9VdtZBAaYR0B5ZCjlyT7xpLeJ7rVJdjiakZel+DTac+ddjQeKtzAVwjXSEMb
DXtpIsEQqSQIbipvOwEUDSOr23YHazPCzs7wYhEwiDaltJNHvUjhQvijuyr0CB2xTHIU1puuD0XD
HC3zSApRdo5YIXAYapVuMWUHqefiK9FbEOZyjIAIN1eIcdFcjqNHPhJawtBwp/RN6EyFohSd5IiO
nMwWnr1hc1M6Sj+kVqAy7I04BKKhbxM+kjSY1zgoOfAfWjGLWwUdAuVlNpj+PgH7y/RsBJOws0uV
YPMP8q9V0SCWEHYpW6Q0HdFwpbDlDhvMgqVlTrQzKNDNW0KO2hyR+2p+TTwQxrc5R6o35p3yDeva
QP4BCRIyhnCf5PA+fOPR57j86ExyhiNeGv49lM7Z2Undq55tp2g/MtxYaK1Ko3jLs8LM94kyg8+r
OzbMD+omm0LmwsElo8n01RrsbrkBrMB9cXkkq0iznPqs7hHr7qZ00cAq8rGgGIU1KWpB1h4K2oAM
D+TL1x34nvU+rW3/UaxEeBFQIFxiXuwM2rEioMdLvVQifhmDLD9UwbLUx6ZmXHSD/9Rd8QckZX/G
EME7sWpsiRUt6kPAuy0G9Fa13oNHQmB1ZXmT7u21KvHfymHkzTXT6KCzHZV1aZS5Nh/ATgUvhin9
Zp+6Gea4QEjxAQUrxn0RFM0eih/oBF4fUbu2lbGmQTjfvF8ot9hdtPGjr5IUDz0AxBIN7riOUTkt
axPrTomffxBzJxGbeu6d0y7UPzPo4g8YsCVCHYLVbhoN7sfmcnLQX/caahYCH+1rcsJwbs65wzQ8
w5Hgh4UzNB5DcB2pUtVUJt8XadbkODRivCt8rwwi3yWwLaTWSK8q4my/fe4tPSJ/yHmU6v4rmwGc
kNxwUrJS2oIoMYYt5RCZLDRkHxn2Ou06l0UtHDsPlz4B05kbB9oGdDEt4vbCyiDt5NH0tZ5V0rO1
8XKtS5mdUp5PeRq6je4o27pgMt97pOcMTW/f94lmdrupkGZ5LqHMPHjmAig5mwnl3ROnQBQnkOTi
iwuGE79IYvJ1uwB5ORj3WEE3wj0Z7LgtKtLHrjuRFLjt2WD6uMrn8YF01UUe6qBVqH3cgKQ4xl0S
2xb2ivkiLXuWZQvrxXNRZxtSwOjM63SU69vCmFREdlb3GCJnXB/PKZ7ZowGzYrpqDM0oHxdelnVX
kXxV8lRwyo4bZ8HJ3qZMqvuOubsnHfdA2m1x7aoNPuhLZxpivmsX9UMDiQZPfGNMd1B4WFQsHon8
QrDmEthd9VkT0rcj07o1gIIyAeWl26SlkPBkJYQgTByzghOJAEkVGU2SPZAPXb0M1NZ6lWnPnr82
H8UovO7YF5W4TbK+0y60zmDJq2BeP3ZcSbXROqdeYJFHMdCOLky1PgVW73ytUygwB9nb7gX4bksP
6yYgrXyyRWJ8L0b+Vvv5Mv9Cv6R9G/+SSf2XTerten90qf/fyK+3qe7+86k7fq3bL+LzmH/5x81r
N71U/KF9+8eYvf4Db1b6zoGy/U/fD+QWfSDd4VxomQazvB9oifSatxPwD03qP87jzm8WcnyHoAAO
zGiPNpj1H80jC0YVSWgb4tr4flb/Gwdy8jA2ftm/TuQ+PVLfYtZobL9MR/+WT/LDiXz2weFqJA6F
OV+9DX64skgOU7527VurD8TGDXCfGhrV6Eo4ihMtiGrFNJ86eEwQ3l2y4cK6CthEEWuVkEKFm8F7
Cujz1gGMgDipiUM9oPvyPqKJ6D+705TesqVp+s5i5fZ2MiGTKixElbFSJ7ph0UPq9JPjlJxJcJn2
6K2MjBh51cLuilPWlgs7LcY+nINpxiKxLuaDZsMUCkVbVZ8GL23TXWvpnR25Cae4yJoXpQFbUIJ0
JzlDt5qyGoYsznb3C2jA5YmbPvrnLTQRDXcNZP8Ewcm4n2FGXE76RlsYSxcpQ6A8ccacXaHfWF3g
x8KXLTiMlUqFrLI++YRWo/lCl0ZNx9nxSRBe8xatpT6M1d3QSuiwWCsmP5KD1jxPtlrdmNXRPOij
OXLKWbtmL0g2I0TEGeUtTYsOMM4YeHhoPNk/9FYgOuAaRc/hkcABfh8tjvdjYkgimbeYrkNbK7Zx
IkY7oOEykI+yMbFB22UBJNlXefXs2xAm4tkUXMerZvtt1Uv1oTZXxDAkqKc3C60k+zjmQfcGU0Zj
RSnzeTn1SG+ao5bowESCtU+bSOmTD2XZtltUm6NwTCQz7IO7xiymW31pdA72rqbf4YhznvE1V2QM
l6N/75AYOR9IULfuW6YCX0oKVNyf3qKfK1EVr5ZI5/vZWla2S5EofBYYsq6z1ra/0ssAm0fil064
LenK+OCd2RjjqbPWYqfmVhSYOactVmg2DPc6G5N+MwXSiUxOtfSJIyD+Q+bjZTlUOjLYmkU1rtte
93dzApXDrXUc93T7ted+XNYrvdhGggeja7Lm6IoOilOF9PxMWClNGYqzVR8v/VTLW745KqXdV02E
0QMfnUU4I64RFapxnKHXyeBRGPJJNEK/6OtlJOtzQXGTXInR7JPdjKYs2flBv+b3jQgEQ8TZKeUJ
UQU+6i3VenWeV9PmfQa2MPJdS9Jrca6KIJgvqB8SwgQhXsJfMntt4hX3U7kLqqZFK9yXZnvW+drM
8HJ2yVocSw2qiJvQh73UGmqGRwRZdnqrrIZyKnEn2yGxwlcy3gxg+qeZrAMVzZuk5hmDaF7fT71r
yis9Y6B0TsxZ4Tw2hDpW540k7Ydic+q74EWlZGHeVF4zZ/uFcZh9o9cmRKhMEit00Cmc5BU2LG8+
7zgCE1VRTl7ADQs0jZVg8iUBIcMq9Vu7tygxTXKm0MYXifhQ8CFyGYPk1Zzt13KeKo2e6m6qe6QS
Deyal9quuyzWLdW4T3CyOPUBXqruoRK5MtICsWDE1mDQKQLlfJgTAA8Kb3SIGpaVgbCrGcZXG9en
f4lob4XmUuM64xjfLtoHolN9jjgsMyjlCRKePlPiqtukyAn8ZN0t8nip6Dlcwtmxk5079/VwozfQ
fqKq9W0sOqi79gyM5mt3Mc2Kzx0fUESeEQr4ZHTkRZ64Ur6lphr3tEr5NueUFDLMLT7SMBglbHTi
dM1b9qeivnWKPL/JS2EuUdmo9ChJFm5ERKzljHwFNVSy3yKorssBZbrK/ekRl2v3BXeTPu2ls8iX
MkWcgqJRirrDEZtny1NPKu0YEuhUk0lcwmmKg8ASkvZizivBze1pO+zQ2ASIEhEdjKwFKlU1NWMS
jRiP7EibdEktnxgj84WmR76vG4N9yCeS1nHs2/VlRg2BGtTNFDFCqcm5Npiq9sPoO0FZMtjog/UN
FV1dHorJ9xds5snib5kKNSkibe53h5nz51nZFX0DJQD74BV5n+Un16T/sVtcCn7cdLr7sSpdj9K8
Wiz4HAH4RiwQef449rP1VHmryc9co3uy3cKlnFobgkBbt6K13yMPu3CUO3J6M2p34QM0GztSq8qC
uOLrfM/Ik8OkMWdAsyczl09NSstBG6GCxxldj/XSAON7hU8+ecMF4nhh46fqjiC5QR6Ybwzy6Foz
QWSwn5D4OMZU3yWptyGeIM6LULDnBOHqGYsXoYjt6DZYc3uw+ikY6QtvL7WshgpoWjHm6x5CIcVx
0gQ8ShD8GR5mSVfNuzKxqgq7qL9eZzXW8x66abHLymKzTIytxcNla3pKRZZkbijqoeuj1EKDRwTi
5H1aYOVQP6zenEN5ssYMlK9pQRobArZnEns4BlsTfJmsWEd+11r9ou700eMwHDSoSc18cKPRhCTO
+GPp+jjv9BkWnJIkTtjz4NL/EpV3wFXqw3/BzX5ntiWf3yTXAFsCZAAklXnxUrEzN5FUBctZTdT6
x4GUtyRa6SR+mjtF9ciMZvjAM6E/Fz2xibGPxBT9BnfjhRONA+rLG5enqpH1i+GTQMyObDI1Xq0+
2B5jS7vLBtKYVNkHXyuTXMTtCFBS3FoYBqEyoE+IEP4y8jAz/4QaltdTVnbvXOiCEVY4GSA46KG5
KMUDXyqe+wVz6WAGZrMjlVJzbn2+MzLWG4MoMS0l65Xysh/qC69qKOsEiKnXMh3cdt/hcLT3Kamo
J5UCrqaCNVI3Ipo4eJyDov0wLaVTE8g9wEopIHx9QBIJcaRgu8535lJMHxNS5gj07CzgVMvI4Sos
krQJsFVVtY74mrVJkLnY76ysnSzMOAbGJHJ+9HxndxZ/nWQTH+4mHLUyzPuOc0q5wFjcp2WG14MJ
aXccyokDmnS50QeVqqS5Urm2PlFy1/PBmWf1ZgnP4mEYch/DTi+T+mJYfBcv6NiqC1dY3VdnybUH
MKHpXboCeCdCgFhcmrCUw6yR62ute8kUKx7Mp2QhqmsvlWZdiGTCZDJCxGC2H9T5cUZp+xkAmo+e
utKgyIgtWo+ZpU7raMDseT8ZHp/Pag7eVYWyFW7ewmIC+YWyL8wIIT23lh7jdZ/3yZnuzL2168UM
kpDj7FeZ1gz3VD7Ut4Oo+ucABsLXdFwgU+izR9oWaen5cy8BjyHOFs2nKWvWV2Q73cdC5gTU+koP
7oQXlGe9lNNnjq8Jn58hxRd2ZXHddu5Cz6o1vJnzT1fcA/cx3kyxqltU9+ootRqrU95r5vOsa/XN
pBkNrcKWqAYarRQv9rDZnu0hDV56IqgeVq9yPntTist6mYbmpSOipgISswYXI6pn0KZZQrIlp0v/
qeZJuVy8ybBJxy6qIkTsNNZRM1a0IxfdrOgfqQ7miLfWtOcJo+i3OGhZR3rtdS8u2mABma/zrHAU
U3eXkqd4rDG0l2GTEhwuEK+SN2WKjbNIB/N2bQjxQD+h1hPabAgthV9KGG4p/dV0qcTKuuy1aaQp
slZpvhMRscMd4BAdvj0tZkkCaNi7eVWSNyJcnPS+cIgWwW792pmDeLa1YmgiV7ZJAWAJNXJom6P2
kCy1/MIAQr8rWDE62jMjKVA5h/xPa1FCcB4U6MJ9MLqMc1WCKyKtmKBFVjpooHbGxV13CMDBnJVd
liOqSXTRHjtH2UFoyjVNyXsRJdA/rRwD/H4Cs64CGENvzuM8HYmidFnrWxsLU7ISqBxyPtbukiEZ
JWoPuzvjnyT3fV5opFhyztJiv2kgqxkl6JZdOvYrjvAqaWr4hcp1QuQ3MN5sd3YfXMMeGHQ4M0MP
f+bETr8KSkBY+vTfwrku2tdlmTfgjeS8G5u+YARfrAE7C2n0xeeRp6QOO2th8+nGWX9eNEkFSKrr
4LI61LiL/QRSF352LroDv2M98jl3H2nHOU/C1yzCvSchrzQtqB6T0Zww0Khg9Hej7Wf3GSp0CDFK
y9Q5tSUAUiowWtdNmchXpRcJUXfM54uoG/ox3fN1AfjWBhPwIIae69a861oGGTpNaOgbXRv7i00B
2SUE7UV1ZfjNJrp38RQssl5jwEYUloNZDzxGI2y5o6+TvwTaZdSBy5ewY0J7Yq3ZD06Fkc4kBJGP
JoO1E1fwB7rDALfACA0DUhtJpyvKB+QPVB3pGqD72QLbw8pUk7hiFjz09DqH+tJbCgTC6NyNNuoX
Dfx87bCUxeO0evTK58XI91ODuJFAJ6MadqWbwEbsKjd3byvyyczY0jCs05pSeYq+u2WbWojaQ5je
unNxqFVJz5S0RgPKiIXS4DT6FabLtIFPtStI58W/qBzIAp1KMLjRi2+IWMMm0Rw4zAx3mosH/izB
QwDAsepKlowSNX9cdR2r7Jw6DjC42vLjJpXazVJztD0MoIFbdPpTGVyCPAAFaKQ+b62UQfC1EFo3
R7231cOoLLtk31FtEBLkuMOKHMzo82NljwAPqnLSDh3GBUKAIReZZyZhsuknDAmjviPOXPahu1bY
70XmFCJcKyMfYr4vgPrVAAgbeiSt9ShI2YbCoc+D9tBXPFp74c65xs31C46dVsXzS7s3M+KhMoAP
UhL2STw7Cd0BAZ/LiOasmvwDgXNVcpZZA1GeQw2h8VgxZsxOppel3jFlY26vElmJ4qh85nSXZp3k
OXAFHVxcwzkv2yEGWsdTp1dtQxjN6rnhSGQMpfmyNNke1wAfs+loJGhzzJakObhBT8vfgj+571xc
V1dpaqsGuRwijqsls9gpDQAYBQJBWWfHDkicgY0gK9t9KVJh7ZRTU+iPkzOKXTkMBCalFIhvhQ7v
6OBt2zuJ1xvVGSsWZ59RtY7/gVZkW11pcLtVvKi+22iHqElPgbMyoUr7dcl3mlqZGthyxiA6mzz9
18OMzCguqzJx9h3DIiPWAj1pDwAHAV/GQcNhcNMgCDiG8KrlSS6tJz+s3arjwBxBU5wbrBE4ENpO
5HeJ18OBGhl8yKfZYRjXhDl5St7NrCg2LwKrcmh/y3JY9jNh6Q+gc0VxJnmqqwiWhgNsNsiT5G7q
5tzwOUtPBdvx1DfrvqfEFZTpdE52PFBAMZeC9x8RT66mC2J3YPvVPfMoENE2+CFq+I5EaWxs2dEs
7I7Uo2rsijAg+LaP4RIZw851G+ZsJUiSR9+r6/6sawflx/T82iUGNcYxxM+bEQ2INawjO2q+aodx
Ta11pyBLdgfXAhUb+bYq6EZ1c4PjjJH7Zn+WDdKsgqTi2FRmke3At3R55MIr7055WU/DiQ1+4klz
hHBvetjUxc1EI7pnbWcueQBI0ht72HjTgk8lb0xyqXD3RK3FrTxYJMjiJaTRHUORgTvSuSmeE9Sn
4qbAaPhZwjnWwm7oqilaJ8HRVwwKkUk70XOIUSEOV77beB/1Ja3rEKz89OyPhjgAPZz9g8k3iugi
QZ5B3PCK213bOBwJs5ZnXTb2epsbeuKHiSoWO15BffDJKL+7c/UWGFoGF1UPaT82666gIZjvROk1
fpS3ht/u7FxVH2kPbFjZasF64YlWAnbDUhetQ1E/+cvSkugsg/GKKU4N3JVC9zEXfnAfkBPZgTbl
qY2SqfWejdwuX1Zjhc7ZF6j+mWqtDlsEeZRM4Qys2SDSNbRmvJWK7ZxBFyKEqQKz+n/sndlu42i2
pV+lX4ANzsOtRFKzLMlD2L4h7LDNeZ759OdjZOEgLMcJIxtooC+6KoFEVWUUJeof917rW1UyFrac
gqFOhAYm6yTpnFYkDltsJZGOqaDC2P/G5Bcq2zKqctx2XS2NP6qQ+8FmtPzhoW3TDoKpXlXcGn1z
4Cgad32bUw3z4zY6MJmyKuP9wjI54lwL22SFp6/mIJWL3JwVGn8BJi587+DQF0KBbTBaea00VOuG
UdIfqW5F/l0K1s6IT5Wk58qxFiR0Bb7dpirMutiiie2KeqtRqxU0vy5uxdgCr6NRUMKO7UVx/7M1
J1miq6lquV/ZQSXSWdPA+3CNzNpBzO6kPNUIAFMGnYh3PVZDm/5JFhYuDSaRvmettuUIXDeQC1Vw
VYAtJt2hoAvdrgqFlh3ASvR1YigeQM0y14std8FuomvKBW72DFEVX6mECZvVKmqMSXrpEqxLlwT3
orlWgYur/Ni6b1yyWByH97qDXg+PNGm5Ve760NDyFYUB1GYL8so0dh4uyAHLRVz0ZvszsAIIriLt
lIDeOGg0aWEA+KQDyKkduu2i72Woe7CM0rF89aJq9J4bUqjau5gsA4qXoehxS1i0uU5hbJHldRON
9IWQNT5yoA7qOwxyJgphLA7BmxwKfQDtjLOvfmsUFodvi/4XLjfMsyGaLQBy0Y3P0MgvbEgeROO0
igrgAFLZOOqUlNtI8cf7KpCGaNWZSt5gwm2No1jNBd4IVMdCFdRpzdW/1OE4Ca1GCFCVbiBY6+W2
FdomsJtgQEXTD0HyLo5e+V7kofTQSBGVnrAvxcxRSrrXXCb0gMhVLosFlL4ZkWlJ2SRs1DjMMrui
6783iqaStklhQdrpC9ND/iiptPOQw5jDyqStCEjZLzgnS7OiZ6kLxXhbA/oHulSXfbNViOur5kho
FBJSGZucispMSm3EsgBq61Gq5WVhUU2iPCSWMAqK4A0IDpy1ZoyF2yLILaKOpCKVnZEK07S0Yib2
Jhvy4NTJ/D/RSaWRSZkIsHFf9sQG9nkTOhQ0B+2UwYwjiA9EMEQLn74chIM+ecvJRXqoJ6sXbLQl
hbnohADrFfRPIByV4YUfElVQvoIRCPhNK22gCCAPtWzTvfDrRZOb3U/EICrLuawUHAa9RpKcaOyr
xzxTCr5w0skXnM9zlHwzSj+5pvkuHr/4EmdD0ONTRh8zNXp5D+IvSpftpBlw9hukdBTS596K1PWR
aYuF6bs9WXvBgtHMbZxQhJIIwWIynvOhR2lJnFv13hmt3til2MXnOZ3An9VADLNOnIp1zPi/ePBJ
amekxH5RuaDkNpe84L3hiHihHMLb6Zqqv20s4gcWLGoe4Duh1k5C6JND3U6zpFKImMlLTg9QPorK
bBFyZWEQL4hG7n/gncVi0BXqdLAgVKOBGCYOmELhcRKdOsLsMFZS+rNTNRTBKMYJ5Q5ids0XIbT6
gSWvSD9yP2neO8UPbUDPIqbkOX4O5h7bd0g0Nnd0CtFsZeGYCQswWPGTyml4tMvcp9rfC2N/h/zL
gvqbCH5PG4qoaFuG19kvCbLoD4MlEN3bRGr0zj0q1Hi7ublP46gXnMwTNTvqTKRpVVYIw0YOVbNc
JlYSfmiZCN43ajLaNRqppdRHlIhzctRL4qxsFg3WFATNkR2qeqk6SIM4thHFIQRb0JI5R+SGAlIe
w1tf1GKM1a9kbSQloxSkO99POhx+SHVJbsSR7C0sliV1UQg+J316YVk8V2hoB+n4wOGhVQKFDy69
+q3XK+KD2XjW5KaTEpyJDysZRdHMXEuoNL3FLO6UQ3qzKajjdFzHKWOo4rYqivKnNZTDvcRMUhcd
/PBj0aYywSZ6LpwTmMghdfF8bBFpN3S92kT27mhJey0FW0Uir7ESuMyXFk2QI0dC81wMOb71IU/4
k15TWyXZXYSdrSc9hbvd0jF/BFM1p1J0CgkEHqw4F6ugVC9FuYTN0eioEZZNF7Ug4cVWvuXmZmw9
nyOyU6ukediiN1PLq4G+3ELuIuLbIj0DFaqUCrbXGo/GR4RlI16IadK9GeqUxhf0U41ly+JcAKYM
QyPINPP20hTkMO4wlCtHEh9grwHpih71NBHPPfevZqUWahXuaz7fvjQjy5ix/dODStupWLLV0XEf
uqz4gFkHA13sZU4ZNaRfZAKGFFy6tM5fdIXMR+jKZf0AbgG3sFgk+c//L4n9RxIrz77b/7k7f/s+
/gzek+S9/t3F8esP/dOI13QMYQoDCP8g+njVpEX/H0MY/4uozM15BXXsZ0OY8r+Bi2CpmNsi0Ass
GXn7f3fiRf4cnlJ2dsTfxuxj/Bed+FmY/1sbHhIkvXeJHiYQMJUV4kpHn3H0lj1LBqKYcGyCnwH0
hvlsN+NgfSMnvxKt//MojHFEp/EXZaDPGtxM7VMUnabHNjWS3yJw5C+MxPhHnY1s48/grK9PMRBt
KVg8eQy0uivNepmXI9moiUApjygjuiAqt2TfXP32K38v8+e7oCHm/xwZBQATvtLn79KS2jt6CURt
3tO0Tj0FPEODROrvT5nj6a5+HYylmIdFNHY4Qq8F+PjPwf0nZGeYxvhWtvuSWuuAFqmNgKrLnHkm
Y1ukNItGuJqg0FsKahoSV4K0Ma8AA89PciEejCm4/fsnmw0Gn4cN5DcLfyOMDFgJ12iaJqi1lMRN
fxmlkrcsm/Q2R7hGuyGgaUstGKQL6+/fn/lrgFw/lBBPvIuQcTDpXg2gLsj6xqN5AH0wMjfw4PJN
QxmOoByjXmkmEuYe9j+ZU1G/6axOXHIbOWaBPnALzoJNoFNe8zXfdP7+uebJeP0yNLoHGm5ysv94
KZ8HAxgIuBB1BtQjE8YRmgNtsEqSBXvmoaO9hC1Cplat3FhFEZ7qSNnQvCJBmsrRDzMCD4WRq9+b
dJZJyQp8OnEGc8EAUcxZis2WqpanP3E2E3YmUNVLJ3dDZgs0ZlHqhqrjEf1H10YJ5e/iQL9OJgtz
CR4zfmgZCf3VN+t1WPD1IAbQ0CaCNhSCHUpf/c6T/8f3Z8oyRgCJ3Ui6mkxTjPJbCxUSvzSR/Kyc
tszkpwRw5EpJdmFkfLMQfV3zLOi78jyF51C92Yn7uxlAVekiGYPGrAoSMn1KAGNiihxmHCmO/X1s
/OkFIiKdvXIAB7AtfX4UN/hYLEop4DwzIc8QpY65Sxvu70+Rr8RULEeWDmaISYHBQlTVqzcotUUT
RCJvkAYA8JVeHG4Mc67Nhaa6QocJeUAKFbdt6WIkiWnceJEku5NOzb4/dB7RQka/KeLbJqD6ENBB
PQUpZRIUNdq6lKNnqMWhnftC63L0mhzZlOudlqHDTyKFZHi/pDebmPrGtLzkmzXw6xJowdRia1J0
kQEyS9x+/7G4S5B8HpAR2CRKDBGVzBW4woBlrURetoqpQ3NqDzENyG9GyR9+OoL3eDjyMfzayjxq
fxOoyZWi135J3TsYlWBtleSuCNSf7b//dH9YSNl6NRnznDbTBa6cXP1gwIqXvQBVAUWAyBwHKlyK
Z2cdjW2zHwNMlJAL//7QP71TlH6iKDLbAExePZSIIrFji4QpH6iIhYco3gvEodxyWyzXVSiFP1qF
BATTyMLN35/8h5fK3swxA4cK0+HahxMzR6Z+DMn5aYkVA09DBd0o22/mwx8mODRTeDjzRsFB6mqC
m42azJgYFmTiMVl/5WFtlOJoF5HgfzM8fx2Qft+UOMNRdhMtA/2NopvG9TDBR2pKDUFOcSU9F2Fi
By2QH8ikq77CZa3n9a1vNLUrIAM4jVV2h/wBh4tuyqssNJNVgXFvM8iJtaQcEP3L1/3PhzOomsGQ
g/B29UOjSClNReLDTa0WnHs4wgdYa+I3M0W+/lWvHzOPt9+mSo6jVZ8aUV1kgYUWZcSHRMiCRtt0
JIVF9IJNrXn1Xsy78a5MUN/kLRFDYRu053AYSfmrPCy1ljLXpZQNiWitK4yUWallOYbZ+2ekBv1C
NqLUUfo4dNMoTR2ptd7/Pji/bOScqzkLy/NazdQHh/f5e7AwjwmpD+qiIRDFJDbibdAT64GJi4E1
NNrXBgYrZx45JqYrNyIN6YY0orgYOWsVdZA8FY3gz3oSS5cWvmT4Thynxrgoc0W6TTKuZkSUaCSu
URsE2IwYsG+BiHfIPP0uTGg9qly8tdbv/GU5UQ78+xf8td18HqwqKo8ZxKrDQcMH9/kLAktPe6PG
Yly2ODfzMO8JXWsTZwgDa8upI7e5y3RLDOSVwyWnv9D9py2d6Y6XcmOuNfWblWieHVcfCFCiKFsq
izwnqKv9sZZL34pV3AseDY0HzMkfcKiwbJEW5uhqMn7zOGmGqFw/T+Wbq6I5G62vF3Vij7BYMZkp
txKJ0kn7WNfbJSIWgZ5xWq1iDpV0+fCPVGYZo3Ik2ZFWxjfTUp7PTZ8/BlOCRZ8zLKuveD0vRxOx
HLcKc6HIKXZpMfbvGkpnS47c7R7FBg0yadIOuGQBvk2Iv/qZltakuYnwgOAWv4ikl0JOWT7I5dmG
VdlQAFOtuy7uSrvR1HdAd/u/D57rRZWrKK50VWaKzCicaz6UpOUKvVzIjDoCZGL/hJ+JL5G0NbeV
/w+ehLWdyy06YvBXn0dpU5ZF1VFDJcAz+0jpeq2odgF1DUThmyfNE/rT7wDsZ74uymwXWE2ubetj
oZIHQBIsNWhJWz9vBrTxbp72sHpDKftm9n0Z65JhIJ9n+M0naSBln7+WNAVtafWwpMlJkMk+7YAa
JOpqTslNmu8uS1+/mcm9TAJHglwfIsnVxLKKEmsKXhjktOhHEGLklSOhssL2oVXn2EymnYT67pud
4AuJZfb/zgwt3iYQbfGa7Dmok4iUZRYXZwjfxPauS4dDDvckAgWHbHYbG+oqCvo957pvJtWX8cl0
khU2Ob4xQ+c60yIZtRaXAMYXJegUR6GrsYxqcKGGjoLu7wP0y8vlUToHQ9T0fGEMDJ9/ycgrcALL
nGISn7ZnV6HDwB1rOBnhVWR8aQNNirL57qQxn1o+DVbgV0xBXjCh9dAqrk4aiObRa7fkIYdcylZE
2UZ2JGX+rOMiSC+WlxNCRyNSipvCb9R9WXnNjeS31qby4/u/v4Cv6+j8WWSdb0/NyABZ9fkNmGFX
TgO/IYq+QbBlo8ZYaJWtuNBpOi8TzyhWhdeJN4XuphkHTTEbFo3YfoNB+LqfkdMNa5c1iXom4Lir
jyH2qirWSVqQR6zpJ5aS4qDLBaZHrlu2YvlvsVZ5qwCdsC1Hg3Sje0W9anpppEAsaD+H9P9i1n3x
nt021ft7c3gprv1M/w+6lDAN/TZGvoCWDy8VYVdJ8r82dfKSvdW/l0N//dH/gAKMmZ4ML0alHvrZ
l6SDXOYUQMyAZYi/ypr/zWBTwSrTCweDBQWZKgvny/9UQ4HkGFzk56KQrHH/Jbn+XxRDr1bo+fTH
6qHOeGeexdXo86jupZQoPTFML9UgVksJs8ckmrddD+QmGMrvaohXt7BfT4PwAzcB8huAjav5rOMx
xu1SpBcjrGM3PcsTqcFwfXOlOeQKkjIQweH6tx/l9M9q8Xu+wR+eyfLB2sUrptByDZVMIy+QW5zT
F1zUNwMFKIigw6qoQ0fscoj3uCtD6z/Wvf+xJPuH16pyh+YOAh8CwN7Va+107FK5lCQXedKmddeY
G/SqPxrB3CWhLjl//4acSj6vk1SqONrJOg+c3ytYrs+/Iht+ZkaJqF9ApnauqZHZjZnyTRwW0kAw
TPQWIljMskfcYFJ0E7VHs7lRMsACmMCWom8Tck/338IZRkE1eDP9NzO/H8ofQXsSu03TfSjqxowc
UA2Ag5PoTq1vdOLUzGWpOWgrqRhU6cqsnyb0I5mPmqNayndttakDW91H5zxwRuVtzO/U7jbIjklw
MxlPurCaipVprjztohg29lJRvZgEPWPEpbkrs6GcMf2vYuIEjHW4GuS14Ac28b9L5ULes7IytjBg
FwECGuPGephe9AD8MgmDyTZ8Un/ErzIx0MJp0n4mQnoISflGnlnmp566iZq+m+LTaN5q5ksJQ3/s
iMwtznL5WkaxXSNaLeT3Dj0CYYYQCX2yyZRNRzoQuWILpXz0prOXIVhyxVn036JBhkksjI8GKTKS
8kMId9VAXMK0SHCvWdJOLLY0q4n+If+F2D4B5YCPGsplLPiFXcU71bON/qkFxKyufJrj+cbI/uVJ
5dcowZxvaJQIKGL/OqL/dmctI4hTaW/plz5My6Wue4AX6tGjUYYmo/I81cXyrOyzHkbHKJR3eaN+
x9f5Mi+YDFS0OJ5JOjkn1yfq0WiaGCaeemnMF0zfHAx7wqv0GSHHhek7Pt2fnkalgmWNOxyT8OpE
iF2nISWv0i9Ja93jSceRr+OpyLpoP1RB883J+stCA5eMugONJY15b7IufyoJeL3RCa0yJHfD3KRE
0G6rjXFvFN6m6dOdboX31EK+vd9eHcxEladiLVUomLPBgI75/NQR5aGoxkZ8V43aU2OsA6B191bj
iYSGxqUjRTXCChoCTg34icI3Y7kI7sIUI1SfmZjoTGXDHTHnQtzZGLIvf1+bjPkd/3aEE1UunjQB
OTzNaH+q0J8/HznyQhrLvnWbFQejXfFrGyAKzLUmc/FeSoDWRWKz15I7bMTeKZCLAmEoHNwYDEJr
IRLpqC3U22Y982bc9FDtpG250bbGahoXLbqpcgldoeU7LvkHK7RlKGIA0COJJRwUoe1C2OquuIjU
RYn+7U3Y11uQKgAYjvUr5titvKuek63vBivPKR0ZW5RA3QVVje1dtKe/v41fC/HXt0ElEO+dpuAG
/vw2fBgsGrgc69a8x0Kq/PRLSivAF5Y6KVbq0vswdvk9WgX5lOx4EUOK580uKhdlJSb8CiYAbORl
eVsc+l30nr/OMhTUH9+Nql8ku799znnU/bZUVL7Y91MXWLfRptjjc4C7EGwqokHytbDOWEY/SGxW
HuMjea3n7lG6yfbjtnUoauAHk1cUd70DapC1T0rJRdko2OlDN8zXVuvkiS3AIAhszIJTvI8I9Bru
kU4hlkaGPOBtrpfsYKT2xg5ZP8ba2Hmb/iSdh8soLLA3oaLtsS5CAgvssl2RL6NMN+qwmzSX/G8r
P43ei5g/Nc0lKxFLLNTH5IgGxFXXxSo6F4f8Ro6X+W11INDI/fvva10VW36NdprUisgte857uNr3
Y1zh0L478zZ8ELfSjbSZbqJ9fUyP1kJbCz/UB5zaZ9QbZPgQ3oMygQ4iZLvOcvFkkY7bP6eDk8ys
5GU9kElxIvgnEUB8LcF/8ecS8q0pEIbuBIqn5PZlm/0ybG2iWEx8pLOZaokOhu5LvY92Wmxnz+w7
hukgiCkLJp2bPJe3wrbdmD+iZ/2HdOiOqSuc2HgU0nDPJMuk5qJn8bjlZqOpt1a3CTRuO2yca0UF
JOTOZd6JzB8HBwhyfhxX0Td3HEX9w5qhsZjRYIQFbvwanb+NvhH+GiQc2bz1DgS6P7RbZRPce8vC
TvakYIgDyc7kPLgBSdrksqWL9KBvWhcv7C5cYY8555vBkV3VJQ1Z/gFDJTnk3xwquWxdfUbAhRZs
WpY0ShxzWevzDCkwYVNbLMdzYq7CdJVL25nXVLk689FHeqUMu7jwFrXlpP7G97dFuEmMs96dCQQW
ra3e72rcj9Y9Ids1IHz/oNEUVaDMryO6nz8L0/VR5uTb5mO8CTyblDvlnJGqKy5mIeJbXC6sF/9U
fMg6SbD3/vhoQmAZHP53pVomJPrQweyXZBBq9PuIzJJcdMOhDErHrkt77Ld5dFRSp0qQfK2SwMXz
0BgZZ5tgKTHtLOUmybedeG+kpDFHxyk+FOUK0sy8Gtc3YQR9JTs2KrQUDN1ydq8rR8uymZhd+86H
x/9miE50Mcm6fp3NMfpt3O4i2c3jcyes9PF15KyoZ+tsqu0WbGNpKE4MAqEipwnU/ELlw6hoh4n8
XvRYdlKsMrwDbckQzRC/idG0nsWFmk3PCombhHxwnw4XA3Vie6hNRLDmQ2jcyVzDU7rg1ncE9+vD
xVyO4IDPVFdou5jq1VT3UrnWyWcQL5lKkl8/RBtPH/GtwWHBeGR8s3N8eRplFyppCtMCqjBX+8/D
TUwjlajruLr4pvlWVxzdlJhiuUi3ju1S/qbwea07EJF4gMUA2zxfDw1wdJ8f14SiXgNH9G8jnTTw
VionG2XqT9oI8zl/G0SqSGNyk3WdsvfL0o5731Ynv1pbhbGtcsX77ux6vSRwpJoFLhwgqGRT++Bm
/vuGJODJJIllEC+S6f2oUPqizZwWgQGFRWkTwjy9FUkI93j1zlYsHMPSOGt6TlSML56NUU1Wf1/o
r896fByONRTvOXUZXMavTpasTWj0RYQJXtWvVIRogdpjbSpL15rm0JUUsTyvWPumCjcvKr9vy2gt
4KRzfDC40ILbvLrnDaHSkFHaipc2LGpHjGsRHwKEdMAVyjeXyq/fUJ9z+CjJi/Ol2bga3vhi1IDA
PAR7JQXw3MNaY9QLbQoCbpbPhN3rdiyp3+yfHJW/fEOdecW/+Z489tfW8NvSP1RyoaCRlC9xvM3N
ZRptAvXNSgAj5UfEkGq0bq2j4b9k+D4VAjgibJKKeDTFAwb2RZE/aeWd2sDYeshEDA07oqDH4mGs
X8uGUTLczv7Z5jXUdyrWEWMdZ7t4WpvjOisP47QmBkZSndk0KCkgzegUP6ZYo9NuGW2Mcg3VgcWP
G555M1VOOK2hXwzF2QiZ9aesPWj6OhWfxJIFXBWOWEfV8RALHzl3DtSgy5qQbU9wDbZe9VH3Ly2B
rvlDaXATWht8EPOGXq2s/EzyBw1Y0nCsfeQ9a/a4zjgnIq6hXZXaUvZB1Anngb1u3QCw4jxkC8lK
DFElJFtW/klwLAGVzb08HeXgwg3b0G2P7xTyFoWtrL577UrrXqT8mCnnsLxLuN7qzZaMGTgRdjdu
It7VXMGskKztw6a1i9R0KhJVFI2wQRdpP0HAZvYiSbxT7RnfDtawRaGv4GgHNSnD52zkskNfHc/f
pjAdWd1wf9aNu669C/hHgSgvK+W2HpeD+UBcuKQ4WNupUYQeF+d5ra4LB9hGr23/Pm+/7Nocy+a2
B/k9lEZZ5j4vIyUgBd/QPPUShD70tRH0eFEAVcno9JANSPB9KBXf6fO+nKaBC2nMWZotVLJR31w9
NZj8vgXPolwm/S2bFcTTMp+cOXzdzHdx+VELR1DRKhlJrX9Wmq2vbL1sJXkHtXxoUpcFpR6eBNNN
jAO9BTk9hrK4iLUzMulSO4/SMwIxFd0y9QQOjdUWYrJPaQdsbHRCwGujmYY5tC1zt7Psbisb+2yR
Kvec6qYTRn7dOltwLImRQQWp+ZjKQGDYorCsze1EqHwhbjNxO9TvfuaqmtMkTv7mQYnm3Ylb69zF
h+MED6i/CaLHnE6rhu+gxIdAY29SzwUYCKN6MJStTyhZdZMoLn7MLPwmbvMLXokfE3UTLX+FyzBa
J7IpPm0RZl1Ci8kU+RIq2xhDBDyYfbLRTp5DM/Gjw/p4mLpF9agattTiAcY+gQlXR4J9FqftQIa9
m3IlHYxDEewT9XX+Dz60E+ArNEfTzgYEMuFOgmk30C92hdvxmE/byDgE2eEGJo8UL8U249SsYuSI
Fsr4PnSNEyuPrckryPnbPh82qVS4KIis5NkKX8aIEGJ+gCX2vjG8DWaAwFp4xdlbHwzBlvyd39mZ
/uCN9x2wY9PHLTu++OoZYxsXpYM6geG8KRTEz2Q/4clIexaE6mYcX8x2D52GC9NFCPFatfvOzkuM
1BdRoGaXwwrZZiawy8H2NThudqWvAow8/l2t5Y7XvmIhtCNMGFp1J1rj/MpG7oNtvBbZBqqDzOU6
4g6PUJ7GPTRK3bDHB2nfyodSWcn9QhePanipXnrbl059siymdmEKh0RHw1negOHxot4OsTxVbwpr
W3CQ22EdNh22Em1PenWtPUi+t459ruPFDR6dFw1Wpda+5oO2b5twAwVmYRLcXgyvkWSnxrsI97jE
cF1PgSvlK3is6Pxdo/kpYXhPPdZ1VzHy+SqE7HAkSVWvWDPB+QnqXVpsvXEzxDZJZnbdtif8hIC2
X4vkTVPu5AVATmFYafGqxTiXrKMRLxZ7Acd8NzcX9/yYq+z5QX4VCjeYVin4F9GOLsJ9K9rSG5mm
JpeX0lV6x8ox0jjVcIiDFftBd26Ow8QV2O2Y5TYbTbIKNmPkesYqh3OZp04Zb8fELu6beEdZ1U2S
xeQMcDhB9fkb0d4Xyapfav4yY9bXh7AlwNDV15ZdO6wPwRMW//zZ31lufoxfhFMZLFJp0V0Gp930
65bq8E1LLVXfGNRdLsGzny3gUIrr8haeVnceVfayZbgpdtEPdSFC/SCA0FZ/ZN/c+a5FRfPsRRWg
U5ukN80N+qpOlHOWT2Mrw7tTRbChsKEshrJbckEMFrqC962VLGIdMrCGBnUtUsjgIFi7RKewg53q
GKjSfS0Ye1we3+wZX46e1A9N8qLBBs+a5F9KxN+OJMgQ0lDw2uECSr5d+pqc23HWhf/2RMlXV7hF
GAayRp127ufVC0qyh91hFC9RyKkCFP+DGIgnVey45E8vjTid+sj6Zs1E6HN93KJWSdFSpw3Fm6eH
cPVUnbCLiNi+SwoOeFqKhp2KawpR4cRK4JaZTf17UBxdWmfyMRJWAeN0ekhYY6nCFxvzXQrtV5Yf
kL2ULNpkZ0gXP8qXg/BklCVyk2OosWbsxuC91U9T/y6lj0a9E5PXrj2V0SmPHrLuYzJdE/5UtJTI
x5sgKyzoNMSRjcOOM6dEFX5hlC5jIArcDBo18LXByTlJRehANvA9gf3L7RIiDzOmB5eDNzKwg2Rr
UlZ2taW6lncUNNYcRM61w2VySb3QpnS1ktxxWTqdWzv+EWTYc/7h3ccfxWNOZC5QXZttzaZr5EI4
drqn+Af8mqdyJ23k5/Es8Hft1HtL/ESmSBsF/5vNX5m/niQ3RrQsrMdsoxj7oT9nWPbWRfraxT/H
9DDIO7HDQnsQo5um3wh1BnqYnaaAY3cblcjGHlM7K/dM8AnKG7zteGdRxPE3SbjOFNeKVxjx2bAh
GIiAYnCRXcS78ikuFukTPFYjXxrUOyVWNpbABS5W4yl8/ftRiovu18FjzEpfTAccqr7cRkagUYqZ
tNMFw79Srgd9HUV7VXWlwfUsh0Ml/72q23K4oQW3EIslA1t9tgjjU52uuMuM1zY/Uos3pwMAbaqM
qrQCdlQETgBWFQAI17cI4c+yviRPwmORLvNjveRwTYUAPvNt4zm9ZKOQk2+82/ER/2k8unm+0M7q
Y/cgfQSX7IEwYuXs74s1H2hbHgIXLcESdzFyl2qR772b1jUcPuMmeyhetIduhd8/w7K7jG9Z7j80
mH0MOHAvOgBYsHfo9RbFOrgx1hhUxRckH8Za3+A7rKQ7/UZ3i23wnOVkBpK0XG+aDyqBbJzSon7S
DjEf7aAcNMdakuu+ile6Xbv+nnxs21+KbuVwgxFe0NsSFAClRHmm1iLeenvvTgQtwbt7E9/kjb+K
qPFES6ju5SHf9kdl3a31t5rV2sld+VX+Ee1G4L5njBPqXdkvmHFA3Aonmsg2dfpxq1FDJYUgW4v0
rLq3wjiP3WZUboNiWmnD3grcCGsYic/qYt4UsoVxEZ+yH/EBRT40Mn6SQ3pfYkErKT47/FV5yD/X
sJMGaSlhtNOX4G3KfNnzuH5t1bsOGX93yHuRat0jbAqSRQzW99dubazIeMXdR4JqH6xCxe7OMaKw
+/5Ne+8OckMXA9Ikrs1FSo+SYB+ZabOGe4wh3OvcIl7V2kpujnFyEGGcqDb/cB4vMYwE7wHqTLx7
0XKIbDz/kNc8betZZEHuFGz8kuspG0lyzXwb9OeYEqu/1tsPNeQ8davQIu7WYbmq1UPuLZX6pudq
EjkNtPpy1Rqg2VcEBcKOYbecGC7eksI2TcSergXtOzqRi7/Pt681GcR7c6eH2DacCSj2Pq/Vqlal
xFSm0yVtDeLhe2a4F8K7jTv6HUFsbJv4IlV7XW5PWe6YWirbAv8irlejxKvE3+zYXypSfBy2DQLi
ZJn+2nUrr1KqIe+Jw7hIj+DGRkfUCjqsOW2Nwfxmn6LV92WpIWeFkwHmo9ladl2NEBNP6YClTJfB
TteYrY/Dvn+Qnci1nP40m6tLUAFou7ftcIfTsJIdiRLxvXxS70Zs3Ceq5FF3iggcp2IO46XiJuyG
1gJSkRyuIBqZP6f7UVwstRfg0Iq2QJmITyvJbWqZNWP7JBtO2twk2LA7wEfzBtVGDgkeQDjo14gn
8N9M9Jvxqe3WSnTnq8excxSW59N4KnbyU7X2N+m+caatvwLReolXgtPsSKCy4xW11R/8czcs7w/Z
S78vjrLbsy4pR5Xw9OhoMCQ9u44cbVp41XYMV018mJrTEB9Slc9hq6chIo1hCdyZ5dBTaH85gnGW
2HKQ5hr8Nsv+JNzPa+NBPPHx/We8pwBgTvTXxEckqKyRyY46sYEX52lCjAnGulywxugn5QILwc6X
0kJzpz3nW1ddsN/auCk+oG2K1kK4z16tGR+05PPG9z3zzlyU77zoealZT1v9MbgQVBPe5XdchYRt
cQZvFLx3AFj8hfVmnUggVqUlFnL++/q1Y9GilQQ2TV60H7mTHcqb8JGyydY8tltrrV+id5/9ud8S
AXin/Ry38iF+RUzNsmucKArzd2HYRveKQlvZVomsp3Mk7TRlnqqTvk+6c+3tzPrYW7bgxvk26dbj
sB+6c9ucQvXgq25YuS1GC8UuJDc0WXRYHuxEWFn1Ciq00K4B7YYBYLslVQy1WOrPFKz1moXbTklq
iRgti/iHlS1mZQEKUmdsTkV7kOX12LryeJFVkKhLAm9rvne2F9pD0twIkBxj7WCFD4W/9eqF8U1d
9w9zlk7F7L+UZeSC1+YmsyXLwhua6YIsvrgRwOfuulQaFl43qE4J5f1frxEW5CiJFgkiWsACV4fa
/2LvTJbbxrZ0/S41RwX6ZnAnJMBGlCVZtCXZE0TaaWOj79unrw/KE3VEkEWGz/hGZGRmpNLa2P3a
a/1NlJtj1PdS/OyTUEaCxubErMq7XI7/Hm10OW6ckHMS+CQ9SnKHmAO0NxQPzolFztKJCg2XDDt+
xt69cKcx/WGoWfuEkBkaac1P9Gf9cOSVJJrccwA+WAKPhCTLuFJNrqsGpYEVt5XpzIoyXSjQR2ih
hgf1z+sfupwGRp5s0Jxdxx8QL7FFdr0ckDluojTEXdvBnKNqWaYmMgI8dtZTr7b7680tOZUziUiZ
IbgGFwjuZe+vgA8vmLhw0qlAsPLZDqf+gGvV/RBhnRfXonbDcPqJuEjpjZEWeuMsviAJ29qQGs7W
uZ5Uh67izUh/KoQIdH9nOlJLWq+w7hGOunHHvQM6P84gmLeZmAvmTVEZG2MxMnUqlX5cadNR/d7S
noJozCr5Ij3qW+Pob+271Ms/Uy8Vx+Au/6W9ctRTFA2/J/EaHR3ilSrcmNGTnm8AsZOuSQBAtA8p
CZdwI4WbOHYJSQzfVUn9IAfma8dWf9C7nfOcRodAOWT+2igPRHllso4qzGopOGEKuEY0xbC7lUj2
SrPBpMx3NpQ+HeTbdNSMPmUqydvPkv/cE+5HXlh65AQIRMYD/6pJq/BH7o2f0WYorRUMRk4JMhkd
PhcUUQiXiOW4j14bTj8wVuhwRyiLuhVBoLEu+htD/A56WQ6xNa896ggWHKwFwTFGBp30ayIfp6K6
x/E4djWYgetEcFEiv4Bqb27+hWoSEsgx0RWimxDgfuNxn+8pijxdX5rLHWsqBnws2bJZ2sisy4uY
hqewwH9FZEdVDRWqOMmjrvfd1g9/KipC5dnXsct3UX+TmD3/3tNBoF3g9hxOugPAeHFSoBSSOmYd
ZsfOkTaNAqirGJA6DrE0SFXUYmCT1N71rp5tero6A3d5MFHheAeInlSwdKWpFa1MMc6OOq+yDqNm
QnorieajNN78cWPzRtLZQQ7JbmVx8A7BYIQFLkNHNSrfQtgVq1izf+VK+3VMwluR6TI449eTRJgF
70G4cq0sUjeIQGB1qAX9ERdPUm5ZTaytUrK53qX3y2IxZwbcXDCxtgwsdklzj3QIxUppdkf7E0k3
Uq+r4QumDj1GjBPbn6AP0S8Szzs7eTKw75Y9g3gHQCuKoCHGi4dIPEvOYzEcCsOLfIycjLWRbBLD
U1O3aDxIbH35oFVfitpNAlept+C8sXqv0RAMN4Z/aBTP4qHoHNDFGHWvmnaO7zloM1au8pvnJFXr
gVCpWZuBG35JvygvFoaspqehRvVA7MXPk5e4W8GkKoUHJQpNd7Vbt806p2SIcw8OQeFuSB8iawNN
lUc8tiC2hGjevio3aKIG1jY6NOlO9rdxv+0+ZdtbhvLLqh9TOePl4AlxPNgg9RZvDPRNRZjIyMnH
CP6Y3SM1vtXkIHPdNdVba+SPgnT+9YldMigwQsNfhDozy2herO/B/4frKbNEjyipKR8Nw5w1Q5F5
Sy3hwTwH29XVuitriJO23bBD/C/wyhyew/VPOO+2xbNKA6INth5W8bx3P3yBHEyB6I0hO8IoeklC
HJ8QrYJMUWal10Sq6kb579ZCrOx6s+dHAkcweEy4OLB2Id2eNlu3Y1yFXVEdR0Qb7hp7K4HFM4Sx
TpVAupFfvDDK8L9wu5i5A2ChlwlGCS6C31c5jfX2sZSVXZ1Bp8jL36J/yqWs4LZtk/XkUEJKivxG
IHihdZCnGsS3mZ3qwMQ97WrOfS+ycKyOElw0ahaT22XBJ601StcIw0/jfV9GEUXA4IXK3NufDjPu
H4oOZeMfQ/NF26oeFgHmG9WxTusDHq68a2SH86I18TSob55T9OT0mKI10mIzcQXI+TKRPZulAfEz
6iPQimZHIqtv9gNmoatWNV80VWBTk+EzoeBqc2M5vZOYT5pGb4Vs3FwEU0GlaOrpIAt6Y0kFFbA0
HQG5VfIXAR46a49tIx3w7GAX42fwaWgQYHW4EBCxLm20//Ymyp47pUjkTTPJG6vXzWNNnf36NLyL
Giw+z8AklNuewj6ur4vLPiowuqjMQH4eS7Rsg2H8Lbqy3ph5Ua/UmOo+wYAFdJ1SphMPnMwNj+hS
vDahSrFLT/VNY7e5l5qEe4X2rBpJ61UpiLciuvGpZxsTuKpDcP7O5yJSX3xpl029iWldcXQK8NtT
TcUEehlWg2r8U5Qgyq6PzNkFOmOyTeoe0GoVQrPFOeDUbQ2rycqPKNVqQMrBrSR+m9zYg8aSJQD9
BBIohBONQgBI3MXh3huVlteYLh5LwGrYMzrqN00Znmsx7UUZ5vemDlotGCeKwHpZHEyD73AwKfw0
tOajLwfOU+47MQZnwHsGy7jrsFd4KJCxOMQKOQVzekNWmdJuFZmPuBCCG5paZTOpP22AvJLwfziB
kPZ8BtlSksJqMjxgokK2O3P0NcrToA1kApVGlzCQ9fNnJ83cSEOAd5qm2WxRrj/PagR+Y3efJ8tL
fNV5BlYwGk3+ZJXN+NCEN8LT85cTQwYMEX4M1xOX02Jm6hCJi7ZOouPUpBE2gJSEO7nMXStBZVie
SPmFUePftW38xGH+BV5+v2pk55fcyJ9i1fe0Qe9eIShjekEeoFKdagM9Vr9xfb3Ld5zuLD6TTzTn
OMzmcX+68Us1g/RmZ+HR6KVwq/Wd9qigRusFXaOu0LZYYZKSgyYoeBKh7e1rVBflir0PP1NyC02J
XaTNQAP66QYn9nA/OeF9anXNPtbbLRqB9b0uBQeMb9Td9aV/dvO+m3YT0zHIUAPMRSCutVklCaPv
ZlyXs9VYGthqqatABsBuQx1dJQiqun/eJsfkHHVg4s1ReTpavWqA07W76hk7wp9TUv9KRfKa+PE+
tX2uQqpfkixuBOT/MCRP54ion8ZmRJ3DI2AeiQ8xRqxplWomzfCchThUfjL1o4V1pzK8oMcbVKi9
KW8GUsfxoSnvUhPkDghN5MTxOZudyfqy9LDhWQWwekbE32FmhHaNxs4s5Qi6wJ9QRgKQof6wcFzK
fpgDdH3tUJH2gwGkdo+dimCgvkORf0yf1eGhA+ODP6o/PjUoi2AiFPPi5Dn0Uifluiu+psqPvvRq
initsdedjSN+A/5NBPlBc+uTV0/1r2a+s18z0+2zN007wIKMMeHu1vWTYXvtSD0M2A/FUtODcO6g
jNcOv6UCHUbSeyUatvvY+qSbj1b11SeLZ77qiY6S0WPAB1fPGMB0mDEE6woVHuMBWVjsiaRvnL2U
vUJj71sbawab8qu8GC3unksdOORWuaVnc34XzEIzCC/gMAMGcxkSJ/LYjwj0ck5qaPP4AylOP3wI
ANfmfXeLB85JzDJYLpN5JyDlBQ0cWYbTZRIaKTLXpd4/t/qmVz/nJoK+jzX2X4lcro0ab1nSBcab
Zf8F89NnEnP/KJo30d7V2jdN/6Xov4aeRFfxFBS/EumT8FflLPn6ikIxyLc2P/gylZiviv11RGNQ
j16DTl03rYNti7kJKZZJ0brxqWsArehAjvTx3m+fe/EpV7eB/YZL72os/lZrjHxQ3+mYISzM1oqJ
fGWJ3efw6vh3o6hWBpye3jTWI0aYNvmUoW72nZCQs8jWIyoSCLP2KH/qyAw3pJexEB47QBJU1JCt
XlnIniM0Bv1BByXM0kHyS9J+KcbfoVSsMuXJeUOKHRw96Srg/Bk5g+CtzNMtHpHrkax2xU9ViEw9
lrTCfAEbgx3tiDcYd0pMmbv7hkeWcHsy8tUqeumALCHzan+uiuco/lunhIz9KFmBPYpJ6EJ+cYLP
YfUtN59lcDPiLQfBYx5Kh/cutCLgbmn07PMxurNHHL0tvgGiAsw8uIkGhoIV224lw0VJHZC0Xu5t
tDlfcm6+NfqijrMm20I1rf2q/laOg3Cpgys6EK/4XoWvoK8tPlh4bfFZ+kxtsPuhHQZEbMDkbtE/
1ytvtoNATh4wB1kbMGyqm4Pn46qU3dj+0asvkoP5okdFKBVuh15Z7OG+WQrXbLdWtEuyrcML2b8L
ATP2352axORetfbluImqTT9z8kZU2KT76P0/D+NjUwFFhyVXD69YJVCV+9bm3waquWBxe5TuXvq/
J8ulqIfaOxRDyrSV+gUDDiwZM/UuaN4Ce59M363ur4mVaUNhsQk65op1K7yYc4x1Qm3U2eathyK+
PcCkX3MU8lfW3VfSMQYfFe95mQ3qXYxuj3aftl5UPJjARbL6RzxXldGcrfeZ8lnn46Xi70753CVH
fzhGlBxrw4MyYld7k3s9j79m4lPmP2jKVg22Ir3Tg60f3cftXZTcodXDI1+bdmAks+lRyQ6m4mb6
JjWex/4VOp/WfW2TTbpv88fR3g76pgi/VDEEwWelfWop//uvKttjGvaG4zl4eUTr1Nip2Q69IwEY
6s6kLJnfSDfp852/OEgssHC89JBUJOg7i2HzJg+bsXueKAOGIEwTtG2trBk3oyIfoyjp91Np9o96
U+qrOg3uswEVctycxVbgOrguWwyownhw2Ajg5sqYINjqNIx4zBQ0Q+pTSFm1TvfFjrIvDY4qzaSi
827JYCBmOFgGZKtBjXmL9Ch5mK6QN13NNZU4crw2xKvTaApqiGkJZraDfWJ7ZoncbGKC+pzybdwB
0Lp+758/QomM4B3Or0GUoIx3DNKHK1gqjBp3Qyk5qr7cP5mic0stQ4DGRzawU7iMOygtdvAD15Z6
JctBe+sNfjYnfMDMEpwZkPMbfJF7NVqlsybDSI484fT7oHgiJzBuikb/HdYACJumbaH4kCKucIjE
n2P6G+o4laeChX59LObZP1kd85foDrUSZDksoD+n1wwSi8JJoi49Ton8LTAm7u6Rd1dOwLs11Qdk
BYJbQeocVp01aWqY0gO85RG4eIZnqZagAqKTAK37xrVz9E2a2PqpFY79lOoB9IlW3ZsVTih2Xvue
r1eP1aB+0bgM70p7BNdnpl8DteKP2WNFCJR166aKV476yxq4tGZh7BujtFSZ41vhGthEp/9ImCwD
63Dyw3gMS3yiI9ZHp2Ri2w2yuu79Fn1pfA09nL4mvFF4NOEnso2cNHjC7CEOKDq2WdJt9MBRtqMs
t1u11bGyqnOcjgMFk7ba3GBQ4mxta2bCpBGQDAQ1t7VSmLsxB3slRPhzzKz6flTSbT+q8o3e6WcT
oisQM5kSVD3mZ/npGqjHAmtlhJyPKtSKVW/XX0Y52l1fZ+pZPMMIfmxkMet+YCBGhrX3cahlyh0Y
wG9CpSpA0/A3LETcDB3tjWkmJGTxYvHM2nkr28dsSIpNZMnVJuHdrfTqI95VGU7eAL+oPa1lAA3u
FI2gXcH6YvsrNqmpQ/GT7F2hB5ATCsnaOC6zq90K5c938ZxSV8ll2Ro6pe/v7A/HSIFPqjDEJD3j
ek/kYonJQwCcFAFK6HtR8GgxiQva4N4Y5iRvEGCMx58BptXbN6bwPZF/uqnm+oUJZHIuZPBWPZ3D
BqNyJGBy6bktk63RaN0WZ/TZVETf5wZG94pajJsJbJ4eG/hgjChyhg1BAmwJLzAIwoyUektk3YIz
XvwwZRZ6QO5B1pCqOP2wrOgz3JUr6RlHwWndBP2zNpV74oPE5WyDApw13zr0WwefOUyFdJBns0Zr
BCvVSUO91iRxzNPh7cZyPD+EeMtz6jF7swrwO4Hzw9zhQhNGY1AER+zNsUzjPWtq7dZP7P4wZf7e
9J3KLXB8Wg/6IK91/q+1WRfmARFUbDMOQ36vUSvV5UzCp6ZJiRXM35kjsEIZM3k9wI54/+D/7wH9
XxZX0v+tMr0Js1lU5aOmyvwH/tfq2UDqCSlikLI84Oer5B+FaVX+b6hrkPJmjTHO7Vk7M8urRvy/
/7Lk/+ZRhdaKTm50ForiD/1LUsVw/hsdFYfC0izaMUv7/Ymkyryy/70lEfBSZ+YqNKb5np8hUqcr
H2oU0nKZITxzCCliG6ytu8YMxFcHmZP9h0F5+ue3/t/iJnNbyCZSP4CnNavLLK/xyAiSuGlCtEyo
qf9Az602VwkHodunCs6ohgQWEaufCTxgltxCgJ0e7f9qfBaFYphRsV1ytWQ9aKIsUIQH2yk8YLxW
bCun1Fy988FFpTSNTXsK1TUaVte7rZwewf9qGlA2uJI5oWnM4c2HbazVnVRKKMZ4GGCM60jCnnes
QG1EedE/4IyGlZ856NmhDkqxHVN4pUFM7Q5/S3Pdpv1Y3vqg03PlXx/koAyFThUaENb8wR8+SFIq
OcaaS3hR5kM70XNxN0VGs2NJgjOeyvw36dbKJknR1i5EznhDFsr5bJMRu4HxWeAE3z8FFTTYhQi8
AcpdRrmTr1TplOeh14xS9CnKMugloSidPX5ePM9aSaQkchtq/k7Db/FyRVL3RhbEiGxXAfbkljwC
IxTUcVzK/pi73Zi80zz0Px9oIwvBqwRFVH2JQhqQMK1HkEFeaffhMxD3wZuQjYaxYxtelYl6m/De
PGjIxG7qUgrdMsjrGxn+hZzXPx8xW7FzHlBP5rQ4nTCbrKPwfURthF4Nj2VY6K6GG/ZD2NbS3sKP
zB0N7KqwXKzi+1jELd5vZtb9ZZnJrUv8/MAAQK0hIEckxtJZShkjPdli4R7EXlZH6t8VHrebAWfk
bROg5HV97E+TWf/q9b+bOgtdcJ4MSiOMkbosaxw5LVhApeT73410HJ/aRLFuBEsX+jaPLmc1kAne
XfMZ8mFfNJWjNWrcUNprMBOx86TdBmadb+zKyW7EQvOePz13KSyBr7AsJPEYz0VTGYBXibw7ywq3
a7eJNViXkwGqPAEpi17LX1YM9ev6eC7CnPcBpVHg7yDPWM5LuXqkzKUQtEXk4WCRbkDTjE9RzZGY
4l/1XS9bsTGKIduwC5w1kpWaSv4CccI+lq2nOCWlpjR4bOGh7hhfJ4xUbxXXz8efYwDuIfVeSNOy
uRgUTqukDNscMHreIL9bFjZG2WG/5VXl39jX52sLYjqBHo8l/iGbi3sv57ijvqxHeKYY3VoqQMr7
fNiXAFNUd7Ks4PH62F/qGlROCorUWcmWzj//sLTSIZ9q6J6RF+uoUmWlaWDSJQ97s5Ad78+bminf
9I3rlvDhtKk2rjhLMcnx7M6xPL0qEjiVItkMiFnfeCYviFDziuJNQZmUcg6QPeSVT9tCrdXiOYYS
qxo7nNGpLo13edejd+LM0WjUF6Rt7TbQHpS8Gu9zaoqbvHKacJ3mo7XH69t5KsOxf0tqtYAlg3Oq
p6etdoMVdb7bWPezzAkZBEQojcWFZ/VUOfAjjD2/UPJN35hI5rTBrKCta65sNpSSM/WW5sKlKQdf
BD3MQUYKCbzTsZni1FfybMTGqM5RfeC4hNZZjJZ4oLwi/fjzSf/Q2DJZU9rqpPBuR4UG5eJDSNEx
EfipSdNwq3B/sVtz8RfIqkPfFsvLNsdYQTyCF9mAQRSGVYEndR2WCiUZ9eudunBgzYfkv9taDGFv
FGGl2FWMPXmZ3ImSMm2A8dNOCWTFs7UINFJp4Xc82q30Whg+kPNwGFIIBzjY38lYSX2Whsx3wf5j
096P1o2S66VTZJaLcmY8IFmJRXGus0J77EQeex2h7U5rh8ArGts8tgLrCBzj/N2NAeFFsLg2GJAZ
8wR7GGrBEjSB/xWWw5kS4/BZWj8o3sq/xs4q1DX+gIZJocLp3xqMOJ6y3rA/I7TeDnuBE9pIJjMG
HSBIJv7Vd5OJEmioAzy7/n2XxgMoM0nD+UggWDld8n3gsN4EtVmjbfrjOPUSqPq8lF44ZONDZo75
jSfFhY1NEItaNkcqCLBlVN/2jQa3ZEi9KFDwR0sV7o1QtcCnWvxbEzmI+0Vd5ny+3s953Z3e3mAx
waUjekk3cXc47WcsFKUfU4zsYxYdROERNS4sQzZyZeePhgINCLfEZK1oiCblgaXcWAYXtiDN85J4
P9Ko9502r5ZjmdZYI3uqnVEWQQ3cTQvgxYmG5+71nl5qStVZc2RdkfNYCnIbGG6ifgxHv7bA/dV5
Vx+iprZWadGTCLze1qXJRKGEawQ/B4w/5sX/4Y60Wt/MWzNOPMdHV8HOFFDfiW64QPoUVwn9Ydu2
vfHnHZxVWpDLRe+AG3jRaKfVE0YtuPGKqoX34Vu+G/bTeGhj0nnX+zdPy2LVAFlkLBHbQsBeX5wW
sW0E5AY5L/020vaDovcrfO8wXxYC2aea9GI4NLiaifj3nzdszA0S7yAEZZwv197nPEcI2AyGt0QR
9VuGSd5WI/hZwR+Hm2Tb8dekqKm4X2/6wolAhICYKU5amIOcFaR1vdIxtuSO0B3xmJTB76kOzQ0F
d+Qpcyjmf94crZHS4DQgjl8MMY9sHig+GhRBAkk/UEbrNZ6m4qUUWfKs+L56Y2QvdQ9pDpXsHO97
7vnTJVuaUqmpEgaRxdDUCAFgOVzrRJVBNwlPTpsbD8HzFeQwj+D1aGyez/lzPuyQyDKCTrSd8CYf
fCdP3wYeXZ141EUo2YrqKRbyMRMYsV4f1kVpYY7zaBhFWriz8PnIkZ42HKZxNrSOjAuxQhjjmkna
PuKjjHWTFQ1omM3G4d4QsKtXti2FlA1qaYwPhQVAk+o4JOjakMVBxS2Yajclu7+T3EfjCz1d5wVN
bOdR5GkJJ8lPIRxgW45eoigzGQvR2IBt1jv1AOkKAyc3DDT5u+qbVNZ9qa02hVIH8kopnEC/sXYv
hB8w+EwZ/V8ZJVKUgE97XektlJypRzGnwVY1KTCOhlpC3X+ApBnbOGt1UwPnXZbxrIWSwn+D2SFB
RNmocyVAitPxICTF9CQVtZbrc3IhKcC3sdLhGgLlgod/+nVq2CPY7qDCUUwCUIQxqc9g5mX8VNDK
lxVhkk+fgQ4JgDUVI4vt2A6o88WmcwurR0On5xpgIcDIMtUZvMyXz8pUUwANhAaOEAoMs2BIs3WT
TzAIu0K/cfNdmhJezWRE6TKkiGXEVTtN0ijISHn1iPXoihpBdddphUXxNwQ+76hN9NXAEssBohB0
PyVJaA16Z9QyELi176ja4tY5pZR3UcHZRAGuuzdWzfktRpJ31kVASHQW0llslW4qElE0gcB7iWnJ
SzV2OxFW94UxawuhCryK0+pWRHCx0XlUCJbfFSlO10JQ252s934AL4AdStqsELtYduA8VVMWv/U2
W3JKrVszfx6Ozgntfze7uDxNSe4HScQcdVEf7RMbAcu2wmr9+kq/1DkKc0R4EK4ApS2ur0BXc1HU
HD5hrpl7Y4Ig18YwW20f9HkVZYY3DPLNt8d54o+CEDVn+IA8QDDwOh1SdRITuEldeF3q5J9V6jA7
P9JAjhrS9OzgBrOx5wA/ztAswgMrX5HPsG4t93mxLLcW5w5JIosyAeXo049IwiKv1IbUsZ4q5Xdd
H4JdnmbVvknj6YWp7V6tqhd3BifNvgmDdJ8nRn7fxxk6shTVP1lJGv6+PhvnsS9AL5yv0f5Q4SUt
r1jF5K1Z4V7qEY0XXj1U2UFyrH6Diy782ahAqgz7n20TwptvScy615u/kE2nfYRXOPK4CUlfnw5J
i0h4J/m0X5vgsZG5HlFCcox7pxL9epLU4ZCPPeWwQEmiHzXaWp9QbbRQ0PCFToah0G7cyecRMt/D
zcgHwc8iqX76PYrTlF1ZVcJrAoArStf2myGwX+wAUYjrXb848izK99wkoMzFYuCZl2qjPLAP4tjY
jZWuf7MVUWy4w4CANMCQkXTqtZ2SKeIBlqz67Xr7F6IPCkUOyEKHDoNOWfRUCwtTJEQfiU7qbyz9
X1qWtV+Gqm93ViGivWrCBuyrKvjresOXjhkD55JZshpKyNJGIp3EYPUTQ5zIRb/NMgfpFp8c+PVW
5uFb7jXKcTZHN4U6MJSn3TNzKla2Us/QtUz2QhnIBzaaFQg/K/iiAfW4IRRw6VjD/4WoGIy7wlV+
2p401UqIAzDBXKiiczFVsrbK/BKBgKJ0pK9+ZCcbpDTRJ7vez0sLFnAv1W7gADh/zT//EEQ6LQ6O
PHgiDyyH4QpplB/NPvytj8N/EK6CHGKL8nScxRcWB7eQLN8OiPdxrJ961558kwB1tFq3oxD06gjT
WquSYn+u8U6/tVku9nKOlkmEQiReXsMYEWax5QDqA/GVYryaa26eV2IHqVy/cQJcWjjAs/+3qcUt
mGXJkHZtCpDBRujRNlHX7/AUXjdp1mxqrFJvLNRLCwfnQyrKM1bFkhcTSIYFN3SlDD0/iex1Ndn2
p8JXtXU7zJg0/NxW6Zj02z9fNTRFVYSIk6WzOHbLmIuuGjA1z+sSCZgZqVLjgbpquy7xrjd1abtz
nM6ekhBbYNueLtC4jWKHaImaIPm1jRpQlBwL1uv1Vhbg5fc3DYtzTgqj1EH2brE64yYuG50hRCEj
RKdCrfwNRWtKZxL+o7vEDu47Oaq+QVEvni0dTWKnLJrfTQk2WQVqviP2612tK5ACho12V6p+6Opa
2sO7NIobR++lKcdDhSK9pc6qKoug0sKjPG6SMvImG9tEqcwMhNYNzavk0AbWnE9bPTW1440RuhAC
gQpQoR2Q7mIfLV63+PbmWYxBPVhcJ7tX1fYV5a/pZfQlOKwjK1wByLOrMKpa2xOAaQglN+rDF/pN
lRq8gI6ELYzkxZUj1U0SNBnxjxpmLUiWYXL1oQp3jgaZHXJkuIXXMtwY7EsvKzI0CGBS9FUBT81f
9eGErLXcCETFI6M1iuZV9gPeUp0lrDW514aSVBdvJkVPPylN0z1IStajY1qG0SakSKv9+WnNtyAk
Q0qVs2z54Gl1NR3SQA+8DDLaRlfy8dHqAs3VtLG7UaOaF/ziAqQwhbiaiRklL/7FFm+T1KklDeg1
eW259FK/Ed+01EwVr6S4ss0CEf+SRBLdFbAjUQkx1PEWpffSfJMAZOaI7XQYrqcjP+hYYw0tFiwU
nPRD1ubavjchRGNl97uUDODkoms315f5heObnBj9JtDG5HgJz1AGnsWRQG0KY9V4q0VBt0eE0t5b
spns2iIWL9fbuxBGYc4tyzbkx7mcv9zLg+4XmZHRHtAFL8jDDEFbRVoLt/7ZFvpwH0/yrXLzPG6L
qeWyYAeRFJu1mBcr2jGkIRoyCincxojI6b2xTTQ53GiDEX++3r2z4eShAmUSgUCGEg7KoqmSCtvE
6x31K4x/55dZvZVzjstMlyRMseXyxm14vltZq9xM2MqRvYW1u4jbFDlR0zKJJVfobb0nB2HAFwAE
sYqiznkMY2XcN4g1ebWcZbu8qMSrAPnqlWma3NhAF7pO+VqVuR8RSgHWdbp6694oO7khR5XLYJSx
Psu8Mtn0lKryKt1cH+azS3LutYrfALcxKaAlQzoqObYCkH1oIGLktlJMHLLXY1FAKfhPGgLoMTek
2cs0U9oQzyR9K7k2587eV9CxzhJlXF9vZUEH5jaetfkAtFEnBYJBivF07HJZadqRGi0CSFWBzioa
pMaoq/eiC/zvZU3FVorNdu9kY/ACUqx51MWgf0vlwtgEdadurMwZVrovck9z0ho/DpxCf3Vd1d5Y
3me7d/5OYiDK3lR+cAE9/U4nGBLHL0IJJ4Ihu1MlTfyo48B/tX15VpWCL/otHxGwsyscWa+P0dkm
nptGLhi3HtQ9gYWeNm2kZYcLDgUKrG2tXYUZ5tehUfR9K8X1l+tNXVhdYAsJwmbqLfW8eaV/uAGH
yYnNXpfmyukY3GFlOKzJqocvf97KzFaba3ew0JcgmMnvcz3TIpaWr+Z7Zypb5GyKW3X4C32hqETB
BeNgtszSrnQq2miSLBSUpLYErM77B3a7kez/uC+zwQaKEACjZn7o6YiFTmAzN73vOgGGQVkpIaPb
ZdWNp8aFJcBriqcwVAqKzu8A9g/zIrVSS7aqmWtUYbpHG0rbdIaduFXRKjf2/VlTJL5BK85VjVkc
wF50yCwsOyX9Y7jBOIAJ17XwNRZTRsItDX5eH7uzPWWSTmI/yeRLkehbroNeL3CJDHqaqiLlrlJ0
36tiQxCDK0iOiVo8jr7xJe2bW8SSC31EDYY3DS97NrW+uKuqpgXtBQgSpSU7fEwyH2OIAs+aaFLt
G+vjQlPmXEXhoc/OIpQ/XR9FIAd2UCuOa8gDwJimyzngeAwfWieKR++PB5R6HoU+cHrQM5cwgc40
y8AQ6MXZQ9ZU6zKCk1b5YHVWUl1bf7VZXbwaAfayrZ4gLX+98Us9JUMk2wSFVIqWYWTsa1mRKrHv
Vo39PfRJT6ZBOrLHAaVcb+nCuiEZxJ57J0ifRYuTFuk9BxTIz0E121XdDEh/O4141tspwI9hEPqd
njrZa+AX0Y1HwqVe8ggH9EHej/fJ/PMPOzE0OilyOtNxk5SYP60sFBA78imaIm7h9s4OMFPmlY+j
CpV86vBL/w4flKmWJWiB1r2j7Ad56u5ayaxvdOgseJmLSWBMNZIKOt6M2mmH7EEJelTkbUifaXZn
JiO0glHDALFGBjAY0Em9PnkXBhCDTLqGcweo8CUCzwBBgMCLartpCCnVEihGUh2XdhBqjRv3zKWu
ga8HDUdV+BwRh8+yijd1a7sSaeW7Jo/SXURxFjoyPGrV1Xv083bXe/cOZj+JuBlOTE8plpIa4npz
ToezzciHzWBA12rIAK26MU+hE46J4uVj0D2nitkbqygZJ3csNbtaYeBu30kYsqxjLdY9x0Rgyazl
8Ov177o06s5M6UdvS6OsuTiGOqnSMIxMbS52kX2XueI7Nwi6cTvaw/T0x21R85/HnbSxSpunQ2Dk
0H2GLEBhNs7BGeQYZ6ZZ6q+Elqqb601dOAneEX4wI0CPqksrs0pYfpA2vu1WKENsxMx/4wxH9sKW
MbsWWtW92O30uXbS/Nf1li8MKC1za6kcAvNZe9rJNlejwh7p5BQ1yqrs/HJXAO5dGTi931pT84At
1hRqNHPln/aIAxbviziyMX0OTLZoCpiy1GtlX+lpj76WruxNu0w3o9b521IHdKla0QgnWc/+/B6z
eSjPmAdOJXsJZI0mRVDeVGx3HIE5dVOv3yWZorhG1ulv14f20qQClyE1x8vOBJl9OrRB7/QNfEYb
0qslPXbhaK9b6swbX48CV44ig9esivFWFCNWfb3pS7OK1B9kHaSYAAbNJ8qH052aG8Ayp7JdPy1+
pZPVbwONlqmpTDcyXBdbIvIBFgzMgKznaUul7pRj0DY2gYeDWYJJSbGL8x9m3zs3Zu78FKTej7wp
sQ5lDnMprNkDxBuoidmo7gIYzEMLwfy+0lc29YB7uNe3IuLzntGeboGN4TXskCY97Vlr5vFYVBKW
RH39q/LtZNe14eNQ6sP2TyeLty4FhtmuhiTO0vMA9qllNIVhugrIl52MKJCbgclwS+vWRXKpS5zq
FL/Y7DIZ/9MuZaOjDX2CvLqZKOqKtWjsgjId1j3CMP9Bp7izeORj3+44yzJrpBQ4HSSV6YouGaEi
pjFwxi5Fg9O5lXS71CsC0vlC4D4mbXPaKyhYcyq0MF3Nj4Qb17pAJ1zC30Pg1/fHUwV5gNeYSjBM
5WuxJgqpJNM8JaZrlFGFTF7rK7tCzfLHdjT6H9fburDe5zQbtfu5W0DQTrvVyr5RQwgy3aKz3oDK
Do9doLTuJHUZtWvN2F1v7jxKAw0Kto9+zVVKY7E2EisLykzpTdexIIRHcocDiJWEf5pi4uBnqv5B
YrGzFp1yUsQ+yDr/D2dn1iO3rUThX0RA+/LarV5mPB5PEjuJ/SLYiaN93/Xr70ffl2kN0YIdxHkJ
4GpSZLGWU+egkYU61LHoQokuabuHMO2rK/A/2hf3lyVToNs359bgZlmWVXZ8R86hnqHVoFvCO1Hk
aA6iX63nZIKGt/PLemcvZXC0NQrYAcJBvh83ehM5rHMYzq3PXg5l4bz3/Rn6cWvJr94cJ+ec8umx
WWf3gZEj66Eol+nP+2tWnRzGMql7EEpoiKncnhzSwKFJE8alxbxKPpAsh1wYbauCr3oF46v/LICK
j8rgPjhbcIsMoxi39qZq5OaZCxdQa+3PadgLB+Vc9MS8wqv26nnyhLzZW5+xT4c5CEa4NieoIUHN
zI7FzWVOG2eKoFB0qwWeTj392Q436+JOuLTNILJgnPV2XaU7TEW8NnAuaZAPFDkDRQQMXaDlXvs7
D3j6kjfVLzxzcsxGPjy8OxRIb432kRg7L+WGNEuH/tNa9YE/RxD1zK0OMWiq/XQewyIxY9NDpCyz
jXItD99sIOoT1D3czaPjNmAdLfHga1W8k+++LXXLDZUDUpR8qc5sfUxpNvnUJhwUxxI+BImQYFrH
dlzDR4uO/rPrNuLT3BIYaSA0rrPe9qc2QaR9IcPYWbbK3XF4+DmgXyBy28S95KtZOI4my64RgDIi
e5LkAuZOdKTyPjZ3QiIcSVu2GpKi6WKAEaMd5G7kBWRUGWzU5niwymU8O6E9BvAiuztPr3yEtjeE
0gmVC6JtavmbE2Q1Xgus3yGXr+fiYqUGiPRpds5rSpemX2pEwrJxRAUM9e6fdzwyk0DkCNQZBffb
s7sUvI1tY9qB7cXFhywtYbsZl4S6DY3lEc1Oqox7NOaqD0mKSp+XXA0q3Y2zq6xFFJ252AHgoui8
GKglunmv7UxgqbzOaysbrxOCxE7aZKXEV2rDaYHA79CP/npMonEPx6MyRXke7ACBhkFH73YTJ7PR
vDXR7UDrTWBfWrge4wiAfwn74+n+99qQ9MjXiVYlbz1fTIoHbDE865znkddrNoJ0Mepp85wZiNbb
ofd3hl5Bijaalf9n9Hb5O6wqJgpqmTt9hhf0pyET8ndAE0HTlkeECOF2zUlpDpWuU0G1TSYkxr5H
56/w1r/uL1f1LMsIkW4peGgi01srMS91xiC9E4wTY4UQYaz2eybqoH+e+gkNTquJh29z2aAJnq5h
9zgKK9vDFKk8AmGBnOBnnh5mpNvfwLOY19maOUHuizIo+3k9O+44wWqtO/WlM/TkP9spwWneX7oq
JAAZRDJKKiPZ2G/NIkpZ9REqxHziVcPltgPK0z5aA7BMzefaCMUebYDKIiA0AMRw+eEUNr6grIw5
cRJkPcpKc146DRnxqcKNQ9aDvm3ChOfOElWOQOKHGRpD347s93aJQozh0CY9X3c20uNiRRWKI3P4
5f5Gqm4nXE4OCCKAynzDWytNHlnuYvJcAl80kZ6K0M/LkbHxqsz/eN+UagcpWEJMqDMhRBh7a8o0
qsIcJ/y4E4cM3towBzi1QGGnBqrfzsVuD1PGaduH47VB+f9fVQ0qI9YXhs3soG+y8Z3uNX5gDujy
OoOXH5um8Y+WP2VnTe+8902dffGmFrpJH0FUpx92SW0Uv4bnWZLo0scBm7+5rU4r2tJ3yLVWmMG/
JOBh26NoazFBGWoX36vJXPNT7EQZE1aZXghOcVI8wVEhqEOUop6vy9p3P41nob8DngdXIUNQ2JY2
e9SZg+7NhPYQKSIN2VMK7VvnaZkrd8c5K87zjaXNBWpSiymRFku60P+q26y8zKtwdjIVxXHGCBGK
7AazoM1joy/hqpk5TPohXfKr1S5Em3k4BV2U7EVcSlPADA3miUmit0IsK/xb4zBofM8ScryMJstj
nTUfV3Oud6IuxcXBwdNZcWWmTpZw+42m1K8YkKcg4LZWf84nwz1rAN2unldaMN0jnHf/oip8Ovgb
Ohz4OTrr1uZLDanwahOgQTC5TNcknWuiQlei7Zh6TXzMqyz75KKnvlfkUy5T8ntTYWG2YFu61Se/
d+eSaNquVu8JPMvyQnWC3DJbw2ertdfL/WUqnk+6jXTuZUGHQbyN60ubpS2taCXz0lMpxYasst0O
sO5wI0okqofi0kaL935KLFRjfNgn7ttXbvMr+/KAvXJP6Tj09YpDDCbLWq9GJrJTlxveY98C3zdB
jR/tJe0O940qgmm6uoxPEJ3QddjGDJ4WzaU15y6qBB1ahK5roI6uASdo/PjahV3+AKFzfayGco9B
UbVcYiLCeFwND4D8/6+Wu6R1m7u4lYBZ8PjCSwT55ZCYx2Sp2uc1G5rrwMhZcH+5qktKeEK9jPYn
H3vj3sBvZDzSXNIUdnHwOFMR9HmZPuFIf5qtBE9KhUSCcihVkM3frq9Y2twcF8qeq4O87zrCnr9A
1nMeoXI83V+V6qa8NrXxcsvo6KOdu/DHrWyl16T6NddDHW5dCIZtAqHzfXtvx7wkCoDNgvTxRxF0
44FcuNc7Sndkl2EovjeTYz36WeufXBSX8mO4xkV91NrOHY7pMo7vKlMw4AX5YRSM6dSeRGK1f2WR
bR9NwB9/mJNw/77/CxWPC8dKQw9I1mvcLUbZM5cmh3LBDaIiHJ7aIvxniprm4b4RxWHiWeEJ/1GE
omR/+4UtrRlqdxrcIJwY5AttkV7mDC3tOnH3ZpPfEjFRJ31ta5P0Jks/+0MIk5CztIi5+O3q6oFw
yuUfI/a770kD1OiDSODOR/kzyT47U2dFxzpqMnHMYkd4B5fuArqD8+Ad+lo47U+/tJJziF4QZWoe
wK0jcX2BJgigmMBJRf84Cai28zbRT/HUeDvJ6tuPS3bBi8RwE0UdYv7bfRfDmmlemtvBKGzjeUqd
9aH21z0hhbeekSIzUYNM9mWgsglPhcNc1ypS8lSCtLM319UD0RhlnSyfF+Yb6/JjN01mYNBw+FkY
EekTGRzhF51ZOomb69X2TKTQyLORJ+Al6OBdhIKomc9Ln++RhL89w5iiV4b7J2sjubjdy7AJczPN
Gztw/TJHRzzVrms4QMCbiD9/9rZgiYxCDid50uitJYnAnqFa4av5ogcuDV8jw9GEtbO+J5vy9mnh
7yc+ImYgYnkzOqBVFcDxPLQCNyxTuBWTz/iz/uzOaUrEn0llyGxvXuGtD76xaW2+WbMIKDw6bE62
GAOYf5MjgPvmmMx1fE4yWLXvb6fqErxa4/Z4rrPfT7RysAd53Wl1jeYcUQHYudXKVfFKy0I7eeeW
im5t3dUsQxsw/zhlx8lvPOasR+dQZet8FY4XXe6vSmmPUg1TbMS1zNLdHpJpyp0R9iUriLUURoCl
Q83bgK6oKShgRna3VzdQXnK6ktRkiDGBX9/aG/oiTyiTclIyrzhrdgfPVLzMHxgmR1vHGLyjEE5+
MVoz3Xk8VCuVg5rEXDTA3mQmTtulU5f6VmBnfXRtU0jYHdGX4Ea19kFfxOf7G6sohTGkSsecJxuP
QjJ0u9KmHY0GTLkdGLEIH0DbVI+hjVhymk4QUEn5mxCCQwQCYvHNM8u/dUpJO8GXaslgVuWIjCNJ
zjZ+m5d0aXX0AYO+drNTY6cIxCaesB8Qr4oeFpHtoXxUzo3SN3EYDXUShM2ah9pHAKyBomTouPmr
x3B379TLqQ2rr/e3V7k0NphqkGQb2qZITZ44Q1NTy4A/rD5pY4LihAuf1+DM+btKN6Kd06NoNWCN
PN2jsAl58DZ6No12nipYU/DbEpkVjdq5KJCnjqPBOBh+Uj/kInKO+jJZH+A16y6FH2tH08n8nY+q
8rW8VDSMmX4CnyX91Ksw3gAb2tNstImo3ZAUNOI/vaYHYyPxPQ3j21fmdUS/Y1Z9nmVt15Mdf9DJ
t3bzbMizyBj4tm0Pz+7adsbvk23mDz1lkn/MQYh/7QVChdxNrBfDDYfLPIlxryinPGGAG+QwHNQK
25lbJ+nMeY1q6o5+NlyLKos/h/nwR5Sv+vn+CVNakuUFmNI8xhc2nopZVKoBIeFI0Xvm7+Ey+E+D
JbqHlQLHzt6qTIFskDeUciPN8tutbTQnWoSGKWOxlmsCb8DRHRBvWJJdIUalKel9wYgSqG8H6KNa
WN2U4JVSsrBjzAz132uWpUHojMk/9zdQHsTb6h/TC3SriT3AvcDre7uqPO+9drV1K4h8v/1qDAnv
ixXvDX8qHAEsOrCDgwaF3W8LimpXvdcHWvJBOsXtyRla97M3t+OTcIzf+yFadhal2D/YnySQV2qZ
41lvF2Xk0zzqwrKCfKkZAcvQPOMael9FNUx73S+lLeY/wPNi8g3/k9V1k1WUCceCEZCTXhmoxNvW
N9Nfs0/3P5XiVeY9Jn0jQZfAxM2n6kvah65LLJUPtWmdB9uMfnP0KAOhOaytCSGxl4Ba9MUj07zT
zulXeRaI+klugb3zZxuDdJDM191CTDBpbnqeUqt93yW9FQhP9B/zLIc8wU279BDhlx7LdKxPjKBn
f93fAtVmy0vBKYImifbq7Yedq3Dx2plouRdWrx0bI6kfU48ZE0AIdbfjW1SHVvKq/r+6R5301hh9
aWPSwoJUJ/MJs1J6C4fJnvpzy/hwFthrI5adupNyfa9MyiPw6tmY42X0+qWzA99CGazTi/nU67H3
IdSTPRZM5WlipA8aV5Q5CX9uTZlzpcV5Q7o4V2WdHEm3msvMiNLJzjxXIGnmZJ/C2W3/FM6k74Rd
KttwFkiKf1M+2Jtl0uGYqgaHEVRFoj/5PrQokaEXR99pzRO1zek0RMXXJKrznU+q2l8OD08TbVaq
a/7toue1X0fqs1ZQtq52cROEh8bctC7VvKynnz+qzJMzFfZjCHkru1Za0JusDuVop+r/Ld3MfkFV
sbsw92LvLEp1TtEm0EBsM19P8Hy7KEFtG8K7ygkKnGswdqP1Ms4tY4uLJql13G/3F6YKsgDI0Odn
spvW7bbAM4McTnMJkPGaMP6a4/YQN0ztd3NolN+Qcxw/LozlBaJi3iwRk/1bsUQzbDNJtwMrU5R/
GLfFHcqSv1z8xh0k/mgMTkt86ZEtHEQrlqe6Ar2+tvrnul5rSvNO8q6x2uihDMF0+lqhccicmhpn
BiFYlNMQtc09aKIi+MNFMozADBLYuu0cWljZNkKwPN+ZgFcFjIgbIHVjHrqImGGcmU2DcXKPblvx
kN8Y3XirOoflMKTGK0d1xmPlGt0lBHi+8wyozpoE8SA3wdenonV71grEi5JpSpwgqY0/BzexL2vv
50dbS5/0UCt/u3/U5HXcBCeyxCQr4RikvHNrbRHGxISc7gRaWOmIi0XGoS2c6TnRx+IaafV8itJJ
O5goJqMXU+xpU6q8BaoTgDJooEtOkFvztp+iJZRivklgrAy7BOKI1oiONnLfl/srVZsCBgFinLhl
my+sUHp1lsTo1lU8XyFOL09k/M2HVLf2gnPlJ2SohIqT/2Msc7OqMKsLKEbpZU8JDZ0yMj40A/Jh
8PLlgVNXe1Ad5dJe2dscTNga626CjT7wa5GjVWoZR1K49eQLb69to1wanXNJsETHcZv9eN6SzB0F
vSDqpvAddYp8PqRNnUeHvGzG97aV/DTTKOwGFNMYxMMNMTEjF//qwXYKCnZxT8mfYW73WAyJcWhC
Zz34KTqf94+I6oK/NiUX/8pU0/nJwJJAOqwIsif6MARdU447VWTVlaPARPedKjJVkc0F77pRb1Mu
VGAKv4Nn3PeGQxbq/mNuRNrFjgkA89oP31XJWn81/Llbd0Ig5Q+QWEhZ54V4dPOadWG4dDE06wHU
Id50SDMAF+Y4+t+LyhJoP3DfHXMUZyGiPNC9ZI8JQHVc0dugGcZTCgvP5k2pLGiQCfCcgLxETAdA
XwO0rrFn/jGvSboni65crRw0YrclRGfzUZkczUs7xJrR6TMao9PwYYVJM4h76KmcJCngZBTRk1vr
zvvVnvd6NapAjE4BpW76VhSENuZpB+rlYOPOdT8u0oM2lZ8HLRV/6HbYn42Jj5uNdX9si67bcXjK
fEKy+lP5InkCfn57nGe3G7QW2ePA14f1n9Ga+zOFeOROq9G/NvClPbmiag+y1HGE0Mo6UE2p97oZ
qjsltQz40nxzZzsXZIqOufiF5jI1rA9NHkKEGYX72iVyG7fvGC1PKF4liwXTpbdrzVPIQVINOLqt
df9Zeaef47pOD3NuoY25ansj98pV/XhIQEfSq9ke4TL3krAHHNlZbXpcZzpPzrrslV5UR1dGANTa
mOv+v8zqK38kog4J8YHEtzGi2TyKvl3etzmElucF2rPk0HVGVJ+46NCrkiLrUTC4+fwLYEaeZ+Du
NGkg/YHD43Zv4QBG4kSn0hbqa/S3xktzGKepfBSVmwdVNLuIigz1WfMq82AVeXU16yHcgcKrvu/r
37B1mlraJFkHeDNZ6DSLNW6f9K4wrtmgZwcNPPz1558CPJTLRBtjSm+GlZ1hthw3omRsVdV0reze
uProEfxx34rKE1JqgLqXKRvsbG7oFFO1pOFoB9NaJ/+EfWOhG1jkY3Lwx3Dcw7WoXBES29TiGbKB
x2izh/rg9ku5Er8KM20ZMrV947FOpjw+erGJ5lKvJ0wVlE6fRocevui9iq1ytcQNKPrgDGArvD1H
VjuNuehaSgv25J3roluuK5glphnmaSdvkRu3dQccSzlNBC0GiLJbU9m0OOVK7yZYbQ3RXT3r/aMr
ljJAa845JVCwBtlS7I1QKK3+6Awb9FfeHJqmhKWokJ3bzMmrh8rJPlYMnV00OBneiQmiwDLipv78
EaIIRyFYoj7wf7crrSyS0R/Fsbiah/dtpK2f9DHprwyc7gpEqbyeDGgpu5s6dbjtBzSYcotcOMby
Nq3OVa1l7ye9inaunuqYyowNLJRkkd2uaMxba4A5GArCyjD/s8uunIIWrvnLkpRWwFhh8tjDtgZc
KJ92BlNUJxRXC8aeP1y8zWNtDZER28y9BfMQjw9dnBuHkN14jNpoj31EbYoJBiIgWLW27FK+3oDb
g0AsgD2uOC1u/7Wbw/EEL0J//OkTQj6JRBRU/bzEWyfTTjP6URl4T3dIrCNUMeHjOHk20tXOYF5+
wRbPr6QkoHi4dTFdpI+zWaWEdkuUBL2lC+hYveV9nJFd3jeleBFgdAfjxBGhz7YdxXUs5qHMlBpJ
VA3ie4q4w8E0jPjL0DYuoNpiD6CqeIxpd0n/CbstYZU8tq8eY1efskRzcCl65ZXiw1QI7WMd+jkS
GlNXT49pUufeefZai6HF1c0PYp6Wv++vWXEBfyggUQkHHUIGdvsbvDwy67qg8jNYTvpp9If11DGl
+f2+FcXRtCnsM91JYYWWwua9b1eyV1gPCW70EEm8fkr+aQZRHULCkJ1cSGWKMSHqDuTK+LDNpuaV
36E0OFuB58ft1fQa56WMiGwcbZfOTWmKF8GDJ5cu1raShSqsRRBFRdQd6/UUIRH9kA1Mcg9ulOwE
K4rPJPsUPtzwXATQU7efyXHagWlSJIRGM5nPcZK7l8SlqnH/MykOJMEYrp8OliT92aRx1uABKZGv
DSlyf5rqyjstE2rz7pyhPTJOxT++6L5ZYWY/DHb48yhDIC7IG1DhYPSBcOJ2ja3n5mFFpRWek67+
gEoSBLz+MJ0MHenY+wtVbScEJLKzhVKWvkUl8Rb1tr7Sa0paQ796zTicGoT+drZTbQX9WQC4gJu3
VsIm62s6uhaBQVVeiVCMJ485uuv9tShOoQS3S8I9EIxkhbfblvk9GmsN7ZUIbbWzSMaVZH/U3o9u
+vXnLTEHg8/ntYYUf3M8Sq2tejhoKMR3lvWslYtxnZc4OWYODc/7plQnEUI/WApgRCcG2ZgqypLW
TkdgWeq5fjCj2jzooYivInb/NkUeWwfUVLRrO8zJZbQ7wtv79lWbCrsg45a4Ztmpvt1UQi7GsEqC
daaCtQsDnZ8qq6KSGZvr8ud9U6pTgg3kV5kbopi4qZdqYZkVBQQCgdW0nSSZXyCaaHxEiu/bUW3p
azvG7ZKy2pgaxuK43Es3fHZ7M3lYF69h3jHNz4279pexqO1TLKrwME/dnrCHckdl6gNgmTL01rf0
ae1MfccTsE5l/mSgX/GHq6G9YYf6x/sLVVlCPVNGlYyivCGvm9eVJkpi0I8bsuyKDK7/e9yRtMOa
6+zsqSI8Zz2QhhBaSiSg/LavXvDZn5Fu7Gj9wT+R/+sPlvZo91r2NQLf8AjXWfFsz+b4CxeeHgXt
XJ9+Be/qrdEO1ESeQqcZLGlmHuKeHslYhv3VB3gQ3N9K6XI3SY98bmShBeJHjuitqdnU63Y1mZts
+pncJguH/pJUVf4uNt3w3PZ2/QJVvPjP17K9Ko8iGHN47OgTgbFiEHljujWMehRxTKsTofRLAZH4
sXTX7MAbYZ4g2Gx34kzVUon6KG3ImTRmjW+XKhKnXxxidTD8hv0wwvNzMOawDUoz6mSr0ThUfdme
krgfTvc3WeUAmHWkKSJZ2yDgvbU8Mp7QrFy9AHvN0Z/nuDhoftnseG+VGUJbWbqj/vaG26sprDQp
atmGzwrra4WwwqWGXXMnUFHdCCIIyclKs4IV3S6mjZkriULYyVareamKzL7UXSEubi1KwNt2fUxD
Ue1cCOXKeI44p1D3vBHW6muzM6yEldEkzIPJYBZ9XP1/738l1cJ4jKAMhuSd8tz2K1Ui9mkswTFj
aHRgqqk/QNnZHQnXu0OSF/VhqJJhx78oViYfPwn+ZQz/DYEvzNdapS2CaQh7GMaDm2r1u3ZO5h2Q
ttqMRBeTAQAw3KwtiSPRiJzyvad34nu92PknvXb3mutKKzSRgYHjToAw3B6NuDDpUWTM8bu1I65O
JJb00AyDtXMC5Y/d+CyIvKVWH0U20GWbxVjFWGnpQFfOdlPrudTFtxAuX3jrzcccgNaHvh2/aDPC
Dsbo7ZVrFE8PDI+0liRvPcSEmyXqNRiJIowkFVvkvyu7Bm5ZK3PmQ6vPlrtzOJTGoOOVY168QdtG
awNbdWslsutTLP6LFvbuybALusfaUFfz6f7xVxpjN/l6DO4SAd5+vLGLogXIpRtUTf0d59j8geoo
agdrspcGqI6JzqwAwiuwBMJ3dmvJ6kQJUUJIe6No2jMMJdN6WNZ62WtxKnjzTDwhPBqyFi75F24N
5ZNGKa/hY2kt/JX1YsRPY112p2Rxx2teMc4X5NNqBo2ToLA4j5HxMsLQf04o1UfHdsobZiMdWLyD
+1utPMBAi6mroPFCheH2d+lQ/ot1YODH4Gn9krXx8EjGXA+HZh7CM/vh+RDVwEx3aEwtS45OVtTN
Tvyt+txUHAHdyMIu0++3v6FKG6bfsxb0BYnAeyb9h6e0deZzOxm7sbbCswLLl6QCkvkZcohbW3pi
h4NJfYMibuw9VH0lLos9tEeHI/cX3IHz0YiS7hfOMym7xKQRyb9h3tBSp3NFAcYw65zlT2NCvNbX
8+FLQULzC/eU8jQFOQ/NNpBTt+trwTzn8EjjFAzYuQ+hEbr/ZUZelJehaTXrfP/0qK4PdL3Mt0rl
HLAJt9ZGK1rSKOL0xGC1s5fcq+Gtthp3+YWpDRJOqBnAE3FAth5hgAxGkEExMrbWH9xW9/5pIPv5
7/5q5K/dOnOoEOS4849y9GY1Ue/4bRji4zRKw++gstdfQqYDj3FiDOVhmpO9LEl18C3KjLL+QOlm
y3qFcnPkgyGEC8FvnbNZgKpLs344D2WY/cIdo4nMV4deR9YHbr9UPZSjjpQGmA6nNh7KYi2DMYrC
c+XFe+AmlUt5bWpznc3Wcqu28aF4MxlX6B3aFs7cf+7R0oTfefYP06qvp9hq+0ORuvVO60R1JMHu
wYwGPBCHu7ngVZ/ahk33K7A6y/4tYwDlXExFvxMFqr4cuRihEpVMPqF0M69zsZwcekqBWmRL1F6X
cEFsHcTiE+Ti0/n+qVRh2IDSUaaixSZT2s2nS6MKCH0TOUGnwbF6NJop/ODTvJ2v9IaG/0RPm/w4
NhE+eo6oKD87a4R8CvoaVXNwFkf/DMh/vhhlM/079Zaodn6gascZcwcfwKgTWdTme3fMNeW6KVsB
VlF/WipgH+B+fwFHg4oHZTTQTzJHNG93PIrr0Mt0humHVg9PrtV9rbRGXCN9/RUXKqckCR4BJVEx
v7VEVD7bkwFaEkZi5CycooXzINd0pEkzx/B3SAKUJ4lyna5DtUVmtnHYxljOtZ5JIjq7ib/4lAqv
aa4ZH7Mwd3aq1aq3TzKgUD2AkwCy1duFaYxaxH0hgTMMl54Mst4A5Znut7n1XiZ3mh+FE4tP90+v
/Du3PlXyPsFkyXUBcnBrU1/K2GK0huvY9vHTbNfuAe9al4fG77Sg7sY9nJzSIAEJudMP0MhmP0PU
FryimiG5Q00dShDd/9a4jPqMnYlCRmXutYyUm/qDCpmDIe3eLhDKHOEvGj23KO/759zs7U+6KIbz
uJo5LChNoh17WPD2AkrlpXtlduMUbGZde3SbcLKTZhzbJK9pjdV7Y37qzeR5AgBDm2PbCShMRxix
pHYoyTVIOm19oYgG6fSRYZdkPJIeQoh+/8SoLoSkz9Z/pG04lNsNzdqsG8H90MSMLee5WwrzFE2W
+z7zvGTnUVRtIuhQBgWIlejWbkxFGhojMw2pwB6SLD4UGsiuA+wJu6ma6pBQ2kJ4iRCW8aCNoYX+
U6kXTLx3Y4XkR+X06znUp6Y+zUZJtyP3vZM/NP3f97dS9RK7oGJd4Aroj2xnnwZQPlFGehXEDLdc
Uq/vv65tCjojTsx3timcswOS4gjJfMskrOXv+Btl0uMSSkmqUkom2yQcUjenJDcH4W5Mg01Wo1cv
drxKKcCp19vAMQfnI+ghsR6sYQKKOQGWnw714Fnl0RntpD0gljIA3NaMYucFV30SnlU8kwz5UJ27
PWawaPOdcxl7Vbn5BNg7OpNAZ4Hfa2V6WN1GD6AMqna2RGkVYAf/4AxBoN5aZQR/nIaeEDM1NVlf
rMzvaTan7yB3XJ+rhGIcs5d7tKMqPD7uV5c0eJqcetz4KPpSaEzBtxfEwMHOMLh1x65s4xeoYdxj
DLD4sw+A76nk2UMjQnOIGsLkL6+Dm+v+gVRdODmbxKEAj2VtQwXDjZ1RgwY0KMc4vJA5QF+nmXv5
pNoKc/nwC1Nc3Y5BiTkH1zuQ1DvTmj6YxpQ/OaktdvyU9LDbl02y3XCG6KYD+Lj9lHMqTLOV2YI/
5R01GMe5pHM2X6bUWB/6wa0OVQgtvpPW2uX+Lr7Viv3RP2fCikwF/N42iXUHHZbaOvOwmg0vhie0
Y5gXy59wxU/DSTAKPlyyzDTqw2h70xMCpxkEb/KDF7P9YjV6uofJVZ1rEieSaiIYqnqb0KIKGzgf
OtcligmXb+asGQlIMA/1FqOG9vaxclYX5WjD+IX7REJIjZRyNj3/zS1GKlg3o1VKIITFkD6LusuD
NOrEc9al3T+QrAzuixZH1q+sV+YYhkY9R6pH3n58oqzE7ibWO4Whb7/PrcK9jKnhdL9bsLK9OHOH
jqTdmDvJjeI9Bv2PwwKRK6d35cl/lXaAmnTrOiq9AIXC6l1Yhl2gr0Xxb9eKv5hdNnbMKd4PlA5I
TtHO0CVr8K25JauyhnIU52wwnZd8acNgZur0ixOW5nJcRt96B52N/tEvpVL8Kva4p1XLpVDzYwqB
Y77l8FzyNhJGbnmyMRvWBzHCaXDIKKd+WdvBl9GVt/67c7dkQLq51uTigAMk95n95m61xQIbS9u7
wdzV8Z9dMxoXd8qiF0ZznH+TbCgOi9PX1SGxxTdzMfsA2n5jx00qXAu/AaQORL9Av7e9785JUV6Y
F+qfbrleyNghHmBY7RquLkLdDnN5jKq7xTlri3THqymiLxI5OvyS2IGp3s3BHgrbAUWN6aVIlt+b
vvb+ZKzVe9BX3/tvZ6vlaX2z1QCr6W/I7s0WPVOYFEBimE+C0a/TZyIC/7trFExg+LGB4myY6kZF
YJC1z+4UifqwaKVmnJOI33cotbSrTuiI27AtdkWMq2uNeu9DqH8hJ4FCAg/nto/siCEuhiyBojd0
lxw5nL54opZs7sQiKjMUzyQ+hH/RMbi9Z41dFVqVcOb0MI6rYEkqoHRNvuZ/3N9x1X1it4F/gTUg
4dxEH/ZQpb1vQloGFiyLjvqQNh+1zggPPXkLpC/R7/ftKdfF3Av0Dgga4S9v16WbWbl4HvF14i3l
32APtH9dZ9hDvihXJVFRIJFZ05YZu6tLS1tcKJ6KdZ2erSqlAwI9d9AIt/8NLou9K6J46yAusLiX
FDwAUWyuSOXRAUzT2Q1q5APzo5VTNj7buZPGx3gdiuhS6SDbT5aWxH/d30+lZarWpLau/M/mtXNq
z178jjTCE1n6cbHC6CNvBQfTqB3e/UKnfliJJbhvVeWN6PpIXhm6gm9Kh81c5VaC+2P0y2nmS+TN
S3KmUsDbk5qiOSeJGX+P28SPj2UI38GOM1R5JMpf1LhAkoN722y3s+ol/N8Uz61Ob+g6aWX02S8z
fzlYc7M3baM6S9SywAKBoEVbYXNDOt8eiN+IrPo8zs4Ib2aH0FmapzIKv62k9Ttbq/qgsH5RcSZq
og21eWA9c5oMurses6/m0xqa7bUctA/2UjYXfwHM3g7NHg5UbZKMF5oAUoHtQEuYC6egSoikELRj
AJ2mhin53ltgb1z9L5WTFu8QTrJ3kMkqq5ItCGwF28o1vfUERu6hBhdrtJlMihSFiMVJ2FH/EK2p
/81B5OSIXNQu2Yvqa76yuo2THaiGITmjPSGWTnvxYQY7t97oQVDLCTgS9UzGYRgMqhlO4jwLY7DO
DXyOgd5PqwNhE+hHJ9bMT2xj90eUVssz2gL9y/3rpXKScG5JASRUAnnub7fGFEvUVYDjg3iO1kvl
l+EzA2X15b4V1S2CzlveY49XZpsTtUuoZTbNoABhBJDNRWkdtczRAsK3/vzzppjSoMxIn40Cufwq
r4JUXUO8ye/R4tL9EVlpkVqHlDrYBVKqZOf+qPYOrIKEPEJ0+kZQo3CIz8rMA+qb5tkZlSpxzg13
3Dm8qr2Tg1k/EJxACeSveLWgOc2QxjZlra1YvoPMi65Gu36hILyHLVEZIpMkoDKk1vBWfK/W9KHO
G2BroqWDFmbmdLRKeJ6yiDz9pz8S2kVMKdC7I23aNtTKNUvzUWIeK4ZF30GUn50M8OhHRhh/wYET
3hHZsIUkLVueA8vILGbbAdWvSRJCVz9k54r6+rcVWvmffysor3mA4+hE0CvYfKlohE1gYsCXAMet
L1T345ObwHbQpfpe3VdV3CL1k/M5EsQCQc7tqSAFivUsrd0gT7XqohuNOCaoTp6WMRoOJZXm45y5
zanzxuUQLhFjdoXeXOJ1Lg+xNiwPXWnnO9Aahb+j84W4qaQGpwu8eU4Wr8xbo2T52pA0QU8FLZgq
ndDYcJKjPQ17VLRKe3CDMLvjMDS9jVt5stFNa8BpxJMQ5UHyPJ0yGDT+XMzQvIZxa+wEsIoLwlgN
ZQZkzZne3upmDJ0JHeJIACSmevqeplX0MBEJnKbCb3aQPT/aPJvshPqRJUvDukyCN5uZTXkIeo8n
S+jV6Byrnq19Fnrbwc5Fk/23NBPOf4nRtUMgcKfhYSWohgUGLquGOcJ0Hg+LTa4YIKPCSPLUufXv
hMG6e4rXttAOne2vL/UE2PFYr8b4KWU6ojysUc7kO3M8cXvICePjY2GJ8jnNJROJpg29cYgi1EP+
rfT5f5ydyY7cRrOFn4gA52FLFqu6utWSWpNlbwhLspPzPD/9/VI/LqBiE0XINmAvZDgqk5mRMZxz
QrV8kaNvcY6J5wVE3GaknNc07Uu+1sM/+tzmit/XNvJmy1KqTaC2fbUERtxkL9NaDfUFiT1DDdO6
05WT3RbtxzTVre9rU9kf4kJ4H9o4atdThwzZUWdB3o7b3ZWNPI00FWAE/5QBwy8+1RwQJbG0EZyC
q9dfu2ZhkE5i9ZfGssqL56DXWXsEtn0aaTyH6qf73u/1wZXWeZ0IgaQAy+aJGpiEFNWZvLtdJJ5n
r+47n0zUeratsTODKdbdH//BIhAjZoOhaswLfLvebOHcaA5kZheH/NYGDhIstlG915y4Dru6dw88
4euAixIrOYrJ7fwJ6bu1V3lWrC8jvb6esW9om8T92dDdPqiYGUDyrC3nFD7Vwba+vp4YpU+E8ji0
X/Aat0a9LBWFgdc72Z2df+nXRKcMOVpvIyDEB2+y9OTb8yMHbFNzpI4MBPTWlEgHZVoiUsuYyxgU
iRK9E6lqHZQX987Jr1bkr/jllCaLMSelTeG8ZtT2Y96UwxsknfKAuc4oFxvoIv2Xz0YnClwfBBye
zVuDkavlyoSHJ3nt+7DS1zwAYT5f8rQF+An79ZoyoPK3YwE+m0RjShSc7BTdGoXVaVhQfehO9XH3
wTaTyB+isXg/NYcslb0TgkQYZAukSilEbJK5qhn6TrG49oNZomJijk2AxqTtoxpzpHa8dwMYoCwF
U1BY4qm+XRWZhRTEAOklekYpl6PlBcQO0Wek2+tne50s33aLI8r73oH5yTanYEpjYBtWJWtjtKvO
ViagCKfLrCXty5i7eoiGQNMHjVGiU3Dfs+yuU6qL8Cqi1OVuPKmKzkffuSALmybRrwyGHU9wGJs3
xQL7x2AwxwW9guryX4ySkkviLmXSzfUzezdBGwn8S5erFaT+/q/BI+6OFaUPlCWbgqzUjha63VvY
0JIhQ2gHAxy3vTk7iM/AXMyyNaQIW566TDDVPCrjoC7q+aQX3npQlds+UT/tEbTCCaAeTOx6e4Ci
rPPUZUzWcMr69kW2my5pNg1/ZdHSPAIidC91KtQXr6miQNcatH/u7/Heelkyr6NU4nnlTZ16iEvd
nlmvE//lpO38kkA3921zuhZGPP1z39reaqnvMCYT/w2qeLO7NanpGtNXCkWkm0x0buLHtC7V8lx3
S/NRVeo+1LSl/TMa5vxNP7v6X/ft766WTjG8WzhyRPC3u81EQGVsu3ENKVC4SFJY2cmM+/zZHjTN
V5bhiLr5Sl5Efl6EAtEpo4ZHc17+oF98+8T0xTEy4VJmfak9rNPq/JBJ2aUbei00l2I6KbWih8PS
qE+mlsUfY8BrB1HB1h3yG7g7DrAA5G/Bo24ezJmGRsdHXkMz95bTBJgiSK00D1LISuH9/d01xUki
PwCmRcn+drnrJAq9ol8SopkyvDXjXD33pVp/HufyiPC4Y4rrwiUlv6TZvIU1rn1iuV3HGBDwjfYH
2yjgmE1Z+lRkysH+bX0f+0fFBKUq3hLQRdtpsqNIFUAcQg313I5PirqiCzgvyjdBWP82RYLS8Euz
6A6igr312STphKb8xbN5u5VGDUmoZAxZ6HSqE0So0/gRDdBrkx6OI9w7peCKuBdgKCAnblcY9SzR
0pQ1HD1J+5ideaEwkNoPBT2PPxcjy7+v7uIg0mvpZ22tXRWRHJQaD3zRzkZLnVRJ1wUp84q0wUSQ
wW17RQ37bPqiCFN5tEpm2qRTuZzjdaQ3A/v0qMm6s8/Er7KIhEAixBT557/c0LWwcl3NhRaSnmgX
TQjlHFtz8mEm8z14z3a8H8kULQTQAtR+t9y6oqTortmZFkZa44Yu/7i4GmLUSaEvYWPUwxvPRTqR
AR3lqRrm7CBxf71SKbgBfZBB59IPbC6noVSzqlilFrbMPDnNhYi/Ci9vT4tY1+t9P/Daz0raM0mX
nDZB3WLj9pKiTVtmi2hhASgpcIp8eBxUfX2sa6/2jbbrP9+393pnNZXBBToFTg7yjuJaC60QAfVw
hhDmt+o0PnRO/90Y6uy9pVX1k9J52qPKl/bXusxP963vbKyUvSTahKNPuXvzqulRHonKHKcQxfjy
SUnifwurEe+dLlPP9y3trJPoBJUqk4RKthBuD+tiD4u7uLiiudXnsGKk4AdE+ZersEoK3kvfPVWC
gZeKnlYnM528g3LFT6LGrwkRvS98LaItnFSAq1s4ytDQlO/KcQntTI+Ni2FHmeqT8emImdsifu4o
RngB47v0726tddNZdgPTIFH79CUndSretQzpTP1YF14d9FbCnB9JO1meemL1+mmwi54aFiJWyTXv
0qj1m8al0pU5Q3TJi6msDz7da5dDc4LmMB0s1ka34nZDaYw3mugrbn/kVhezdedQq1W5edRNclEn
eMOosv+5/xn3rXIDdSmz+GrQUdHmaF2rWE2KQb9At5su/TLMb72l7P9tZ9L2Yizjv+8b3TmlAI5d
qQWKwjaFidul2pNSegtTFkIrj3qfQRvG1bHKOZw71z44prumHFppLnKEKpXLW1Og/IzW7h01TLra
vNTAoAN8sBKgL1kcfMBt31CeSKJnchLsgM3ZmEKAuSirOFPDwnazwEjS5WJHbuKrimu/8yJPCe2k
faJ+34a/v53Ec0R3QOxe00InpqstNZC/sETvNGCiU37RYodhb5olDq7dzvvMbeOBlk8U/ZvtbIYa
jw5uJiUCgV1zBVn357J67bko6XVk6tw89G3fPs4G0Hi/bNMmAHXZH6x3x6Vz48neAcaTF21hlokj
bPiULcdHZfR1OhTDYzKm8fcWNNibqkH05SAa2DEo1VWkwC/YIJDyt4fIcIXQjaZZwsGcq0+iSqlw
C1FeEybEhQop6IG915dSUhxpKBG50CvdzuDIbOpxNN3V0LUT8aSU7gCSzYjQZYjt7lzl8/hp6Rz9
0/1j9Pr8EuzIIXoOcQ+dS+nxfwk/zKE33LhiWwewRoEsbDGYXim/xGVbPsEu+VZWEnhmKQcNwddX
FF9Al4nN5XOSft7aNTKCuqXlxdStznvJ+owGbZbkj0mWxwdXdGdjb0xtrqiYBzPNKryB56YFWDbU
K3Nhue/U1pjOa1TXgWas/UEEsrs+EEYqtG0pNLZBhUBiMZq45mtqlZl+BX9d/HAs3pMpLryDm/Ha
FPkkTk7qxUFq3kbPU20Lq++WNhyI+4KFQtHzqscfzNpRftuvAo3guIDv5hqCWb79aChpJHbXri2v
VZsHBYqd56pzTd9JFOXD/XP5OtKQKAx8DXde6ltsXos6QSoRAhumHH241tPY+4rTFmdtBoFScx79
pWRoHgo6sOCX3x/AigaRaqJlS+UHBAy0vNulTkOxVoiedqG6Js21L2f7Szw6hk+xSHtb6X0ZECR1
D2VeDy88ouu5h1F5GoEb5IGY6XgceIe9jwzCXZNxrUR0b7yRi+BzG6GcHhb1OqHcUqifaY7Q9dLc
o2Ftr++Lq/FuktLiFCiZbo6uPdpRYaxRGQrLKAMELn9Mdu09pmPfhdVorB/ipT9SWnvthqRNIksZ
v8r48na71dyJmpzgLsyUSMjx0LpvK+PyvGT5cErkhMBmWfSz18VHk2Zfu3kEMZDf52vDcaOBe2t5
Bd4oilKvwiqPLSJXTbvWqTtflIEZiSuB0sv9g723u6SX+HpCBglxvbWXp2VU9ZpZhVYxuWGiOlmA
RFgSumtnPqRt9gfVzKOW+94aKSrCMpdSmTjeW5sZQTshn1qFUTXrQeo0MTijmMukzmkgKtf+befH
zfnF3sZPTJbTeVWiVeFs1omvN7XzXC19eVHd2j6ITXaXRpGL2Q08nOQGt0urlKyro26qQrMxRx8x
UIoIZa28y1DN8L3a+/0KHksj/UGsl0AE0tCtvaXq8pgcha2cM/HgZtU/Y1YxnbhFsrIdLO9gJ/fu
xU9UASMiiJu3HrfT7dbI3KEMEUCzvgg6/oHnJMmpYibYqWs059nq2izIUqM4eFXkQm5TLZp0aPez
GITfaC3cLtSE8JznEHfCOIq7d5DUlzd2MWYHVaZXAAP87C9mQITcmhF1bSzaYpUhbf0EledenAyz
7d64kXiJGFn8GDtFHMbgo4NWwM6KU3bbnIbpDfPlesL62TzgKu6dKPpDhH5wiZDc33zh1q3JtXsH
5fl1mcIm7Ztw7RhyrjbrdHbj/qhmuWvPI0SAIS1LpZsT3A02I07h44St7mY/CnV0vta6PqnBuHRF
5sdJNX6/74L2LZK08ILLwuLGBdlp15Om82nnpjP9ltpeOCRRc9bMRYBCd4947TtvF2pDliyroR9C
mnv7jfvFBPprm2WoFa5+YjiyG7irV17ruukPztOed5VlUh4TmkUoId+acodqRpHE5eO5sfdsTst0
asrK+Rh1xfQGHTB83jIAfru/oTtWEeCiLYXiqlR12mzoSDHSmUejClHP7a7VPCoPxdiLoCLgD4bK
1oKUbtWBUXkBNxdUClqgX/izQ7VVgEwB5qarlzdhrzkjFQ0zes5K84c1GsOJ8SrTY2zp4ucAm6du
0vKDW7KzZBSdKDjxmpDRb1UuO2SJ1slA00yboiEoGygDkycQStfH7JNjt1qQmPrRAMhXHC9eaeSI
SLkNqW37aqPLksqabdTuCYxwbYd0UqD4981ofSM2Nq+iN6IlLBgp966YgQw/LWkfffUqkdSn2VaU
g7dnuwfy10jviM4UEECAP7eHbTFpdxaZ7srZk8s17YYhXNsmDa2+7einoW4aVcURI2vrlzFK7M2k
VCo3QAK2OiKoxCpWnOXRyYnj8gu7Xf6xtIf08O3h+mkFABKIXUqor0B6WuRRAxuLCCWcwnijK4r5
Z+F53SkyxHBlZFl+7oza8vskqZ7K0T1wUFuHIa1T0ZQ1YlMKEMiN/yUpNYbBYmS86Z3EUK9v4tJ4
NIQ6PtYTxer7N3fPEhERdRuACJILc2tpbitjQp3CPdVkPZNvlZSkfNdtmj/Vci0P4By7xsDiSAr1
T37TxljjWdO66iDbrTXrAjOy22CiM5oGhr4un+6vbO+cSBLu/xvbvN+dtw6LMoAob/u6BvLsthcH
mMzlP1iR2SDNEcKibUuhtBdDi0aJuIVUc9aTznqI3d75cN/K7sYBCKFDzTvB+b/dOGeqmbsKbv6E
3mHxEk3iM3i44bwwqfdgPa9KXfLoSZVMsD0koK9aUUheOHpaG3BXQalSEDXyvxqz9AIekeGpbmMt
aCLUtJGn7S5GO7rvCZR+F73+8zf8xHOAbaJmuokIpropErcDn49wZPI465nmq1pjXxG8Xk6aUNZH
pTeng5dzGxRglOgLrgcAdlz6lkbd26kZq0mKM7Pr4VSobTcFaYknjSK9vSiktAcfdc8gIbRsLlI4
Rarh9qPCaImSDPknOtARVKcGVinbrZ/c1VYetfRwFunOIcIaMCoUQQm1tiINo8jrdDA9xIR7rXpw
6mJ8jM3FPjtE7Qd7uWuKF4rqD66FiZy3SyujMffKyXVPkT6VJ82oVb+hHH1uTAh+v301qIdKIW9J
MQOqeWuqm22ygHxkVWkzXeNafKshA7xoHYnQfUs7TwKcZtR1kJViRMo2yOlTZdSYCYOOQJvbL8uo
t3/QD07gsVnlJ9JY+6mMVhGoYoqoeU/iwPyOP2PSNLeSdglqdFtQlT6KJCk1kE7NEqWfjGzpniY3
O4rk9qzQY6f2wetKvXXjaWLmFTnzjD/zCmjNjal4f+qZVx88BHtHHxga9w06r0QW3X602i5tq0WT
5dS3U/Gxb4v4moh0DMxucB802nbB7386EKCyQwGdGv2OW3sDQ0ed1aLpmnfjcClcu/7RWLX+HhV4
PfYBPWdne3TL58gemj9KpxNHo1hepXnSu0iRTElz5fK9KjMnk2dT5PVOMO9VcZ6sNgqiZsi/AStX
P7dxXZ5TTUzdqa9tc2bITdeHDED0PtLKLZDL9hLnS+KJ8eBQ7V1Uh7SaYQIyF3qljxDR3OvL1UP4
dTXOcGcW3zUi69rQDTy4qDvBIlcHTCxT4+jzbWGjplDdFF0K77Q2SA7g5WrvZYkHV/MtYQ1v67Qz
wqGx5m/3P/3uzgN1AuMs2/6gOW6/PT7WcDu41qe8ipPPaaPHDyhX1e+gqYvHtlOzxTdmXc5Pr1Xh
C9UqPyc9E9xB/I8rpV11qL6pVhEd4Wd29oOLRkETbBAvz7aykQszH4ao8U5uq1V+z749rB0G44Ui
Z631VeK3THo939+OnQ+OX2bqiCxuygrO7W5YdZOJjE7+CTLlSqZgIMpuWSPDhef1dN/Ujr+kcAKy
w2Z2DOdf/pRfgtjJAqmuFbxvU6K0IaO3wTzYXQ2nOuuDnhThauflZ7Mp8rBYEbS8b33HkXHMYE/i
x0hKt92rSnR9anuxdwKsaDy0zHUnT5ziA8eyt50M9kTjQ+rLkBPcrtEc7dWIMt5UGPN/l1YpPgvO
4BOjU49IUDsuE7CVhAhKIVyCtFtLTdKIuSzYwxHUWlA1aNhUSKwGztrJ+d5N+nB///bswY/n8SbN
hIW6eVfVpCla1eg8cCp9AUU9+9R1orkoTVUGdZ4ftZF/dvd+zeY5IIyAld0/tPopOm3W140i4yO1
3mkoIdomcTKiy+x0QaPr9ePSKetD3Lij3zJi0pejf/0E5dzn3ODYelNnPwyW/QOVPT2YbQrozOOb
DjZk71PjPhzuDl+AnsztB9AHcKmel3tQKhOD4yzsl7Ywcx/QYhTe3/sjU5u9yHk1u6LE1JSrxTXV
nIKGnZG8t3TY4/dN7VwT4nzCXSiD9Hq3XigW8ZBOCH6cGjMTF3MtafeuSnVwTXYOE/kR8pGoDqDX
tRXSEMB9+5qhoUi9KnzXcnWF74hOC2tzgrPUu/a/95e1LRtLdwP24WexTQUGsUn+6LqukW2jWhUx
ffez5lKLcqL8WamT5etC6e8tGgu9X65JfrDSnU9HhEaJ7yc6B0rR5pRUdqF7k8VK5RgDF4kD36OR
/tYUTXFQgdpdo1RcwqAcGig3/Rf/Gi8LZVNdRKcRrZ1/IF+gtxYratkgJd2kXxdL6G+dVomubdO3
5/v7u7tMhgxLWhwIky3RRQ68MRykQQjwU/1Ls4AxWlwryn2vGo9IRHu28HsSeIEAMjje23VWqWMs
9mzjGdxC95mO6j6mWfborlCbfn9VFF1kFkg/mVDt1hLTGWbyzDpCCC1plJBSD7DEYSyqIYizMVkO
nqi9XBvAgxwWgnaeFG66tadaCcOJ3Tg6TWNFqdIrrP5PW08HpoC5qq+sGXSeyP6y9k3OgJbCDMqy
qw8O7I4D4DdIuAX0dFmEv/0NcSRMSGAla2aOzh/IPzefm6496t7uBDtU9mkNU7j7yeu7tcLDqVR2
5VC0Gws1Dd0irmDVWVKtWzuZaApZZ0XrtN+dlYoboGDCGaWcQcS5lV1U9SrLElONTqvWWn9a6mR/
Sifx6bdPzY2RzVf00rhcaw0js9FF0E24bHoVi3PRTNO/90290oT634Ikvxb5dqQPN+4l64ooc4xB
+jVRfB+cPv+s69n6t6bYyeOizNmlmYz0i9DTOQBYV8ePndtWhd+rQODHcamOjo9c3ObZJkSgZkL5
FyT4trWhTLExmKsWnYZYSy8UbuczI/PkGKao8fPmSENl7xxJSTGyU9mf3+Yr7qKNFhMGMKeLOMr8
FqLR4FMcW8crfTL3/TxSo3oLcKI7ilB23BCwPUJ2bgr1mlc95NKcPfgZysmNTOBIKN9/TJq8YYRW
tpi/H2v87I6jIC7RJtt6n6I4+TQZPbPbc60KuqxRKQInTThpRXK9f6T2PqBsxP+/qc3916DUu1U3
Kae4LIxTPnvDGWXS8ewpQx+UpGcH9va2kRmAEl2CJAaow1tPoHlNNDXWopw0dZhPDRofkF3W5W2h
DfaX+0vbS/1ktYsmgZwr9wpaPjqx6DWdT7Z41fL3aiAO6htq+/fQIE0867b+UWbsaPrmsY9ehnNF
6sT0GxVQbEcBifKj2Zzu/6a97ZY4V0pwBuzU7SxxI+qV3FFU5dQ5HswtCIfju4ZhbX6JrMMVtu7w
u6PapctwJJSHRJNUf4vvWPK6UdSlUqiDZz1BtMO4rWGsQ6ZhvV09q/gP3pBCB7pD1G4pJG2+bzJE
9BG0lD13y+IhLQbmybjQXhI5Dvv+Xu4dJQdyD5cS8PCrXifReJZNKc4Qrnj0OU+rr+BWvLPmiP9y
aIFewomg+UaotXG7mpeuRWLPymmddefrMsYvrdlOpyTRjzjL8v+09aeAKsDQAwYCcirX/EtQtzhx
Vi8e5yOb9e5UZ2bnR8p8tHN7p5AKMIwkNs59pR9PdrlS4OESmvbSXtxumv4AFRj5St5nZ5HBk77/
pXZXRSkY5gVYYWebjCuqMyyTFGccsko9zU7avAxLCg79vpnXB4IcBhABSCY4XK9KKuqKPmGppCK0
Yrv6I2/BDQd1uVQvWbzW3UHgtGOMgAn+E68R/9qeibnXZ6ZwViJctWINjN7zLioT7ILR0aeDSF/G
nbeHAlEypi+AyZDS7luMSI3KAMQLkzs1Gc43SGviUtaT2vmMkRyuMfDdB62xBstfLdOb/chYpoNb
/foD8gskZwbqyk8y2+2xZOSJHk+Nh9eep/xp7gvtMS0Rzb///V4fS2lFMmslpZ1m160VY+yXLm1z
AeRGFIGmJMWfCInmaRg3tfJJ0cpEP923uPsRCUnRPpZQkG2NKlpqxjJlvaAC1XrXdE0iJCAaM4xp
bfz2m87ifjG1WdywiKnyzFaEbZXlp94q+zd1RMakCzv6cH9Vu1/LRrKeQ6MTSGzqB4wY0N00HkTY
zS5zqLWu+6gK70hbd2/vaChJXy/rIVs609CYXmnHiLtWSetdYqv+LgoxnhOH+dD317NrCc8B+J4g
8xXWoo2M1TDmSEDTTMTV1iL1Q1knReWrSTX9B1sA/CUTl1eTN+z2DGpukqpzryinxlaHUwyW7qFb
ujm0AfT9dpcMQRWZb/KNUAHYCkCahVHHi9LHsgpSPKzCEA+t1jBuypqPsDJ7J4IHGSzvz9rEdgCM
ak9CqwY9DmGi9mHfzZrUr2vO97/TrhUq2rLED056yz6t3D5xnbiNw8ize8bITc1z1rrrgRV5UTbe
UAJHKSxTWZbc0NsvNM5ePNHTT0Ia/OJNz0Cds6FMTtgURX4Bh2S//+1VQf2gfkXbD/bFFpqbRmNp
R7EdcwQy+0Ev0+FjPJRHnuh1ZiPZSEyzgDwnoVub8qKpKKIxWi8JKy0ygqE1xsAGJgzFPlXe66lI
woTQ+eBh2dnKG6MbRyGyohFj7CSh3VYVcIJyfF923XDtEqMRvlvP/QEFcueEoKYM1YKnjA70dm7H
MOkdbRc8etF1RsCn9K5IOR6NO9oprEihPTm2AyE6jvzmiKSVVJpAcTtUEGdCNixDZ95po7DCkwR2
qujXsSzFBbmq5Kn1TIgtejaF94/NjtOC703e4aCyKmeb3h5T73+j8UQGgrKaAtT+7LPbK9EF3Wbv
6++bIrXGD/M2g2DYfMa8o+sGJSANI7Vor/WsJP6q1WvQta578ETLYtvm8slxXZQ4IZbSMJR//kt8
Co9PL6o4Z2DG6C6PDs/mCwNIskvPS/quUWXdYazyhO0uEEy4v8yd04pt8ED8zdCj7VdFKtfRhFVk
oSIUOzTWufLRk9cCo+EB1+vpSAJ07wv+ak9e2V/W2oioWCwTe3CEu8BNpypwhdk+6YORH2TFO7ef
oo5EnoBmJJTTb025U9GrueGlob7G6t9zQV9/NvP0pUlMp/RzCoB/kdkVl/sburtAkkO6gXidV7zZ
gUtvpahthI0FXJL/Ln8AI6I9es0QHyxwzxT+U8oU0WgmhbpdoNrJRKTx+HZTMp0ikSZfdKVtLi1i
ywem9vaSuAeiNTVxoFnSB/3y2aq2yNuOJmPIhAfkytymOguVUSjxMprv1imrLjb8hIOQa+9s/mpU
rv8Xo05vGQqjQLgXjlo/2r3QgjrJq8dqGJJHd+x/V/eGmy4hPDKXgjMPW//Wnhmj4pNFcR7CzXsu
ion3fIgvhF72JYKWHFSeexRD7O0r7xNddPlmkMndmhz1RbUbb0oY4J0wOwM4pM4QVys6Qb22Yr/C
BV2S1v39FiuyzNB+wE/IWT3bW29nqlA8fUnCvuyGcGwZ4aB4Tv+mH6wfv38dwF1KOqBUaN5OiFbS
CihipCYhTHnrIUW2OkhmYwjqSun+w81D0B7sF4iQ17BLfYja0Wm6JMzbRLyzRJlfgY8vD8toHHX8
Xz+55I4gSYnHJGzJ3ny2IXVpha9OGoJBK9+Ddq3emH1zNNb39fln1wxKeuDnTAmzuD0cSEqM0SA5
UwbzbuH/D2fbHWCiV+q3ZkmM0/0vJYPw21eIPjG66aQf1J1R7b611mlriRA+4GunjItLs+buuRbK
O2vIGt+Jx+mh8/oc2bw+uhjmfNS3eX0RAIFRe0cYUPIqt0X4eJiKQZshg2VRZKHfNy6PTJ6oPpre
0CMk3HSAJb325f6SXztQZCh1yl1AkhG72vbH3Sx1zNL1upD0ZwyyrOsujEhWAibJ/e74d9ps8D9I
gLAHpH+rqTVHXjwq3liE8CAZEZsOAvFw0ZVe5eu2kx6AyF9HFFj7Sf+QIgD468239HBkdpshqRkZ
zeME2uy0IucQ6A5YocItPxSRYVzBpzzc39A9u+Cd5QwAeG/M5bq1W7bQN3sd8ImRFs7zqObpu8lm
CJKYlI9xofeXMkWYXl84yvcN73xJAFeS7oKuFj2cjeFEbdeRjc1D0bbTVRuz9ao7w5ACu87Vo1ks
u6t0KarAnUSdfav61htzYw/dnIcdVAlaFYPW+U5XqOdsWN5lzdR8Kr1iCbLRPoK87S2TNsn/5qbw
UG2+qzmPOqV3JQtrSyUeLEbj0kTrfC1btTg4Qrum4GLABcF/cUVuPyXDAPGiSSd31DVog0EXs5RW
vDObujy4hnv7CaYI7i/oSOAFW8/TpF6eKlUeZi70SJiD3aVWxgpCsK59GY1avyy6NZxggRzNaCfd
fO14ePQlB5YqGbHUVqK4G6dOZNHMoAImCY2GT+6hCX+qmSLnd7FWoM8WqVEcRMa84IQ4Dc1pEE1l
npQ51U+CIVizb/TrbPtNqjQfNXoREbLNRlP50zSZ1wLAfIO+e5PXvgN5599W4f0Ny8UU3xYHWlHg
eLNX+F3lNQ0sVSaS+LXp9IwgZZrlFCzJwsuiF3GCnSSepwf4C2VNfNkbf4151hTXeYzc6aT3g9EH
Q81/iaEMWdm4AJzsT22dPahWVnRBUQv9a0Ly1J76Pl7eIiMh0ssgBuUva7G8h9IWWedrc5K4F8Gq
Q31IIMn11TzoAZWouAtN6VtOHtM2T7WSdvAhu1YDKcQWXtWuEoWPuAk6iJOHTIrfIRT23CWx+W+K
0GoblMhB/+NMS5pds6Lq30WmmMyTaS7GJ6dIU/WqAJ0B3jGS6flLRbnyEi1u/nEUGoKHs6MmT6ub
aObZ1JXuO3CqTNb++vxxSHvHfKobN4n9SbfHKYhMZbxmtdFob93FVt9ktjoZT/G8ii8kAPrLuCbT
32WR5H8iTN3+DWimBkaT5C1DWjTrmbGQlk4tv9L/rDqleMOwavN9WcbdD00BRRCoSV4+LXnEw6G2
5Bedpi7veGba+jIMTfw+bTJF+EZXeN9qwJjqyewTOw9GfSya09ggTu2rqCDE/lq0yvdGoQTij1HX
Lk8eEgZ1oAyq/r43wBE9rGuUT0GfD4YTzoZTUvJngiYTC8wZiF+HRpDro5jTf9HiLnqrLVmfnNra
7L+msTJLnGvmiMCdx/y5ITn5R08J/fykhg3wMALl/KYOU5wFTTUbxrM+iJTpWiJHoNNys3I4aUlV
/DG2XlQFi7eOwDtFX5/QHqiuo1HaJiPGIgi59TqUn/NRIKDVNdHcB1Hf8C1E3jCXDJCE+Y9JRAY+
CM5w69uDmP+woyaLHguMfYcvYxQBIyAAFZEgEwKAslm+Tcg4PWVlY/9ARounK/OitQ6LAjXBMEMd
KQsNZ6jed56hOH6neq3qC7uPzx11bcdPI2v4V6fM+SNWvelxsqIsv6jKqn/qnULogVKVdseeRCrh
KIPTzpxcVGRSUyRL4NS5J9C4V5LuLOJxbk9TUWjJeVHHskJaWM+KACmzanlZk3S1w3wSdoGsV2W/
afNpcH2qT+rfYlJLOupAaa+ToWe8fXWWfR8bBnL6S1EoT7Exim8ouiwfrV6nkGKm86IFObX8N11H
0z+AqZuY31Un8Zz3S4bKX03RfTyZTtND2TfruQnWaDXS8jRnVR2fF9DXMV+DPDsoxQjcZRhshkMD
ivH+NGtFM18ifTaY9NH1IAL93pmm/DrqWo1On9I1ce/DSrH+LoYe4ZfasfPqX+BBwHhbBC3UsCag
fzdo6aCWDPCIIzPgR0TVo0DgOfMTp4+ntyLT1tEHATO9cdpMMZFSroATTkrbpl8txQRSMWtlOQWt
ozhX9HPa0R80tesChwvVfRpn01guVSuGzJ+U1fqH4Z7iGeU9OzYQcdaW9yIj7gmaqeOOufU0C2LU
vMj+9iCPtT660UP6rmfghdv6VePE2ofMJf8PVjtNPteDpni+YyZjxjw/bQTrgIIQukW1MgGG7Oa+
OsUiNwzfXeIluXjGOPxhWSKyfScTrv4wrwphGw+9E5+LJZm187qionFe0LXX3yzo9RT/jKsmoo9G
G5fdhyqqzI8rUHQGOHhmX721wEknz72LJuaPXIm08gkhAy9+66hzrn9FuE53n92xzrQTZTXlQ13H
dY5DEKYNiLMz8sCwZ90IzCVLk0sH0v4fL3eGN9aUTf1Do+Fjzk6NVuyD51QNsXwyxA2SVE21BqWd
2nzEROmYYGFP/cWIoyk9W1mN0kQROcM/sZaoxvNkF8W/c1L9H3tnthw5cqXpV5HVPaqxL2MtmTUQ
CAb35JLrDYzMZGFzwAG4Y336+SJV6kkyqeRUX83FmMwkS5EMBAD342f5F2+DSuPrPqmzdrQvq2YT
7ztj0dmZn8Np3nV+Gd4Go2k1KcOzZtjjOij/8Meg9QFbFet7THYnkYxkgOVFocvF30d8H2e3jREW
c+5qdfmZ6WdTGC+iN8qDMFxk9ccQZR6klZQ6d9zSyx9WPclqN7Tetu1cIbouNrWq7VvVl23xjgXY
14mvHWH0SWOy3K4C0i/E5csASolYhR2d+F3t93E1uI6Gn5wHwS1ABsPsE1+NDX7OujSW3YTiK2Jj
qh5WtRfcTH/ZqRz0q1mOtW4S9CpmJy6H0T+nRzo1h2jagmhfms1K2DSWkdZZhomem4Z5X+pvpbPl
n7XjVSrJ2z4MUjl6znsRmPNwUeV2WALvw6PpDji3X+1a18cSBrni0YGrENrFuC3IEkVqIyUJC47Q
yynoGgNaASbbUY7oXrFEf1iOKMxrISxz+miBYirSSmxwrxfmi56z9zGtDveD8mdxBKL6Q4oEK2IY
SuegKfZzY639JzNHyNOIC8BH9d5QxoR0V+viL3+iq6ruYhdsffVEpojGKYfzNj/2eOb1J0yfZ33v
G+awJqrrC6Ii0qDWbg5aCSK+2GoOOmcdI7a8JZ19FY5BDyxvGLpYgr2a42ALOvNLVIaVjI+6VA4q
4ksX0RyETp4Qvdo5zkNn6ZIF3wOVLFhKBYlp10QAbWK7deyb6PUCygtSPOuUFdfj5DdrWozZWlza
SyfPB0OIalcOvbiwotpoDg0a3mZizSJ/nCreIXJuYS3A0QOBSqqyt+mNCD1GMWBPb90VYxMtZ9ol
yMWbnc9bsohFfVqRLrme2jUCHT0ES5aMbTmacQZf6XTJj6mNqktNcJts/XGcimjENsTPnbha9Hrd
TtozqDhNO09WQuqHaB6wYMI/R1yjbk7IbUBEFTuLUFDH3uja5bvS1NQzlls3TVznuox20CFGryeG
adtNBtfemr3G77reaWNu7f2aCSroGq0wsXOcdb1WSzs4iUUPrYxl4S8uouZaTAmNZt9mMW5TfpVD
iym+qabSi0jklNXg02nFtYknQrJgq0JDM2ZDhNVeyMVbL7rQU+6pcgvHPoh2KZeDpyzdneRGpvnu
YEmaFYuMoYn8+75b/b4m7xlVFgFI74M8diuvjS57Vwp92VWFO/LdOmissR1sqxvGqxsY/Sdy1L77
GPSdzK6zJsqJgSbJ+4zNqVeP3fk02xv9a3vR+mBlfnOVg9XId0FfF/rUzUKVDzv+yyifhiJvPNrd
rZp2E9KRbeob9cB7qUJSMoJD48b5YDExR/xDlfEaYRgeL9MYygPdmM7YobHvzLcYJrvvLT5tO9kA
Y+TxYtjDkDbsg25vm2v4gH9jl8WWBql56FWOFwH1Y6lSJyJ1PJ/dSN0HG73N1A3mAMZMm+NwUHlK
D9edFoYZL37wHZmv8ZwJCBBFXAlPEYkM1Lkvl7IwkB7kaJl21pCVX70lCFf2S+V9sefM65M5iPIb
RU5i74BduAfDN1EdW0UknISaptC4i1iZjZOZqy5Yf5nBDKfqnDhiKnGtnEguJ63iZ21YuPWuBh/9
Bx4o2FR2DEdvS3dePuu5qa564dAbLms48hd1J1zyjz7LPZqY89gfClPlEEckDFQ7K7Jp51u1U6So
j7kijbrJeu/VRTDE2l17NA8m0V5jyQFf1BDuECWQFex3/QKbIYZVFekT6q7+27bp5jwaw7A7LI2Y
P6EGGF1Wa4RxzjiBVyd7sPgLf4pWdSjrYK9qx7hu3XYkBBdOeDpiOfqtxrS1vQnn0b5mYToDpUNu
3AFwCPDlakR9BsYhe+82RqPimnriNquznIS+HOQ9t+UW50HR5lymDM3rxVgjK2kNS19G/mLaJLxq
y859ubgflUkWy61kqz5Uqy+dnXI8RDko2baPOGOw451oXN0TyoAhO+3DXgTx0vB+dqHMhutq7Ycg
rscqRx1BTjxtk7Pu3Jxt82vr5jXnLLqLj3hv2d8MmSP+uOqoulx0z8kWjpNZxmIi/KRsBfdTJXrd
pj0keCzvteeJpIwk4u5rWY0nbDq9xVZeWqfhYB9bR3OYI2zmCJVEiznZiePqMUhrZ7IuZMkaRV7b
y5q4UmJrEjqxWXuIZtdt0RRAITv17Mo4o54w8r0vB/9rMRoAe7ZpaEqK6E3UnDAdZ8jmtJG6IhMb
2zhvlWftFScAXHomD096lQtmghOCRye1V2ePehsraoWxcrwUbL7vx9IGm+RQ3Oawegp7iKPV8Nc7
R4UW+SaiGuedrfhsYG6mQOO4bf2k3lZxso3ZvMRt2TjV7ThZ5ld8F/0xyfugbveNt7D/B+rniv1b
+opzwbe+1kEk8p30LJL8OvNbiyreAz4haVYuifaFjamqG0Z1bEGUm+NiaSc3ERJkMR2jic6qP8+A
0Y3WhXLTK/9hKsZhSTm2c8XBLHortiKzd09k5dl12i59NaWjF6BzUkodJUY7ZSsvmN7Koah8WcXW
MIxh4rt5MVwtmeiuGnSwdIwmThReZpS7h0k0zkdQWNkYy1lJhXNK5NxVBXhmWjzltivE8WxwRhur
UtMcSOvtimZYsozBeOu7Cnrn6Bduddb2TBVjSN7uPcaLaj2oroo+buSPF9WQW18we2jFxVaiMsaZ
uvVdMrfCubFb3NHfVa3fPVSuIdr9Rlb7tGwcxongK/4hIc8QSdYtuJwbxkwxWaIuD6stR0FluzU6
6QaA15RqnkcC4Q3bpZcHG6u0dElb2s3/0rXLlJ8J1WLX6M+hOyUQ6zzGZK7XBIg4LYq1is8355iv
RHQ1tvMa0Mih0XKNVms9xnAL1I2dN9m2n81FPjX1sk5J6C0RKdWSeXSDLLd4PJYlnHCE7XlPzTt9
4zSwStQN2xI9OTHyVPxwKfdev2AivqzztmtyaUTnri7sazDP1l3bRWaRmNM6njLLLCidgqC6aV1v
neLORrMs9hGJduPQE+q9lbnlo+0M7pNedMRUOuvkyaIRHEuo26jHXUpgj30Y9Wd1uE0q1m2IfGYp
O5ER1K31iQMglEk9jPMXR5qG4AWMOeNeXYfXzVFIEgBV0XyV7qznE7eJVL/jmWJ/4ue+fZtt0rbi
ZdmcJjYkIu8njiAhiHnGw0NnVu0YV5M/LjGIDHkfhFJfeDAEZNyyHK4HWYmPJbprT2XhZQfSWWNG
jrapSECUf1rPW/9pnmCGxF0f0Slonb6hU47jKTPbQBsNWWNtnelSlOWJ09g5XbWB5naMieOCZlaU
E+uqeZjLUx+X8i5hItQXqdQm5YDZSPtKN8GKu08xTgM37loHHkab49XjuF3KZ0x3WNcxfKsap693
+TpLln5UDAu5gO4e6boEJglJvtxWZPAtHkJIEcXV7JvfPIbaeVx0lQihKAn12EAB8+NuGChcl2EJ
r4ZhkAjHNpV15xim9SUSxWwlix7sr1pE8qZi1W+J19vTWbjmXZAYmjTk1B+RH6Yr6ckzDOmiMDEq
7e6LleIWc1czmOPaChc/DbpsNsjS5mYlQnXlJ+R6xMc+supPqjLpPyhzzb29zrr5UU2FvI0qSedS
Rb6yd17n+Z+zYhE8NDpOGyNlx3ws3dq5mAG/zYlZGHhibcGUfwtnSVI4UkARDGzP/Ow7RUczK59y
8qe5Vxc+Wm0G1Xq9XdjwYotkijbQWHYk/XtLVe6pXU/1p9ZDgSstlOc/kXOt7Eaj9+9UgAzhrjDX
+iPN2+rREt46Qv+S04MFrdWmt7CRCPn4zhfwMEawXTiWy8fVApcdax0tH4BtEiYQYvFZpZgG2Wne
SYsUKmso4Dq1TCdNhmcuEn2ee+iDMjdjUcuVxkg4GsWuzoZj2MYz97oX1pLTMPPCr0vRq6cJKpiK
2zDE5MXRtMmTAFmiW1irgUhW1fdfTUXoTVlW3tNKbP4AOFx+KD1l04IoPdKIzJBEUSH6bkiCsjbm
dHMsrKJkUPGt60GZIZ0I5nSIB0aTsVsivz+eh2F32k0zoWAenfI6MnKEK/1Az7t6QiYymdySk2im
KnqyNJkUNM7WO23GBn9fah33g66A7Fx5NdVhwqmtA7aHbpBL14VYUGpFjvLULMvFfte6AWtom3CX
TIp59q4ZeCI85YxFGR4G+ryUeNJ3izOHTqNIdVGJs85ZpmnfmIaOYqsxvSUZ/amzkhATDGYWi+tP
sa384AHYxUAvZJks8k6+E5LxNJdPosqanSRnooFqTl3U5wI3NOPSqSj1d5MTGV0caofmTZR7LjiH
2rFIzadQ0g1XVX83T2Zd7kbpLjrWTTQW13Tt8y/aRpob4kyt3+nGszTciNa/btpO5KeCo/5WymKC
o1BQAaRw2eUYK2hrCvr6Qs7aWtIdErwCrBOtxkqk/To1d4MOqFfHJSCjz0g9BjA6fnQpkbtGPFTr
+QoGH82iCILxFtujz+HmCQ/oVG04Wx03au672KLleGe3s1EcIlVVn0mKKAaNrAtQD4/ozEDpbNSd
b2SlexgKT36oukqe5q0jP5ehm70f12X2j51k9OA1s4kwmSsKnGRTyjsL2rqbkibvGYxFCGXLeCFf
a06WxguXU0nj7jP2SO5NbgR1mfQc/lGcEwXEzpwta8RBOhsvc2cJEL2iF2PFSI3QcGtDz/i8UG1c
F5un7/tprd/JuiPXakMZ3rPBeF1dmNXncs4o9jmpQ/vWjAyjPK3t3AGfq7v2WGb4E79jTOcqZ+ay
WgKVBqVdSkSXmqKaSOpWjyJzl4UTsD18gbsqYVbknbj5ZOPt1Nau5LD05Q1xpH0nW7FUnA8wqHZD
5lmp4/WtQ1trsi7J5iY2FYwqL7wYOlqmFwMlHFKAKHkdvHmZbrzZWr+M7ajLs0grAmI+KvugGr8I
kvnoeJLIzAufjN6zrnOCDpu5y3WdimCJ3qOvY9GWLdvg85r1IA3nSIcstWwM7mo1tBXmEz7kvLYZ
uiAuI2Rq4hAjteKknO3R2psh7QHOuT4HddmKJqO95+V17AzBqI5ZbXgiJN283VL11v3ouuK9l4/u
FS60K4ZaA4rZicyX9QRsgsssymmrDhFQI0JQKyqKT4MeM3UAD5tjhhOJr2sJKSLuN7CldPADs9mH
QybM1G8j77rVI9ukWCoGOX7uLvQ5ST3N3eQX3U3AaOwP1+6nCuFhUiJiPG3XOMwbwAliy71H4erq
Ef868I4b+jiHHOvG+kK2I4WnzWFAJeMHyxmdOAS2hzxQ5U3rHBluXjvIN5CmP4MoAAMfQRTMFgG4
vnTuzsx+6FHyZiQ9uiRhUWHuO1NZeEoW3n2Vq+X9ryfRr+AkuaCLb0N4VNdEcuz54FQJjd4A7hv4
Z7brlZOpJakVQTRXmGllVk13jRrjtBFq3hXGFO3HpnpLU/k7me0FmANXJRiEANaPemsvACosdg21
v2hAd2fDOeNJxz82k5wrVVTztENPnaSyyFHHjqet4ChSmoNgR9llX6OmQsf210/lZ8AMU1ZQVfiX
0SGEm/v8oWjbkk3R4/EJt7q9oKSX973TlG9Ab1+ZWcPdRoHySCJBT/rlo19dxZxka1IzR0KO0eVM
BPC987zdipO/ekPAf2D4uyB0SIhfLquCCWkv8qhNIzFF8Vh08zlTD/ONIfzPw2n8ZaMQbQIQOVgu
Hhf3Dwg42fDiwqXhhtRAEGgC8SS3frj3Mh8u6oaf3WD0y92vb+21p8jAw7NA+h49CI4//+Gi9Kdn
wFNhk25FPycyXJyDG8lsrwrZvgErfHWzgLk7ktCBb/zEQjAwQtuA0LepW+QfulFOJ840qYTJXnuB
AUd2sBFK3CN2qT5IZxsSIWz5lpLoz2uTRfnDd3ixNnPbyJ1ZR9zvgnAQmZVoLwpD2H8d5XD0YEel
GbQBAiov0ZoBVsgrvZGUa/kxBcGYx15Gj1xvk/vIdIbUoKqn4jPImre0k18Lgjzho3Qfjs8o0D5/
pdAiNyJS1aatcMeLMuhBUq7FALYAGT9tMFH+9RJ69Xpo8Pigp9FWsY+Ijx+WUNlBzDfEgPysKdaU
1j1gbaP295PHdG486vH++nqvsFJ5hx7gC+AqAcH3+I5/uCAczdxcPdGmWSO64rReuVIibS+7WGe/
uhoWR98qxbyuxdQGw+aZMbJTG5sf2+4UprlsvLNmrO2Pv/5ery4tZM3Q80SF3P8OPvnha42t55QZ
ApMpzsr1F2OEVW6g8Rz/+iqvPm3ctcFwA5+hPn9+88W4aKpBG2zZRj+gjAx5XVszo2oqvkts299C
j74SlbB4IdKi8ETH+CU0vvD73psoD1LcUKNTexz1njmnRxsN5JeZae9mCwY5/dW7PBoeIOuHWA8C
yvZLjdKtry2XvLVNVdtlT4FX1R+gRa1XnbVsp6sLJfeNM+vn4PT9itCqsUECHviSN1o0SzSUayHT
wNMVCryee++KiF5auAVJCdI7aQXLe101fTwrAFPRgIr59bv9CRt1/A5IpfpgaEFHvgRe62Fyq2o1
WNhm4KNjtYVntXvkuk004FuR2/vQ7MKk6sX4V/XkuDLMHB45Ig98gRerirmao7NKIUqO3fZh1H2e
gkxRcbfOmEJN7lva4D+t4uP1oGzhR0+c+ilv4ghd83VrJKY3dvUQFn4ndgEl1eOG0Gqf2Nvwlp3G
T+uYKx7Jx0dvFFBdL3UWliZiKgjWG2rVhBFd4KvrqQCtUuK/cw7WIbgCUBG8ERJ+Ol2PFwUMHyDK
BNr2pRF3OU5tiBKcTMcubOMo2mBHMsoELSjeylFeu7/j+c1VjgCGn9XWDdtlbNKmZWCKPvaMpm8O
aIZZYexspj6hdKi/tDzck1+v2e8b41n2yT2iJQyQno2KZtCLpSMnkCXgg7rUgDl2qylp6Y9FWIGL
anZQSEOo9gN9vyrtuzz8CCq5pQ0wZflFATyLGUVODVQA8LgrCisLY2EzAf0fRBMIU8ckkbnET/Rf
kk9nKvxMpmEn24NBYy0FfdydhBF9oGJbp+tfP5PXVje9VRD35HPHY/h5jM6jXjcuFX/azf0Kc0kU
+8Uo3HME62qEr6q3mLE/q5rwDjgNj7w3aA38z/MLdn7DaLTRXZrNLi1oM9vekVzky3mGc9V1sPqb
Toe1cD5rww6uKrNt3vn2NGRxM2zuTaeAvv/1R47EJuGbkwr2wcvDcNJdP6k261Lsb5s0UrI70IMp
UlS5rH0A/OGN+P3KTrNQ4IgQxMCE3nmpmkC/wmlzc+aRV055GAf96K1+nobI5ex//XJ/OubJ52DG
U2ih6gYh4EVqt7lZ4eY245OKbFnFvlk6T8jkvaVu+PNZcFw/SHDxSt1jWfD8leYzhi2YfvVp3Xbm
HsgPqtKOY5yFm5hjxwOw0WeBc0rJ8JY01c/15JEsAkSXSAJJDM3P55fG+jySwez0qcNokgK6BqQR
BMVOI2Y1pd3o+qdazmNqF+Q5ro6666If1SdKpLfcdn9+q7giOsDaLc9iJ70U165n6kgTgAYSAWF2
MJZ5+SOCt/Nu1l4/vrFiX70WeSVlPM1/5B2f3zXVcAgKmmuFvaljsTio7VrVFi/rWqe/XkKvXQpq
JeUeOrRHUcLnl2pHr5Nb6PWpuSp3xxITp3bWvK+tvnojOv+8WI+7EN0DRIRRq3wZiRibOEBfI17l
Um8qpkMMRrRQeZe/8fR+IpSwZhCTt3h82IBxHjy/JThj/eyOFRZSw/pBaf/egAOx26ZKpZ6P8fTm
0IAKjmCE3ujrN7bka8+TW6T5cZTh4cB9fnElTWctNu5yNkS0H5jWnIJOKg/1sHVvXOrnY/a7HSCW
5ex/cokX9wn3wOqAywxpUHl6LzrTf7eSOaVmkHUAbaiRPMZu0fBGs+PVPRkwQ/vXdV+QAWy/L8wa
b1UgZcSEuZ/y06YJrb3ddmrfYkO5Q+VwOG2qKOKE0cPd5g7hQ4tZ9VuR/ZUlRaHHrJWckG7ISx7N
5uaoDdftgPfH6Cfg0s2zpuqCN57zq1chMwzQavZ5qy+ec4MhQkFtPqQrs9UdnSZ9Lultf/nLG/Eo
vXBkjnIhei7PFw7aoxZHYz+k+HS1J920FiludXa8tNbyxgHl81HP0yTYxRQzFG5QyIiuzy8lUczL
w95mg/RiSEOBL2eunPZpYT/F4YI8zhs78tULYvtscg82jOPjSv6hHC3CxQIbEgwMm5BxnKFT70Tt
fQNZAP3Aq8UbL+yVPXiMm2iKoR0DxPnFsYgDc4Hvi1QIJOROUraeScNDmMnKQ31jM7y2NjysW6Ea
cjCg/fv8zoBOB4uIcMgYeNo31ozr1y7ykRl445W9dh0SakoGJFv88CVbBE+4rqjrHOldHYZplOkr
mCBveaW99ty+O2OyowIYhscv8cNrGqlljTybh3QuImRimRTs82Dcdl7LFv/1an8ldmHfdfSpIKvg
xl7EEGV5ehqWDgc41zla/SKxl5UKvMtULpfozfvJWE5/WRKSZQ+xiN7isfsavHQrw16r6KZqVqnV
ULRHwzwcjuSKblXWG2fdK0+SOGCGR/tkUqeXegEWtMJ2jlqVhhVWH3ONrV0FbziZQ2Zvv36Sr6wM
HiOyQMFRnABG4fOXpo6cb1InlQoMXN4xggpiV3vTG+v8lR3MiWaRk9AxjbyXfp5+i+LXsrmsc1Gv
aVXI4tAyeMNfgZkfbeT/QQYEI5RWMGqyBMOXFFQ7U44l1lGnsoDyPZpLEPctGWDVFMs/+w3/8XX5
X/mTfPfPwKf+8Z/8+6vsVsbihX7xz39cd0/tnR6envTlQ/efxz/97199/of/uCy/DlLJP/TL33r2
R3z+n9ffPeiHZ/9IW13q9WZ8GtbbJ0XP8fsF+KbH3/y//eHfnr5/yv3aPf39t69ybPXx0xgutL/9
+aPTb3//jTSIRsqx0v+PHy/y529cPTT88X89jn+7HNXD63/39KD033/zvN8JOmgSIL+HFC9s2d/+
Nj/96yecFpwiFqRkkgn2eSsHXfz9N9v7nbjoQPFA+x+3t2PCrOT4rx/xMXSVkA/lGyKg/6/v9+x1
/Z/X97d2bN7JstWKu3oRS1A8O+qCHEneKBdxsRdhyxg3ORuycCCw52cYsEXpWmW7AnmQnbnZFgJi
VY0wenEXWbAmN38+TGaud45X713ch/beZq2HJfdPW5oTifKAKH1/on9phf3bdfNsrf1yHf6/uMKO
k6F/v7jO5PDt4fmSPP7BP1eVE/1uRzBmmTIxYPq+Cv5cVY77O2ok9Kpo4dDQQaznv1eV4/xOQe0S
XBmqcrIfZX3/taqi3/k/iIU20mZEDbzn/sKqottI4PwhS0Ix6iinx/WP4zZ6Wcdl98NpOC0lw3gb
4UyqB+vg2c14UYFAq1K3H6LgoIH262TOTcgkCk26vRE0O+EZ64BUi6vP8y2YT2kFfJgbuz9FZWG5
sXv9eZTlzgF6dtWiQfzeaALnHu2MqE3kuMwnnVMte72Z28WCVhd0kE6/w1Gqv1Re46szZ7bgXkAA
4FvYhg/rJepoKJ2B5NE0ZGun6dzY9G2UsH1zUJcjQFI9JqHfHufpoZXVTwIsiHw44nAV1FPl0rin
hoDUV5pAV9N1yWxk/XXV+EOIGEROjbYGrgKja8LMc2Y3OCfj9/tzEARhunX0+mNAZX2M04QNLnho
8NmSee5diWGeT4Ei2S6jAea9lt7ay5LPbZJiccoxbevS0kvS6Xnzr0olCzsxl6G3T9px8d3bzBi6
FtS1GcqbPFvLU6UXNz+bQSXD9dsKoWeMVMFPnUJbjO4dBV92Tmqek9smTlX051BPp9iwjOZz3yxL
cAHqqb3qezi3da626XpRc51U+L++D83Gqi7dqFrGKxFhydbPmiPHgRzgPTAwG7iHcunFvelju3fm
b8boZOjyVHBT94UaaFPE6EiBvQfflU30lkCPoC5vL9l7a8gL7xQb1kxVEOF93ziLapg1MImWSGT7
ifj2NYeai9AHaNvgHFw0Do02i0gn1eCLJR3DsQ1jXHOmOlm4KKyYMK/k3lPVuO84HEwGlP7WPGyg
iqpkQFVgir1erM5TK4otBj3R5Mk2rxYeXeDAjGSum9KLu9ITfKKxfdV2Naw7sJWWB2XYNT8vs1ei
pAc+x7yzB7HmJyRW2QcdTvmDcLd1A/8UeVvslXXkxrIq6ju4Vp6OPWD4Lj2LQJoJCcUok8IEj5TI
To7nob9AdTPGMbj23A7jgaOYzbXKg3aDt+jBaoduC+rTKNDGzUDP/kE21zAsW7PwPFsDCVNHSrJr
V3Z1lbaGG1wYRmfjINAH0UE4YoOUAJbzttlQZo3LHHB3vOK+dlkfLUtisYn2FLhV2e/trXKHWMht
vR+8AaJaOdfjY1h2utrxwoNvRaDg4QCyMT8Nm17fO1AQs6RzVlwTUNqv3V1GwQNeppdNfWG3kykv
Rzqb0YknJfBEXWRte54PtdJ0GmT/BC2oz1ImGIDndG+WBoZ0uW4PHLrWpTvl6hQWiDi3DCQW9gbN
rWoHInnaYFiuk3mRhyaAu2yAlsoD8Tu534phsFPXzUCUwyH3wl3rR0azU2F3YtV288EYPAaOACdZ
bVsdNfcmyN2dP4bulW+2qk7wvCj3JZRIZ1eVvokuWlEMfYKR3RjcbB3FzX4JnO5DMOTqaQTL5XBc
Gsuncmjq21DSNPeYcVoHkrigiQs5Lfku5IOCfR8Ey7WHy/Zhwv/O2lmrlS3wuv2sGk68jKETqP5F
1XvHvrAXkMxH2vbQaD/cr0o0Mdah7p+2S///IP7NPqpn//uD+O6YeP3tv/4Yyq/PMr3vf/bncRz+
zsDvmGofpeMBjnLo/jPJs/zfKW7J/5gjhEdUxp8ZnmHbv9NNt5kwo7B47HiTef15GBuu/3sUUi4c
BfgD5P34uL9wGmNiyOV/OI7Bj+OdjjsBMwwTUAozhufHsYsbX+hNtg1s3mqAyJnA8z0buTSCYaDH
zzYozzWejFYFF4VjbnWPlhgoSUhVnuquIOX4Lqa/I0i2ocN0BB6Juxq4FRIgr1y3GsObuXeiPIq9
TefZbe26w3TRVkywUsfsouGwNX4F+8PN8zN77ixEaax2xJSm9N0Z7PZm0jjFyB1EGZr/9jbuct2v
6kGQAc92LICMY9UDzSm/aUe1LTsvGlYfrkKtIR0i6IPDaF0tiHPGW5+tyzXIHCiE8da62ZTObDj9
fg46H+gsNAVA4eG6ietGopB1AlU9rO5MGzrarV1uXfOo0OG/AU7jmzfe6LvhmS97teycRQaIOlhI
eFBrd708CFSYwvuR2OqpXQmmFZGFCbrEI6Gpqw4aBejNReMB989TJPam6HKSerB3NHODYL2kTehV
2w5sO+MgqLTbnF9ZDBpDvNSGVa6fPR3h8Tcvve6eHHxsEVmHUqvKB1HIut+BmoIfHCM7H2Uw/9cW
5GNd9FZ901lFNXwpvKBUV6VvkKI4fjcbpw1JUvhHOCo9HqxRbupprQNLQoFzjv4ABMLZMeydMEML
jgzyBCD5E1D0SFjstL/J7VDlvJI/FlP43q5sN8vYZxKKKP40DdrjGHYd+6rX7Yweip+soEV9bnBC
urmIQ75syYMoRTYef38Q6hoor3SuJoLj9skYgSQ6EEbLcclOJwGA6Iu7WCr7tNnF0n/o9Szlu6Bv
01lE/QkUv3s0e9zzenbqD3lX69N8xrpT18En7Py6b5ZEIyQxpumTGeYdwHi3+L5wb+gGycT1CbeF
nOctRvzRgICe5yDGoauKd1UuA+ejk7vZ+Lm3azGfe/bA8Ww65WzuVGlC3wvHzsWFKGA2DGYaNkpz
LxbZVvBbyC6wzNpuMkN3e14qsD2jMBczDgyPZQw9lCPHq/k6i1VCdYnKyv/cZ45VnUaAbUhoG+TF
zKt6qQfz3WxEWZ4leegbw870y5J4b3XuCiZoLUvzpDTsZXukwZvpLPWW2rOvaiY/2zVECsAxQRaO
n2ux2ikmduWIrO/aOCcSCNyeHZZ95lftk6obHTJXAKJoSuT85xKOw+CfmQhJRIlpDpO+NbqtBr9f
wIARFejlmo2ra+kan0oMqifkmKNo/ha6KgpPTb8xPCa0Yi4v+/V/M3dmy3EjW5b9ocI1zMMrEDOD
MymSeoGJooTRATgmh+Pre0Xea9YpZnaqq57qMZMmghEA3I+fs/fa7P0/exMnw84yyJc++UqWsIxN
PU3xClisHm/7oWtHKPCDeKBPU1bJyHZv8ejh7UtWaMiJOw29ub3sbEviMg6sEmJN2zdjzgmxLyun
o3iZWDpuupR3htCEwo3XiC81VqERLhsY6eGBWskLdhHG1C3+D+knNKTbaIvrzktsOPQ47iejPFfa
RCduVTgPr1LsiuuBpEgXMEbaNnlsMgC3kSO14nUWkxpijevgynD6+a7VwsCyW5b+FHudWw9xTR38
Otli/QFQwL+y/GJN5qlQH60dzmiYlP9AXMPrimH5IR2IAD0WfGgrrvLU2Cl7qPaiAvKYmiv2vUWy
fvKHGCGGDrM9BrKw9ms7q23hY6mPBf3vtyVafGo6YRTfaUgaLw3V0e3I79xU/gW0ph394DVhvWfo
cUERTfrc2LV4ykqh7rFeOfYpDYafHDIvOJuicXfSWLu3bo3a5zJQIf4yPPg/Z9sCjtMzXYgNHQYx
0cOB2opwtJ4yZ11DdMFz9tMcneA1qG3AAMvkjkmhMbz0o8B4MPl9kKRF6H1xfbXgxU05CeXioga3
UVecx1kwrJztVN7mkRFsfQXKdGuZKJ5xJTnLj6mfn8fenwkuVHPz6jamfGIFQNJuuUaKoVcY1RGf
qfsRovfklORSXxFNtnEaW1/DRky/qjxfrXPdjmo7TzVEi9BW5W0gy+Cer3k5+iKqvg7dZOWYAcNp
RzbijJY+M13ad5A6imRhMIhn1rK6A66v/kWx2WebbmHSsw9m132ojdBnVQzy18YM5utsDo29mVru
k8/Z5603wWohl/R3agmKh851hq2sFxOPlXHSIayP3OmezGqRN9iOVXpLAlh16Et4I04nFIr13sN1
gAOf/x4PhT1eyC1pLw+TbkwOvab33FvF+4UAdcIRc65yOpRxzWnji9V1Lk+96V4H7nRbgex56lZQ
DWSL9IB313yztO2YzEV6HlubGdE09vdTPbVXRApTCgB5Em9FOgQn6H7Ggxo0/vWmbW9NiIEbG5TO
W1TM/V4Kxs3S9IyfNYrGJYkkHr64I1TifjFhQBw7HKKYs/gWEo6AYA2ZFZ/rdfqZFeVtFBTHRsr0
LbXsu0BVwyOAA2NbktDzAnuC42rR3QRY0HsLBnyZg8nA4SbMn2lFAhMmrisXZ05iSTf/At0F0UoG
U7QR7pEUScqFYTjBc+cgbs4sLPSI20QuJLDF0arSpyVqcV7564ftpAUk4qDVcSemfVSV7VWnml2D
LBs20FB7uHxs8G2x7EzgAcV4iwF7uaLICQ8sqNFZrKWxF0zEvlAGGf5X2YJw/Fh8mm6xWTfyoapN
OBJdLbGVFkbTxEQRjC913RCp0/tMfze014hzmY106rpNkPXo2i4J0vIgMqqSB2s1VfBWR9b8nofC
7zYDLJQDzuBmoy5OdKOzfnbZVOgdq5z4UbHn34ST/4K3tXwTfc763EqoChgLEowHmbxyurk4pGNk
bfAhY4BZvJwFBgN23ASmvK4Xo0o8v+h2QTSOjNiX6iw6Hb7yahi0ug3H27cOplSgBXW2a6k1vyz1
XBhHBJ8s25OVwc6frAI1YtBrjVXLID8+mvHJ3nI0k/us7yT2+Ma+wNUxGmOI+jqnpaihSEDUSXGJ
c5PxW+3KIRi2pcYOmHbdrQ0UAHt+GHDEzNtsY3Cgx12HGvGcjgV/T1aOSavWs4fvjYiirmnOOvWW
OGp0s2/tmYAg3wg4Slpq3qaVAXqD0hlFljuwoGIBztRuWe2J6HlHnZ007OGcLrSQ+qxSH6C2mkd6
NM1biOX5VRuz+7qk+fiwRF5rxdhe5W42dfgS9sN4mMlu3y1T+7GKwDxIyP8bxEXhdWc14rr11bAL
kIt8CGU7oDtc88ApHbdINPWslI647Wcz33h+OW2GbCgeZkUTZ8D2t0uVEM/IjdaTx7zgJQ+657rg
vLvK0MSdvM4/bA+D71IHP1qehv0cXZziXgTMLAfwgKPzgTphYDctXJFIYssTUobDO7tJc0ICguya
bh7PbLhkbLZmel21w4+i9kqDEdQYbeD+yYeeu+mchgHS0jBN4oWmhLFpG7PeA0jO33F0+4dcw02J
B9uqngevqfcusX83aFPcrwp/0NNQClxGHEUwkhuLEezHBR8YZAWd37qqn+KamGiyloLRq5JmrJC1
cnrDxT4tQMUg9/xsCm861isFRjwsZrBVgcD9VRUXbpxXjez+laqRwnTKP3YV8+S46RuKBtR4tMhE
T7+EMf0Qy6xPEe+EK0Yd6GnTfkAp90xToop4OLtx0xIkm+KNtd1XqBLeT8/X9bstJ3VNS5RykXn+
V21DTV/FAJ2rL00fdzry2G8ITMTJagBX+Gs6LYleXXOLh7bbSADB872AfpBvQDNm1HTDXW0r92YW
S7+3zCrailqMDwHz45vRtHi2h0Z7gLzaucEAhot9sidJCwfWycm3Vzy6tdnzJOJUaoINWuSpupal
PV1QdLBCFhVU2BRmI8aPUnkb167rTRrk69m9cHivW57tetNom0ZnoC0sj6Z0OAryxKqbaCIkE2c4
y5ah87S7WrwyuKRWOg/SMPVBthU+9LkviEEbPXd4Vh2A9FiVi4UTEwdVMgVWDuomr6zlZRr0dW83
LTwOo6pzKm0zP+i8cbbUMN6dk87GXuKe+u7ZynQudtDpLmQdBlNUlWdADNk7nMdwOGZmZsM+aFtm
tLi087jSPotWVbQ2EIUShTcu53698lqvoCU7FGQ/BVP1ZpQhVWDt90/ZMvAqthSOcU7n+ye4BbH1
07Q8GqxyL9nkFYBpLOyp+OBeGYU1t5PL+mT55MjZDnSmmPGPcTutU3YbssS7SWq30QuD3ksJqzRj
dg4It0Y7MoMpA29bejmRSCNCjpvCqYKbCHv3N4uacqul736f27ZA0Fx6ZhrXJbCJmkXx2KfSPSMC
b57gpDZvAe3OKunckZyIpRs70FQRmihk0FcaMM1Xn4butilT/2jSl+/wXK7ph9uNcmOJVD2GTq/u
zbV2gT1EkR43i+1lvJtesZ1GE8jBOrFp5TJ6rqA9JRAZ1cEdg+nFZXK744novnrmZKL2TqvvugnK
syzC8DQOLS17Q+OKNRvvJP1w1RvPdF9yyyKpcZz1o06N8oc/lvhzwYReyZbHcTLH9LuXwXIYUZbc
+GKpHiwWRjafYlJxxJHpPrejmodsGb6BYo7uC1CQO3v5gxgbHj3fnM41IVcn2tMA3egLmsQJ1vIx
dEX6dRyluLa7nlO3moBfiYLN3MgrfePxJBu2d6jTJmURKZg2JAX2rK9emoor3xi6c+kQkyid9hH0
U1HGF3bSLnLoDe5Yw3UIaxIymarT4mRlUw3Op/B6ytq+/uKuEKoS/NEXXEzdbgKodRVruLDuIeYM
L40MBj/xW62o4idAaomVZiv/QvnRPQmsyHZLzmd03eEAH0taKFTWjDzjBRn1YaR0auKRQU20Cfpl
/ib71n3FC6meO2sVXuIuRIdtM2mFX6xmBbvQlEt0BCzdRZhIZVG+ry0BHocSGBaQSFE5R9et5LJD
gi+GPfXyB4HiAT3dQd3NMBBUPMvwJ13j+W0oanO4WtYQultreTSVQqp9DN8AvgB7Ve8DXdDlqQQy
SefbLqB8SJW9RKn2D8PiDo90P9K9BEJG593OTO+IQbSCJdVn+qCW3mNqI7zCSARGNrGxM+2jHNB9
czI8t21iBar73EwNaYto9aJq368OKK6UEU7RSu8DE4rcp1Vbqm2dU5InARUVQsmU6CmjNn/4K1SS
ujXtLbF3QhGINmMH5Iy6qm0vKOSPna9mXovQ1me6O2MXk2Ahnlq2zBr26Iz5VuMRiGezk89L7xZk
nI0Nra8IvEIgCuILR8s7Dfk8wlzyH4t0msnWVQaOdJFz+HXoB6zO8piXhXumSoXDBkgnWYRt3hhl
Ud5b9drsbXWB3/VNcD0B63sMxqa64ZNyGjNE9eaz3BOjlTFh6wcheJctp7qBKMa4BXXdlr21hMqH
knq7elpfy1G2EDfoNSJ1LwtMmG1fPvgtUFWkJjXiNO3aJg7bpr5DxnAhfKWtZ15bQUp7sLKEdigI
AF+epjVfzYceOjTNNznq+oqWBwn0VWHnJVzxyYPaEQCNf+w7UKR3+KiBgm95shRaKrtCU/7DFevU
vIPrKL1d5fVyxEsR9gAse1+umPRDlo/DVFU5PE4szEv6OnpTCFhylj5oJFtAaAF7x+E929dlUHl3
Aydy95gGIFGTclacZsZIRelVbs963YZmwVXz0QvO3tKFP1U5ltHXJRxSr47NkcVp2w6O35/nVAR3
HB/c8rmKFFkvri6LgSiPsAx3+dSm4Fs43Kb3XuqkLTpD+gXHlZTTcreOUGA3BUirj4YDs9ysYYkP
GhHYGhdOI8o5sQKOt0vclS6Odu3ZqbWFosbPGVeYzj2k2K4+lNZsTFuuPe78YI2sbTbN45Wr4Pbt
4HOv04NUzDB2BTONdI/jeISTOgAKuuqrS2AjRB4nP9AkEsFV3brWtCdKmrZkvE7EWT4YocfFCao3
wk3IB832tAv1fMxIZh7vSO0BOOCEVX7xMAemsatyVOkHhr8GtJiii8SePJ/UiX092C2jDlKpz7W5
NBTKnKXMZx8LFssuJFWHkqt0gWLgOTTuovVi41/HlW7tfw2BRs27wOhFHqLPhlobKmT3GyTI7oRM
PloTnUfZSiTl0J4DhiVrIvJZhzuf8Ygm2BC5By554d8Ni1DndPLpM2Nx2OTyAnylBXVAEL73oV1S
JMEAiqthFTDTSRAYAZhS+wv/vQC+t517M32mlyFi2+yD40QL8Sgq27ry9dof0ymtyALmKF/NnrGF
ZfTdH20CkKfpNWuR+vSFLYEjhMGTJ8L+doYBWcGQDWbFfM1Ut8vYfIBifV5CMXKt8LXXYgGfFZ3g
vJ/scUzj2YdB5EXAlqm86hikVBTjCrGZUtllko+0tfI6f+kJQ49nJJ1xKY0hUaPR70YXL6Mk7Hqf
L4NxCGYAJaNLGdZAf4CutB+QQ23HUIqk81bYOMLUsRWN05buuHXnQYlNZmgAYovCLE+P3gByNyb9
r6KzwgKuyZHaho1VfCNiMtx5C6ssiHZLRwk4ese8Xvu1POR1cAW4OTuUTiu2rpHrnbTrhyH0voHb
RSEvWOLvM8DSe9Qm1dFX7nDMdQcDtvK7nzr085uBgxlYv07Ud/WKGVBKQG74QqZrC5TvG/qZMTEH
uz5S55OU3nG5rwqZ1iH3LnQB3qmrrJDLT7LMgdx4Ay+2j2hvn3aW/56X83lel/pLPY/Zy9wZ/oYT
R/DdScvg3RQFfUu+2NdgoO6Yh7x41DpjSL9Y842F9GpL4J6Z0DRrtjhW6DfNM2REI+t3Jsjandnl
Lz7MiXI/Wkwy414qUqPtKHswJp+ULb/44VaNfyykvnXoKsbVHDxbTd5trMpgqZZAEIGTzLA40p/u
rMqjlYvwvfXCMhF0yKUtPnTn+DSa3W6zrt7L5DtAphBibnJFxW6MMr2ag767C8TyjbLewBQ30/fg
xYtbr8ruilCHG9+iJ7sJgumeGuxd8NLGXRqx+yzlXc0MJ6ZIUTtrzZvXta0wjtauNYIp7eQjNGMF
DKpc6ocV2q5FIgIHt8ncrobqYJtkJC6CHIzB+FobXRfA15wKnJUwCMyN+p5YX5I8qnzovs2V+bCO
zoNmiqyr6gCwi5HH2L4a+BWv0Foc0DRkB1nxXJWOekPyu14Xkz6lC+BdGOlp7Oadu4fYOl6BBCYl
pAmXk+XR81HUtkdpG5x9unwBHONZ+2htsptCjbtMhtYPGY2Uc0FoX/rAIbg46U/HwOm/Fz0zLEmn
6xRgAobU3B7a+mJ5G6N6Z0rqrdKN9jOTtU02WzBK/Uwl9uC/sobOb1OnTm49p8ei6oFcTUA1EBST
xBEH5XAYo/YE/dTYeDBkaTEKBy0HfGt40jbsyjAImJ/nzugJTlFuc+L01kCc5H1R+zolygnwkn/j
+Dy23QrWMXKERsNfvwB6Yk/tU+vZrC3BwE+LDTOm5hQQfR1r0Xux9JrnPvNfs54nEw7msqmdhuU7
sF6EvboJN+tyaiuxzBS1piVWDGGx5RT7YtXW99bPYaUA30gG1xd7agGxnRERn6H3GR9RuhixZbdF
0qmgTda8fQaSWR2WiZnXJeawiWU92Cd/LkExDzJ7Waua2m+ZBtL0HMZ51YWJlfvEITJE3EKbXvh2
RZh0JRM3Do+ld+8Mg9qDhWUhd7LushHo7IPDKLWGXYPAqlgbWQc7nuM2606KBjAczuY8Van8YvWQ
b4KM7nWZLryUoWwOATwh9ojAWEAUeP4B8vp+LnrgGTm4HlQDplbbRhXnSfjTiQ4ha3g+JQsMwXvy
4L0r7mHzw13LlCZDwyHFLPJnd5qGsyJz+ClvKTYIrOQckACV+X5pEP80RqrpdpjaZ1sTGjBxlqJv
wvhoI2BPJavpoK3SlqHc677jiT3iYP+60Ec+GlHX/pHkO/TbkRj36zlq5c5ndriBtfWe20a0biYD
1c02nRWBJFNlmF1sA6ls9wrrwmkp+5EU1Ly7ajXbJBE33T3DbQA5RgHI8NJIA6SuotjJC+Mb7QvK
Z6Pac9ixrm2HIG6gY3oHppPHVRYfIUSUDS2pe6uJ7kejQotDjegn7lqtm1Ku2QZbKX3syo0giuaA
V3tVNVQf0t7gkv1elKMRC6YR6XYofJlRJ/WgbSVkWyexuw4usM7oB/tenngM0qhnhX07M3ql/UNA
9QzyNGkWZ47H1ocrpftO7TQOS3bVGuhyp7Xe5WZtHho3ZJCH0PHHtDanEv0GjXdTXxWDZdyyUvt7
rdmUKVPJEA5T88l3nTEOtJp/Q5D4VQHt+eQTE9pGWjFOGMTxn61pUgBedhrtx6QnHDib7SpIs8x3
Yd39ScjwHznon+Wfv+qfLxpAnDbEpeETw3CHfupXXUCqoE/D1kL15IANPgm/sJcrjabT3PzzhX7V
A+KBRgRxsWZgAjM9ZFqXn/9JD5iGpN52oinw79ckFLZzMAKmE1H6NrdUjZuIL3WlQIvyJyvzvfk3
kvJPqIE/ro9e0rEd9PJEMX92FikZgsL3CRUskD1d2E9wlJBfoVtw88BpdiGyoe4V+UQ5X5tTbd2Z
a0ePwZWkOjFPN/JzFnVmdG2N0+D9DxSuTy0HQvFZFv2LvPX/TwS7/9FetMnD51/1v1H/evHu/79l
N8fvP+pvzccv2urLv/i34sawnH9dtPQXvIDlwFQzeYn+LbmhJfsvvLpYH9FvmwFPHU/bf2Q3fvAv
jqwuDwAJoOxZIT/6j+rGd5DUQnsg1ARZzkV0/d8R3fyqq75YSlHtoO6BUYL6xPUuipw/PfC615yc
p3beBm0OPpF0ZF3KZS+xmkIhXuukNrvfhUv/6jO4XBPNLdYkkvNwWaIP/PWaEytgmub4QvoAicis
lmZnKese5t18NzMI/M3i8WmV+uNyqDiwNeKEsrkNv15upBPH0EDSOwwi6LcuePfeXsGQlZ3/m+Xj
by+FG554aa5Gg/nXS6UTBr2Jcfw2swzzEo6Re7ELJYnB2YUM8qfH7G8WxYsY6v9ql//9NbL8EmmF
Hp618dPXOAj64sLCAdU6fXWTO/20L6ra+SrLSjyOhvI3PcoKFdv+1F+7CLt+c/2/u40Y5sA9+Zh8
+Ly/ftjZNAEF1Ua/zfxQXHXInWCO9f15BJu7UdJwfnMf//Z6WHrw2lzARZ8/L8C6zraFg8EsTeVD
uEp57bNdQigOw6uoNv5Hl8N0Y9qkuuPa+/XjSYBjoIrcftsFRsCApZYb0P92MvCoHRQAzsM/386/
+3g4Wmn+oZPnzb/8/E9v4qC7oimUxoEIa3M3Zj6LO/qhayRl8paJ2u88RZ+fVRfuGv51suZYgaCt
fLp9tRdOq1stPS311b2rYHftOIbmm7prird//mif3KRMzz5d65NZL7Lh5KDQwozYNMOx8qcmyWpa
mBAVG7qQ2XSTZfYdHpT53m0j8wpUtHuogsGxf3NT/+5D88CaSBltx8KI+euXrEoNoLjmD4G53mx0
YKiWmI7iap6kev/nD315Pv78evKZbReRJWu1g5fK/fSZQ4/wCQ/KFdaUCHpLEfWIDq3lEcx0DXJ8
pILmHwrcszLd/fOlP68MrgmuCBklYXdYJfzP5ujOqiKpZSa24kuxNW5cO5lejf3E2erxny/0l8/I
SsfmxmfBbccKcqnb/vTMOr3R90gG8m3AHGZrF4V321kUx3EQGM4WiH5wpOXmoEGiEP/Nrfyba/Ng
AdmwqZRsStFfrz0XvlMYLfHsnE85Sea+eVjBFJzDPLtow6wPlbso7dYm+M2695dvl7xs18MJynNE
qNhfEGa121hyIMkTjHx/4CI9C31YnrTU5qYIhwZYpzHvJSnUGydL5W/Wib++TBZ4DItgXfYzdtDP
CXFkskZWmQ75dli9dUeTiwMkk7SLrsa3tjZyxCR0tAczfRzDQzo0w7nUGazvi77gv3v/sX0Rsc0m
FPBOBZ/uAchlHCUj4JEF/3syhOVH4bZOIv282Vv93G4kgskdTc3fMSP+evMvF76AolyLydDnLMBU
TUOZogvi4w4zgE0RbhmCNHsOnM1NhuHzGXbkg7+q39mq/7KAcMzhgk5wqcvwfn56q02dWlYB0xk/
fjiQ0qa7nRkyiR6L3vyNHfNvPmNoMar0A89iwws/r1U+GOYZee22keihsOt6O6C987ETEUMVNAgP
KhzCR8aDxW+e8L9emdozpDKE8RKiRb68AX9+rZUKlsFUYusIT28QlbRvmVl96bTrHJzWyE4uQoAE
50N0/8/P0+c90MUhFl7YRR6GJ58MhF8vrGxpoPGBFu5JNHelCq2tuXrOVaideyuLjOM/X+4PR+sv
a/Rlp7Ut7qjNMRZ74a/XK1oEOeCW8WiU1vptLshCCOycyViAfvYQLml/To2AlimWYo5WENCuA8Nw
3keGNltZkCswu5rBmuqGJwMpObq26Hex5Kyol7Lxlz/zgkYhSfdS+1DtfWYtBWGK67G2fJQNCMIS
05v79avltA6o1GoU8iaI2mY5i6UwzCtyW0pnW6bkhu1nL3fQT67KLvfATJb6cSjale7ZmnEU3phT
ahdEEE6mecM537Ue00sWTYIQrVtQ1sOPP1ULsXSH1JWN95VEYXhGdLrXaqMH3RvkmbVmZmIhqtP1
FOaOAObF0ZpgQbsbxp1R1rW4cZQTfhsk0vqXdBzy7Lpz5x6dc+vAmKyyYma+aozju8kIxD4ZeTZ/
QUnL1K7DHUbTm8cO/7Et14fMWWiS4Czjlgi7qlwi62rXjpmmpHfSQbtFY5kibddEljafplC5P6qu
XQ6N1+hXnZFOk4SMXFFuzFH2zEHFLJJAoHdp506FSU9YWnO35o6ajgZSAXODf4mW57B2xlnyQqL5
G8XwLXJnp9vlXq/2AhaPPsqsZGDcAMSf9lBv9eskXPO+p+NKG3P10q9wzeR8ynpjoZ259MHNEi5G
tlGcSWj1kEnX7RnfdD1LCuqnOHcdo924aYPmrsog826XwmYkTKyykwyFPXwjDrW3tgiExy/h1A82
Ch1mmQlEd2gk5VAu3xY0oDdTG/hqp4wxnW/neUE2XUxdPu2KQlgGnbmOPh/1O0K3sfDO1ioh8/L7
6A+TkHQD2rT9yQxvZGzbQ7I7ap/IrYTPXXRYzfI1YyBX2Mcg7deGeRb2ws2UMz8+5ZlpbE1RRca+
97wxo/1ugBJu7EK4QDy07wJRznwEkRH/w+/pwG06nM6kHoeYFej/20GTyDwP7Z3yl6A6FS6S/iQ3
iM5iA3bSbUlxlUHpF4vaWJD0KkCmWl3hH5zyrSHLbDz6yLNmdHvSBfy1WO10jKzWL3a2hvIXRTg0
/cHED1xGVa+2oWNkUVIRUvTkdJDwobJ3FMSoNnIZV6ORiouOr32pK5cEJ7cfrWaTs7A0O3dwqieA
UAW3oR9TEpeGdKS1WIztgz2VSK2t0c7Ke0IiAVZ41SKuTL0WYi/scgxvR+g889HhLHejVOpkV9Ly
3MfFdwwys1rgSFtTm2n42I1Nf+7WRTrbCLQ0V+gV8w9EPCSDMcrOmrjJC6ff95oOuwkSud1Pnpve
uYiIxYE9HLU4gfHIgU05SApScdGANmxBF79mObLY12b5bA1R+oW9hUk7PJcwJTgmje4wO9De90ff
Z/BVE2GX+J09kSeU6fbdzwb2CypFAvkCFelih5BBzncw1krz3s5rIbc0G+p7YPY+dO7WvEQYMYLd
1iTdjHwd5hTd6Y7A8jsOIJFMOqQr3bXCYfbYdgjuTpFAEVP0ZO5sbV0135eqqGjdLtOcXgSn6bEp
FovsLKonQN4F3duNV9nA2ecapVlceXIykhRoe7shQnfSWwGdH8GZVOh1GuYeH+Vom+uWrrp9faEI
I31Yo/wwazon8biSvzP2kLbLobi7GOigjqQeLHBoOJc0VAxKCfJYLyJpsrT6F0DpuBDGbmjm3Vx1
I3oSSYDh7dRZRbEl1qnLT5VQ3XhsW7K0uNEAnHa6wTeTZHat1M7THQ3OWkTezQQdQiNcqtyZcgBb
6L4cg8B/cD1omYyozJEhgIYfjjqY6JXC56i6pQt9GWj3GDqWcphFMjrdihXCCKuY6dSyA5VHkCsa
usneyV5BMK8gUDQA6iEHxph/O/OIQLW8bXTX1Jua0ErndjLd6UvASNk8wClX9xHW4icap/6raAQn
nbkZBkLEeGwOlVXbEwFJKUbJfKm6KMbL6hbEtzmu3PrBoip8mwSqbGZhQMBJ56Jb2XeUEomvi+a5
yrAbbIu0Ke98XIYReYu5RjohxoBzuQzF49KGmgVU+9Zj0DTZ9yGauy6hRKN/5fegFSpNRXds/aHV
R+wmVQalNdIViTzjjAAiqsKdanPCsfAcTGxHYZH9EFkle+DEZpHtJZL45whj0bixFalSLIw6TdHD
pOS6CW9lxNrVer8MY3PypxSPq9mm42O3oEZBGWioq3VwbfypZVoPLAMLaV46xcdAyFJgvPbDuv5s
hLOUW6u0fcJu1zRMhmGyPaA2OdwsoXumUTRyRAHcmzSpOMPVer2CNhliUriMH1bujfeiE7o7ElDH
4NUh9iourc4UTCpKxpC5Ydond3XceYMEJr2EtaWh3KHb5sVQ5EQtCYUSO9HUtMTQqAUbwCZUvQfH
23caJpMC8UZMYJPT8n5o+13l9XA28yF693KvkjvCh6IwTuda7jTOuxJJvnC7uIqK9Z14XQO8PWA3
pmCXKA0ES4F/K22Jw5jEjtnbBhfYFD/U3ZiMqYJbKfLhlLftR+ZSVpDE2gY3+BqHp3EhiXPK6vw0
eHljblaFgT2hOmnevRndCj4qN7tmFyR8rZp18N66ciB6TlqQTJfJJlCDyaeLtRmA4RKj96rMczFK
7yLKxk7vWsX6lAWLfKv1aE7gGoewf9SBSqN9BxxcMnazsg8CM0N/b0yhlT8jTKpu27UlR5fhBdgz
w6ttSkOjrr7r1tVHMuAmrDF+6gi0xFn0hIJbu5u6NPEBEj/B+rFWVY94fq6+I9OUIu6sKc/iIfQr
dcJweyk5HUqfwL2k2ylKuCsdTBOqAXcZ6p1ao+pkjtbypjptH7qwCi3mugvFQs0NF5sOy6Kxna0w
e86WYN7B7NAdCKDU+pGOptJJiwVMbWhyRXcENHv5AT+xRTMIhx2xCbjCgqRrAl1vqJjCU9sYqBHX
3szuMQ9xtwjAIsImsNaeMATLR35aTxcE6drjttzaFBMTga5WgyrHN3KEvPBguivDGpqCRXa2vzHN
x9SEg5/VCwlrQ2qKbbkQ0HmhzdheoTrt7Cnr9AnQe/RFtV0cpeE71aTrXDtgFBi65uRFOaPh8BtJ
PEIQ9cJAu/jSuAUJlxmxItg+umAo43l0l2fDnNqtOxfhU7OWsichK9XqlFN/fygKURozfm4/Ncac
PWnVDC04wFq8rF2rug+ThuyetNUVgd6wLOIadE6JwiVSGekYtb2grWkzOZ6HNS/P0zh43e3s9fJU
EjbR7bqg6VjFjM5BZBWqEgGb0AJXmUDQg2FSS6LUHHJGtDf7zalfyRDB0tFxyDcUOX/J/2HvPJbj
5tYr+i6e4xZyGHgCdEYzicoTlERKyDnj6b2ga/snIaK7zLEnKpWqBDSAE7+z99rxQJT0LvBILLpF
VN8FHAzVweT0et21h6IvBw4e6yRGgOxHJNIMpaqmeBlM0tP8tE8kiAhd/y3xNY8MuCCrTJclLylY
UWURrguLzZycSTabH9aYombCnJqlBJMixQU/KtZ7KFUpKxvT8w+4khVjM9XFSJTLECgHoZ/VMgk5
HS3BQVL9U1Ba6aloSO9xRoJu55SaStn0bTZZTheoUAuo8EgfMdOEI5pyQRCcpAnoopMYSr5DfyY+
ZjDadGdoZX8rlHiYCTwyabCEknDAq6kTPy+QA4sLilPN6BOzykXjEONdG+AKtJQ1i+ghKkmvseVS
yg5IHKrhUAxBgW5WJj7EQSVuPjehasBIUMfhCYIq9k++GiOfofbkXkMRJkIzjfqcFWcQQvxrgHsT
St4JItFYidE3mx61o2dXRqR8V7IwQhZCXWZfj3UI5BFz/Q2uUguYXWGEik3CZ/IlosaRbRqEKcI2
NNGkUzXq5WNVKKCfY/SPHstJSSXX1NBJXCeJlFB41cTlQJSq2WeOHMVByipuIMpdGhGnHc1JMvZi
bUGsUNRYa+5GE9WeQ5EuLA6qWiPtLnqiGgIt1PGaqUYxk6YFUQOvk8dfkP2FwyaoJMNuEcLlDslM
CZZTmG6k18SsM09DInbqVmap15MHbXZI/eLyPkhbA/W5WJ+MZqgQ2fUeGz1dHPpdriJk2eKlYw0p
6wSZsjgTkCUImGbIq6ySQybUMoYkwBGfY+oTBkXEgmT4CFVTt+cclHNzmddKwzTGnBLjwNHnlsz5
7jnqqQSeVGzhogu9s1aeTbMZDyqSgpa02jD7SZ5Cqe5ab0ifIlopPQVhA3NFZijFJu45ggNNwUy3
KfM5bq9WDfgWMdEW+9kwJG913pOwR5YpEdqZDdEuk9tE2BR9kx+FUU8mfHCp8MQ7BfZMgl5U2VXB
3heKdmedsI2NH9jFtkzgEywVOHP0Mgk/bHQnTBZKeDm1MvJ6CCQvYWuELEoVoT8InYF4N4mGHJVe
0bB37Tl5BqIwJ2WlYd1XCLDV6S6vYhWdIPvuT6DPUM60JTGV/KSuvZdYeHwW9EQjQ4gjGxHlpuw9
tKpIQGJWMmNuwwlLxCbzJ5a+AWFp55biAQHQnHF9ilMxpJn4KsMftdYWwIuMKwmXBbuzgW5bHaxE
aYj56xuWdEGRkbTeidmsnzERFbE8h/VQN0w5FVu6doPFEqVQpYXBo5aWLBlMrMGfYPaivSj93CRT
pO6mverVKn9FD3iqQ4i/RzNkgMzNVCwdgpNCADpFUO0Iei8EWySiUNtKymBGnJUrlH85EZvTjZQe
xZMaxLjBIcaU9Cs1MTeBlUk/iZAL+l0ZyMajWXfZOVSxGz+IWFw9JwgIKrVRfVrEzElE324Ug0iO
k0JZxL/jXEj/qLbTSHpo5Ss3at0SHzT6CKpsFgUpBlCBwoUrpMmIAIycYBAliRD023xsEMkVXVPc
Bjg2xmNRyL2/m4s+5TasdVLljUw2fVcuA6PdM+hPKNyzIVf3aYQyBna1hegRZar3aIKonzeoeECc
FtdRvdOKqajuWgT+4a8kjHxtpm0wVm9anorzFhmt7rZNR6K+ZsOwdcQ86o+I+kDAH8AhVKHTRKpY
biFia9OeooOZUgIrzI96lbcTSUyeROyB2Y6fTTHu5Z0mef1xNhoHf7xOujP04fB9kgvhMEgBI5JO
gNiEBKdo0QnW09mH4sUwomphfw4nPZAwDsjYB7HC1NImZNkxnHNZSluHoj1YOFGqOYBGidjWGMZy
TzgWphy1aDO68sEThxqTOLNHfZcJzOC2prRKeNsIRmDtTCYyzGGRbPiHrAUEZJexYJW7hLUx6bA5
Zs3NJFQYWbw6Tlmaqb6y61oigDeCMqS/1UQwbgpLnuSd4s+fRKxQFFP2KfWNzhYLm61PjdhRfOqF
WOmU+ptBOczcmrHEREjX7CRkjU0vn0ZvKr8D9WeFNuCI1j/B3mw1tt6ydBrayYevz1nxgzEqfvA4
BCruQa21QgO50YyfIPWK6q9FLt1TnlaIBBmKo4q8yTwlMxj6AQlqalUN5wZREWF/OZM53F3BknfM
VqjlOnCx7Ciawp/FdJngqFlXBRswbDjRCcBqOAybyP/eg4cLEMvhjCYMrhSQeU2piJV/Gr0APxJ+
Z9i6SiX7hx6Lur+VWHoeY4X/uomivr2hlmBMlBHIpCBrXNOGjQTbCam5KadQn9rZl8mJW/hjICP1
NmBRS0fNFT1j1dwpvk11AzNKAG6BbFgiwT5Lache3ZOG4VwlPhj7QgyM86QKDUQnvfB+h4y8P1NM
xZ8qAQuGk5bwJe1Q7Tj8mMyieuSW2niC1Jt/VvKgGqBLBN5zMFYAIgqyW+VDwE6SGaWGHepkRWnc
sUKcxoPehelwX1eTP9icEeJijdQURzlB9dUM7zIrg3G5qW8jUpd7J23z6if6OyN0CEGtfgljgv4W
a8IdhpmWqsVgmqzmM70BH5ZQdSG8DNP0lrRnjaR2znoPDXr68FiWhfgZu2zzRe3SPrDhVsWfyB0S
n0tDGuTboswokXVB2CgbEUiJfgTP7e/zovT1XZCU0UElLo7jY2plDSB+9Ymju33BdCM7na/ovhNF
Zbhva5SXdl6xsCdUWpru9Z7MxDEa42elDCSLmUGQfjJ8tOUH1tABDhfATCbqShYQKPzNmPbOdizA
5q6xGqE0NFJZ5Cjo2SeBmPigRiLBkQqZuNVQWFfb2pj40OqkC99rtoZsmC2TP42xUnM3nJJStFHX
tQqhgiyiCgom9YaJfFLYntaCehjFQAQFTkbbRlSSgXKiAikSDjG1BmqPXb0tUtmY5XlT1zhGaDRf
UyUWOkdQmI13ndSJP1vyISKbEiYHU4jAy8dIR6/oetXQm7asNgWG/CjpabEWG0lX10wRcW2bcSgA
LIaNvW80OF6Uuc+OQtWdmJjSmGgzwzzkBKAOtoc6+C5RpoF1DBYbMmT9Wvb2silkyi6ISExjV6az
i+ooF39nqIuzuT34t3Fs+b8MAaYti946KrbUoSM+WWm0uM84+8H37dMdnBYsV+AIJUgJztFTOkzH
CgNfRcRBUcxndHIs0+VBKhX2U0qREhVZdhijbRJZJfy65KsQAZsY5POUHViKMFKnnY7E8kNmpPhF
Mj5UZde+KWVI4YfhKDUp4H6/xBV4iIE2kQTX1oxDpL4Xn32k69LR6hj0HynYVPg7JwS1dkYZU911
U6vVTuU3AZVqK4erEUsB1jIqIezcGSmkivVpjoEnkht0seTZgU4ts8InLF3oumRPo2vu8N7jTdQS
XAkosEvcjjO2gbjArt6MU1BTuTUn8B+h4KcN/AOy2YOiDShFBdr0mVoOB1mmmCfs5dGQb0Qj6r/W
akmlQdaDL63VdhreW/gMTsM+pLR9RYgy0nXrka9N1dizzW7sqEj6hfIcMWBRVDLUce9N+AJsQzPL
fR9X5SfejlRgLEwCt+DUyLKxszSuQQaqiWU40/YMCOxkun4aWgdDgJmTvD0JeDhAjwTbpLDojkJB
oDHnLbKRH1hZiCwtppIIvwHTLsHcLJ/Z0eDaGRxy4TnZxxcnYTIz0649N3E43gmh51m7MZE0NKVV
0OVnEZqNuTcn4E+HoROxach+Y8abAYZLs5OlovxGPTdmBzQh+USonJUHcvSoKfccU3V7AdPDxyYa
g/SgkYR8CJDhSLbB9u8biYs65lBBrB90pdLQuZMzfsO7R48dmZ5wh4JRaWYDQA9VDc8N6xc/yqg/
154KF8bziXjGFCc4slqGxHhC4J/sxlD4DCbn3xhGcAOpu0TMFRxdBL5+sPw0YBeSmP2PICRayQ4z
zxDspFe6z0NoChNOgnpiluU0aFOghf8q+Dnb7ZG6g7f1OYLMNvCMsnoT1Bo7LEmPQ4q8eR1/Jxhd
YjtEkER200T4gYiXn+QnGQtJzolWZj7haJE/qpMF2mau9ba2h2GzoJvL8c4HC/fLqKukc8asLb/o
lWLu9dKklGh5gsD5hpGO+F5Yv4FjC4AKbzlNVpDyKv1XdAbdz6HvqZN4oZdvhLovk31KDBunI4XH
6OxRAlEI6UnY/7cWKMAtQeBBvEWqTEZzLqThKdaxjDn4i0rzkNaj9sFiZxQxjmIjuidvjez4JKz9
Bwrc0weNTNBgW0AdCPejiorlhtUfO5aEgpznqkreeR9CzifqTZIFYv+7FGIrIfF8MGrjE8ctlrZJ
Ro4i9zlBK4qLxD0KHuTUSJXbdhi68Q6bWGF9yGFNGGc11sPmuxZbClnmpBx4NqeU9b0EvVGxOXgs
9Gvypr+OkhVS5hAJIOc1VSijC3mTCt5BZ9MIDQtX+XFoFP1OHGRryyCngAWkUV4+S37jfpIqi0h9
4E/DUllI/4B61VXAecJG4CRhAwIlP+hIvw91QPQaoWTev9UB/4+5+w9Qcy9e/UxMfgUzvg9I3y4Q
w/2qX2pu//yvf2tuJVn/l46oDU26QWIZkvH/kdxKkv4vAMYQCixi3DhOR77xPyhj8V+o4JjT8dai
JpozF+sZqPef/6H+i4oleGuTE3AVES95l/8Hyt1rbYVA0dJAKE87eS01wNXmFa2WAn3V+6PaD08c
AbBiBWM+w0K2hPaYO28Sr4jQZgHDP8qBf+62EGZRU/T90LPGcys3z6qSfWPL/FUVs4+Crv2IpGtx
Xn+Swt66z19ymDDwwSENZ5Lv8KMOniU9DJXh3yZR1DzovTg+5Gw/3JzE58/U6DHhlV0Q3LR9lJK9
BF3jw0DFnFFHS5NrXfK1Vuefh190ffKLxz6sAnBRZvUDOLEMDDOdTkrBqeKLlnf/7wd86Ut43en/
ucNCmpNXcLRZPXdnSfAOpdGfWYIam8Yfv+Gqv6Y3W7vJYkTxOOTkSC41jwZQ+a7IwRwckCRthe6K
3GflBsvQOzUFRRNqZUdkqhU/g3ccDpUMEkWfzPShoaZ55W39GQPfaCXLxEZSpivTCIv+bBVG+YkF
Xw6dAqiIP2LJCvIac4sKc6usROlQlKP4Q0+QKNBJieKAYdeeBSsMvpReA2LWx0f4oacUCQSwksO7
EceybHemGp+CkrrA5Q+8iOn73y+8VCJRV4C5jMnnHCVj8MNid7bRCh9JSTLC8TKFilDiwdTTrwhd
THAZCaLHLCyxL17+AavvbP5oLzRYLI1BrQl5d07iwjHNAHlL/ZRDJWlSKq6s7dtSu+/VL6Zc7BGi
Q2WEExBZW61rj9hlHJSbTlKrDxMyUPYS+9C48mpWepe8GMiKjglNGHgz3Xgv+qjfbqJrGQ5rDXIx
aqldXY4KRxjnwFSdyLhLgwjuVevURXalKc5XeqslLsYrWQx6XRa4g1p9Vosbpb/iiFr75YshJ6hQ
9lBi7s5+8RkvOdiN0Im8W4syweX2sPbDFyPOhN6RowBuUKauUjXbFl/d+668GGbw4gFWDOefLj2I
vPDuv1cqmH7eZvevNBRpoSLU23aUzD4wXTarANUB99SpdoxLVv+Xf/naDeap9kUXSS2584NWD8/q
QDhL1mXUEECPbynl3l++w8o0urQcaKyWi1IpDBeF3FEVqKZ5ofWcC9lp0vxjzSnhle6+0n6W0Rsi
WgOqcvCvQ9/aN/jAQRxtm3g+8fh2+VFWGtAyb7TNIcQYkWxi1GgPyZDtAVr/fN+lF91WRF0VjFpj
uqnftrsoFn9RJdSvvJm1373osUJu+WLDNs71RESMYYDqlm3H/ymX6X9H+WVIZ1JKYRoUhuFKmnQe
m/gDKpN7AN4fLr+YtQa66LQdB62YhT0DB7/xoQZnRxbrA1kIu/ddftFzwXCjja80fS4mgtfAKs8R
NYdL9eby9VdevbjowLLYx4NQ+Lpbtq0D8Qz//5VfvrIYFhc9N8J33mdTprtBpksbrUJtpvbf/Ngn
Ql5+HLHYoEKs3teJxYXIV/DGJusLD8WEEBswMbV96BdPTZl8iLIC1hvMkcvva2W0EOfO/WI8qqfO
Ksm+0lzIWy7ABA4UKCb6HpioMgGjVFCtu3yn+YpvTGOzp/DVneoICFzPnSjz1pSZuI1nqtMmb/JT
EwKmuHybtQYw//uLB5LCLO4R1mlug1Tclq1BpigzXRm91y6+6NjYGxtEdLSutBTUk5hbVCTFur9y
9bU3JL/+6Viza87n559OKl3yQ21v/OJbN14ZTNeuvujYSe7JNW4txo38IWtumOZ2PUzpFvj25Te/
MnIs4+iwCPdyNjJyZOBdD16X/4ojoeUFIZm9fIc3HwHP8aJzZ6ng96lv0VhlQJL+vGhh25SjXqtF
YLvyle/w5leeo2BefwfRoiynojAE/YpwSfYp9eblj8uP8OZL4tqLjp10AGJUzmzczjPNg5/LnAEb
1n6GW77vBvO7e9H+QS8FwPF8wxWFeLRzQk8gHAZ2UqenyzdYezuLfhxQ8Z3MUdBdEZUwpEMV9DGn
Pu+7+HzTF7/ekKVolHMPlrMMrqSfMVQQ9t6z4J0t668v3kUK/Jne0t2q7lFeCd84LvZto0KY0MEo
v/wEax940Yk5EVUKFQG7S+btp76Vv3V++UOWsuSd11904zGPer/Fd+GGzdnzq/mMzxbb6XD516/1
sMX0TC4I5WnS/tw6PObhQ9k0d4iEN4IQ7C7fYOX1/BXr2nhTHrAJddMmfMqUyvqaost6TLqivtJ7
1+6w6L1RTFyDCuvNVclw3RAfSexPN8hIg4CnXX6IlbdEce1VKyW+NUJQzUN03g+tFnZIYeDxEGQD
+OPyHVY6mbnoxdUATU7Vi+KspW3zWfFNZU/9vj5evvrClvffa0h8OvO7e9HNfKVphFbVkvN84OCQ
0poGO3SwyXdTF7xbkYihL0QEZNlWmBKY3KIppDPjqO4+ggG6ljovz/3urxUBv2LR2WtPJPkJlSLM
sTrakoxc/ZSQrx4Vz4cCiiJdwQGRiGFItV2wbFSbrBmsVKmVfQKoYE8qwegGqhE+xK2nkTQ0GS5i
C9jHE6c096GsAtmvvNEGCe1twsAbOCz1DeFckOVzbdKem9VbD7EYVDILZwwJIdVZGSofhS7gXqgp
/5aXZaTxzAwTmQOfpEB0EdYkYe2vfMQ3l268vsVIE6dA3CAKJWc0U5ve674OpY7u1jvhy4JM429A
9p0E5abhZ1W5cTPUqGKDmOApfd+G8j0H7DqIazDol3/QWsdbjEwUckKToPvk7HNyfWrgexylSBNu
I6sur3SLBXPkn4a7GJ8UfYxFOF3JWdIKs761gh7tWoxojWVGpR+y2B+jjcqHCzY60USwhASkuAnS
rS81OpWbkCOWsySLzfPlZ/6zFX3j8y/zT1Mj6nJZyEYXdcyOyXwTbj/coxCz66Nnc+f9tRD3t8vW
lBEXDW2EoZSguh7dNLGtr8m3+DR5G/Pe2NZPym89BL3uSARE/bzyYCvtenkWJUFex3vL7cwb486/
5WgUEjulTLuzn6LbcSPvfMfAcLcNDsOVne3KoKctGlBkRUYHdXd0/UF91Pzu49ioH688zkrj1BYN
h6iNeJBZnrqExX/QnXQLVNOGXWQrDpHUW3GDUPFKI12ZHdTFKlWHxZNXfTq6Ud/P0px7NYwxr5jF
VuihQV1+oJXn+RMS+GIEJ6ataxHQ83lK8T4ShYcq1E6aCrju8vVXHmJp2A68GAUGWWbnQoXOzo43
IJeSGKEJG8i2zdtr9Xx57UaL6TptCqGDCJCdqUfG3xnss5Mo1skpQ2DkTNMcV8QBDeoOUMqHkfFk
R/UDEyIUiHPejelnTyuHUzaOxe8uHlBKj6IQoDX2YskEXtt197ix4bH5oJpdosP7+2aQRDeRc+lr
FjUSSkR/ap3Aasb37VLUxeqgFiqsoro5uNGcOJB/LyE8wgolEiG/0sLWPv5idVCrjHqjaQ1uUx2T
sbZThIuC/Hj5y8/N9I0RTZ1v+qJl9RlqzGQIR7ft2uZbE0Pvt4G1KHc+tu8zw92wIz1GO0ZKC84T
s/+VEWfloZa+/AE2QsZSPD4n1p0Ux+cgvw+N8oo/fa2VLd5Ya4o1JDjS8AiQQtpKKMbBNwH9ZcyT
Lqi74u7yy1sZwpacBR98BySZPD53VaM6uZFsC6W9VlZ8+4AHo/t81xefpmnJuwDPmp8LKz94Ue8o
AUXq6bdWRnal3FkmNV8d49Tnyw+z9tIWM05b5xFM6jQ/6w0M+rBCXk3uQkN99+F9N5BfP4+F3wHl
VsENolMgnpvwTPyRndFbL19/bc40FjMK4MChabC8ngvZnH4SDmnuCBxQNjUg3UNeBNKxiorsi9Jr
47mIQtaQZpedCPysPum+ImG96aJDVlbplRlu7Y0uZyHVV9tMU7NzVJkHcrHvilx8igft3IbJtS30
H0bUGx14VhK8bCVmAa41aKv83DsAJnflPtrg9t0aO2mTOwS9OZ7dH7t9t69usr2wucbXUOaHeOu+
i5Gc0z8UYAPL+WYzbrXdT8lu9yjft7nzq7O/nM+3ivPj02NvB1vkj7ZsPz4/t87lD70yduiLIbcq
80ax8ig/Q3vdE3Oj2sXQP0gQCC9ff6VbLzlH3lB4ijgM0dnPiuKHHErZrslb9cqgsbKQ1xcjblTK
Sgi5Ij774k3sfyQEwinUh3h6Yj1/+fevtLsloi+pFFHyW+7QCnhvMk0YbLHBrCAqD6acXxuf1r7C
YrwYrBiEQTkPst1MJmV9aLFtNd83hOuLwWIQxjGTWQKf0RxvUuG5y2ASE1VaXCNsrL2kxWAh1r4s
1vMcEQzoIhDbZ4q/yY07wfpw+SustaJF79c4/8zMsM3OVqgQBpYfNUPevOvSS/oJYtuOUYtjlb7S
mzM86W0reMKVBc3Kd9UWHbtmKxeRrRbhnS1+gYv40vjp0ZMJKrr849euv+y9Iu2TyBoCRXzpBmbE
Lyy+J3RSvy5f/o/+4Y2BSZs/+Itp0xiNzPdxK7rNZtrE22QXbmmfx/q2u0s20+EJ7PxOAlL/o7IL
p/mV7Vu7dTDNbxPnGg9u5dNr86O/+AlS7SdCOrD9UJEYhaK2z8TqSjHn7War/xmOX1w6NQsTW6Fh
EWUJHCS1c7gRVvGhbX5ffn1vbwT1peJG18nf8drMgr4ry5gXW2WLZl/c+CoNgCCc5KdQKdVxInJv
eleD0JfaG7wifc4MaZ58ExDYDeQex5D9K3PFyvv6SyUz4roQhs48SWJFRFRx9IMA91L0KVV79/Ir
e7tB63/2Oi8+ieZLUFwgp59iEqF7VXUjrfhM3sQ1sdjaIyxa0yinmixMunGy6tgw7ELUxy/UcaqP
ARAB0WlUsmIuP8naneb2/OJJurApLC+sTOpI5Cd4qZMaEDhU0p/6j5fv8PbkB3fu9R0iISgGLVVM
jEY1BqN+zopzzPorIGD09NcWRWt3WUwempYMcZpJ5kmW8p+qmdzUVoooX+y/tnFLZAM2x8uPs/bp
F5OINmhFOwZoi808gtkpkAigAfw3BfHH+26wmEQIXoItIMSTO5rFxzjZe6X20dCujPQrn3spf1HH
Hse2yOdWAqLSO5l4zx++dp5jVt7166XFVNISdzBESW2eDF87iv6IXRx3DOrxL5evv/YAi6lkIk2I
ggWvf0pDlTDErrzRqBECKsnrfYqAf/u++8z3f9EvjNjDRMyQdzKVrz1hzXVOTnwd7hXh1+UbrLSj
pfQFx3wf1GE0uX3QgSMxqyfL175G0TVt1tqLWnRsr2zLDn6ldeIPAgSx53S/SSnc5tOVB/gzP/w9
66JpX7yiQNcmMR4jVyfg58Oky+V9GHb4qcAPHdjoF0TVToON9cbHMIeRAhs1VLiwVbyNnE0wmIhH
2aNC0PaBEevnxDOLG+gL5H0oEiKmruTka4p8AXqLLx08eSJ0sJzC7YSxbhOq5XA7DmN7IBDB+sIM
JXcOIC/lypp95fss1QzYzuox66fQZXacYNlX32IgRltlFLaXG8DKBxIXH6iAR0C4RjcRcpl88brh
LvHiLQHgoU20WXylO64Mi7O0/GUzFgQ/jomYmFzduo3kHnzpaMfirdTejaGxv/wg8w9+ox38yU9/
0VXSyLR0zByyW8SeAAkgSezBlz9fvvjKZpdAm9dPQMhUVbVabp2ww5eHSqnjTay2Zm7XjTYe0jHu
PnhjWH1KanZvY6rRZOqyuE+8ovg1YgLZEWneYj5Xw9GJUFSZdi+R6oLJkOWu1OIb9SWj2JWcKTzh
u8QKdfmHr7SfpYpL9eNGkb3ePAEb+Z0bHeVVI98OunZlVbh2/cV7UUh7gorhDS6skXKf4tTdip0S
HRRF8K40nrVbLGYivdSnAaemeepMYRc0FQ7c0P8qhFa7ufyO1lrnopARjyFhBbgfTiYuxMOoZd6t
X6mfuoQkqtJncMjy1HjftLpUd2VdxEEn2JxTP90E6s88wEwHkOh9D7KYlYCsFWHjNZFbVCZsa+IR
LeXeGyw38b5Dfr1yl7WOtpiTutkn0tVM3nxy0yHP2W0iLbzyLVY+9lLc44l9ZHZpPbmdKjhS92tI
a1tPPl5+P29vMXCgvu7EE5BLAoeyCOFTo34X8e99z8xe+KR0lVbuFPygQOKkrHwSlZEQ4Ms3fXuA
1Zao0pRoQK8gJ+IEesZJJvb6DCP7Kslvwzj8cPkeb38SvLfLB8MiGorU0it43XZUdFgv4+pdQ4i2
PKJhWCJlG9j+SWw5mAs4X+p6j7gYyXuflkgzFqs1SW8lpagK/dRY3aYF1aXHI8wD411zKGWt129H
A1UM/kTNwH+SbgXCZJyyrda+7+pLFVdSNCMMJ7qDCbGrD54TqUVQ9Hj5w77dHf6CsMZgEoauEVko
G8PJ94yvSdweRSJkL19+pW1ai64sKvkAnlQj/Nt4bLMvcMeppwUkFTZXbrDSMJcs4hqkZ5x10uiC
UBLtQhdtsrTe2Wys+aYvZvzeBPSokYxwgkZ1HDTzc2+Qd5RJybuqmdpfOq7CmyaMrMZJiDpbDB4M
QoFj7XeSX+m1a29ffv37wb5XhHjCtZHCM3EBjpI8TjrAjuzKy397XtOWQPeQtOZM0Eo2QXPgvTcY
Z5hIgVOJyW1XqI9eml4RvK210sXwU40Bx5xCbp7SKBUdLTb2ikT9V5uuaa1WmtFSzWUNfRkBVOes
EJtBGnNg9z4xCTPX628gy0kVASidXB/jI8FB05H445g0PON972ap4ZIDUmRhF1mngIHiYwr9xSkK
fTwMSVPsLvfilde/FHFpoLBxoM+vX6tvTbn5UUTJj7K/VmpYaUZLEVcGyrYKYMu6INOtwwTBjOyp
BChnUA8nKKcxdJTq5+VHWekSS6lWEiK7AokwuVZ2J/nA7bIz2ZVYyK6VtNbe1WIn0sR1nVrdPOKp
OefZudOYJhl419ZGa5dfdGkvyEo9kgbqP42BNSsh4Vh0zOlaeWnl8n9lPTVdR2x417o1tbkZRZex
w+gNB0anuL/8BVa62vJkOSxbPPJA19yKHW+iYlm59uPXrjz/+4vherRkWJCWWbh+V4KNaJTIAfBw
Zaxeu/jiuybEoBmZJWbI8eEZlp+E9uny+1hZMxqLLxqHWqJgVGFtIjaPBhnSg9XdG0HdEcw+YqAH
3yMF2eHyzda+72I35RmpHxbAHjHFDNKMNwa6WqfChvOiK5W3FTEkNu/XX0GiziNpuT66PYHxOz0F
zR2GtYdBU84foetoB5htkZshBX3wQRae8l4HJlb4LXwU39o2HszenhiAxtb8wjwSWBRuEk1GdegF
QeGkGVGSjAwyeSZ+ChG2QhzbJdbHy29o5TsvT0hbL7IEUK2lG8Gn35WFAhtETd/l9+MYa/4uL5qo
kOgh7VIrXbNrHQ64v0eC+vXyD1/5tMujUUJxukCMFMRTaGBVudmVU/+smsXmfZdftH8JXRLsQkM7
waaYQz0B7uQR8Yj1tSl4ZWRenvZrSTUOQmcihO2+VAQas0y3uwYeUBs473uExVTcGHpO5HASkWiv
PAmF5J1qWSOlL1Gb7eU7rAhbQPC9/r6+n5SCFqlMZbMwN8qiDpB0jdCoJsq9Li18y0KfbC04gSdf
GqUt5BDjygi19gIXAwk80qwjBZOjuWGbEMFdq1/qvHBG79vlh1u7/mLsqAhzjUEEly7eN/zwVQXI
qSpAWMOC3hlFvHvfbRbjhy6WgHMaQTvFiC8MYvhifyPG5zC/pjde6SjLI+ZmIuxRRSXnVl5tV9kt
K+4IPujlX78yfCyPmDVLaEC/xt4ppJgOBxsj8jVH4MpEoS3aFvjJIc+bOOf7YvA0/AH4oKTDkRME
fTqMdV87FuGpH7omnq5IFdaeZm4KL4arUvAADleWdYoAut+TrglzLO6tK0PKyrpveZaskH0hyETJ
nCz07IWsbDztcQIBWZgFaGjxnV9kfrYXz+AFZSlOZOicplLQHUHrfVuv5St787UXtBgVgVKmUeNz
8Vp+QNr/axLM58sNae3lLHozKUNtkVRh7qaaItxSozywr4V5SCyOzRLtAVrxlTXB2jMs+rUVpiHz
9VRQO+9uEEMee+GaSXbt0ou+nBC5oFpRkbtKaIJBrGTPrkHsXn5DK/14KU9uy5KUkCwwTjH+CIyY
ljbe6HlWj3YqJL8v32NlzFuqk2uLrVVo0p0ltlVAdjf1CGiuH2w//vi+Oyx6tR5nWY50WHIDXXBg
mjlNKJ9MXSHj+eflO8zFx7/PLTR10YkDii2TNgzGKai6wfFRBjEo9SLI5ahxtEQiLEt8sqbmp9dU
Vx5q5bsvpbfC2OgdMVmpK0xeYDlDWNV4i/r0mkPz7ev/FX02jrFCyAq6YRB9+SO0uuzUkoywufzC
1q6+6NTxOCkQho3BFYAaDFgCi+l9FSWA9K8HI0iUJepznfxc9aHII1stTo13pR+/3VYtddGP61jD
iixLg2tON2n8HCu3avWtiK6s698ejyx10ZXJxs5BvCSWG2jPo4IiAMZv6gHah/o3BZ8vv/mVmyiL
+rnfNR0Y8XFwySHfprJgm+ZZs9LdqFaQ0n9dvsnKe1pmS4I/lDjGwHFgkJdsWU9x25xl9Sk0xCtP
sXaDRZfualEbo4n2IyHpGyYtdcqiPpNH/Uyh+F38DYhZ881fTGsjB+sqIJjB9YqnDPygFQybqbm2
CHt7bCXn9PXV+w6yoNxog5t0UDwTKNTYZK6tw/+cnP89IhFu9frqXdBBmSzUwVX33m+rs/ub/Kbe
dFvrd/0RXNVjfkW+9Efu8daNlj25jThN4D25wbFBA7KdzsZOd7JNthlsaW/ceHfaKX02d+Uu26dX
broyeiyTWUt5VErk4Dxc0iWExqmxI2bap8ttd/XVLTp5Qqy9KPg8UVnZ007ZsMM+ikdwKOfKHt3E
Ma/sldaeYtHd08DTFJK/BzeU5E2hfoVXeGU9tlIggAi3+PpjrhBw3A9ubSnRbVwX1n9xdmW7sepK
9IuQwAZjXoEeaLrTmbOTF5Q9gZnn6evv6jxcZfuERoq2dKSTB7uxy+Vy1aq1bqH6zv2UxoEH0lKW
4MKgyTYivX5KK5a6HGSlHshL1YdSNbodr1vrCBpqsbesSn+xknLwMjXIj0XcJ042aI0DSSp6U4KA
0UVfqNXaJThp1+ptH2RLX1iVjOoDo1uYz7hS0SqXe/xu/BHcZTfswHfQenEqFLDs6Gze9Dbot93k
FfzsbKscmsfS6VaW8MOlf/ULJA8DhQ3SomVy9BO7dXE4HcX+ATkSu7DPj5t7T9g/021+Hu3d8fV9
cjUHxqHa77eXRrELah5Ezxvo2bh8swavW/AXMlCQZd0AxZpm9FV9GwFuZfVPGlkTHV3ARoAh8F+L
yZJO4Q3D5yr7ZjO6im3swV9mK86f1jbhOdoNKITtxAU7AA6AunLjLa6y5KYg4TUpio6zNjjzttug
4fQI8b4txT8oNjjQ2cO/2GtdyNjagFpsDLezQVtqN7Zmp2igLJxy3x66X9ZbfMN+QYjamGzDiTbB
yiH9mqeMWDLmMNLDeiQFfmENK9COoZ9vC8d06s2ANRHHcFduGFoUWswZumixue6EljZbCmLaUalM
MXbYDpysIixdNKQx7en64AuO58MGPt1rfadD4ulyuDqkhs1z2v+8Pu5Sf97HGn4aOA46QE0TDNz/
Cp8h+mJfDIm63Y3YB7u3yhZ2uIGShtO54196uOzUYTjGdnlqVuKzD//wxamVQYmgqs6TgOMXGJgb
xNSbZI9S6CbctPvgGBxNp3LrjXVSt2jV2cQbxQ02fEO9dts52cvaSaWXm+KrX3FJL3xaB6gy5Cau
d1j13bQBv/U5OPTH2dXgRVJYT++Dxu6eeMQr97n9XjrQGj20p+JcHpoz2aPodmu4K1tyuYa/+imS
GwMZNmjtoUHig6V1hAML701caZdWm3Zf7hMcqzflDZpE0Y3mTLblNr7yWO3Xpv+4kb+aXgqh6h5C
B0V+sQhXd36gqG4LN3D4Lvod34Z7o7enG+rjBnwKtvzcHPt3fZu5xRbESdgdbdNviK24a/uy1OIl
AyXHeE65iC6xCpBx5/YRmbX5hd2aTyECpCN0Fv40P7Xb6yu/FEZ8/IhPRqBYs4UyDyabz+ZDfqv8
zE7o1dmA1P1AjtjlldrkUgD2Mf+neXCDD5BEvhjboTzmt9XNsCt25j0W9MHczWi5NhxoGG7SHdQt
d9e/bcGByIA0C/AeC+JpmBIaF0XNHS1MV/ztguP7YKH49DXgAgfns4pVKztoEjY7DjZ4AEBXbvWl
uOIjqfxpeNWsc5VdLtF6mxc2xiZ3hlftw5tsT/3qqXLJr9TY6udmiyrJz+Sk2zmu8vwU/aErKV5y
ceFfHAmZdYzleEQ2lyuv305O7pUe34X7bpe6kADdZLvEadzBHWH8ncfhpMrdWqfBkvnLuDV1Btk3
ND8Q2Ka28qO8HU7JE/Gmc+IhwfOaHsRDvxZPLFm/TErWBX1g1AUdfbYT+/5RPcUPDDE0/wEpgXNe
2dH3TFHmJEOlPMwoSMr9EErOMaolFHWw61YuqSj/n0BCxu0OU6xAxAJjR8dxy3bGj2RP9+GBH4Wn
biuv8wwnOa9lahcMX8bwNjV0GEB4N/pWcDb5q6J6QfXyzQ+5XA6frH6E1GkZjTNCx7vsHh1xwd/0
VX8ir1VhQ/tM2FFoQ76et7birTXILX3Oxfo/T9nrnCoZpqwgPzIJP7Ay18i+lTO3ZCAviMmGQYGE
mQ/dJzuGKvoqtGDBs8nQxUZDHzNEKuAfoM+kRD8hobhSOrrc/f899v/RuK7AfR9eel79vjcgQyng
fH5BirYcf+k51r5eeRovXAdQ1f534QE1h/AqUS8RtX4gmxT9vLGr3Jd+vSmOmRfvxTY+mV6FuGet
weHrReMyT9kM8YMwqODRmvkxyZ/A6LJyGXyd5QH2+99v0aBNqdAQu4Hkjh2g1yfUIYgbUHeE8tTK
2Vjal4sBfzJUFbpnLbs4EAgB/RDv4Q05iH2+1Xzlxtwop8ILb6P7+iY/BCtvnsUduizjpxlBHzZw
s8ZJD95qtN8JW3s0XrK74il4RYEez8cNNEbZLvDJMfzV7al3/UsXonMuQ+FMaJyCuh9fmtjAnQRn
6Py4w6b2qHsJkBMHHH9udFP+TbzMK9+tQ35PwHRyiRzWnPXXToFbklPIZp7nEC2AobTDjxrCtJFx
giaee/0DP3JbXx0xKXFDIRhiJiU+sNpUG8NW8WRvdsOpwXOxdt8eI4Te6db4WeySE3dzH2q1Dp7p
dv0n3QAsscF/N9Ztelrr41z6Wim/wyGVV89ah2QxGYUNXcnY5jlE33tze/2DF86djKibh5iCzRA+
tgaUrh+PUfLn+sAL+SOQoP1romlhQKwthomCm3qjnEFh6pfb0bO28XncMxfyPSftMME68hMaJ85s
X8OlXJ97YdVkrF0DIa8EsmKjP7aa3ZTvwiA2lCC/N7jkUJJ2nlg9wFMh+7qBehsU7feKYWyuj74Q
YEFp4d9lEwM00IsZv52ejR/1o/6sntKH2g+27bP4bT4Dy6+tRJEWRvzC1GWMXQiJlihJMJNpCVcd
E6eNSrsMXvhwR8VfE2Ros9av3bYXg/1qMil8MDM0n0AZZPR/EOcN0HT38e2U2Hjgn36Kw/ZnYW+F
fR+5yBShXcexdgzJXtX+GyEhFtt//ee71Hm+vsJLFi85kH6AyHbf4XJLVfrXYNWGMm1l6IUMGJcx
/gKixqCCw9jFpvhLUyjN2SK0p6fywby33vKbxqu2McifjLvx0G8Mh/nxt2JYLiP/J5UDclhhM42y
AOy8s4thXvGJS5eNDPyH2DIztBkuN3iaHOiTnsQhPgdeAMkB5Cn7jbJTj8TN8ThMQcVxf32bFs6w
3AuQJyZUQHPEZ4N60vXHLHqfrP31oRdI1LjcCFCCpE1JJyxWv1XO/dHwxV32xI/jobrF/hzE2XSr
lbkWrE1GapZhWJmGjrXroGcFHXboNq0kB8yvT5QM0MysQYU6ID5ijp8K0BlD4dxtB2NzkSUe9ZWI
8+M5/sW5lSmAUvSQ1JWJWcYzPU+H0rNssDAh/6ae603w6/qGLHgiU3IOJIN6nTVir1UtOPbtDamQ
elMtO2ijY6GDLW0y9pnIVhZuaUskB9DgamBZjNmM8rGk7xVdGXfpK6TQIevVadLI5YV0KdhPNzHE
XqbBcLPmIY0ah/VgCSMrZrW4Lxc/+ykApAOql2i3Q2AABLbIvbqooJEF/kpoAoNF3TagaE/0JzNi
x6q67RLDvr5VC8dShv8NqgYRuBQergtuA3YTF88hf7s+9OUC/cLUmBQw5FzRwEGFfam7+akMUncw
zcM0ZHeNkq5s0cLWy7i/iU5pORat6VlxP7styZt7Q6NrhrXw2OcyKDWZ0yCDQLnpaZS2aFAAJnLX
QyESSi4a8xSQjW7NNE93Y5GWt5OidzvgAIA9ayy+H80/FQlah+bQCruImo9803OerFzAC95CRrTW
QWcVdambXqEMdly9olnTteY7C8JsVIQrwcuScVyW/ZNRMih/hn1mca/uB3qOZsLONGaAB8TFmu9e
mkJyFcziSduird8D8Wj9PsSi32W6CM9QitNXrtKlKST/oLEZeExIxXgpMqJ2MIenQq1/h/OaDsrH
NfOVoUuOIuDAGvQaMT1Kws4n+kW1eG5jd2bFZGuD4L8FeDW2XB/5zoLQ9CMp2mGf9pzuKSSHBWQq
ywkZxbgxPALS4Q2kJpvzrFDNaRU9wv9qyVYFzSHk9jTkAqOyeYbievGoRUX+QEYW4eaO072YZ+uO
kGR2oeVdblIW1h4JtdYVEHXdmo3VOgI6hBsQFiqPZDbjI8ibgCUZOxBg2SQRo9dTS0CDfq5QYVLD
QzOWKsSoOfMykagvWl2MvxlJip9mkhHmdBAojUFw3mtepReNp6safR67lj5m01BvMtUwym3LVJTm
wpiYTjogg1LnA0jDqlp4JgGrNWpOg7pN6r4CR1ycEEQcHIqjTdZppyaH1GE1tma5m/UMJbww7Ow8
qiy3GC1o/Wig7D1OZtHeKdbUnudsQG57VOsf1x3YguHISLfUSuPciGruhSrz0hr0Z/14qqi2vT78
whGWQW7pzMKqSrjlWSOFtudYo3W4T6CyiGp7ssnBpKO7xZBH3vXpFnyljFwpJ9FkSVu1fm70F2L3
PnbEuNZ+sLBUMnAlG1KT5QapfEN5VLIbbXpM2YqnWxiaSTdj1gUB6xoISjQKqXCw9GMbmdQem/B7
2ywDkxt1KsVIDNMbFZE5aRGPdpWCLqiuINh6fe0XvkGGJ0NK14Teb6h4NIudEWdmEMcYuqnXR18w
JBmhDGnGiAhacK+Lu0eYjeYoAdtb1HybSq64Biser0+0YEIyEVbODYj4JVCmZ3l6WwJvkKbjyk2+
FMPLqOReMXJdS3XLy2mTeZDy7Z20bUF5NBQtroOAKTtwFbmcNraVZwEQ5GkBVVakx0HcjbAcGjAD
VMqmphU+2hnaFaTxQhAj8zPnBaF9MyomPlnbTelOZzWE1wxwWK7U6pbWVLoAm7aIoWxqWl7SlreF
iub4YloJKpeGli6+3iSGaNC05gUGK3djWKK3L0jZyuhLKyPdesQcDIhDpziXwP84MUTGwPYDUI7a
nENwYqzEp0vfIJ3+JEzzoBeW6SUNuw/5tFeLYa0gtfAFMtFuW4TAmihF4OHe4Sdwg/Bn6Br3NzUp
1XtzVtdedgunX0YC06K9aLJz04Mm+bbWApuM3X5svxdmy6DftqFKDwVaxUMTSutMGasee0apR2gb
v/aqspaRWPqKyw59CgZVEOSAoBOrhf6Zl9zgj6A5OJii/3vdtyxthnQOaADGJT6r3FNHAELG43xR
Ja4OybhyjSyNLx2GOtHjGMDZwLN0qDAORqpDpDs4VUl9M2flyiRLaySdCVMPomKCUIBXTMwrUi23
dZ5DKbHqNt9bJek4xEkwJ8SAq0+ShzjsnVw7NBkQC8aKG164SmQkcKkOWmLVwM/W+sQd3leoNeTN
qW3H6BBQnLzUHFdO9sKG/AcP3AemGJpR80sDGtalPRioelSZHQ8ruY6FzaCXb/xksMU86ykZ69bX
Ag7daETlpI3Oydi/XN+LpYy4jKcVzBrasMo1vypiZd+j8/g5Laxs3/bopzapmTwktZZuGVemv5Oe
VWeiTSD2N2eB7M7QRrcBLP7OikrWOEWQ8yMd8g6afn1jl2U03BbMmjontC4BgxoOqbXtIWPrteUA
GqLr38C/fqNT6dQpWmy1My8nPwliw+myxoWEC2iQyt7WsuoO6kg/hnCtA2xBNgRa5v/uiKpYeRro
jeb3RWdC5iHIH/H+Swa308vW5VEP8b+pQ1uGG8QKUGJpjJaPlpqdMwx0zY99ZKG+eK59ILQ+2UWb
1qHOdZBWBeaAtpJGh165zQO8qF09EAgtJk6Tn1aRItwcKrV4M4ap30f12NigfqI7Uod4pEDe2lYh
tm3PY14/5ubc2wy8ek7SdvxmGJl4b5IsfUu1Nj1nVdm+93M22UMYBeegmsaH0dTVDTNKWjtVoxUE
rzDocw9zVfvGNOa3ANOUt6B3tmo7htLuDrJkaFvs8+m55+18q4K60WVG0WxUtegb1+IddetJ6e7i
obZcUpZkF6qh/jIBsGubaj7uu7oxdkjNgeZqVBqc5IG4amtkbl7R9mnKsrSzjXiajhaExA6Qk563
g6ICkBbmyU5DCwX06qccjQGpfoenS7uZKINAfZOpkCdA4SMizjCqonCzokH+0kz65jD3+eBHdZkV
NsuJodn52Ne/rtvuQmggE5d2iWh60fetz8Z5civgV10ISfHveQ8ZLh2iZh6Ioq/9Ogt/QRHgEDMr
txOYwcrRW/B/MpzZ6gkvQzy9/Up7reFZtexUBO9hvtbzsuDKZZ5SCj7MuWSs8vMUjwCAs7YML2lH
ReNrbNJXcCw/fmsfZBByM4d6A5lt7lkJSgqR+tYVa3SMS99wce2fjip68NoobwsNbevIarRp4YZZ
6Qm9P08tHrGdFW+/9w1ScCMKmvbKJS0ejuQppsVTFlXu9aEXriEZLDwO+YX6CplduBXkhLRU83IV
cm1pbawVfRdMSQZxjVHQGqnVaX5qZHekHhRbdOpzX5V3isnfr3/G16eNyhxbpOOlmiVW5WfN0cwN
O6p05/rIX99BVEansFZXIg04gEOaX+T+2EC9lBi+Fll7ZZ5CJKaip3we76/P9vVaURmYUvNiHLSa
wfv3LmRW7vpuPGZj7IOQ7O76DF8bLZURKlOpUYTdI5gXNWNjNYVNzdbJwfIYpdEOrAsr/mNpQ6Sz
YaRGF0E1dPbrKd2YQLqN4bcyRVTmX0rAZVNmGtX8Yhods4XqdzZZr9cXZ+lXSwGHNtB0UqwOTAy4
m9CE/5K3+e/rQ3990KiMJEmbfuJ5q2u+keiz0wK3f8irwNiwoV6JjpdmkMJ7UkY5Os1NnIE4iv25
tZJTNFZ0AzpoY+VVvbQ+UoBvcAXUi8GQ+2odv7ZRepOUa6RgC0PL0BDktUY2TKZyKI3Ciaq/efA9
BhgqQ0NiEqNxkYLiW6HlJjf8pshWfMPCisvIj9boxnpuEuugZ2WHhDqtAVOiefI7LLNoZcmX5rh4
ik+XjCo609AIA7ipq2xDTdxxfNPpGlPagr+R8R9xHGV1QqLgwHU/A7aLzT8K8qyhffNbVi+jPhro
jBggyrUOZDp1IYNm8d+i/ZZ0PKFcOq1NZQ59W5MZLLV9tW0DTXEjq2QruMSFhZfL9nPUZlqf55Uf
gebXZqK541Z2g0BzJYT7uoBL5Vp9hDRhjRRPAHnggtpKVoEvk7jpOABHpP7us7K29aE6RHqyYkkf
Gun/fVpQuYYPdVCUSDjt/f5HNzv1q/ViAECb2exIJ8Bqyxv1cXx7KO94aM8P1/d/AcJH5Yr+0FTz
DNXQ2h8LQ3MDcPfoTjnw/CcZ5uCPURjZ1mBRB+5nJQNgq26NhylJkm05BcOmL9MqtKtmUomjiKr6
W0Fk4AyeWvEnLSizO00DziEZ6mGXQBUGxZ46qV+oiDnZppzonR1m6ECz5ykVv5VQy9Y47haOjVx6
TYuLZYQZ3tZljj7VqcJypiR1rYIaN4kyhyvHZ2mei21+Ovxi5G0bNLUGErTB7gW0CHyQurlTs2Lj
C05Xpgdq8cAeIFCq+RYPbA1eBfo93/ONTDqcUEpm0FVTQWGQR/0WZXy2AatHtbP0cU23ZiGUkTVT
WJoCsaN3ut9VTOy0LtiQ0ZpQgexOkJHfDbVYAcAuuAIm3axl1iv9HPHBLyEe9qxwTpy+Raxsq1b3
PVYVKqNSwBCrjqSvEx8ik4d+0I9aTl+uH8KFXf4PmZhC0lqPwV51ka9EEPJY5Nrv60MvGKgsQVVE
aavnOdF8U/1rWT/D5JdA/zxNvjm8FG/wnEca6QLdN8P0TKrhdsyV38Bp5bZaih/f+gQZYxLwAbh/
FfFkCU/BtczO9Rn9BXdgb/3mKeb/nuJmbgxDzKPu56O+qcTs9MMbDzP4uLVAZKE+BTbwf6eI2rA3
6tDUfQ3Kt55WV2IbgQPtrdY067dRhdEZRF36caqH1hmTmm9StUIlUdV14Q9NxmAWoA4CiUmkb9Vh
HL9VPqJydZRVtZ5nM2jeFe1I29Em5ppnXDiSclm0ROnfwI/t/QpSyMZgV0pi0++V1ahcEJ1itaZC
R94x5e8dC3MIVnGKxeE/6JyMm+t2t/QF0pZpBhBcM4VTqUXab7oe2Y9E61ObRePK5btw7uWCaMMK
yHUY5uCjNq3ZeqSCbm9eK+su/fzL3z9dTWCSBihCKAqkLCfgP4sWEm8gJIrvk6ibzJVLZOkLLn//
NAl6RUAby/TYF41wjWa67dvu/vryL0VDsuKsSPOeIYkW4y1TzHsKDgX0uZaZaiNm0XZKOqiurnPj
bjYZqrsVV+Y3taJzYFusaJw8zUMwDYTFe1yX1h3trfhe1/G31mLke55JVnXVgzpS2stTfbBg3TyD
pplWDah+VEG117tgrcfwo5fwi8BQVsMdjAqtPv3lWTeGs0tJF9lm2RymKQAwW/nRRMptgPjUNJAY
5t1aCnAh4U4N6VqFMKqqWgwqAVHLNoFAX0kDxuDQYLGDTHPozmll7NW6i0ENbUT7uGu4HdbdSjVs
If6W8TOCqsyKZ2tCor176a3ytwBdut2mys0caK5Vpo2tjPWNziAnd93kFo6MDKlBnzdR4g602qLH
O3FkAAX8qANtZfSlXZQLxthBrGMEklmuh04aGU6oNJtaJTYJnulUbZpiehjj1ibZyoNi4fKXK8fI
jYgazzvzoJNqoymvBXge4uDYJSu3x9L4kovRuqQMYnWYfbW8ASW2V3Z4mED9tkmmlWTY0o5I/kXT
UtRRaJz7VnlKptTV+ndLpyvOa+nnSxFwHmuJGVkZpLhQx7HmCjBLlD6gvjBPK1u+EADLxFGxoUFy
L07QGNRmdlSfiS48mjwUQJsOyTeXSDqkE4TQ9KjHMTHzMwNbRaD/5qv4iaUPkOO7OtcNYZqg9xxC
x4LYVzfedODGCejsJN3z9WO3MIlcNYYqTqOWIdd8XaH7rE4FehcZaJh5ZOOpltq69j0dXioXjY3I
UtE0qeTIwL1w9OoIK3LLEE1BZI1mZsFg5aox0qp5opugii204a9eQaJ8jof9YNDJvb5YSxNcjPnT
jYvaXwgyiIkd0iQfnagfiz2cdHRLZ7ImpQrheQz2xX0j4/HyWWWNGoOkL5sidqB9ELukalW3C6YW
xGGVVoO8hgWFzydobA7ooNkGUGuPXROQ34My6xaEtQpjw+cwBvlhn+/LzJwhXzqHhd2h1ndTmWrp
08gsjxrUvFG9n+oDmttQDzXH4Aj1LADomk5/GoKsOxvcKnZqX7aPXWcG9xNpSjepGn5PwxKNYgDn
ulVCShtqDsRFv+3s1or4yfoaQFDGw7Noq2oDyOewidtBnEkLmJc9Fup0HnOO9qIxzuyU12Irxn56
nsxmcHWrjr20F/Oe8WE8FIaSHFhgoq+d9r+MIg626MATB8Q/4c2UTNlLl1rhTxTDY8sWUIf5K4Jk
2rG4LXbVrFbHIphTp4q6apdr4BgNyqC5aYJC34gJjOxjTytnKK35JbHmYhtTpd6wKo1OvE2TDWuJ
cmFUrSCNxAqIoVUlJ3ZISL1PoVvy0jHrLwMi0yljcGXCx1j+rLXDrucadaa+5n6fWI3D1Yj/ZAMr
trlaZC8mmcOXloaRG/GwdaxJPUfwtkCD53Qzz0PjdU38p+IQt0qjIdsblQYS0z58bqBU+pSGA5o7
DehWTqiyOFSY732mRo8ZdAFPXE/TY2U2+b0wO8NmQ8e3FoEgXTmv6XstHAOZd2Nqc7MJ8C460KbZ
FVoa2l1T33VjspL8W7gbZHBGb6pz0l68qk6jwC4EsIFJG7+NNYEEST2uvQsXPkMGUPQtcjp9H9e+
Uil3ELq8Dfv6ORXBN50F+ddZMC2kmaqDNNcwYiBHbvMmtPvpexytVEZCWF0HpUzATw51bN4WWvII
R/Hzupe73O9fOSDp3mE9j0RhgLe6yqhtKDdE/d7Acl3eKKtoiBWr9KPReGZiuuk0faXutbCXckVe
ZF3RT9Mw4TWn2W21a5jmsmDlqbE0uPQYVaJUR7tGD8UUaNhxSFFUCrWhw74SqCwNL90q7Zxo3VzM
hT/reeNGkcEdEDmi3cGMlRVbXDhR/6EDmwxFycucHfoAIJmURS+60rpaNBYuA6jkW3ZDLvb0+XZk
gRgNRnM/LV9J8dS1L98bVwoVwZUtqiyDA+xp1JzRIg3RNjJn0YpVLkRAMrFPLOioGDp2d0hxTqHy
prX3qXgoamZTspIjXZjjgzzm09KErIjQ62CU/sgIWEChQgphdqNpt+0lKjX5NN1oaln337QoKSxV
ANUy9QkcyznBltdsq4W1DXL7ldh96WskB6HVJQlqoeh4mor6kHYQ6qo0XKJ4nJag/E2tDYmb+OH6
7i+cjo9O2E9Lp+aqnkYtnfzRAuIT7GLqnVWuqQ0v9O5RWZRURGXXBjNGn9NUP1SDOXpKQMxDjwqL
E8R6sB2nJveJIp5IHHa7Ccgwpy9G6gG5UWyuf+LCY/sjCfPpE1uoxbRZGqGzvAnih/HSORoUQ7At
DMu2CmZ69Wh1Wwqhun1RltrKE3/BzX90zn2aVVWVoacX8vuOcdyv50asIRO/3DJN5+RfRzCpsyDZ
oKcHaoSRnTXxUzAOv6Y0/XN9vb785RhfMm8xodmgjYr0YMxkR7h5y/RgpWdgaWjZtDnEurtoDA/Z
yJNT2CrzzgpqfWWjFxZG7t6uuQiFbhThQY3CrT4/RgbdZtoaTejCb5fbtOsWsL14wBtgTN5UJKIA
51/xJ0sjXxzBJ1MByIcrbMTIddLbmYhto1urgX95M2m6XOgtY2SQG6sKDyZBXglomzgIt+ZU3ubJ
7XVrWVr0y98//fiwL8QcjxmIngCJMchT3822Atjj9dG/9IX4/Zcl+zQ60cwGOix9fOhKCq7walCT
AVm6mBwH0Sb37TRjuXik9t8pSmI+6TLMg7pAZ3YfHSZz7E9ziE7mKtG+JVuF0aWTWzZlwdqYh4dK
AUmbycRtDdonx1ztGV2yJOnokiTnqaioQGJcHPUq37FGWfFnSzshHd0RfZoiaitxGIzeRkfS1gDM
V58NtzG1DelWbvKFD5ALYqZJTDHhGw71PJOHakqBEtDFrK7EsQvHQW685oIpEO6ZIXUya3/ZrO0g
/VvbSL5eUr+r8cHSR0jneU6gBRSZkzi0TECW94Wbf6+fhi9vMk2XS/+hFhcXfTtxyAaCSEB95Q2q
kXHhG3XqgFT/TzabnljLvi3s+H8aqTVTrdp6gLOO6XMAiQcQSYXHSBlONU+4e+HHWznlS9sinXKF
9iTqeyyYOb5ETXIw6SMZAojt8JUJONzFf95cWDjpWIcq6TsaE3FQy+63WXbHUeW20RuGTaMczXpj
u1cs81usjJhNOuaxGSfgDihxCuPuZLQgLItHdoKg37eS+ZhAOuaRRsNKG9ToYAVbMU2ubtxP/Zoi
1IJDl+umHbhyZiFqEMXnrxPoVWrr1hJrS7NwNOTSKW2TMiFojj4kQr3poOyZds1KWmNhj+XCaTmF
BtpwKsUDsCR2qUWjg56MkaObUbmdotY4mVEh7sKJqSsvsgWzlbtLcyNhfcGF4pEZvN5VO2QuN6fJ
JsATunXTxyuX0sKOyLXUMZwgXxFb4SGOIrTNj0Tc5CMa5gooja5MsbQv0i0+MaXLkWtDK1M9ZNB5
a5ESZ+R7XlfuFO31JDEVsxAHPa4eJ9Q+3bDh+zbWIVpO87vrvnHpC6QjHlWN2cbxFB0KkqOWZzhG
ztzrQy9ZlnSe5xwiRpHOxEEpK3fO4X6zwQEKeIv2oFPC1adMIc71qZa+QjrZUDYK9IDiAqeooSVd
/ptF08rlsTS0dIEjn6UVAdTYD1Gi3NZW6TJSrxy9hYMglzOzxoRO8jSKQ8Nqj0V/xpxt0ZFqs2kN
Cb9wF8nly442VC8Jog9KwWmYnDWNQDr5QZCfGV/b5oUFkmuYvYnLtVSx9pWR2135Hn/XgORiJdQC
GhEHARwSYccUPUs26cZXtTHfdS5uZ6b4iZHdX7egBWchN72aHNghK4GH1YPNNBtOFpzjdlwxz6/p
eDXAdv6NxwsOLNc8j/QwpJOaOmqgc7sw1MbPI035HResc5RIjMdgCnKvVTPjWKl02EQdmd5Aqzo4
maElgLagKDU0XL1ps1lzO6G9kDDotmgR1UD50RRbolbKzTS0yeb6qixZqOQd0E0YoljMAg+7rPrj
XOZ3FovCP0PHSjut+jXayIUITa6KThA9qTo9xVNOS19FxlOnJ/ROnepblcTvSTbfFnGjXRzsd+rU
2BDJYYDMWkmLwgg8g+3nAEXMEgqONyJdg8YvmZPkNXSRRFw1zADFofgtS+nvprrwATYP1/dlYXi5
PnrpTJh0HT/fCkGVKDoIG0T5weT58/XxF1y3XBVFZ6Bg2gx6CRPEt8YE5ZtIbX+amn6AfJ+BSl6/
gyCUe32yBQciF0izsgiDQQNIRihqhBYs5aG+NKheH3xppS6W/eklrCcdfrk2QZCEPI9jaF9aqCt1
xWks/fLLpJ8GBxYF/UuzpnhzXkNQHDQz8ZlOmth+77dLXqMmEOccszk6EObSbNxqJbhEGVt5My6c
bbnQ9D/Orqw3Tp4L/yIkYxuDb2F2kjRb06Q3KF8XdrOvv/575r1q3WGQ5qpSKjFg+9jH5zwL7G8b
wyY4+cvq2MMdqMmL7aBwSUUYXn//y2ghk+v0XLPjtQhNfECWJsWOjxV9hh5m9VBNKKmwNDR3Zt5l
m4zY8cEMyvhlEOgc2ry8SR0VL6CFOczwQjk1hXFsFGXENSybRW4CdYyNWZlrqhhLS0yL9SLjpAFX
G8FoYX5SGF5liQf7upVRXFhken/K7tKsrQoaHMvaOooM2kfUuPXO/U+HqqcAPHRGcJymYwAgNnOq
lcBbem39Nt8yFIXPR0crFIEyd4CCUwFU3srSWshsdI6oMGxc58qUnSreNY+BStlBNTXZ1T2D6UKq
kodi5IbXFlULKjPqvFUkflmys6INdhvHG+nU+iQv6NGxE9tPR7gpY2VEYuWAWVgUev/GcNSQz1QF
RxU+W9krNe/MtcBderR2KGccxG9OyuBIRzYlnjAKiTJMZrRuYsfy8/oAL0yf7r5QyUHldoii8MCH
2svkHP2AO7n59frTF/Ye3YChbVpGFaXOccrBOq+M/EuZ9Rb0ortfIH6trJGFT9Dbiw2v4BlFsQIF
je/ScNiWcbkSkwtToDcV25K3FfY2SJeMD8oqt6SasNS6lXRxYXR0gq9jlAaUBHD6jqPj2dm84aME
zH3e5mv4qqX3p38fXC0o/oXVnN+/KIDTiZNNU8hXI63XsN4LCYTu/pMQFIiaIoxPGQyFmw0RZvJk
OHVy6jujegf8ODe9juN75pit9TEWhu0/kOUfp3ELzduKCm4cOTf8so6f1FDv67D7HyXmr+vrdmHc
dFsNmlAqCISDjnllnKqQ/DQoeZrgDnHbpqnzrp0yD0cbEKiT0dTOplTmkURqzZlmIcnW3TJkBzgC
+KbqlAc2/HlQUPoOvy+5bSjkJ2LKZwCMuszNFKlKL0rU2nJeWgva+ZjHwZilYC2c8u6uz3fAWpdm
ivr3j5QMXpOtHTgLc6O3ZIsKhRFgoVENrQZgTtnGqlIXKdRKUF7W3Ta53pQdwegvu5Gd7yhwOR5G
OKfk0VDgUmJnGysh4WaijtoEE/BorA5NZG1Wt5EmxDP4kALvlQvniwN5jJUXWlru2gGbpmPNuhEh
Jrq+2XPQ4L+2fE5sV1kTuiNjCgfg66t+4azVe7KRgIpMTlDatFXppumvuIYwNaRkrf4ucW5SNcDw
nqf1j+jtO8twUgg9HGGnuqkdSBDBPbpQ79c/YeEsIOdB/OPpFWjt0OoJ8hMbgUZrA0gh11aT7a4/
fSmytHcHLilpYoOqE49KOP7YqVk8G0KEWzYbw2Z26h/DrGD7E9DyG22mcKUtvDAvuptLW8MrN8ka
cbJ5TXzbjNs9g+n6c5tLsRflgMISq+Vty42wv0fQ7IehqGABdULOdKpodEhBbiZVehet6b8tzZF2
KCVlYLQp9GL82pjVfTfALSZu52ilEbcQLrqdC7R3aGoHFfHTfE/saT8Ev5o69KxVMP/S62vbHIVd
eyF6awYpu9x1gb0bAvFyfX1dfvQ/UhkNau9QJ8yJ3wwEeqzBI0jga0ySy+Pyr1gGSi8OlyZee/ga
Y88n9n7oUMYOf15/98vb8j/yGGYcFlAztpU/WmeX6vfANrzeWHn40sBoYQ1Zpa52asM+1TF7Ai3w
i3C6lZheerQW0xjgIaU5pafRyBNXVrJy+2iNJHWZ+GH+o4hRlim0bcDxOo1ZB4esLC69MKLfwxL5
EvRJnMYPK9rddRFYRJkVpvs6baaVpsXSjGuRnBYTCekszNM4Qb7YYvJDJtFWzOPOIe2arfHSj2jB
bNWQkOnaggBtk/+PRupbQ6uN5PWBtTch8DCG+uXepHU85yE7mXMK2riZ7q1kuDHitGCWaT30gyhB
8Edtfj/O0bBxMvsmEK7JdOEM4bSjhe4wOXWp/QAMtm8inSS9vXLxWQg5XT1jZF1t5RKypXnIPYeR
/cTSuyTpD9cjeiEydAkNMBeygmTmeJIFCEQVzrUy+n390ZcPUuacV9Mfx3RqiRwEHGtA7zwSni3C
33Mv4QY7Vc9OaI1eJxlYIJB7NiJjJRouZ6dMl9MIIATkYNceT60pPMEt+AE+hrAvtr153jtZu73+
Zf/1zP/tpTNdVmMqCcCPkEXAtcGuwZ0rABfsA5l6ZTAPX1BVhxRtgaZ607P2SfaywtUF95dwLPMD
rDWcu2zoxldwqjrX7lnu92K2MbFOdoDq3fhZzmTezsowj03XgypTwK8FBK8gPEnIauYuy+vwLbSt
yBNhTg5jH9V7rDq5EWDLbVtmik03QnGcq6g9xEFs7Us73raW+jFFctxZmRM+sjYjP8B3fa7GpISu
LPxhdswYyvcu6uJDAlMdj1QSrllzbUA+yKwTZxObqjkIztmuGLJ5XzqE+X1nTneMV2holrTZJLlR
78oo757CEUJ0qqu58Ig0jS1rh/beICW7D9AyWZmJhejQUQAU+tulDaXIU9X8qrN3m3yRydqut/Rs
bduA5J8Dw3WwMilXAHM1cYyEL6sG+D+BebuyYi/GH3V02C421ViBE9P6UDWw0TxS0XOWIRG7vlCX
nq7tqmVuCBiTt6OfW+Sd2fnWDJJbqiZ4cW10Cvg3gLg9m/6Uyy+sjx9De3oUfbiyL10cfOroF8Bc
QrZWTXXtl43ppelZcscFDer6sFw8z/Dw8/bxx87UgkyT1qpmfqAekuajBHWa2D+S+Mdtj9cuc9Db
nRs1N61v89Zwp6k+k4JGsLMNSN1LcUtRDx+hba9yGgc2zZB1G5CeZpmzi/maZ8HS+Jwn5Y/xYSKF
dcCMRRmwim5ap6fbSqLpbMnUOWQcKfH1gbp458EnnJftH79TM5COh1lCSqyI9iHuINuBl5nrNJD4
n9MSqt3Vmk780idpeRLaL6nJU8h/ZSxnv9JogAtDCZ8F2WVkz/uk2Vz/pIWI00uthZLcDuMWaha8
vRdBeZgd+nb90UshoQVzwcCBr21EXMK64pCas3UsIYx8L4PhpnshJkQP6joN0OKZsKYcsjP4PLrh
OP5omuQV4h+3SdM5et1tbCKsrVyij1BP5MHKCD+ElVPeNgH/FMaINfUd6l1+WYng1PC02cYsXDN3
X5hevfQwtAMElIau86UlTxW3kNTLlRdfCAbdO7bIqiQbKgi8jhQKv3Z9CBUUKTq6Gzjs7c2V82Yh
DvQyQ4JygtPXWe07ZvKLZEZ8NIrxaQwkc6GDZayUPheWql5fgPhqoOCrjnUEIRQzFMrtzXlEYY1H
3vVguJjpUYdoVxKWMViKBCAVN2XsduljFbzQjB2Tc1e1tL1BGSu9n6UB06IOnNZ4VhkjPmvfwQuC
BcvDbH1YoVypxy19iBZyEYQ+IQJuEVgsUagSJEa16VrzYIXOHaidhVfKfvCcOV+Z/8sL2NaFOpPW
KDIxyBoE5uSOm8K1Vfh0fUouT7qtK3V2Mx+mCmgDvx3hxN498DGCnNrHbQ/XzlRLDQ0EmbD5hcOd
weONJLlr29XKalp69fPk/3EQKXCAWaws05/t+dAWoPDTc2/Zuc1F0pbn3/3j+QB45NgoINPEW+rR
qXpp02jfwcjo+uAsTer57388vohYMpGia/02qD46iz73BTyUrz/78rZk6x6woWrPuopQdi2dGIzE
D8hjH+zoBS1xz6huEyuzdXFOXFuifKiQMU2G/apSYbpmmby0WKgrG9LSCGlRbPGGdKCUT37c5V+Y
zPdlaX1eH6ClR2sBnCfOlOVnDbe+zd/GILmjUXZT+m7rpQWSTGCKWziOs8RwCbx/RL16hcXS+OcG
S4GI+3vJlH0UlHaDtnkcF4MJxxnwzficDYcKrmlbh6dyZcNZCC29wODYtJHApBI/F0p5XQRqfmIK
kFt7skZUXvoJLXoFLvzO3AeVn07bKTZh3+A1drG5Pr0L/D1brynAHgCgdQYd/7yG3L6hNk6Tnfk3
3bdgZIcp4b+ZUUIIt9+a7QxYVXIHVsjzjT+uRXZjJE7TOAZOn7KLPBXAcM2tAjRkXXukhZtMnGwq
ihmTBHInrhBSbkboxqMPrPpHaQXN2/U3WVjlutZnMIYyTibYJQRF6yrG72AgtIJdWnq0dpT3rCSd
gwTdHwTrYWlYkkco7a/xYpeerkV+oQoo1Hdl63P73erf6PTr+oAsLTot7Es+wZanxHMFRC6QSR9Q
RvHx3tvrj7+cFtg6jy9MuWiCCWnfJN4pKP0VdPpVmOwIKq8mCk1ds7/+QwvfoVP6wI4byrwaiY+G
52OXM+5i+0hcNhZrdZTLGZRta0e3mVKZRSxv4cApHM+oSblDIz/ZWCiCeTn6NrftNDrPzzH7KBQD
LMwSh30fga4lLH+DRvL1cVr6ivP4/XHGwoMdh2uHM7YJOPECKzBeCsGKL6isJXtphuHKebs0H1rE
FyKzpKwQaCyZa4KkvDM2M9qoYKKmZCVTWzjTdYYfQQcKlwqs3cyMvNDJTm33lTXwn6h+FADFXx+w
hcDTiX723DZnL8IWmSb4IAlJP2Qr17AVS1+gRbVMc57VXcN8PqWfpExOQtIjTcddGNo7YDhWEqul
ydCCvIdKCI8CSf0wqMCVK2q3CKd7Q01r3E6TXT6HdbJfnlnjODcZ6qhJ1f2Cgl29kag2boPADPZV
xRqgU7i9kaERvAZwsoYBTEY+4SFqv+FoyH0pJdvdNGE6MVCkvIg59hzYKdRfW3ibQaxnzRtuYSB1
fUwZAV9l9T3zU4NabmzVH3MRhchnisNtL38O2z/CE5qAGWvCAS8/Q7shmvtvE2l/X3/2wmLTSYBW
amc5I6Xld/SjLMW2DK0NI8fcmk9Z/nb9N5YGSAt7qxdE5XlPfSN8Tm3Ho9As6tjK4JwH4UKyp1P/
CKR9JtNqsYyBWrHz9DlU8lNI8jqLZGWMlt5fO8SNonUIIPjMLwL4vXGax1/KaKzdIBrmlV1r6Su0
mI8E5C3ySXBoGExuDQcgINe9thy9uL7tBNFpf47kUccDk/u8rMwNpSW977Ig3FpGPN72Ezr5Lwon
qwlhc+RXYYAgD117sD3R3vh0LauX6FSBOJznflQSaJRlCZSwk2zuX61CgFd/01LVKX9xBReXSEKw
nqqHsXkl7YeQ368/euHM0Fl+c42e0WRGDaQuU+VNpmOcaFeolVLLQhzrJpKxFRsAGGM3x0Z+F4f9
r4I0b20SvZeN9bMAJPP6RyysU53qBy0RKIYzXAgHoQ4cuacL/RL4P3XMCyue7m77lfOB8seG56SG
HVNZT35YJC/hmDxPU//AmvZpytY4l0sfosU0EvEeuFKorE/tM0EOWo5fiHiL+1/Xv2BpOrR4djiM
W5OiMn0cPPV2svMqcMlZeadl+YchQIhqWJd8vf5jC/uTruUKoTKIoTMERSNAR5nKvDw0Y/Ba5dka
93Zh7eoEwJCwNI44yl/ZYB2i0YavZruycOXl/Vtn/qnBSuowhZmLCVdxEB/QRwoqeq+UukOV+7uF
YXQlDB2hvQei9fUBW5gdnQmo5pYEoocPGj4lgvWCGPc1/PiiY+fY7XcVoNG7AVZD/b7+cwv3HZ0e
CPjeSFs+zf6c9PGnRUu5C5Oc7MwRfW9PoHgGpUUrQOY9NmLtZrKwKHSeIMxbDdMJae9HfAvWwTbL
j1a3FqBLD9dOdGOe29RgAa49ITHdYhgH14ii17KdVirTSz+g7QBG48hY1n1wAmT0fiTkf5WT7TrD
qFdWwNKC1sIfsM7QThgcYc5AtSKE5VUSmt3++nwvvbwW/Da6uw2GRJ5M43NsH+YauoO3HYJcS9pZ
E8T11M8GXGEeBhgsiSl2C7GShCy8t07Wg3EeBCiTKThN8rGYAK1unps6Xbn7LYy4ztTr4GWFGlJs
nBJSvuQ5dJhB2lyDqdHLxFUKi8m/jwxc9VWApklyTvB7BehNX/wWcS6fUxGS1JtrJ8lcO8nbA4Qu
mdcVyTfWJ/OPBqk6JMuYBQt3aGcGnWiPNRKMU5hABDSJp+KzkTlFu3ZOqA+VnRn63C0w70FjDIGX
Z5Dcn0UpiZtEXfOQN1W6QXOLfp6PFy9ok8HPqqDxprTrvnBjDlApUEJ6eTfK750qq9KVPJFw4DaA
he6dAMS2Me4gYtcU5XslR6t2ld2Orw10WO6btMkbL25aSJaPMjJ+CSO1mk0FD+kvdWAAR1BQq4m3
UvAWVB4BM8LeSa0fSZIEBDtoJN4AvJ69oYEAqzUS28d9r/rGQ6P7PiTCTtw+BSuaxWDX1UV0hCYq
c6MkoCeIo9ebWRAYUrZN9wq1td8ZD4v7KMK+5ZgQLnjK4lQFGyLD8n8R7EfdLCGV2+Y5x0+lznBg
ztg+iTisdzQo1XMwjTP+u/1fI8YGho4D7Kw72Z7Abca+kvTk0XEQl45pWj+4Jay9wq7wEAth7WgM
zE0IhuQmslJ6bGGi6ZVsLL1ejJVnT9TezSCUf4HAcP+bAKwb3Wc1dlbVQ+7VzRUU1/KAlC7vVffd
kFR9qw2wmBOTo4PRsdEruIAZEonyzTjEzHOCKr6nE41gVjoOGwOOacM2DSKIzzll1/NDVEZl7hmw
gak3CW0gIJVO/XMBAMzHwGMybnlj2dnOpIbMvU4FGQjUbD7OPRHVZjIL8a2K5dxAMogmh7mP2DYD
aspznJh1XmGlFpSEQ9PZjLwY3tWQom4SWnaxBU6lz7ysYeZeNA67j0XiPNdjbJsw1YTIeIe+4aHu
ZV67eS8yCNMKCEhuG26ULrGyYj6yfsj41jatyK8qa9zZSeLBKJMfoE3XuDO2AVwTSP81M2Y2bOyI
ql1mFcGT7KbxCJZaFyHTr4ECEVm9rVJH7YK06M/2oU5BvLpsYf+UZuI3av3Gh4zC8K1IUgROpArW
bgH7Lo8s4GxfxJZ47IsiqSBGr4r7BEq99jaqk/kdIjjEted6eENPl6eAa8W89oa6Vu22YGCDtINh
7XDnGAABsoyjakj2FqSj89XpJXwhzJ7DwAk8cKcqpqewMJpDXYoEFYCu9zvbVtu8JPFbXqA96cCN
9j3oGuPQKWVsnSR/RfHCPE6lbBoXLvD99yoc8TpEqs1UcuJitsmJzHnyGIP5lO1NaVtiZc9c2pC1
Y1acxRWxFVS+BFoBc5FCf0QSL5yz7U0nlU6tFQ4vYxG3rR/a9kfo9GdtxclyebXW5fkPdnTheq4z
aykP5zZBj+Y0fyG1Gz0Ob9Mn3GWr+/jr+GR8p+/O+/DaPrX3wQN/vv5RC6m9zqWNKlHwKHagjV7N
uYsWQwB8UjobiVsLsEZVNK+pTV+eH6Grl6VV3ExWyDq/iM1xE9hA9eQ0+6mMtUL8QqLKzp/4x0Uo
YFMKFyUK4zo5ua1oYYYsNmH0XHbwRS7n3fUBu/wZti6ZnZG0hAfU0Po5NP53vQqa12TsR9PNjDXH
2ss/wf4rEf7xIS2g+0CN1YUvanYPDOAPWBUcSBjcKAKrQ5MAGIKIYV5UfhDad6ppdipPYMSryEoK
fzl7YToPNBVFwCwjxI3U4Y+Rxb8hd7kp1WX/4JLMOuszy8n9M13LZoCI0drtxeP1uV14cR2Q1Pe8
L3hOYTdjTMfIZntphzd1DZjOAcytnAO0Fc9+2H1txW/AAkGc/hDdmgrW0qvrKZ0JEz6IbdinCH3W
+0LAAFx1Y7SSpF8OLRhy/B1ak7RmASXu3KdlguwhZ35nyYchKe6biGzCqiQ3beJMxz61rRMA8Yn5
NcGdGJXp9oBkdsgqrk/w+X3/3WCZDnoaJQXjJstmvyTRxmiiY9CZ8NUuUWFdYxQuBK+OeKq4bETa
jb1vxWQ4TnaHXG/ukHdIu/q8/hWXr8hMhzwhdTcty4omoMWrnYrLZAN1nk8kX8i25+wZN/Rd1483
QQ+YzrDKwxT16NRUvpEqN+iOZA22ujQX2u1sKgKYEXOz9M2c/ohGFChbc4Y6XEXvoBm4RoS6HBdU
hzk1QNGroZf8RIbstXamr5WaVnaL/47lf1cT1XFOc1dYUwD5K7+RJnvJCy4PIpcR0klpwCgFNSA4
tYdVN3qiB5bek4Non+uyDPdhNZH9wAnUIg2YAMf7Tg79zwaWuvAvlFkMQaCcEg8pYrzrLGHe0aKB
4pZpDE+wZzDfzN6Ae4Cs5e8oCKGJb9OYulVeofIzW3HxQFrkD6Sxxv/FaB7D/iKuX6+vvcvLm+q+
yKkVI1fNUujlz+WJhmrcOHXwUhXO19uer+00sqX9WCdx4Te09JrB+iRTuU/L5qZ0h+r4q6jFvaSs
YeDNg+wYleEhLItdRJpdOccrAXM5Oqlui+yEIW27YCx9IafowGf2wijbRwFsSIzWeaEyOcRtsUbJ
vxxFVEdlRaSTBSzXCj+tMg/VTDfKflXirehWFvnSfGu1nyHgk4oDdIyY2ePu7LDsW8gy69RXFl0Z
sMuHC9UZX5mkIWx6R5wp5exNBCZT/Tc1fo0E1GvWGjpLw6RtNuiVztBDBnZnFM4DrOJDZITWYa6r
uxBGViuny39CERc2BB2mFaZTCtBUXvsq88Zd/EBP3Gu8bEMM1/C4W8MSc2Pc91uyC9zTS7gJHvJv
Yrv28wtbnY7k4tEErEOmqD/2Vf5WDBHbdVVorjHxF4ZQx2/ZEojnM3bOT4ufpQUDKPZlDLINX1NY
XXp9LfJNEzXFlsKcMaocTzr2nT3dxEGGAMl5cf+RUA9jTBNUxalPzPoFteMnka+x8pZG5fw1fzw6
qWIzmzM8morumJuAYlmwvXHzoCAozQ9ruNSFGNFRV2U1WWbpjPCcCKE07LTpCEE1Hn4bEyK8ksZp
6EJLbs1ScOmjtKBPadDVaY4mvYA6n119aarvzOndMl0pzC49X6v58jBRqEfAizgydvOM8zJ9B4jb
o+3KpvWfitKlQNTCvaS1qVDh4z7xwJV8GyA86+ZfW/dxPtXb1KsP9ANGXfyF7PKNcTQ+um/Ft/x/
5HlMXHtjH5GtrWwJC9unjt5y+iKdwzBCi7SWew504kY26iWwqnp7/bxciBodtTU3HYAjk2B+Zcr5
oQnLBP4/5hqpeOnp5+X4x+rOJi6LrgsxjiY79lX2WdjtSv186dFauDtBU5oK6Da/HsoEBalevcBa
CbYY18dlaeC1kMcSBtuLW8zPR2PvEBRrrDGu3KBdcyVfev/z3/8YGuQOIEnamFkxhse6Hu/SQO5v
e3f296Nzy6icfu4AMzGLfavuZyfwYNmxsiSXXlwLbtAAjUFCVhWogO5nTQSq6cHuthfX4rpig2X1
tLD8qbPdrPmWQ/Y0nNacAZamVAvqGLabI88b6ou4vG+Fve1IZ2/TuJlXxn1hZHQIlqijKKaxzfyR
RceqKpGw5XJt2Bd2cB1UBaFLahFi2v5og0WbjRG4bsEDTfPIBV+29uzRXiFkLn2GFrRoTThDH9SW
b1V27sXt0GzCjK8kawuToKuuyxH0C7hv9X5KX60J6gkV3F6m2+7nkNL5e+WDS0pDTjg4W/3wwyHz
u4j4exLIh8DMbjOBhnTU378RSruWZjEgupgzPwG0G22HJkWlXMzCq1Neba8Hw+V7gGlr35IEJtwT
GGAAEa1+2LBfPs3TpKCtz2u1QZeBfCWtaHoXPcrg5/WfvHyuQhlR+zR2ZkykiXOqeb+F3rrcONaU
bCBlfWck/EaoItVRZFmdkyACCss3auglAYCZ7poQpntNFdk76PNxNFCqsj9NY1mCY14NO+ilNgej
tLtDSVL64cS4517/5KXFru1mYkznXDmS+Y2aJBqPZmd+AHhmx7edIzqvvKgjFVTnY8qGFzdjnzyx
ju28RlhY2hS0LW3O7KmWdtL7kE/fy+ktgroQ0t9d4vy2kx/XR+jyoqA60KwPDCV4c05BKtu1SqBR
8gNIsC4ADytjtDAHuth81ttwUZSR5ccqlF6YQBRSlGqlcHpZoYtSHWU2RpU9hS32BOBqWg8SPNFz
1Kr6se5746GNYTDhQrFrvpslUceYqXoHF6dyP/dG+TrQgdVuG6aBF2ZztUJBW/peLXWxU7CisYFw
P+yz+34wnp15vvHR2qYxcQt1+bSm6IPb4b2q+ggFvii+7WTQAWlGkJRJA+sHP4v66dChiwhJo8Ja
yejO73gh6f7Hx5tnNu9KLOah/ZyNL1Wp0Jx/v76Il56thTmNp4BnVtzDGLveqSlyzUBuVfjt+tOX
QkTLWzKlUBfKECJ1W7kRuUsGqEnxzDWy23iwOOn/3plHW7T5iIYsCFzOcch57I4J/zALc63Oefm0
oTroLI+KxIpaiXTUqXqX5M2HwSFgFyU4So3GTSGhj59cI6UsTIeOQ8N9mkIFFb+WSAvKtaG1rSM7
cqURrvR5FmZEB53Z8D9N7BLjNQwp3GaHYktZ2biQTn6SI1yPrs/70mdogRykWVK0kPbw+TnZKxLn
iav+jk23AbOoDisrad8MDcNXIBdw46x1BfB50bSGv13Yh3T9+bEajXDIW+WrBkpMU/uqWrbWT1pg
u1E9l2gHkHKsEpvcaPXbqYLAtp0EbyIyItdxOHzp4KKbwjq9cKrPYUoeSDx+z5LgxmRf1443M+Th
sANGSKKo8k76KD0ZnDtbU/E10+6lNaZFPVSjK/jK47YySvFiZ+cjsSkPMRD4Htpzb9eX2NIcaYGv
OgjSsxlnozPEhzpr0TiLH68/euH9dQSaGdthPtdgQquQu2p4GB3bI+x3AJr49R9Y2FN0FJqyJytR
Q2j5UFl8UXPiVUzse/Bmi3R46jkM5svbKFtUR6SRWdEpgM28n5rYvlCMR3sOXUXoma6J+y5MhI4O
GDvHzGXSC18gB8/tr3DEuT5KS9Nw3lz+KATUYaAGoI4IPD0zGwZBSr2GMGb3IBCZ7Jw0X7M8Xdis
dKdi026ZhDmDAKzYdBkMA/HPzFayrKWp1m4OU2MRiE4NAr6wSN76u0Bm7jQD2BZUrlm8kCrfXB+t
yxp5lOoYlyhpsiAO0UruxsTeBw1zTgFLi9dhIOTAssiKtiQPIM432VbnxVWTZRsnraK1MvbCCwCl
9vd8CQEbB8eq0SnvIcLjkWlfDDB+didg0oTHDKjOrBwvl5ccYLJ//1KDpnmciGoAD3F67MPpMS3t
lQrq5UdTHbYjGrTGLNm3ft3Qz3HMPutiTYdiaT1rO1bOBysnJpZCQZL9VD+Q8Nmunnlym3IK1ZXv
jT4b+2DA821ATWEyA4fjleR5IUJ02fuOMofEaUZ9U8W5B7GObDcWFvWKNl8TKlqIE6rVVlBVhjjv
FIAtD1Fgxh4DWrwS87Fu2N6oAd67MTPRhfDNqjBVDwq6D0UKLzNDV/U/IR6+vR6E/43IhVRdF1Ef
q3JEuotTqdywF3oSXn5qvtr/k355bLbW4+TxLUDwL/GT80Fe5L156u6SQ/aUfVffBd2uOUUvLGJd
bz1XYZdDdbj0LaJec7u976Y1E72lR2v7GZyhA7uuCTo+tHliVffmVObKqfjfXF8aPG0DgeA2UW11
VpyB/w/QunbpBVHYvvRpMkFrkIyWZyeQjlfFMH9Rdhdsk2Zg7xEV9Rd4izUulIXDTTyX/AQNFpQx
Yyf/bswobEpIho5uyoPWnUTLPqO2H3bwPyBf8jxsvb6tsr0BpUHPGkJnY8ZZd9MFyNSR8qaSJSVn
VYwp/2mIbjfLbNMY/4N9z8pWeHlTgazn31thVptO0fcOnJWL+zaR29oaj9l03xnv11f05edTXZl+
GEnV96DK+nO9oYaLqyh8oT+isV+Z9KX1pG2KZQs+mhjQBjcj/sWEo5fZ5y/XX33h0brA3QBUSI+C
GNq2M7O3qpqcPZ3VGlxxYWD+UbiLumGIlKj9NiVvdWAfoikCsSoZn8rcWiHrnSfxn4CA8KkWbEVu
RxPiYTyRju1Ga47dQI7f6EgsF9iBz8wy3Cyfp63oZ37LesJPajEYw7SCVSMFmNQIehdlnhi4ehzi
RaYsb4JBx/W5+U8y4NKnaUd4bESAJ8Rt5OdJr9Bj4xLBnc70TgxhuLPmQWygpAWQTsed1OVjGm6L
sKG7iVFQUp1y/DplkYCWrTQ2lZyHx6E3xDeTF0bhAfUdfWeB0z3OzUgYnFcD+gkx8fhlihTkPELL
KDdTnDIIpjvtpowic1OjVvGoitbcpoWsDtCHb0w3rtrwWxUF/Um2rNk1SYfEzVECWC1pbtK5KmAE
0Bm4r5X8LRUi/dmzQm0dMUARlQMmbfyfs+toklRntr+ICBmMtAXKdFV737MhxoLwEiDMr3+n7moe
X1dXxCxvx1woZFKpzGPiLmXVbQn43T002bqYJ/m4KWk+7m2jl21euG1c5kaF0qdyWy0li8vAsTe5
zVw4AJWAoU3TRwc7y8gtmbwJAjEdBCgUuxwSIfAUR8m7gvdIXNFmuhu0gdxUBgeSucStAuop9snx
rQrJMpYxJvbnCLDrdpAIhl/P46eZAeQoV+Gnacql8EU9HdLSgrx0Lbshkvklr7xP9xiefkoW/roB
oBg5SSpyfWSgVN/qDClt7hTbibbqKDJUFL7+iE8DBV6zyj0UL6ayBY3kSOVPmaFGfCklPvf7T3//
6/eXTW7BModqyTTkW6/BfpoEdD/mXTH+m48qXzNuO52Ivh1ZfSQZuC5df8hMFQJFHX89NGfmV6zC
cymwfgEhQgSS3rtU84P1+JtNzaV07MwIrdv4Gm6qBWnQs/Mhy5ClecQ7cAxMAdI2vZCTnQmi60a+
aAYOJF+A1hdUqZUzzjeSu3/cQrzqub5pjGGQSwLFB5URduGVZxbUWo+l476TJaxUR9CgbhdRgDF8
SSzp3KNXS2qaigTN/X48+v4YSu9hgBDy11N97smnJfDXYp29pIDlRqWOODgf/AkUIThZ/NONjfI1
RyFzcjq1uFsdvfkIZeN4rtoLY336eZ8cJGullZ5kzHEClh1xIXwolNp7Jr12uubh61E59/jVeUiI
W2RaY4F69fxt5GU86BMstHEv9Xg+vfhgZFYHYe8gfa0daY/ChxGKrQ7+KIZwduS1EtlmUgndTr28
NA/nPme1n8ncM2iNuhlWZvsGAA2OebbXGdt/PVpn1tC60c8c0pHUmuzojHTYVoOB/2uruwu1lDPB
Yt3pdygc/dIKHDGv+nCVE4GXElaLjLPi9euff2Z01hoqqoUXrsmwBRrzE/noxiE33jRuvn44/y/x
/GSprlv8WdH0nu7c5EBcp0IG0MlkX3iDgfda5huUGbn+U47OQK7GBbfhkKnUOySTNiZWA3Ee+DhP
715DquCqT932aZh79T4PYvw2Ni45ir5MX2o3999znVYxZAVtFjHNa7g5w094B5FBdg0i1HRfw0L1
ftKyPWSE+68tDsBtV3BIlsPmfdvB7iWytvN/pLQTHyIFBW+olSwjKDEFj+BB84+2Qn8rzJlXqNCt
muZ2yvo8ZjQHBtdUTSwzINBcjxVHRVX+UXrM39A0MxufTyjX53Nnr90sLfcJwBrwGEnm/UhxWIIy
q7PrHLTlR9L1+WGQQbubu5FtJOiCfwooP+MUbVvyM5+ZvstE6aShyb1+B/RHt5v9qr4yC+k2EHoN
fkyLTO7KVnjb1hsgrpiBhXW0tK+fmmo0Rw4oJwsDVTV5CHnc6iEQjgZzMElfyn6oIEGXeuZuSRTf
+ER7fyrZwCJprN2HaZL4fL/OZBhAbT/2TdFvqVc0h9k2acS1sj/hUts9UTuAEJihLPbNnRnf6G70
5+tyoKK+Jok296JVt56bGJgeNTQSk99cs9L1IbgaGLjzuXlc9ZpvA9+pbvC3Oh5l4Ua+0mojeupE
eZqWkdasjwS8qq5hcgtpsaUN6sgPTBBNpls2xUC7V+4T76XPhxM4N5vj2oJ7qMyAvhxPiIKJycLh
jQdrVONRzGSWihAe0f7V7HAvDLwxCYFMSA6JypfrRrfJM7RIk33b6uUgsBn3kC6YIQrrq13nWx6L
vEXH2rb0h+GFeUtnLCIjHfm06FluvWKZ7iCqyX7AQlP8lIsaX4MGy8NJifrpBCmJZhigzBEuAiJq
Fzb/IlJGidP1kWRevWy0cuW1dfEvph6KsUsZFqN8quY6HBfxDRw4FRU2rTemgMuk8YHZKfUjMDD1
tm14s+l8UHDxtXzLB9Vtgiqn33sAKjZZVdqXMdDixhJUBkRZmz1K3MEB/Mt8oysbbAKl0ZrzmnGf
BYMJ3XyoQMpsbLEri6W8EUnKt0nmjNs0SdvnXOI3qxL1/mjhHcioDswNZ9hj3SpngOI69EruatpC
4d9v+R0Xid1A138MKx8C7VurCYndygl+QV3DjzLsSo2uvGND7c7jgbXz8ppaTBMBcfzegzrNnlqV
HHP44EWOmwS3Cw2CR3dpul3HG7I3foHKs1WweFdjJ+OEymHvKTls54WTqDYYwZa0JRTRbBn7Afim
bkL8bdFWsGwFoxtwubZTJVjBkBRZKqb4ARR6cGdbnrJYFqyIvQ7/awaBSEjuY1GfCNlRjfrhlijO
dpDir2Mfpt27UnH7XQV5U8QQni2/ddCjOPpF3Txmoup2mjTZmz/L9ge2dRNJk+pIuh11wzkNNDwQ
itbxt6aGxG42F4DyEcdt7kpdKgofsQnKP9DdXI55i7GJoHpClsin4FpFlS7qBwvL3nLje0VXhpL5
NIZV7PRaera6sZJgzRtO5kdoQ/q7PK+dp4W50NWaGSEeXGUhnhp6ntt9lJlJvjlTOR2SNl10VHC9
3I0mE1MIy1R5j60BSLfr5j0ijVvmVy3uAHsPElpjOLWzGQ9J3cFQQXjWux1HxKdGLUuwL4NKDXct
WYYQTMiCbjqnVt+zsk8jDekA5PqLY2nYG9s2scnbqsa1iILaMQDV8TDXFt7A9QRZLawZdUlC5Nz5
ePr7XykiH2BL1+lmOljK75JUIU+p1cfkl5cU7U43rs9OyFNe8dcLKtEmqkMz5rgM5lqaLiokqPFJ
9USReWHfXkJanctTVoUVJyiHrndRWJmsenD7YJsW5p8AA5T7q4wRtQeicwGHlNxXYqtzfg2cgALr
189QvumunMW7c5PxQpPszJSskSe0R62mQdn5qIsneL9vmHNXevTC7f5MwrUGnsAoncPYqW2OpNDN
H4H07tC7TD+5TQ8Bg8G5hDU79xGrIUvzYSa0KnEBT2E3LaqPofg2VPb568Tr3NNXGbaP/mSapkt9
rJi30WM3bqkxQbiwLLswTp9DqVBBWKXVfWBtC+pAc1RowRwyZirUq7P2dZRAtCnEn2toXUDkCTUZ
leprqJ2n+3ax/aYqxvSuWAp1Ww/q0h3xzLStISuYJmgKAMAAwgfQQhBo6CAbAq3t/gXCRvdfDyr7
r8LwyV5dQ1UcA5ER21BzNDgAn+ZhDG7GXicm6kcU65bKjoDLaBTUsnIAQQf+tfJDTwl74gXkuyH8
YIfvvd9Aub7w5/rW1LjDpRBcfHQz3LpiWsz8O6T0RYWND8+f0LTGrUD1CZpItPkSVR6UZ+qE4cLK
XfFS+vOQRK6svauUuN1b27lzHwuGyg5M0qs2CaexJ0gmPNltUJMZvLDiSX0/OHR68KhUUaa5ckKG
plCcd9P03kotyMYxlXjj0zhvWusnG8InBwg/43wvF098owtcu9E6KM2r4KKZI3ST56e28fp4nvIF
ZUWiISiZB3uo6Ls31pb1sajT9m6AKn0ECQ8IfDM25FOcD70nN3DOgjaAYRI/vSHOEGeDcd4yctIN
aGun33VeU0bKTYsmhpBpVoTQ3k0eiOMlGHK/f6HVTJ8Bcx9DwiAEwER+3wetu2fgs0VlI9gvXjky
3epaAT3q0PZpcsl81+bE7CtWI3NSy2FccApWpQAarB/6Awqk8qr2StQylDIhfGloSPrWbkFZnGDb
swQsXoa8ujeul8eNgKlm4ihnVyUMmJbCc256z+jYkLH5KOySbZdZoWPDq2w7BLTeFp3zHY1o8AV9
nnhhZqcCKgmLrsMMnOtIwuwY6lsyRQN9qvk9dJ/qI6jL7XtBIagT1QBs3FNAjVWszSTuBsMAMWsz
J72ds5EFEcBgGDgkcUfU3fQtUFUGJspTfd1luoaEgYsAHdmuKU9SrSN9WZyKXXlJivhWzGCq/2pU
5x06VkAgGkVUVMPzYHAjLevkfR4hHC6AoI9c4erImUkZO62kuKXIlNySyZV4/zjvS1wRnqHUPe6L
jJ2aKG53MLKhR7bMUAapiu6YqaZ8IrOfb81IYBuhSzdyZNPtMw4OYpa4+V0wTmnkT9YccK0boL+r
29jz2uDGdRnbtY3TR7Ny3Duw8ZJ6O+NfH3uWLhFzPHYzthx5TD25e38kJrKyyN9hZQ/3H5G0m36q
s5APKX+oMb/VyNidHrFMw37uoHlWktY/pjj/r7MpKTbGN+7PqrXuTUUGskkX1NKKzvgfKFHm+9lA
TlcmyIBCAcXBW9Zlzq2c7Vhvg6RSP/IMvokFcs9XJxj/QE6m2LVa4l5jbBAxSLxtaxA9b1Q/TK+z
kOVdAxj4GKXj0jxB/0DCq2vocEEZUbbfe4mwt6qEJm3Y8kZ4m06Idt8I2m/LmfcxmTUicVkmL0Oe
2F3OSzbCN8yhCCSStr+o1IWCC4Rb7H0g73mMbil/hqw12iw5K40OXZk3z8g8F7PpfQt1u5H29rok
y/yeSoL/lq5LIwq1sFsHRhN5WPqkVVHDAAuFa9kIeSzk2jVCY1qifUGCif74OgyfCfVreI+AKI+d
c7hzOaefiY4NZGzCciyjprmQYJx7w+nvf6VkasF6TKhjD3rpPVwyNYlYZQ/QtHkRsK65cIKeScjW
sER0cUxnNBK/shofvR46fE3/+PUQfU4epXwtfJeVVnr9gPK+/wBRyn0X+tG2C6/yOPmAHI+O+cNy
CA7Ort48ZYe9l4fF23RB3fjcZ60S5lpDB7qxfn30+zIy5KW6yBU4k9SsIYpzbrpqydB4mXvylPXJ
A+SabsrK//P1oJ2pSq5BitjXINAkc3tkTrnzobKQUPqYt/3GlDyszPghyaUO9rkxYv9/geEIkkhh
MUa9AaFmNtDFcUpXbL/+kDM3ijVUaE4YCSRUto51Vh4o5VAG4w89m3dL80NXl7wezg3XKv8rIRFB
66IZ4SrsXrVuVYeos70ZNt/pfHwseH2fll1zoWV+ZurXLf8Clz0c7Ut2PKG3Pnrls7fUNGWsOxyt
X4/ame/5H4DiCDlIgvbIEbHrUUhy0zvyrWb9rjLFgXP95Kft7utXneLIJ2nkWvYnA6W6VWk5HyRu
YDN0mSHjsJmGn8okF4rS595wWnh/RTAKuBhxx2Q6wCT+MKUVpEPLPXwfHkF9ir/+iDOrbK1gRUkp
IWHmARNeVFHKypiNhwwd7YW3YZ2/fv0Sem7iVzslp5XDdaXI0bzzd327PBeHMUe/Ohzep+/d3UF+
IEEm/4Y9WAPhjASdwVDSHTu4DgGBbpoa8A9LxXYu0vpAixRecjlMrqGwdxLN8J2LItFnIgJf7aY2
h3gdXXSADKI+KJ/vveISZ+fMEK4xcjTlzM0ADDmo7J3L0zZ9Q/514RA79/DTbvproaEgzUc9LP6B
1fOzmuvf8wDsc6qTfztN1hg58HISw2wRwHMt6HdUcH8/at5c6IKfWcNrZNzI69Q6GWxwi8Bvd8DY
FpCYclCUapYWlD6uflcquFToOdOUXePkaiRGAzqC/sGvkrCxP+emwzVpDoFPjrjqwsnRkS3/8YhZ
4+FSf8oEeEXZEcB6E6JSnX2wYAm+f70vz8QXtiomNbKCwnXuTofM/TXTBSBrCGACQyyb6ULEP7Mh
1hamhRKjbKG3cxxE8adyQZab7IX+5rmJWBVHxDyhVkk02qc6j9yFHVEPfxjkguZN8QxESxzYJBxF
+fvfxmq1tftAaNy8yHSAlxlaJxoSqDBPb07Ve7r9+hVnBut/YF8z8SFo3swHn/jI8JWK0Wy6hFE8
18Nbw75mUfEBYnv10brusEmWGU5I1kDAJZvc2yXtulhq2WxbyvzXmhYEYom4pfDQ65zstg7Q8apq
65W4P6XmrZ8S9yqBkdCxy7v8ffDG+pdTiksWHudGYrUwfQcek0FHyyMYfAqAo2njlLK/MMxnwsVa
646gzplZ5tRHmU77FJ2MpnJCEL2jqaFXTVteeM2ZTGQteQcTrSSvZzIcq4xufa/eobQaTUN6K7L8
4BL7Sjx1qRV/brxWi9Ori56gqpMfO+9d8+Nc/5MuIOVr+bvWGi7m4FSktflV3eiXicm9Fdmvf1rx
awm8hVB/yieFXrFyAYETz4x0f75+9Oegfvz00/T/daYJL+gELCHEgZ36VimsrKPUw/qtHdXtUdtR
+zZxhhBatPXRredk0xaT92+JG129m/AKRpoTHlyNp24GNARCWNff5xRK+VW+XEh0zq0w//9/oaGN
Ncqr2mOD2kM9NXPI7FUF2dUS1t61qA5quoBfOJMf/JfX/TWW6GwkVC24iC4W9ib5o4btaJk9fT1T
5x5+WtR/PVwMfKl4LrAfi2KIEu3DtNM1j/NySXHlNB7/k6izYJ2VGQelzG5JxGEU9uCI/DnLp29z
nhzyrLmEPv30I1iwTs/6lnLgT5k4qPwqb97r8vfi1BcO0XPPXmVnZE4FHN1gPWLtcsV8YGv8ZGvE
Jcz9meFZJ2eT1nUW+HYG9CX90RIYCLQ9sKc6yd87G1x9PcnnzIzWSRrni+q9oIUCKIW/VzI126Ax
L7Rp3viAynI53fn5+Mz5bEKHeGNY19k9ru19qNJLjk2fBn7M0Wl8/1poMps6zY1bHuEop3aZUwwx
+Fn1Xe+1TpzJgO5oL8oLKfWnIRkvW63qAb322dRQyM8dYW8gwbdEp497/no4zz19dUBWflbXw8Ch
v0w/bPdU69//9tzVRW1Y0gpIhTJBt8xntygC4UYrUW//+unnFvIqZbMyybUzm+EoZN8tYQJ7hbAb
nORmcav5QjQ5NzKro9Dx0RsRbjod4RDfXPW2tTtn8c2vr7/gzNPXKZqTmEYzYB6O/uD197Kzw5Wd
0v4fn77a6L0DNRBWs+TgWng5qsrewoY8i7/+6WcGf30miRIi7EIGBeSPRBYvdeJfLSkZ4wWCIBco
aOdesTqQSjUmaCq0yQENykiqIBZqjtNLdM0z23d9CHmu9msy+AVYEUyGvIbOfJVlaIe29Y8UPdGI
XzTFOvchp+n/K1KM6OBBqXHCCSF2i/QRkZZNJe2FWHju6avNO5UuL9E0Lo7wiIzGedciy66D9l9y
Dxb8T3pbCNwjaD4cp/wb9HJCVvwYGK4r8sK969wWWG3ipZ0oujhyRMe40LEn/fIlcYL6Utw8cxr9
l879NfR87gN3bmCikes6ynvoFOg7NiWhe2mTnRn9dUqrmZLocQzJoRrzD1bLK6DNnoHo+/31Njsz
POuUtsXYpJ0jkwM3Y3o9aAJTJC3/JQ9jwTqnRccUcsUE6gRoZhyArPuuSvdQV90ldMmZwV+LOo++
A3G6CfYoSr4Bd47D8qrIIBeR7r4enDNbeK3l7GdpEBRpJg9tWTbgFOS3FKAo2aMzA1ig0zjPX7/n
3CSc/v7XIhqAH1JIBKGaDwBWBD0T9kB6pi7ssHMraLV/tYN6U12PA7QKi7i0oI+0v/3q/euffm4K
VicwDGoKFuSde3Q4Q6/61ySBFcjeC9gif/2C02HySTa8Vm/uU8/PpYPYBpMOBdGGTj4C+2gjW/PE
gQNI2t/DhaXrAd5bLl0jz83H6lC2TeC2hQbARHvzTrrtPWmTfwpH8DBeTbVgTZ3BD/egXX+BOqyA
wPLwTxUZ5q/lnJusyPs2QVbvFOJmHtp3NlzSCPh8SPy1arIeQOhaINN7bLRk18ZRMjJpk1woiX6+
RH25PolbcOcBpBFgN3UnwErUo0U+2kv2T5/vY3+tmQw3D130WY+7ddv8bP3fU3WjKExoaAWT5uDf
7If9tWyy48MTpRjwFm0ojuH8qW7H3aL9C8H0853mr3WSczaQicjTRnCeWKrAj4CXECwj7SWE27kX
rLYyAP811cRLDsr8cOBjvW1d55iPzi0aoJcMBc9N9Oo0TnXaZaOHiSa22owL2XfkrR2r6OtYce7p
q30L45rJNamDp4Ow6ZqN0DL0zYWHn9kBa2nkinZwlbHYXPCi1OFcdj8s739//cM/LQ4zfy18nABx
UkLkXRzgmAO5CulHQsNsEb4fV5aj1BMk1wmvqxDc2gvyRGeGaq2FPML5hgSihjhOOsRiRv7eeTwG
w/BCC+W/PP1/47YvVls6GNtiAY1zOuaNs+zMInC7UUq/1PlC47HvCiBu6m7bd0g7PDjpvOC6C0N4
mVW7klEZG2/0aejOHd0DSDJuhhISkyhaJJeSh3PzeRqZvw5dJqAaSnERBiOu+RX4pCrCJKfi19cz
em58T2/96+ml7grUmxt5yICrp9M3Zd+d5cKZe+7ZqwNdTQmXDbAtx9mhLJxq+cOHLEeDMfy3374K
BKXlwHydZE0CvwAo6bVon4v+wro7E4rFKgBYO1VFMyPfZABcw1ZyOw1H0IjDbm43+pKPzrmpXcUB
uLGPuUoTJLVyeCkIOZKmuIDSOfP71zxKCPiZKgXW7OB0zpuV8x/GqoCEs6HDNR2A1yqyiyIXZwLy
mlAJqzHalmMLlb48u2d9vTepf3SC6i4PLqkCnHvF6TP/WqYUcWBKc4KTcUiWsFNZEpay8kIKS9lE
efHXC+rMfKzt7GGD5oErjQ+hvrstp2oH/54Lp+K5R692saFLkHGUCA5maP1wMova1LT78fXvPrPR
1pRHKWjQSYvTSts0RoHgEFT+47T8m6S/H6z2mcPTxFAfRqHJXN47mRMlBtcjDfOLS284t1pXu60h
jJuaz/SYCHXMk4HH+ejGiwHYsOJ1G09orl04Hqn4j733ScgPVtuuRrWdt0u7AAJk2IapxHvmKGZf
jYlud6wpzZ8OjOZ37J/sZZg7sau4giqSAHNxW8P87q2GK8ymhFFgHQpinG9TXaidnKbsUXc5f7Xw
+YJT89jvIaaY3Xe+SK/9pBqiwJTiaNBXv9Gu619x6PzHpIGaeFF58z2bjNrheK1jQiwFtlU26bbp
52ojSkp/60JWG8ZmuBMWpolT2Q4fA0zF5sgCW/tdVUPxzHzb9KHF9ew4534CJW4+3CdOpn7WRAX9
Fv/cjTMXJJPeQE8gAFvnzwhhwVfdO3xb18q8SRRk7uHfCXSM7r0ryBkuDw4NRhn1ZFquRqscBV2V
lFyRMhnvinxpQDXokl/S6dKtLLI0bvsse4efWffDOAG5Vr6wgFMWY15s4RhvIUGOFuRU+sBetVCS
9R0yPZTWSd6WBjhIB3d9uBj26jEAa6sN8zSDxBD3IN+s1YCMRsl5BiWp4KB6+fCxdLr2tp2yaoPr
KVtC7OB5OODDlwRsMUqaOIdy9SZzxzHsk9o5tt5MniqvURhikXjXQdfTgw2gw1UEnnge3Cbnm6Bt
UqjTKdCKlBLBFjusrLckb4OHxmUz38C0CrQll3XiliYdExGMDYsQPDb74pNmeRp97cRBn1Ash1Rv
AVUftrnuTnSzJT84urFXDTqVh0kpuwFfv96ANnkCifcmFhmD4aTt7Z61iz6QujFXTAxsU02995AI
3b8PgqHF2pKK7YGRMuEC78c98hE/7Bve1SEWrHyYSDc9gtwOdDFjzht0e5NdPQm2FQGrYSZVu7t5
ArfTqawI1bxMvzyRmesK9p+vkEopb4ipdIxjRN9NfTC/J42tI2vQPaAjt9uMw9IeYEYOOUqs6UbX
YmOF10Rtr6vfAeqW98CDezGOm+EaZK0aAhYqieE7elJ0SnAtaFx7B2/jYcuKRsEeyjZP1IeqXgDb
HrgGoLp/k3aNeEsn2mw9U6h7iMwbEAUZjUXHwSIrJuA1Z6eMwAyQm57T/tW1cwO48AicPRHlJh0U
Bp0MdhNkeAp8VoAbxkzcLITTa7+j43ZwpcDUzf7WzfxywwmQuXnrJbca/acwc2kJ8hc40bIq2m+u
OQGNy7a+Vqp2sRm76tozrnhYxkTd0DaZos7Ngncy0zEi1CEPI6tMXFYEdq2gDPCHqS3Z3m8CuicT
VmZB7XJbWRQkptTPfiyw2NzJ0k12jmDAV3K3f6V8/mjhunnlQYVw180d2U/97IaMLNONI+CZGXIw
SLew5Sv3QTK576Iflk1DTE7DxjHANfWAI7RIoKN81miQy9nzY1IUf4jPqmPZGfmLQacDDFfQR6G9
kkJ8REn7ip7na7KAKhu4UGHx+mLvzQ2Bf6szeq95Oqa/liJtIlWX03wofb87DIMHC5YTmNoxxfIk
YAPeRlKOyXaseHnP3Lx9LIYC6kfMbkkWNI+6GapDvwT8bSx8oqLSDhxw/bIBvVLy28ADA7PkGqBy
atIPoA0J+GZtgGiX2wCMM9HGZKGQvtGSx2nTfIxV4Vx1JF9eQZmontPGNlB9L7MP2J9aHqGzkH2X
E1vcfZfb4jaFJueuntMKJAFTNk8zzcsrCeB/WFF4WbkjyrCb0feSXTl5I/xH5u47HyYgeFXvNLdA
w/ZHbDL52zOZE8J/iG5g04nvJaMfdlU1RaMtvGgKwE5UQ033oxp5DP4tOwpuUALPq8QJVZ+T7QS0
gbv1kiDdqapsTdj14P1GZZCpyIW29K5M/PwuCeB8M3UGA0kTumGt38I5ltLDnE4KdBuusXxldpe6
nnhaFqd9GodqfoHWmdgRqKBfCzFNsSvqAPf+ft55AsIykTwJ/CjeqbcFcPzYr6W7WwD2A1S9s8d+
buqXxbYCAH78+jKhLPIRdKCMKL0XnnL9WM1Nv1Ga9D/S2kFpYSzKFDSH7KGv4S1uWDPsTOvgJM0W
MsRmgWmXRwdnw0Xevfsjz+7By3B3KQRR4y5wbVQ4ThGlZKhu0Kztt2Nmsuu5svaXbpv6ViDwb1Uj
ym8lcDbHYMjdPELvhd84LnWubM6bPZYFVojwqqsKKMztCE/tTaXh5OKZcQihriMijWnqofNViS3k
j8hLA58xFbYgiT8MkLKZo1y2zq8OdY0bLZPizhv1ydbWXW7VWKWvJVxw3hUpc5hhtsUNJDL8negF
j8cp0QfwukGCXnSF+G2AVAAy6JBRNUqgY5h6DhwOKr2fuA8V2FMhLBfKp5mkkOpJ7QDSuoTW0Fst
JnpoUKOGz25R7HhV5W8QkCwRmD1YPc9+d18OgQ/TM86jxIMkkRZLu+u0al9qPQxbKdri1Z3zn10N
ydXYBsF87TaYqwBSXs9IJrDlAURQVzMfxysXxr8uuKpdISOaDjB+9hBal0eOm9YHmaBwtSlLBeox
ax+XoL0tlQxrbHFbIiwWwLdOs5sI0GUyTu+8CqLuGwbUBkzU0vpVBsQcWOVga5m62vMAlPcwMKoZ
ompSfnoDUk1mosHh1m47hMc9cEWWgeuL03cZ6gas84JUT6Si0FuaIKFp85I+NQWDMOvEcTWoUI/g
up5CC4KSs3HmxH9YGko2CFtQeqLj+IeIrt3APmrSd2Dnoyc++gu4+wma1J40v8Ti6SVMKzj/UGht
gdZPM+7iZMsliQ3yn3ft9O0LlV4lQ12wCppUdogsVksVTj5L8ojObvrhJzgAeEv/aBBDnmZbS8AY
kgFiHqYgnEXj6MFLOYAsX6jzRmydpJyiQXjjDXedYYdQCOfkRtgr20AuE47ebgtkpOyHiLZO+uE5
sjjWzCWbiujRRj5CaeghUXPiyucIiXMQwFozGHYwu13urGjkixvM5IhSNYdvFpj9LbbCL1jfFeE8
axsvVsPSGEIP0LyCteJumRTRAMwlSxa3CteA0LowHf8/zs5kuW1k26JfhAj0zRQESIqkqN62PEG4
KaHvM4EEvv4t1qgunyVFeHbDcQuEAGTmafZZG0qApu6dNJ+2ijm341hZtJTAL8Wlu5aogfP2IGu3
xGjaSss7188Yg0Sn8GxPuIuHmRq0s6WlLfy9vmC7t4RmvtSwzd6k5hQ/9ADmxsZbGYfKV+Lloqan
beh9tZ8Ec2Wd8Jt75c3VLnFM+TxM7vBQFxwglSqtyERC4+GJ4GLTVAXZ6oei19dngFiYeeOEVFUh
E92Te6ixCgK+YFYvY18XUToUphk3yVLf+a6eWFHj1uadV9suW5FbzRbKvlr7ajYr84xN3lpvqWet
R0sN/RlVB7203F3jmTFifNGNot707mVarm765M3ul3HTDYnzXYqaYRwFQaSxPetJ+KY6l+IyFJcu
q415dtolv0fd05x9yaUKwssLewcFjGg2/liJreb2+6LrbUDBXkrhkPGrHXyB8qi5jYv7oSr17ZoH
AU5PpqnuxxphUTqTzbr+sEbzKDF6D6Zl3RTzavSbxqoJZpTKmyddpnks+7W/W9XsyVCsmGqHdWer
B8jX69ZtLiUtLViLS2iv8T8HmYfAFHElQdUYG+NI0NQOxPhDT6GkmpXJYH1fHgbO2HpT9pIdLmfW
393YbtI+Vok+NeEwc8ctcdoNIDYyTPy1bhjmT455LklyJpHc9BbTRmFQaXqsDLO+GdG2xb3TNLcW
idmBx2tsIOIY2wnRFhIYozgPqk128oJGGC8CK4IXvT8NhlFuVCDQ+wfY/YIF6r/PLmKvG3/Rhq1W
5+1D7wdmPKbSPRUO5wWah+Xey0Zx31iDdMOBKVEcTYv5DoO2ddiosVj2oDdcnV42Vvaam/Uv+tpZ
G8/QUmaLZf2iVcK9ta0OSlDftv2uCEpna+WSkTNBCBI2KDU2g+kUu6TJ9ION7S6GlcHwqKda+30l
yN63F43Y5E5VHRKBVQDikopRtIUh7Khs12zjdPr8yhSj963v+hI4jAPBJEWmD/2ChbttLUNHl1l5
v8q5wcahqMpxk1U4ghPbZSc/H9JYq6FfIE9i/GaTr4J/KMf0RXfX+sT8Y/oPHvM6YLuk31VrbWCx
BZquZOwxclZeEqXP7F4VYi3iuUudbW5qWKi7bb5jTM45BUtdsW4qeH1MXpF4VsYh1Z0+35jW1L5k
Y9n/VDinvNZ+7vzg/pEVVn5nflEJ7FrsODVM183661Cm+hSaFAy2fdvLyNSbYG+XjvjmdkzaQLJe
nwddRcG6LnMoh1FIj7QO+MPNmNXNY2sRJ0VjXeQNVSR9ChiETLooc4tlC05uTYiJjctNtWsbkeIx
tZkFXb3POQnuGn/0H/ShD47IMWZ/m/ppexq8eYzFkniAUjBao/2qFfkrjk9+ueunliwmnzuyLguc
WYcZWZ6DktDdwieDD6ZN4OU6gausv1SQFH6AuSim2FxKx7vLu7oenswcVdJrRicriwuS5nyj1/36
BamAeYRTY+69NeiZxmCfb4YUQ7zUVlROntzWTxibYcKd8aMuj9qgMW4S0wA7UfEQQLD3c/eTbkET
mo0U3xyvsKO5lPYNkdjYbay56Z+LqWCI0tGWHuQLPZeXtTecLEqlY1EPaQPj4MwW3JhsXd39ONXs
CCnp6FYEyS9zLZt7YpUhTPEXNKMLQt/b9Hml7ChN9pL8AMCiZ87dZrV9+DSd1cNbCdo8g0LSMYGp
UdX6J5m7eTvLlnlsSiHNLihAu4gZ/03fEqB0kzrjbzODG0tb55+p7zPQuQzlZuIhPprBoj/3lZtE
QtgWmxC42iNyayuUdauPYe8m480kRHNeSreADdOUW4Ra2jdgA+oQEKMdKj1IT94MqiNs9FbfguQo
IlmLfD/7Wr3zeqe8bSeDYguldNA3pW3vbIsBzyVYDyvRdkgNiEZh2q7nitwosmYCwLBKdWNva0vN
10hexNC0bBixDmo3dtNq2Gka0/KZcPNt4ubqVskFukzdeBtjndo4wFrmtqualFTAC3ajPUwhwu75
tQclSSy3lFuzNrr7ZPYE73ct6pg9+6lNSZXMoJyfvJJRPsuW9t5O5LJJSuHjTd76d0OQmDfShBwB
I8pOUKUKFXcggw8+S1gQLYvgx+KwTMO+k/6p05Jg3wxS4p2GCKoXU/6cq2b9QfhYfSu0aYI8zREe
yRWPtdCZKnU2Kq1ZicApY+TSde/qUhYnTY7DqaVxyAlN/Wi7kpg+yGaU/wSzZvih5+ner7yBhhVO
ZNaR1ga62LiJw67ckyKNnm/EbMSvQVbdJgZDCk7DFL1W1dS54CFBLc3rONErDOpclAz0dvAaAmdr
RVMaTFun8F3qjFaObzHuSWSPDN5nqk2/6TDwHlhN6WUmIT95pZ1G7erYxJqLjM1LWhaiL6tUiHAh
iUg2zcMIEyKjL8aw58YqzfSVGEqPkc0xq7Oo/hAU4HkHrVH7vhm6s+vb84OHJdcOs1fzOHhZdyqt
sv4ZpGROwDD8HWARhrnmQiU7SonejVKNGVp6Nb8ai7XsPDeZYVFZbXFmWEM/FoYxPrrZ6LxkZWlE
VVpb2UaWun0gENRvOm3i/r2p3001ldZBW9wTpXUA1RUDDD4ZEAe+LvdJz4B5WBQZSuiU7h4nRVcR
FWju70AVnJxJU3Owme1gPuuiN/z9XCf+vu6UHw8gkII4Ed2qwiH1C2ogXtn6l6xOTBsy5CDOpFIn
lqvYgcSHwwiDPlyceX0bBzvbrXBYz35q88Y805xOAzMij430B8iNiuZ7qSXEpIk2q2NFjtRsxp5k
kMqf/Y/RoLqlmAbUKXEs504zaVpq8+hhzOR4iAJwUkq/W9WUP02dIRyA8d1kRo6RDrh8urN88/yq
eKYu5t2qdLRnwBF5c1cKD7dZUKp3DVzciNfk3E8GRAHMkbq3VAblo99nIhKS7Ib+qN3F/uRjhGlX
fazjsILrbqCfLLPz96o1+21b1ea2y1tSIaafqIWCmPiajPmwJ8pp7xM20thHMLKXY5f+rgps59tx
8s9rotQuca3+xmr65tmUF8DDSM/lG6CuDggelC8II9ZeuOWw66ZcP0lfV3sbUccSZgHdZp/j+E2z
TQAL1TK4XYSE27xPlF/vdZkTsS0NGTwwhEzjFmqzD9NCM8CJIiUeLaPa2TzUW4V0RIZZkxVV2HZ+
eh60IIsSLx+3RITma990yRSlY2CRw/XoDIpufVytGvtJPCNp52p88Tswc3myY9i//OUTQx38qvbs
UE/95dStFMU2UNLc7eygmy1Uvf5o1VAayNjcYTdNjvklmVUXr9KUc9TJ0d+4rPrHSWHSDWFA/6E3
AM4ut7PRwFKckt7WwwBnnT3mcOVtAhY60owi+F0K7U3XByhb2Fe/dMKptuAWum8MopmvQ+90d1an
lu/SKqjM+mBDxinrXlqCjLjBvj3SszbiEIt0LELnvb/M2k7Zjmvvp7k1v7i9q9YQFHu3POD1Tj1W
MCURGq6iKO/QEXjxLrFZqqXVgSDBj+FiVtGsgeISjtQ2BgAwPukc3AS59voscSEKS83Rf+rTGtyY
q1E9NHIYTpQumkuv3N+SigV7mRCfdTkF9ZJzbNfW8mLuUteHjCxv3qC/sXdOVre7aTV+rl7iPbbM
HHH68deUKdU6Ndblb2dqs5OgnoZxiDE+6wO8RZnWLsdeIgEWgmsdaQSGwSqIBNouml3SoLXxp03m
UnI1cBl6pWVb3GoW27WlUgUWb/GOJqNxcS/K/EdTGdQW6GncMjXLPl8iqeIN5kxgLLRUAH+0dhNP
DLUAvausRzaGZLs6WkvsajW3/pIwq58SBz6ZWopIjcBp15bNelPNMLpIxcg8VDESYlMHt5gE3+Uw
Vp5SBAARUQfHqlzyOEs0UItC84INDZD+7Mis/o73WRGamcMCDkBomfZKQJTOZWyp3NiY3aV836uv
geFdrC70kisv9VfVZuPdUnfGs7E6X6dBS+JkSNOv4M3flK4tYdFPtRPlvgExsLSdiCb8m7U0828Y
HRTk1OxQaQ5kXM5ltsQ2DDeeB4U5PVxtnUpv4I1bvwr8b2tbr8/dktXpBqJfSSJnFUFYuIGKM4vJ
DxtuYlxnbJeeRxkawMZ6M5WaOqVIHh/tdGH5C1E+llPWb81E928kUQqcIJ6rLvzkLh+G9jVR87pL
mV7fAfzvN7bMq2jCuSjsp24Na6KShoFN6Ww9w3O32ULpj4CzPCvCwAB2XIpoMPG02B6sAFqbaW6Y
QQv2Vi91eNWjH3uuRIhR20y8DYv1zclnFVdrG5xKe61jd03kwzAPzNqBiKPIogFN6kVwRhUxxkyk
DlEpmjYiXJW7ROAJHU6pJ8Ik8dcvxITO2S1K4w1TzYBqq6sgAzqLCLU0aDY60+0MMs0/s5T8LWxF
5bwYmf6Ek3A1xkNTyrdAs+TGBB6yzT2jOwuTin3hFt1Xe8m8w7LKJXZgVUVYhlw+L7ITlXfYD9Sl
D+pBn0ND44yymzz/XsHVjTBCs7clwE1gIIOQN8GStDt44FasUU96zXNb36daNm3pSpMopUOXnRKG
Vk+COmiYgYfder54ZQ+iUJC0QVTXnXiuysDZThQr9qntOg9M6Fj8IR59l1KzjAEyHhXSnaILcNm2
O4AdSaGbvxDkGd+0MTHuEjKpXctwV5jICe+WlUZNXuPVCrxkCOkeDRE+8k6kFjqdRTZ/q9xujYh0
uOrUlttGK/XDWM7djWl63qamtr0rwNxEwZSLjdLaOkpqX+4zg69eNZQIwoU4/NHXunKnyyw5qrmd
IxWszaEtSSWdYg5uEnslkhZF+Qzl6CctmCae6yqPA2GnlOGpmGpzru/UOvFaVVGCYSSyOvOFAvIj
ELlZKky1qfwsh0RmsNjo0UWLID+tk0LyFdvT/ZA20474wvdY23Yf9WlSYYnmJguE0SHbJ0MuDhfE
5NTcNajLPUa5ffGT4Wu2imZejFA6jXdgDnvcqXTKL+P+o3OPkJgh5nxsHTSa8/i7o9B/51jFMD1l
FFjTMPdB66hlYmHq0NW2dmk0Pwx7sQE6COPOrER+GD2kS5tZlnSq8kJ4KVVtDRck+jo+AMMFyGGo
jIneWSepZmZpU2+c2qhB2hOfxGXnGN/8YFpvg3q1BfC53t0282pGHoDZqM7YEXF16Nyt1nTjD7PX
qi1S+iKCX1ZFHeHh13lcHYROfVD8wPuxnYDhdrUVAxQVvxhoaVfm4/TpGBRmfnAt1/0OAK05pF6j
fglaXFBW0sa99YbUuA8ygkoqlcatObY233NWhCT6tzlGW7cBIPzbaeS/Dn0aZw5k0ho+k03DGyCS
n+4aYVR1bKXNuLdGfLhDelTFzaCVRZyPZXajum79PmaLVBtgnUAJwC39mCpv/gpVV53nPrW3WuUC
niT5CG3Ijbd9NQ3n2oKQ5uam/WRUtqZHjZzlBQSqIpa72PXNGJyqol4e1CqC2EmXZWe0GY4uWV9T
sByzcruOgvyc3YkSbWcS/1f1mQpeFgOFBd3k6Va6yaSYfkjNY2rVNEudwphiXQR2k3y3x86KiylP
d9i45lvshcVDbeAK11Iv2XhySQ8U0JsHXaUG/py9uU2hoD55aaqevbxxdjpw/Nvul29o8hkNPqZx
2WgOTCl0Vtee5aikDAs+v409U2oNZ2qR35wl4dORXnnyzNLjdpdkCzhyOZVFSfamy8E56+7U/aTt
bSpSDNN9JdARdghry5oiYXoiAztbUuoYtaE6URJ3ipMusha90SppINvz9AA0m5qB61huPJdGWcV5
Msm9K6wq9i0JD8u3Vfot6R1tm3RO6W+nudZOymTdhEZjNN8zqDBvTaXnK1IyJ/lK7lNGqIKMG8fr
M0Z6hjpekAWQD632QtPZFmrT+f6lMy+z2LFJiAhD1V0ScPehnWJS7izFeuvDA/mdZ5q2actJiyeD
wb1NoxfqrlzM9dHQVfbd95t1twJxNGFMqWqzLLQw2SVyee4ZwDsuVvbqr025U4FT/SPlWB4oMckX
U1rORlgaZRvRYoUmnPlblzd8HwAO3mbW3UtHj9+CbVqKfZARIUDL8+6CObduaxtcthLj+KYrvWTY
req2Ws79IUUptZA6/WX6ba7giY797Fnk6UtlkKXW63moMhK+nFMwkjl6nV2lWdkYeqVHUJbouh47
DsBG+vB19xxIwulQeiZtkjzoGyd2Ml1ss5EGSrB6IhZkfQe5MAAWloUW/PYyt36qBKMeoRhF/7i2
zTSSgi+dv2lsCRAvy5a9MMDrtRgg3dclZgebmhLALw/vOeMgFhhh/dKP8UIGQaNXm6wGeCl2bhSw
vADZh8ER2RU1DS8UOsGGSlb6sNpkvvlkLSdBK+K19H3n2evt6pagSTzi8Vvt+6WsI9HQpvDh0FHc
Gcyd8MmnZ97PfdMYdcy5Dq7WsdKHfknme2+eb92u/ScbG+PcOw5gunKiE45P4W4gUwn1xa5j1fKV
hsXFv9qxcuNtpsl/0ycZPGgOxsgpRb2jHNxu03QOjku+kmT7rhMDN9BD13JG6jpu+8ZqK+6NOpi3
feLM9+a85jeUdLx7bEOczSCLLOr7ltqBOQhq5FIlMR2jZb+APQlnktIvtu9Wd47u2+fAEsaJNk+2
cXlBsSV5bP20ztGwIIMYrWY8DaNpP1hWar+RW7f7rh7EiCpl1ne2TKhNWWZiPsyGWWwvPegJXUfJ
DKxJDkJH1KNuCwp6Y6i8inWNb7MQVKBat+xujZZyuMyo6UTMBSZ7vuni2LoDIEHLgaJV4Q6WMjIw
ENI33pCYcZqF45mqRzY0ixNK8uKDR0OP/hKn7tRTM7czS51pf8hwTkXxiqeKmjewEeqfTdm8LVXS
7co8c+O24Av6WDn3jq7wmk9femVfeX5tYMeEdKZudGeLyOBUaPhyTHPyd0LVa069XSegDVFuHF3K
hsCyWK8BRfuqfP74r3hH//ev0O0/6shhNMg3g3455l3AYLxW+y0KKtN/y8AVxh//xjsCxmtW/bKi
/monczpOJdnQAzvux9d9Z4LZvXaiJ6UoDV/52qEvxKEQJWlokWGvaQLJ7qIi7w+qsCgATTsLsZiR
uTcDmjqt+0Q7+d7fdfn3/zy7IB1XNjcHAXT9MnhPHWLuj/+w917Klfq5Tn2yNuZzjnZFx6QPpfbb
Ref/8cXf+26vJJnUyErBRspA8cLEmjFsNKdk3T7BXP34B967+ytFZqdxMMxpnh6npSSl3OcTQEhU
Yh9f/b3bv1JgQkFydUHz+LjS6bNTM4nISreOS29c1/GV+qtfufYiWgJj7fQ0S49oHYl1zrrV7ZPR
CXNn/WT7eOfjufYjSoPBlrzU+VgC2k7t3006RB/f+3tXvhI8U3fNQEqK4KAX9a61ylhXw8vHl/7z
pJrrXF7Kf7741hTIoFLnkg31Z9SH/4ypDd1c1aTC5hBsFn/6qq3pZ+vgnXftXL6w//yc0Y308ZJV
HF3j1UnvTcPfjMVjO2ifvOX3ntTl3/9zfUFWEmjAR490OMRt2rfB0ej9/OfHD+u9q1+tYjnMLULA
nmmaqTiU0r+rKGj93aWv1rBCipbTzQoOzuonYdHFWuOVn1z7neXrXC3fhRQXkzv08uBP6RlZ836k
2xPrZX3/8c2/9wNXK7gSE0U9euJH2XRnKydRYDD0H8jWrx9f/51Jo2tkNea+jkpGVaM5X7JoTlrr
LtUvIQX0bmvnVZ18kPQRHmCR+bdrOzfi77ama4q1i8XJtLoMlfiLZFLU1M4zgcemnC95sD18yo26
PKg/iNCvAadjSiRmB8xLI3DdZYhRzKq/Q1BHTKl+Kugzhu08Ja3c98aaRx8/1H8nMv70o1dLP7WM
xtQskNOBp6yzZgDSXdD1rRGlf8oyftrFGcqXbaVJJ5xgYEeO6WVbjFdgfpm2thk1YMHFoMD/Okmx
nTo8CRAzOjs63fZE/q2QFGRUkELNs7o3ivfYIhTVUOwzAWUNAdGy3pqiK75aVSv2cJGHc7766tZY
VXk/5om1s4UxnkZfqKd8zMkqBlHZFE4aGYucjzjmduvnXEoTg/fZ96kcdA2BQUtj+qR7xfJgD1Ww
cQKVbhPlursg8b0ipD2H9sgf8vxLYvUvyK/BUZeG9aumuran31ntumGQN9L2LkpjH/9JhjSOU+Ku
ERS/ZbOUhXleAlnFhYYHLQR5Ky5X7FhGd6W9HmgOXdVZqNslQW+djZcosqrc+8K1p23bO6RKyhce
udtStrtSecXWcxbrhOBU/+zQeGdRXqMzJ2p1Jq0YfJ4RqFAeNBJ544pPKBTv7ITXrti1NSERYMD4
4BGkM8+ZZp+NMb+z1q9hmc7iaGtR2P7B6Ib7Lhll5CTa8zql40Ynku1FGwu7uDEQc3+8Dt77U652
XuiRuT5ahGYeUIStqpk5Z+LD/CQoeOct2Jd//8+B5GdWQUtICw4WDWofzy7XeWQX/mR/euferzm/
mNBMfj+v7E8Um2+CGulWP9nu/uMn8969Xx13g1wqf3A4k/wJLw9avS1l8YA6499d/urBa1rXeXqL
Bwu63/t1VciZdRx4Tffh765/dexN4Dxp+nP7xtJsmiSJqvacF58Z4r33cK7OPH2kLl9IVkBCI9zY
j7lHc+ozVqjx7+f+h835GuOblKteVGabHNYOEwBKt/JunpZtQD//6DX1tFkH20Xzo1mRCOxfed3V
P+ea/78mK5L2ebFe7CGzIpVdansBc5Yxer9020DTRavQ5S/YTFU7XauGE000VJ9NurgPgYWoFjqY
d0c3cNzZmTB2iSHwq9az5SbFTi8LMSRFhcYZ+Kynib8lEVMPgy5+ZAamNMiXpvkeQnO1xVuxeg1c
8OPUhhOq7639pAL2t9YPrC2NLfJ5ZPZ3HhtVuhmFqo62n/uI53SPI1Zi/WBNuKLY5bqTmpDHZDVQ
3UN4j0VhaAd3QphA2TSgHKzsH5Twph9OXTWHxlTtm5uLFiGEcL9lueG+jJqY75Qu1rNbp+ulAeAA
XxXVug1Mo3oxhk6c50WjVuHVkiEhQ32VlWd9mwKjPWugWvsIvWxxWgJIephC2ZRjcuNH0lTjq2/b
axMlg25cGJnNDgSX8+jR8jwgIx4ezXWCg7+6qPEXXFL2cm7zvTtO6kvvav4J70yDTlmJrNQ00Law
wHJKeDYq8c4B4FssFeMtC0K+Tldhjj7rmfE29yhkbyBfpxkID1VhjJCbjF64ihKLTJrfjApoT1Zh
dMfRzO3vmiP6n0aWqC3IpumUJyX6ZsapTzZsyU3C2NMNIyuU+QwkTENmvOSJ5qBa8O3sVHmSzTcD
5mvJvnzWOrfYiGq09E82gveyfutqpTJtVQ/GaBD8Oso5posULyjUsucVghXatKGx9zpt7Du8j+DY
N72IGDuiFMeIyW2Z2Cqmfrt+crK9s66v4dbJJGzQbHNwGLXTtMizHmin1pg+CbreyX+uifzTtBBN
BnpwcOUPRhI2S4oG2D3X86c7x2X3/NPGcRXVVS56dQo9sKxndcALAiuemkbWYL0xpjTha6Pw7LKw
gbNG8aSbwVcVFFiQeZ+BW/5FRf3/GzCucbSrt9DAbEZ1TJuCUYVGDed+nZafvpniKpGtv/VysCMz
JVGGxp/GOFyhBXNXBrjMUi6nVCbIIYueozLFmuTjs+DPB6VxbVReN25vrZavmCmdY8tcD/U4xB9f
+s8fjGFeHQQJITpSQAIWZ/3qptNhFt8wAfwrxgiVu/8NH6SL+lmZXQFulBYqVdqtQGSSuKa1/fju
//xBsr/87w90qTXaaLCwoB9QvKl/XGyoZ+9XD9T74x945/FcI9HQqkis/ArrqJnu/TJURxcsbGhq
5SeP/88FDMO4+t7HypkHIvnlCJx6eGhNK2VAwEatbjCGFHdWRW+C1gwUp9n6rGL15wll45qShsFc
SgNpyo96iuInWMtoqOVuHMU3r00TCvzdr48f3ns/dPmc/xM9VnZL2qWy9agFtxgUbZhYCjUc+sCI
M76afbIpvfcIr+K82etXoxZBccSmGxM1WoXJ1xGBOG3lajROiDrmU6Jb1iudOfuvgjNaiP/7l6We
rhdDkixHsKSHCofRbHxK1fj88XN776O7OlBQBVtTGYzrEafiPdKvGytBHo4t3d9d/mrJawUd9GnE
9rFJq6jskCGLyOgeP774O1vVNTttKqtgUoXr4f8jHxhpPbt9fvPxpf/lIv9hb74GpzFRzfwF2kWe
urpLy+yMZJSCjbYzFgfH0OBJtAOVgJ6oq9fsHQagnzyxd7aZa6gaUedgjl65Yu+Mt6XGYPrNKj20
png+MneJSc0n282/H9Cf/sSr/YCe4GoUy0L+ONXWLlm18WaYtOYmq+ovSVnW5zHp5nBeFnOPZLsJ
W8vXzgJdHkn9vHyW27z7pC9f5n9WrukLKOODvxyVvpzaHhJD07G+km1Z68k3sGA2KQkQOIG72zYx
i+RGOGr8pOD3zoLWr7aNBbtCw5rY1DsGXAv1BeY0o3HzYRp/yuJO5J9xBN9ZZvrVxsFIiphkU61H
Rj8bhMFi3QwqMRjNr/9um9Cvtgn0rJO9jpAybPV90n83FE48bfnkMb13+1e7hBzQa41Z5zNd/+K5
TH8YuL4l1f7jxfbeOr7aJHSjwDw0lf5hSpZ7SwQ3TiM/ufE/v19UHf/7cYEfojosvfm4wrHLQyGy
hXJ0Z2yCcml++kOifzcbTJlcc+0/Cyz/fBTp15g2uw70fk0hSa1WEY7692L5Eoxv2vDLy//5+IH9
+XXo17Q2bzIbpEOozCRyqXOjMUGmUQO3ScO2H//Cn1+Jfk1s8x2mSVymgY76YH0hEGeIZPr+8aX/
9XP4//sOSdv/vhOdbcese75UHWZFxHCjQvDVDxvTnv4pPSRaINF1LJx1EkndrXZSDcaDT2J+cNA7
3DI7+FUhQ7wZEb28SlrtIcbWDJLi8RozeDd9HeY8iOnz6fsZhE8Y1B5qp49v/r0nf7VfmFjR5uvE
p1o76xPYwqNdBEjyUucvr3+1T1gewMNuntbjIFOchbMx1vVgq2MP/smC+Ldd9aenf7VPjJ30oF7W
y7FdOu17LbLfi11Mj4gcPfBcvXxrl6XeuaV/a9r+EuGsWJyU308MnujBa9P7GupkDyPgoSrvE+b+
vjN/i3rXSqbb2U2GHy1TGWAAFkbzDYzTh8GyGJWqfqG1LOK1aqqNKCVjMstifDFlVW5welzeJHHH
rkRq9wANoIsHNDo37kR3tmesElM5MewbEyMlGP0/0x6JidMk7T4JCuoxaADFER1gNgAi4NKmaaEY
D/z23rVb/IPmB2du9ft6AAKzWFXxo506LO+zxe9uHfA5m86UgfrLN3i1VQaY4rW+27fHWX9VOvKg
FlML9fbx5/fesrzaKady6ZNaa4ej1ckeJ8sBaRvElr/jeOvXDLw5wJ0eTqN7mHmZrlK/Ak37uzu/
RuB5fok6KEtNrKx7sU1WJtvcIe8+UUP8yzH/w1d9zbtzE8wbdKreR0YTIqokYdYbkeieylmHieCH
TCXdzPZ6CAy2i7Ka9oV8HJclLpioaodptywMaTJdkjl9vAT2OdXKXblSB+Og62nAOJ/pNt55g9fc
vNzpKEktMz55jdOGi7te7Cn/KgSgzvO/G2sPi0MhCFuOczOGAsskIV+c/jPznHe2Pv9q6xNADAsc
TL0DoVJ+K20shhklLw/JUE+fQfve+42r7S9DOg1QYPAOZbmf1wemXWvr58dL551T2b/a93Bmd4ri
cul+xNZhZvijgL0wgtL43gSfkUjfu/+rxT+DYZ9MpbsHo2jOnqi+DJOxmytv9/Hf8N7Hc7X8PdOD
omE3pIItBbFuYMYUe7y/uvY1+W6idNgS5y1HA1hUpv/oqk/W5jsP/hpzV9k6GLRukcfW1qMqr/fS
bUM9eNTHghZh+lfFSN27/Pp/sgiPvr2cAREcL0pv3/g6/R9nV9IkJ85tfxERICQhtuScVJXLNdnu
DfHZ7gaJeRTw699Jv021OkkicucoR0ikpHslXZ1B/dN4u9tD4/xJI1fSi6lwh6Q7MZgVDyGxQPus
bN4cwa7UINCDsmRtmQLkBFXveRw2Tu+QrSuz7pgNkD3yKQwGXXmCjjU51HFVnpoOfDEfNHm+6d1L
OQlgXjvQkRWjigDeEEjgbtWNAYcwFrSeCirBJNS+OmjQ335EdvNdJ8D1geMx7WK7bPY29IK2vrD0
Htun+MJ57aCyggcJVHaarPrusyjfeJRkcIWMEjI+wEcZ8gMAplU7KIaw1xSUhy0BwzgAvDR7aJmS
YSY9dXSBy9/VNdX/pLGn/jckUO/0WKN24AMo7NspwYtsM76Ctc+g2QGLoTe/hnDU18mJgTnwyhyo
Y9g85eFgpfxU2gk7QBUvftXQYjop7UTQPho8SHgk4zZK8+KU9RAsqSTscOyGAKw9dP3RgeN24MoU
fEBAGPMgo21/6PKeHkrQjQpo7wPXi+sIzJ4hDhK1oFvloD1rBn5Y6VplGLukfQNbEkxOYLHwyBIp
frTY5H2zfF/sIt1NkFYi084vwBH0Ct69QsU539PYE7vaHUB7A2RfQb1prOiz6hwO9RfFHukgvY2N
7z6mYnDfIzKDlO1NLSCnlpONP7N8nKEYP0Myxs7VYwKe467Rbf7FKVSx7wqQ1XtWtcd8gNks3Poi
6GS2BGaRczNC26wCjpsK4u7iuldPIJilj1A9K/+GYhqeRcpmTiEolhRTvfM8Xh6z0fPPBPICz7Wo
oV+V+S2q2DRp453jTW68yyfg7YUdtRsL1/lvtW4sfCeFAWnRgqP9aBEfKPOszFUCagnI18mgrH0x
WQlcrtmfKwBw1T1oo3Bh0genqoedw1n1mhWE/WLVZO+yKNJQ8eaivJArfPneJGDnBLUW7tfKb3Ef
RYUBFLVsnvXr7E8tWAYTGA4Q+uqxSreV92pR7LWub9FfQ93XL1nnyL2dldWHiuQbnjCmA4GhJjvx
ZADRRSR4UZ/nbtPGeXuEc+i3mfCZQwquBcnbsnUO7iJAc5u6iVz2ENtQ4El7V8stTeP+PmFi2zP2
Fooa2gTNF3FWrtVvylkcMpe8MxvGMbcz0MK+4hn7ClST8CIJvb2QQHO6H3E1iJtmFxEAy293cKn5
XEtwxs4CHgzpqbTYuQKuBtJtMMaGNhnEMjwPjMwoiVbqags7mAkczseJ1/GsFXQM+/gnqGwWRIHh
Tr5yu1lq/lIG+LQLSBA5QAtxIK1IUwKvGFWcINlNtncNkokXtpiYJmDO2Rk6HpDo2MQ4AhHnaRzs
lc9fmGYTLJxMbsHgRE3PkIAgKPTV/qNau3YvtX35+6ehweN4polIIZoLpPjzBBDs36MV2dvBT9jK
GX+h2OIZXZB4HOFHCfhPO0FmSo3iO9jXyGlOckwd6wsA3IeMt3ceKy5L4NPv8RXYRh0FGl6y76AI
bBo81FGJM10NukbR7m5P+cKCMiViQf1kyTzVqNsV0KUoLwrAXTl2/7vd+sKAceM3QNEUxSewkEPC
Zh32TgLuaQLAXAFc+o4iOC4emFPg+Xmzgk9eiHNuHLBdr/Q8lnNUU+v+oXBAY/Sd9pcW7anN+MqY
LfVhZENQorrIgshDmEDd+IMRPb22VWmBb6TYzk0Sa+XId91Tj9jczIrcRam6ZTJkngB1FDTOXeN5
7qaRDsTVVKblu688PywjsJCA+Ih3Q9Pol9tzt7AyuJExCwdCdVoAiEigGVTpCyHUx3vT7cYv5ckr
6diEYJM4o3kzZtjPI1EGUTN3W203v20/2gwCXeK0qTR5BPv/79sdXkL0WodG4iwTICFGF/BN1xPV
0eH6aPk4j9qJU6+sius9MBOAlSTZRXvLg7kalHmLGiSWGGKwz7c///pkMNNm3XJA/oPeWBMOJH1Q
RGFrdH7d17S5mn2HV1AB886+i8qS9zEVK6G49M3G6pWzG+cKtzmoZvNAjE91/H77i6/HH6PGyhz1
YKeVymCfPPCPvAGKCU/LAYRDhsDWzZrF4MLnm7ArBm4zVPZ6+PRF2YZLcE20663VAZYaN5Yj9Ud4
1YGvHba4LUAfBuxzVawsxOuxxUxgSclckfVWPIc1mGMz2O141T+AwvRQ9O4TigPbnrT7KuYrd/aF
de9eZunTPjVUKVVWreawqh4FXnxi9590FQK61Pjl758a9yNPWDYozyGOxEFmeRvPLQNLr8GNlqbh
8vdPzVsVa7RdijxkLoakyOBzpuSwkuMWlqkJX6VTBPZh67KzE0OwFtxQ5x/WfjggyN4VBq4RuAqM
GJLbTRlO4qkEgBig+FS82P19KcdEYk0T5WDJt2UI8LkE19H7DV2WlXPg0tAYEZwz5s42VWXoKojb
KNb2u4TgQU/0Uuwlqta3R2jh6ZWZNqG5lKMqbBDE26KuQ+iQDTqQGjxqKkVx0BCFwBl60qFVErLn
1IGKqwPDWDws2mp7+xsWlhgxIr3voXbZISTPnZW/KDLtm7J7u69poySUJQNpUt6pEFTkAo9KegP1
zGJldV0/ujHTQJTC+gROlLhxT1CFLqG3W9L5WY4/+PQK+W0g9uu1dbwQ48SI8Ux2UC8HcPIMubJx
0/mFvbEhkxngTWTtzWJhvZnuoNmsM9ueCD37gHpKG3KsAqKY7ZtbvNyeiqXfYBw7Ja/AEi6xJWWU
o8j1bW7k1tFrQPiluTAiHYpbEOWkXRnmioBIPDntPik8ccwyWl84+kD+QjFHnrI2837f94OMzVv3
4EJDFpWfK7rTADLNF+7uqFeCYukHGfHPmjSaxojTs5UVj5NNYUgbf0xjuvdt1N6sJA76tndWOluY
GxM4J+vYApycM+j7gOohdfykPPngqHj1yfHq2RJ10n/vIlDm7jPfw6+5sEVwSnuw2+ZcuXdmEBM2
N3YaEmDkcrEtUYDyBWDK6fGuWTYRc9A31o4WRQ19PjcAqHnTT6/+nUUdZmLjRF1I1YsZUQfIORmg
ilNATDhduR8vxLRD/z3qXjd3VZ6hllBfHJdeev9v0p9btVaRWmreiOhJgGrJfHw8Uae8pV95rfGa
hRJv/nbf2BtBPTpdA6qcN4aN3R845x+TwrkG6pN3VaLYnz3x09mmhKAPBRrVweYGzTkIVVbBRYv5
vo83ArgsFQB7NlybvCT7kgOweymBQtZ39YTwZxr/e2FjJvZtskTb+llSALcHsLCn5/HJFUAVlagd
w0jB9YNWcD/kHmRN65nE72DSg4UJZYQHz8vzL7xrIdzpZGm/siFeXxCwOvj3eptwixmhWEKBKygZ
gJ3Jr7GyodzuPdkpxHpuj+tSJ8aibvIshxRFy8I6xxNHDPWfF5kLwAu+325/IReaqD9I5uWxxAYY
2tYAQt5vnUL2wb7zWGdC+zyo0dq40MDwSUI0AQorYuw21UjBH17Dj1wG4tqyuAzcp1UtaE54HPs0
7Ni8kXBiq9a2ietDj9r1v1tmM0/SpsbHc77N6Y86/dnon2V034nXxOGNZTnkqV1CYJ3/pM17Sdpg
rl9StsItWxoWI1vhfUPEdRTx8CJ2F8AX8qL1GK/sEksjY2QqVgDOnJDLyOg86KMHS7nbXvyvZsNK
qlpalcZhA8EMzrOrcAyAfWxK3Q2INrBzXImp6++zzDZzFWlBMqonMDfL9ktNIW6cQUMKwuDAHXEX
jJe+W9mSLhv+fxcnNcF4dgNH34Y0LPSdMWjhouw2b0AQBAPJN1T+D9qxKz/p+oDBhebfa7VuZG1r
JKSQleIIowqxjzqIvfUQw7udJ66vJ2oC8ESaqbFO8EsgkQn5nddEriSg65NBTdxdNWVx4nHCwwEv
WCe/rPMtnu0m4KbqLPAZNJxh23YfIYD6RlTAfWqOOgY0kZhnH4LJqf6hCh2BwAi4V+YpAsVMyHEc
kznxn28P3MLvM+nbtuNpZ8ogHNNmR6cvDgWFFmHzM8/713TNcnxhcqiRA2M2S/DwnDpsOgk5sjp6
bObCX0lUS0vLCPae9BxIo9ELK6sL2pIDggaZSLZ2Vl6oaVPfiHWRuk2qLY+GUBULOthSN/ahAiZS
w2xkxoNATL/40AYn5SqjfmG4fCP+FQSSI4AFoCgKZy/f+ynnn9D0Dcb60VYfbvvLFs+F/GbDywrn
r5a9dLjs3l4Mf87RVxKCiTfLijElsBYD+pp0m6TJP7gDHa4qlwGgTEfYFMDkrDuNTXLoi+7vUUCj
KRn4m53EJ+mwPURbd07t5fdlDROiRrveKiNaw01PUuiQ0+IrdGBPXlGupL+FgTYxagNsWcY+LViY
wFUg6txjPNXvt0dyqWljyQNx3LEk8nhoV8ACj4B+V2s0geu7GzVBZbqCR1yd4+k5w2OzEpCXbx4Y
AF8zaJG3P/5PKfTaMrj8qk+Hlk7mbsWQ6kJF3RFCV216gDxJC55S5KOylkYXrJN1bPB+ACxB45RH
C3S4Lxx2wEdH8xE2JHg0Sylpkk2m2unodnh2HNpJ/+PPTG5nz5e7jEKWtBCO/TEnefeTOxaks3TZ
xd/hTIAXuFEmP9yYsK/S6fMx6GqiH1gf8X0Mwfqn2IH+KmvgVFblXL0BQDKN0NOD/v7KICzNoBH3
IKTP5aSmDvyl+i2ZJWwn6N+3x3eB6EGFEeEdBSu176GNkZX18DsqqLWPI1keR9trf8XYAp7GKWPF
ZpJl8qxbB3Be1Jui53nq9UG3fbK2lhaSpzA2HGeg8IPySqz+FjY2wk0/8o6/QplkrWC91IGRnTPY
WtOiESxUsLaLobZQAN/ZWS+3B3Jh8zIhch1rIQBOJmiMFJb7CHQWJYD3Tv5zOTBYrUFAA55CPTTf
7+vOOMVYUCVUDkBNYZTB6g/10VNbKCRmPj4XInmiul45HV9/EaEmdi6eOsigtRUJgYy5WFE0PeSb
s5TA+Qesjw3EWKHNTZtu45UDhEpg4J6sbQEL2cXUq4kaxeEJENkhcErDpqnIESYlEuDw8heM2lYe
ipc6MQYyU2Vt6bRxwjT61qdA02VfYRoZtOTX7YlaWHUmOnBO4bqUeTbq5B79kBaBiwXQAnYF5eJV
/YqlPi5//5QjLRgAZS3YdOGUTB8y1sN5hoAxHLNXBacWMpBnZOEa220NazAgtF32lLHqdzcOa7jY
hRkwYRQR8yHUKXMdQk3xV96USQDlS2dTTuS7tquvt6dh6QcYwQ8DNLy1eQm0dEn8RcLMElidlVBc
ihAjOzv9bOnIBTi2L+J9L2Fcwb2HZILvmEQVBZA3B++fLl8brqXJNhI2BAOj/2cCN0X54BbTc1fQ
n1BVXjvpLEyHicJKqswuurhywyiefNj52T0cnvLS34nLPptBMKPb3p6TS4hd2dpNUZciA46yaWYe
FjD9OA4keuzi5AkOPjvJYh7gbPEX12uahAs/y3xq9WDrRezGLkIPJsHtm6AW5DfheD1mK79mqQMj
CPUIHAtjuOlXVRWQNj8Uw7s/nHKvXrnpL3RgKl7mHKBfCHPU4Tw/FeUjncqXpOdHB85qt+djIUZM
CJvN7aqyM1mHPPrGvecS5r63G16YaBO6NgGILEpaknAq9T6brJ/MsuYACJkHsH1+uXP1F7fSn7f7
WvoRxjTguYq2vE9o2MPoFnrlIBON7fF2238eHq+sWBOTBWXjiqhEokg3k/q1JqN4dt1UAPYrxned
zGzrg3DzT1xVcCDgPtR3xxq2b2l28XfW3EsCGz6aEIv14p3OBlhRA5gEo17iA7ico+YH9dajpd3p
BMd08ZUwPZ05tHShWFwLoKtra9/Gbf+Yl14LYx1OViZo4fDCLoP5aQMpaog6ppAACIVEORjhl9bP
LlwRfwhe6KexivC6BP3fw+1hXMhgzDzpWbTJHXiWhpUPL1PdbQnQM7i23de6kemnPI0LVxbYqnT+
ldXRWcb+Y5o3P+5r3sj2VQo/HO50ePZBQa+qcvjpfQdRbmUilobGSO7wCYdCKI+nMK4vztdR+cUd
6S8vau9CIzvCpBi5HVwrEhHbkGJL57903QBuksBfJPDHwfp+e4iurib0YYTghBdoWLq78PnCgf59
arz5Syq9/OyQONlEZcMPUZxkL7c7uzpi6MxYuokXuUntweZwdP9Oq36TMNzuRLu93frVnIvWjaXa
NMJD5bFwzxBWyYMEFrWHTArY9tjT98s7753dGGu2hfi1Vw+9c4ZP3MnP+pAyG09+fboDj2ftEeYy
Iv9JXvgtxsqVPqFFWUD+NOnGcyfls58PK5eEpWEylq1XKmiqTBbAvZBOi63p6DsaQi7VW5LAduT2
VCxMtHnBwhsDnAwaVYWd7WyndoYvr05+ksj9uK/9y+b1KQcmFIqKccb9c9FDRTGX4/TgVaLYWvAs
eL7dxcIMmHepyeVWAgdb+6wgFbuBdNevmoqVAtLS8Fym5tPnD5EXOQyM2zP322wHk7vsvawv3CFs
viufv9TF5e+fuqjjDET8urXPHUx4zgP8cODukqJ8DpeO2wO0kDnMawZ4Tlbq57YNPCXs3QBmgPN3
9xvHxF1Rzt/kSFeO7Eu/xAhriLK5MPJq2rD26XMzAveYudUZAqxruJzr6ClwxYyIhgt8iYrUxM88
HYB2B2caVnbc2giIhxfAdDZztmkiXNR09khsuQbaugTclRg3uSAzTyWbYBZxxqR8gcam8w4jWutc
dW7+Hru4cHaW7f/tpaP+1nLnXENeYWVIl9a2kQIaz3dkStw6hKIfXD5/jONa4C+0bF5IiJXBPmqg
dQg3Ihi7SPUmoNN2e8FdPZmCXGsEvc1wpxWya8Jmbh7GCUaracgrYCFsqPNPr275frufhYVtHq0n
llpxzSSBMm0OE5J+eEsu9LfYa/6BH8OXnM4r07CQic2j9lxG89hyGZ2HIt6kOdT3OoDB1Kbu71I5
wJAZWYAK4fcQ8uugmjGMSGIyO/U6QhFontsVmZuF8DSP2WjYauAby8/KUt2TkzsqSOGAvi0q+ev2
fCz1YCSAJJ7gMAxW0xkO0AFMYnd2DHnIYo1qtNS8Ef3gMcCi0a+rsFLVhqfwsR+8oPHt431fb+zk
HgfpY4TT8NkW/c4VNlQO4ukDEqlrL01LYWEEM7QnZ6olXtgz5X2touKECve40QWBHxGQeaCdwkXG
XpnthSVr8hnAZBUFHI3scIL/x9YmsEnNSD1vYH+yi8VdoiWOMGXlZ4uRPBcchE8/fR+q6CGFB+1d
08EuQf9pX6wsGJmKxgXaN2kksJ5jCAtlnBZTWI7c7mEhBZry8nlcWrQC4iycrP7EXH2Aqdj+dtML
S9WUkoeHat3SCXm7aVlwoSvrIqDz79uNL6Q9814JrkFT2pVdh9Hg9Nsii74nbvripgCiw/ciCVKR
r9z6lkbICGg7G0uJjdyGOFR+otGwT73u9faPWBohI5hhtJ7WTdraoT2Qjevh6AwLKPtwu/GlETJC
uWzLOEsvrx5QMw2c+C8B+9hEvAoOu8RmzZFlqRMjnD2vIkQDSH0WCX3uIayhWzzQ9XAG3KLgs4Mr
z9oby0IsmyX7RmfCARwhOitvAEsZSgQ5E/ZmhtZpQNW4ohK01Iuxa/dzbTfOjICj01E5fqBBQAaT
PMiV2t2elqUeLiP5KaQpbpEFg9HU2WIAqcXwcNiyFjyyRKn24E+Jui+Tm3CE3i/6VrDGP3e++Ivl
9XtpWY+edFZS60JUmBVWz26aqupZHV58w6oKT79s5bqx1PLl758GCEKoHq86C2IzI+y/Yzo429qK
m5XWryMYoY5rhLM1tM0wemMZllX1XMFdeA8pZAHSeT6esjqHOzS28Po5dVFihyxBBOup2N/LLgfc
GqqpKlBuOx1UNd65HowckGcAyAgKQkeeTjGMNGGY/KhF3p0d2bthDuG5lUy/tPCMfJA6CZEoLqAS
ENv5FnqCw6/Sc7odLu/JI1e0WMk7Czu8yQNz4G0KlaoCP8i9+IR2gRqLDbn4r1mhX2RPJe4ot0Np
YaWYXDA6O6joq9wOe/2XlZIjDHjvmxRTY9jvslhjMeDgYNtb3bQAqMDIPHqVctre/vaF1G/SwXAE
ylxqo1LpjimANQ0sGXfwV3DBeo/HlRSwMBMmWFcURTxQKHiHFfvdFnBqh2BoHddB50Ll0H7Ag/XK
j7muD+0IE8BKlVvHbg8YASQT5cGKZXaIIRTyN9TCd7HEiw8kLDher6oK9mY0eY64GA45EeMxgnXf
MZ1Jv/IpS2visvo/ZQ941kmdZBFMxz0FtEsE0Gu1sigWhtP0a3Cgs2H1kIcLI5t9j0fyo7c9oDHK
+jv4UVu3h/dcPtn3nfxM/4YMtmzQGMvcc0qnM9QEy43VRY+xtfZqufRjjDQ4JlBO4zKHt5+Oga9S
NSREqu5Xy5LukA3AXk1wb3u7vdYXMo9JiaOkHNtBZ+TcyhOHOZ+MfntqBKSGb253sBRMRmqTMEC3
u0txp0q9r/7QfCSDBq60X7OmWmrfOOUIlLE9AcjF2Sthpgyv1mT4wMvsfVNt0uGckbUNjPyAvanI
CabDqKzBnyWAvu+wvz0+C0Fhst1kHCl4AjTzmYv5iar0WKTlytAvzC0xjjN15/Q9/D+hmJWyEBZq
wZBUpyr5Hrkro7PUweXvnwI6ER3KjKxrw5E2xzJKeQCZ8lOskx993qzBoBaOsSbZDWalkDSK5zaM
PLbJnG8OzBUJkJZR8nMWxcpQLc3C5e+ffglL5xxvrFilStkfE+lfcXVfOdX4aOJKce6P5uWnpj23
yxPcoe2zqKpvsrReoH7FNthTnhAFm6RyAEql0OOfszWswHV0lyNMFfkom3ofBrnkDP/uE5R5zxEY
iRb8Yzl9lYBBlan9ZcrI3q4H1BCAhot/37eYjWCHzywMyDMXw9iRZ+hUvLirz9TXNULxo4xAh9hN
WonZr0MaVfIgyNCdyzYb1a6rx/whq7XKgzn3VRXQVmTNJoMv9KszztMJ/kMwk/fgfo6LCXWcvcvo
HMNPoqQFpPzqX7oeuhzX0oTBSJ45zXNeV10d6HSI1aHq53QDYt+0Aj1aSFj/Idd1mjkw/7TPTlm8
jFEHXGnWB32m1sCTSx1ctpVPCw7Om34xamwfNvwDwm7Om2+QqSkf4MubPN+e54XANwl2hCdW3nqY
5wRjI5onouvNSL/OaiVm/gzGlaAxaXbDiGwClc/xDNO4aGtV0t1LaH49o3ovj00Br1S7iPqPzLI8
BdxppaDA5jd7Btem46iYv+29KX9xGjy723YHhqSbzbgwwjYhKVVx5BcT7/uG4jILn0ab+AzQ+HRs
w0H6T1hSL7aPcsTkn2cQT293sZCcTN4e5F5HwEDgBzHH7RESYfBURtq9L/P9OTZ++n5hoQYnIGJ2
rj3yiJrWk+WuuVksfbdxffIh2ZCTFu+DeTLWf0F6onryvJqviSovLUIj2SiJV410Aoc/i6NzmpUH
14EvrB6PMyRjb4/8wt7zB5L/aXDIqHLhkFYD+fGYe3uXAN/TvZDSh4jaGkxmIVxNClg7O0ALwsMu
BFcOAl4RbZ+JrcguB4L0vsuYbezTLa1rUQ1JFxIS9cc2h/f20Nb+ShFu6QcYEeAmNheexQGy6w6l
F29cyLi4ck2ue6l1Y2cekyyZXXLx2BQTdEvSKWq3sk/JkxzyaqWytDDNphR7k7o0Y63ucC710r01
ldMHc52qD2rhQzgmzWATVHv9UK3E3PX+PBNfUFYxrOrSvAvLrn/LPPJXqfx6k87+X5HTPsMH5dft
5ete9sb/plHPVDidO2BsJm6Rc6HFS5XxGjrzVbZhbqRhIB+N276N4q2r6qcYla+Ae+yQOtMBG1Qd
ZD3bEnhuHyaZzHvsoO1GNt6+soFwblo3gKw2jMjhqLTPmtQ6Qnqg3Axz3G+BYqh3SU9QVb5Izbap
cr9ZNZjYrPfXnoyvpxbbLI17dWy7QJjgUpvCoI+WD61TrKAalpo2lvPowcLDxlULr8T8KFu2552z
8lC71LSxlpNSKt+yaxi4kreofEn9lXm+HiO2Ca2icBvREoyMUKsJiqFg+rqx88yTlWP+9fuozYw8
TlhZtpWuy3NJk+Slyy0vnCZv2MJvWmwAxQD+eyjLM3fnNV7MdcidY5uuqwnH9MZNEYMU1iYqyKtp
fsvyQeznSYzbmZY5aj4FCF0OiM17R0XJE4i0DHL+rYQyCs0keNYRPbg1dYvN3Gr9w3JkjLznzvRI
xDTLDStj6QSdqFB1V5O2T1nj477NW9VCA9zvt6VVWjhGesO75YMY/sJhJvNxOzIXZsz0RvUVbDgZ
rMvOXtyKrzWETXcC792QdRflymK7LoDt2ObObsNurCnTNAH9epirDWP5EPDI+qbLMi1PPGaVD6P4
zAo15CM2EgXjLc7N+tyRWJUbMJK6GP/v5FvgV/wPp85pIPyq/x5jgKbN4LX1T7+q4nmTkjR7LjvH
+uFO8dDt6oHrJyEhFn57sK5v9DYzTv5p5/G2Ae3hhMdm+0Chs/jmFbGvgtrmXgjTSZBT7+rJfMhQ
duywFm6tp1IU0e/BYnD0aQdRWYEPcXUVxAV3VoJqIReYtMcBNi5z2wh19hPgrgNHD91GAXp0D2DR
sc0nhm5QDcrmbXy2W/oTAm6P3VTEQaZgEXh7qJa+30iTsefURYEa4gkIpKcmIl9YV73dbnphvk1d
uEgP4Bv1wjsNjgWPAS/s1fyk8Hgf6ML53+0+lj7f/fex3RYpQpxYHj6/e21qsS1kvjKzS59vpMu8
nXilRCJOIp7Ptnwltdq5NdzA1Rp+5XpJwabGyVenfZR7ufZOhPmP8FvdM+WeVfUsoQFUV3oLHOzv
Ut4l3oilZIRfichroEnpnVI2vhCn+gYe5CGjroSe8Bq8ZGHM/vNcYLGaWsKjJ1VH85HDy7ieOrrJ
PXfeJm27MjMLWdd8OhhQ4OmBMYhOA09fRccfmDO+NIKvrNul5i/HvU+3BafBd0d+4Z8El/73kZft
S51FPsSgbKl/3163S31cBvBTHyOHnLAauTjFTqHhcjWpHgrRvRUQBXXoldhe6uTy90+daD74nmoz
cXJq64szD98SqzzJWq/E3lLzl5j81DyMUFGWgUH1KR/Z11ba7xCOOdTFsLtviIzQTpuuQdnWd0+x
sCHxBl5JhH+K7X2tG9E98KHtdCfcUyMOMPUBNW7agHa68u3Xbwa2KSFXN+PgVEhNJ8hsR3p+9KMf
XPQHoPk2ROxv/4KlWDPiOWqj1moQWacoi35XBeSWtQeSNfcytWHFsFLCuUzmf68e8ML89yQLERdJ
lVD3hIvVu8MqyK2JNaHVhVEya+btXCZwkiXuySn97dBWf9EOwMpCseeJj1VQyfr19lAtdWRENEwR
4UFNpHdqGlJ9n7OpO0VV2W8zv4l/lbPTQUM2UyuFwaXOjNC2pk5LXeXi1FnzZlRHTv2HtDnm8wz5
//fbP2gBoWqb1XQlOWTJmcNPZPRSgvdfzX/NJY86AE/ieMdTOInalXb2zdx3eDhzxleYM0QqkJ5F
1+oRC/uXKXMVtwTg26lLQJrqjzAy2E8532onCW0+H1TuY3cJI3fNCWapNyPdjGyICp9NSUhmfrIt
EThzFFBRPiBsH6F9v2/1hca+Zp+40J2pnEdEW0JweuSnkXEBWg9Fbqt8+xRTH54FiO7A6nKoCWRQ
EDx1supXTsnXdSIc23xoqDtLidqy3FOmIgsmJlODamdLwIOHrEb8xYcucuClkYA2sR1N207O7IPI
aE0AZQG9YZuvDtIVrWIipaepGuc3kjgXVnc/uXSLt4bUO9M81RA46N3hDJjkEAWiTqtqa9cOCRyl
sp2kU791wan8PrWFv5JR2UIeMs5KZSt5mzkJO7n+9DUaS5C/VT8Glhqfb4fUUqIz0qkeXCgJKYue
IAvX5IBa93RPBoCgVjbjPza7VzKp+WAARJKcEqfzTkJG23aWuyrRL1XbbEYws8H23UA3Kpjn8pC1
+VYDR4lj8w7wHN29q2re2PYbg/cVZV+U0wS5mx9h+LAyuAtbianjV0NFk9XxhKOhgo25JTc1PxbZ
9KUQ3+4aXPOhYUqaYpg083D1i99L3GUzJ16ZtwVgBFzC/r1D8d62JWlicVLzVOCsST0oWYxRf9K6
lduJgLs0zdTfWu3IdjCMgyGulbOD1OUQFHPTbang7u/bv/P6xxBqqrDDjEwnuooZ8DIqPUgcuGFX
NnX5NwguTA/V1OZvc5HLbdxJa+t6RbSdLDfZjAOx9lWVJRtd9enH7Y/586T2nxVHqHkBy/ux7y8q
H2FvieF5mHJ5TKwYOwOeyOKD8v3kvfK8Ac97DpfNvolpx7YZXBUAlrGwJWPHzPZxJpS9SVSHgZtj
dzhZUK793fktLNcq1Lx/+DRBRuRWIdfcpK+GIqEmMMMnIzzjIAESwi3yqch5SNQaXPlqGkHTxqEy
8v2WcSiLwEhrAlhGbkaBVbB2ZF34cG4eKgdRwokZPHXSK8jUz7rY9Em8Age8npixtowUKGXXDW4y
uAAxlBdk0Rx0yQxOSva/NEqrU9m3P+c2eyv6VO111OxaPh/7UuHwPOdx4Ph3nabwHUamrMGhm4o+
AXKuKn8x2YWdl29Jp/mmLuufNYNlz+0FfDUtEWpiy+FZ0zgtrgFwlmNjkBcoBhbJmzVBUw+isF9v
d7IwZya0nEBX2046vEdHJAeILsJNSWUrDxJLbRvnznhUaZy5qRN2uQtXwkg/d+OquM5S40beI0QO
XURqbM5i2Dc8TOv0cHtIrp5gMe6X4Pl0sZOZpGkmOjecYEL2FSDn8auV1fXJcom7bap8eKp4yley
1EJEmmBREWvk6TSHriEEK+lFRHh4GvXKL7l6iEMGNAKyHGyUAS98cpBqgr5/8WZYe6cogEJ7HhaL
AbjegV34K+t16acYAWr/H2fXtSOprkW/yBImGV4JFTtPT/fMvKA5EzAmmWCCv/6uOk99OUUhte7D
lfqMoHDY3t57haz2OTa9fUaYhyC/hayRgje7cYlZ2Q3L+k0hUsl8gpS6z+tghJcDZNYBA6+CSm3Z
oa1M/LJ801cDGQVJrHMLBSVP9QcffqiEjMCV1gFVW0z8tdcskA1TPrAW2urNeaJ5KOcxhDvOUamz
NcPmU/68vYhXhmuJ/qxYojxUxCFJ2Nuwo0ghe6Z2jgbtu96qr6B4di0rxXGyWF8mVN4YIzjupdBl
OOnKe+5rAdcwwFGSsFBJ8pQLCPYGtjLqn5X06JfUT917YXSYv8Gpw8nUZtiP+KeB3xB/D+oOrFXR
8SsPdk9h92Yps4imyYCq3jz6KDPz8c4jJo/tsmQHmTjqTrKKRZVrdocs13BNzRzhvVIjq2JSKxaI
ss/iRPRwl4OzyNgraBHPuM5UGey0pA2ptcpPQGz0fPuoeO8+F35Th4zX1WMN8MYDEu3kboQ3F+YK
En+BCzjGQcBFBBqJ6M20bn/RDxt9HalJQk1Z6vl1kn26Zyb80ixnHI8t2H/HBFonfsCHRDzkne+F
ruX7odKZqUPbsOxfCeSezy3ukPeunua3yqLPdp/9k8ACduxMlGkm+Nyhn6SecreLeKp2KUEqPQxZ
dpoNkUUOa7CnfS/xj9bkyLsKHZAuUlDchlS4tsCrbbrQZlYS6UmKlxl6CScDe1VElYXOZsgN1v+D
GhkNaVp5r6XpJzoqh5QejAYeOphS08awe00EYysRDb1tBLafl099CummmODGmEe8zatPqmoty0h5
TfvBEJ5CAufMB3MgydmZknbnmo741PFnLVvLlJZzY+BifcrEGMJlLQlotblBVgLiv/3sDwcJ6URl
C8lq0PuhCTT2aRc6dtaF8AD5VA/etJf1KWuoIMovk/rc2nAOnloV9gb5STBXMBcZ7vhItnb7yscs
q1WSeQ0UhC3Q+1UzHTmZ+XM3cwtSy55+/1TMWiI9fRt+5j7ABOfGJDOsJt1y709Z912XYgbRmOUb
sfF6+Qijtsgd4FjfFbIDaNxllrwTRdPu61by32Am1jZIidBppF2txphVhf1cG0b+V3S2eAdfh5nx
7Y9diZ3/KWFVqOaknSvP6diKsG7mXYlTOrz98JXov6zeeC7x5zyj8qxFC4GX8nenkOgjgkdsgv/h
7ZdcXxHWUpOhQvmHWdz1TpP3ezCNoC/f4LSxkUysDc/ipuLOKOcRbUns+OykXHHw+Kf4UZj9xalV
TRPrOl3Ic6XUsysSOJIO4xw0kMMvZvTqbo/O2hQssiE2WW6mZlueJ1mFIu++mV29q1nyYNXO7vYr
rk+AvcSSZiPtqeVkEkAMBd3HIoOhFjHuK+BJN8rf/269K3foZdWmNSGV5pfaPE+GaAG9znv+VkwU
NA/KmTwC2l89JZbO40klw2FoR3bA69MvaWKNIa9R/fRAw977ua+/OObcho7f0keUTrvIR3N0b0ua
vnrJbDeB1RHjZHUjDQgqGce090BM8iCQWQWQuIPHCTDIW+DSlRRsWTRh6JAbJcSJztz8PXhuMIwc
5HwjyMjPTm1dh1dWwLI+bOL8TYEeBk/AAXZzqqb0kftU/DaMyflLK2cLubayVZblq2nyWkyL6s5w
6/06N8NzWunD7RX2b+Hm2vxfBvDDEVYpfyClAdg6jpQHavUcVDlt8gdumhC4ELmeD62RW0MESYD+
vS+o+iGRQt8VFin3wqzonexU+xU+tc5x6nl532Bbx17tFmcwBhsjBOelPUiP0xAdL/unoxu+82RK
fzWq788GJNv2iaga+He4vYpRqYM4ceLTQzcQvYOakbfP6mk+2A2I6rbN5ZNncPFmFL0JtJad7RLe
e4BSpjKucnd4A/aiPqZ8YoEqqROxlo+Hac6ro903432eTvqQeo0ddlaRncTFZwe61JYMJzJ66cHz
+BA7rC3noO7UXIQdN+VDWXi2jnKAecTRd3n1m3s+DAt6DoAlzYw3OuH2e3s+rmKYTLDj/386WlnN
TJXcO7Wzhap4HeRuZLdjRFN/L5s06Krj7RddDy3WUrCmB+wlsXPJTrrX7cnOEhp5rtJR7Zlbeh9r
r1hcg8xZX6oz43wWycmXx0rfZ1vUprUdcfn7h1XbA37a6qQB4BW204HnKPp1AJJ6I025Pgn2v8XP
D0+Hyf1sgQZknNsmB+/feAZw6FTk48vIsn1feH9nY96YhrUQsjiqmrIRvEe8RZIATn7Hj2A6BoX3
XvB5f3ui196wOKZarj2Ym0KWm4zqwZgGlP7Ra07hMR2AdLPF5bg+1/YSgUyHErbbqTmce/TgTPU9
z+IUJf9PfcKShGjU0mdpKZOTbl+l3Qc1lFaq+Z74f28/f2U1LamHPSHmWHHwnHkjyqgedEg7vkX5
+7eadyXCLoHTk1ULs2yzS5VaA5tVGzBbGszUQW0jY5Hp2OnTNPZZWMncvxt5Dd9xWXMZisxyYgnd
ml2RNNAkSN6cAG7bpq2CzPTg35tD4ghkJj9sOFRt5AygU+B4GY9NCAmHjpdkp2JonRjwIfkMR+zx
3nY8GU9JPCTT8ACxDGcnazercIOGHk5qzUPkogf3hZq1G2RzI/pwHrPkq18P7HtHLPpk0lbd5WMx
HX2Ab98nkaR3gtT2GNQi/9uSgUSmV3fBNKkuQ0Dumns5OhNMEmyukXyR6VhZxuxEvZQ5urizue+F
Rx6hDCON+PZsXqcVmfYSRg4PCJNXJpxiURfYlTKP6r6MoQAGcbS9QZyvLHknbnZnq1cIgsW4IWzE
7pWcY+kzglyZpVndJqfRaP4y3URCSVCZqhcBm0ObbTUwVzb00nBkBlDZnUxstWSCKXthRTmFHq37
FcTC6PYIrr1hkZp3lTbEfNFJuDisa08Hhvezgy89ZxsAp7WRWkQ9klJcNFuDnLzEgNQwjB9pdci8
E61eSTZ9MmosAp9NZG+NNb6i8b+MKCEmfIYn4F3fb3ler4WNxVmtuFM6fjqj+OrV8LnonaeE+1t8
gqtDBDr0YogcVntknHFy2o4IZ8ekUVK09zBr/AOAoRmWlff19mRf3y5402KcatD2fUt3w7md9ASH
GY7Of63fsrp5SZVrxq6tv8vRfy5L6wRl0fsEqKgg51sIx6snB16/GMVE+kXlIqE6tVJEvUegNdrF
47QlOXV1kihbOrdUZjW1ZmZBijwtXqys/ZH1zeeEb9jSrMVxfVRMKSD4rQcI9yzv6Qivk9vTcnUP
4ndf1sWHHGR0W4ORquihfA+vke6LQg9SzvMlS97Y5Vd7B3jD5c0f3gBwi284Mwg93VSwWAv9VhrW
Y8vljlN2zFD+TOvyqSTVRn9v7YsuC+DD+xzeeFltix6uptBIHKhmrx71zd04k+/U6PqN8H99PTH/
shA+vGZwldKUkO6simg0RQicTrjtObK2nBahsW4Hkik3BevC+5YBjaS3NL/WHrzY7/BsgFMFQ7PR
bKzvEkrpjZT720vpeiiB1N3/j4icqyR1hvZCfBI7x3QelPQfKWrlQWn4IkrUuHWZxAP/k+lgRS22
cirrjM2mxIpqL9SqKnLT35nzopvicy9Yuq6QjnhSSa7OuFtAcADk2eQpBSZQtV9uD9UKGYEtnVSQ
6KeTpRKYWRyG3RwmeyPmYRlbh0lG470+u5EO78Y7+dA/FIfq2XzPH9NdsXFirUCj2H98VlLe15Z/
ebsK6iJI8yAfYzLF9c71AkcG7Pftz1zZI0udXTJDOM8DmO5s+w+NwjRB9TG6/eiVdbyU1+1T5mq7
IxeaYBHV0DEXff7JR19e+WFnw5HAagaBX62J8ZaIIahZuxGbrmMPKFuWOn0HLiOmWyTHmVL7MAqO
xmkxmnYd+K5ZnkvPUvd1BrTcONvwqSGt3pkIBt/GZEiGGEp3w3tmKP0VAofmxueubNtlKWCsJPVI
KocTui5z0Jt+VIFf0MB6pKuh3SZKJ9kIECs0ZrYsBuSNSiBt2iZHAZuTeMy0/WLBmfRys/YmEAur
8jkFRelb5RR/IRKw67Qbqlk/WWCeQuK96+HvPAzvw2RWr8BjwuwyYwYPSZkkQeLS5OvttbVyYi21
NmmTDZ5lZP0JdpHjQ18J/tSO3A5ZXvC7kg3p0bLzDsW+ZhJPiW1v8RhWZmKpwzmCoZR1s6FOPVCv
eVN7sd/MR2EVEKGBL6b21Aanb+VFbFkxmYRmLMGLCgeikrqFZd4Dy8zAbb5bvN2IMmsvufz9wzaa
C84sWljtaUTjKhlq0IVmrwjsqYony0GV3+afQgqzpbtIk/gl11PdnQZqG3Hmld952b30fv/SmrkX
AdjZb3yTaV0/etgl0n34KDr4qEUnPD0niTPMYaqbjsejI+a/dWMCXTi7ov2t4dzex1Yq86dS2fTn
PHH22Ava4LRyR84D1xADBAZHxz74rjM/yrQcjnoQQxrolPiRh8rhL+Uy/csz07yKRI4T1Roma4ML
txI8l0KsMDhwFQrm7cnL8vqhK2Zn1wqyVa5eO16W8qsq9cqG5qw59bPArd/ztHrIJxgAAPOeoJ8P
jiJ5EvkAvKbUPtt1Vp8BT9JU7d/bG3glBVwqKHfEqWbQH9VJw7f5S11muLyyljx47WgcSqX6jeR5
5Xxjl1XyYTVkQlI+gAh9MuHl8OoOsgnB6bUDqDqRjVi0MlVLCWXgWVEtNcz2BOVc/tMp8zyEZFXy
7fZArT19kbKhtVRiKTQIBNpxd71Z+Q9W2tgbYWZtGhZ5WtnOhZ8nSXPicDffN+CtfxmNkZ1mc8qB
vJ2G75/6iqUYb9lCBRYpW3OyUtKGhu+PYZeaT597+GXoPswxc1C/KoY+PXsjC8skjxj5c/vJ9F8A
6ZVEdolyTSU3R+Hg2ecfJPjmBE5QBr9Z5IVj6AT399GPLNg1wf238zm63+F/j8fj7ri7j6L7+9fH
lzJMg+NL8Gu//7N/+XP8MwR/+vjuaX88Bvvj6zE4/rnzgjDeF0H8cDrFcfz1cMD/fT99CQ+n/cMp
xHOi6HwI8W/i8BQezvfRbvcter78szCMvkXRIfp24MFWK3Y1MCwuH4ylozWNiDuQDOt/ZI5vPydy
hCaqZ2U46Cv3kWbSiwkraFCJsglbw2peb4/2ylJfoj5BxU04TE/BXRnZ3gWCIp+zjSWyltUtkZzz
qB3eCZcdZ7RPQE6CLSU5GMM/uYvKqW4ONnkZs+GpwTURLzdZ9hUU/pi6WwbvK3FoCfC0Km2j8dy3
QOEY9nEiM/0mKSl/EZ7kvz41fEt4p4H7Vjn1DMjzLgtq883Jt4IouwSbK7tgqRxMjCxtzNZGdwje
OwdP5j9yHzoXQE5ZswgMQekfNdk8hadhXkf5II1XZc/Fa51k7t8JwOs9HChpFWZojhuQ3EpECDAO
jSZHx1mbR8gWx8M42dazRPX4rjFI+7MddA6lIV3rLCBOy02Y1w/2GNrKxCf6Atxavxv3WpeoeTJA
hIusQ9mbT2MGY3CNnoZGKREGY1C0x4JK9nVJ/D9+rYFWEzaawG5FgY+UaU+KgAPLBMAVsLEe6JB7
UED8OVCeSkDFBy64ww2AQ6ic2SNavFDZjTNT4V8IdOMfTfDTIjJbOnbL1H2ATtbwCmEmK0raPsGN
qmxD4ACKb+0wVo9u5w6hPXk8Bi6hG4OBGLA1TwQqFFZvAf3WWqHo+vbOJWxL7HZlXy2hocIfCtpR
oz11KWScAt8o7FhXef45YjVbSltk2cRNLkV7EtCVfkpEmodZ1WwpK60cUUuILtiLBh8xgdCTfpm8
F60BBCcnW8wbCeNK1ZMtxZ8d0VHhDRJNa795UCPZs7Q4drUP9Tw/hMpISOo2KmvrKW0t2LTncPUo
k40yxsrULHUwUkjo2W6BIhsqM0B0PHbp2+1gsJLaLxUwZoOOsFGX7SmXpNsLUIkOtXCbR8Z68wG0
4uLUw9Auvv2ytSla5CilBVGtvs7LkzSLFuZZor/PR9s/20beQ69saD+nc8qWBWreWpbT8aGBRazx
p4bUWU+dPIAm/ka2eP1D3OXdn00TTwWKufCEceO6tKzILbIH2rIHt2/k7nOjtci5LIOzCRcHdoSt
fTOAyMCCTj3U/9x++nXAG2VLRYgpy4ca8M/85PjKsIMEzOLxQBsOMQwNb9Y2bPseNl/gZfc0kINy
rEBAZ6QJzF7ZQMrmm0KXK2twKRmS9hemWecWAFd49Y6kVfbPpAaLhpY7tXGqh/IMQuoWAH7lhF3K
Uzjak73PECeMyju5vbwzuPVMmLNxIbvu84xxvayZD1nmMOeGriRIbVPNZhwIphyhyMen9h0503Tn
pJl5tFyzf6Hl1GYBWu3mOS3t+egDFp3DlCAZo7KaSGTXxHqbbJhSpFWZbvy86yuX/UdB+3LS8sqW
Jx/U9INOEnrifND3UludGejOTzZgYmuTeolkH4YhnQrwPFynOE2ZCf9R+Pk0JzLl5dF1WR5RjjRR
jvOWFutKfFxSJiZjKJ2scNtTNeeQ96V1t1esZhvR92oVyTT/w9Ur5sbB+lRn+DC4gTX5w6OfCh1r
gLSjTNp7LlUbmykKbmDov93eoFc/CS9drKPGalxz9AAWHCX90ZXpb5rZ0e1HX90CePTl7x/mBo+t
4dBimCBl1f8YJsgs4E+VT66a6/3tN6z9+MvfP7wBTAMmi4ybZ+5XY6AIe0Te83r72VdXFn794qpe
UU1bY/Yo1H2G0LVFNOZdCnIJnC/RA3vEf9m4DKwN0+KOk9LGSku8DKQMmkWu6+dB4ZYjoPCd3JiJ
tXFanIg9ev4edcl47p3sK5uTXZtMnxymxfHhzxlObqqns1391lMDx5nvHqlD1d2nIFncnoqVEVrC
bGQPZl3lG/TMLKcHEkR24dCVDcjfn+tqmuYSacMIuNO+xCs4cRmuFIOoIysp6gNERueTD6HUrd7s
2sdc1tuHNdsZUHIjXmmfyylhbyNT6R6ShRfnISd9vz1e16/N+JrFpoZni4Teak3P2WikR7hV9WHJ
7eE9T/N53/jQrTLQfD7mrZ0ep5yXoSZduVFbuRr68e7FrocJOvqQEvbvIKr8zZ3hrDsH8uyUv2Q1
/UzUxzsu6/zDGAqambPZZvTsI/3ft3Uyx6Ar8gh3WhoPjLfv6FDwPxujedmI/7lu4m2LSJAaflo3
fgP+lzc6X1CIkCdN5/TFo1l3ckB+/grlmu+z30LlepgNwOQUK42gyH32XPAaJJjbP2Rt5SwChVfk
KRHaa84OGSLjYjrDge8eNzbZSrxbJrN535dtQwd6Lqy/hChIEebIwZpAuT+tZAsAv3LELTEVheiN
HBTjCXbv4slvcnIEcCM0TWfvgOGDutzezobvU5lsiRFeHzN4JixWitvNDczX6dlDVIpF5SXIEZoy
ELXa6o2svWLRGynH0it9Z9BnD7Yq1fOQPOn0y+0Zvz4noHj8/6/XlXKYlmQ6D8qNWT7uprYD4bf+
2blV3DjDltnE9T1Ll4gL6kyeXajMOHfVKYM8+9xNe2OuonbeKBuvjdHl7x82rGuYM9Yu/FN7Tr4Y
CY9KUnzviq287N9D+b9blC6xFWneQ/1Ka3lWQwZstVbzwSqZi8tFMgNMUEjohZf52RpM644wBb2S
wnXEg5O7FP4XsKDeA+66VcVe+9hFvBjn0dbcpfmZ5X0bdG4Tw2PMhJnClr7b2rJYBAI1m6VLXCM/
i2IIwdmPaxsiLKb7psrqYSRdtxFwrqcNdInP6K2qSCsnQcAZKlBWrCLqxcSj22t7bc0tEodxULXn
kERDwyYNu4qAvtgdQBlErXBLuGbl9y9RGX6e+gwiKvBXLfJIeTgfoMt4+9evTMESjtGYNmHohcGA
SqnYEZDBHL7i1I2nzguyLXPIlYW0RF3YDXGr2pr1uZ2bcLR2CSQFrK1Ver3QZIIL8/97MrOaHMLG
XXumOm1PygOHOuRNS1LIcWU+kB5ztvOtnsUkc4o9Ksaw6fbqPhh7RsAedT53TcDd5v9/h6UaJx0q
bsC06M234O9J98Td0rldG8JFpmDYRHBRIxvpLmJNtAio/er0G+CMtUWw2OhQFNDgClX45WOuY0e6
YBWr0guKymlDNfkMfayJfm6/LLX3xnmobVny+QyVvyKAwooVVK2qIUVhhK6Yt9wiVvbMkr3tZxlw
BD1MJCECbgSJstHN8e2NvG1tNhaBq4VIUZ+NDo5KmiNP+967TlC0n8us6bJc1nmg3dgekguhAA71
q71SJiTytmCJ7BKZrhwyS9xLn+ZydnoX1C3mkD9jq5IitFvkoiGkXea4scf5hzNBTAYwFJrt4OHs
2ZFpp/zcWRM8oizVXtBSPXd2I00U7GVdEVPIxVshA4b20S71HEwCzsmhN0o7IhDxTEPhdN09pD94
1POiPpqwnzvMWe7uSmbTO96o+acydfIt6Ub9hVXQMPR8CEcNsHgKUjL6By4gbwQ/iCnqWQcxRWrX
83sFemkwY8AOGuT3UJeyyULYjavXARYRsTsq85+68sSXTkp5mkktX8CK0mEzaX60LDXBLtwa4FVS
OCweKu3dD0zoyHR9coDrpcMCtyz8Uy0ZCxXUG4OCFGo3Tihvxw7PLVT2SLXvao6A0iZcwt1msn7q
XLE0KgoIdEIlZxg2UN0rR80SReRNFRCAc6/PWrUqAH/GDbMczCidCxEOTfd8+0xY2TpLkEw70xY6
fc50hpMsD5uBzwEklzcUTda+YZEKllw1KGTj4fmAsFz+mPlvlkInwtliJ6z9+sVxgAuaqBuKTFlN
5lcvneSTRGV4Y+OvPfzy9w/5H4eHMh01NCH6fDDiAsiXUBLw5j438Is4LGra5TaKD2cnaZ1AG8Y3
Pk3H28++DuBBUW4RsyCkncqiayFTkzGUZrJW6SeQ9/UbtROELkdqElZN6T1D6NqJXaObDoYHi4zW
9tEqbFoGzZyhR/qXCese2GYrqMe2eoRGoRcOtPAOEKMw7z2wYI6QGTGjzHfsLsiSimyM/cop9W8X
9cPYzy66B23hqnPRwR9tqN33lPZ3uihg6cIkunB8S8VkJbz/Gzg/vIk5jmNMlqnOho8PFn7/kPve
HKJmFt2ejJUXLHF2XPkjaaZ5hmPFAN4jBdO3bRP3uwAdeQvfvvIOa7EPPCLNFFd8cLoUHGz6t8Lw
90DVbSzVtadf/v5hiGrpZWJC9Dy1OFgzyg+NcafTLYzrytOXeEDio7lCRshgEflqW13UTj8LtdVX
XYlASwxYWkOSD03j5MTNPpycNEidhwHlaZNs5R5rP38x9L6ZVJb2+vysoJQJ0S2I8b2MRrlRXl97
+mLomTYAy5lH72TjZHTaO1I8GOOvzy3MRXyrR4uWtYcqqCOHXeFYM+hVdR+a9lZvYG3wFyEup65V
QUGOnqFuBCem/JTCvdMoxcH5VMMKfYBFnAMuIIE24oz4P/6g8huxL12rjYvk2tAv6s+0zzhDIEVt
idUHCbGTgBWQuR+NrZvq2vAsLpP93HBARal9ZvCy22c97Xa4G1dQ1pOQ9wGfcSPjX/mQJW5mnCeB
jGek56H6zoxfjgGFw630dSVOLwEzDbIqVDORpZQZ/+Ew81zb5rFpUENEYYbXWyy9tU9YJBIursRN
JrU+w5eHHxufpu+wNK72ZVn1YmO+L6WvK5nyEoKhR1q7ssPFCGfLYdLqjCIW2n7qorAAsSSorP6A
2+TGnKxUu+kSktGZFKq8HkUbnlD2Y8Yx7EMVUQkeU79rHiHjr0IK954Q3OLYBsIwdtS0dbqurLyl
ZKJpZNDSQop9gu578uJeJOsbBoPAvmuMgyfGZOPou0SSK0O61FUZCiYbAz4UZ4IycNBY9J8csqGf
il7/pj4fDiUsaKhQGuDB2jXd91UGnBPPL/mOvbEeVgZpiWlpZnSWLYKbWa3v8/43fIoDY37Ik3Zj
cNaev4iOFtSTEkvY9NwMww93KMsHWRYkdqbJ+5VJf+sEXNs6ixAJi5BmzCbUw4q2yOOimgEgl41z
tom5VSBfe8UiUtZdA7lSgi+p698wbIsaMw14lsW3J3ptnBZhssr6Cl6QJbKPJjslA3uvx3SXVlYW
lzPIEbdfsvIJS8QH7m5VZbceO7UsCUb6qLoLIWYrPVvZB0sUhy4c7uL+7Z9EO+yozZ/9ufrn9g+/
3pygS8iGyjqbwwzFO9XcbkIKjN+hLiuArpj/nI4d+1FwXh5pKeQur6HKePuta8N1masPm4+Qifb1
2PunYhQPpmjA3tOPRtd8vf34lSlfIjFU2gHoMlN9Vi7cafgzKeX3UYg82PJHXvv9l4n68Purtiuq
2qXmGRX1OZp6AFpNSIeGTq/J57b3Uju2KprML9LGO3VyOLqk/qsaL5yZvzcqACdvj9PKZ/xHUNAg
xqQhUXeuSofuy6QzwqyYuigt0629vTIVS1E5n01aGCZPTnUDbZe5hM60CDgqh/28pXW9kkMsdd/q
Rs6KArVwqqgdE21EhnuX6C/FUKMp+fqpkVoKv81FJzNl4h2+7uOyMo5VWjzBH23jOF/5hKXam5fm
SV17zXw2hDRejGJ0d3WbZy9dqfLQtwGOJiXL329/y0qistR9yw1vaJsK6o4AjL6YnhVmrpUGidTf
3EH5oVDO377eErxd+7LFTteTKMgEIdGzn1XJmXkwv4DxyBwbfBJtkEKJ+msByYRPXpaXMm9lL4rc
qQXyycoqw4yaDxC7/mpb1svtsbu+Y4wlChu6w74xesI/gY0Y4TABKCqF/aL4VNHuvw51bTP7o0QN
cTK6bz1xdyyr7lSXfrE2WW3XA76xTBxdAQczz2HAXvST2g9Wvm9MuHjLEv0ou4ooYe2OQ+c+sbbE
E9bGbBEseSsLYY1WckphFkrFBPE/HovW2Cj1XB7z3yTxPz52KcmzDCKhON9ZH3eafHdb//vnZtv8
/zBv560eOkX9k+e9z60OYXIfy2L/uYcvsp7JIE2WMsM7lVkB2r373WrSnTdkmzySSyJ4bWAWiY9n
dtTBNQqCgRbK9bZi4rGTjR3ZCR1iJWrjMXG8KraTWp3IINuo6kqyd2sD9iG+oyPtTsbGYbayBJbp
UY3bCjMk5shveFRV0glSPkNsvfwUKhnYmEus+3Agl53BNJUWOw0N2BBSzUloO+VrZ2y1VVe2zTJP
GlUmhNtBFQV2hnmgqAvpz9F8qOtkhyvr81yzMpyr+Qt0Jn/fXh8rV7z/uLEp02koqhOX+aPJLuu7
WNbWjjfuL2HrLtCWeLtw4+sse51q8CFvv3ZlOy1zp4RC27ak3D1RVZCAu+N0HLK2iG8//fpxYCxN
AjjaN15adjWUqQqo+vI31za/UWHsS1+BTTLNW24x1/MOY4la7SxaW8VQIMw5yd/ESH74c/mIHtnZ
I9ZWhWftYxbhIe9H5tWVL8+Wm9chlvj8y/RoGRJ7pj9QzB7uoVLXvt8eOXqdAYQ1vggYArQsWgLG
ASU6UvzDxrTNDtJ1LScc05yroyjA6RltS5LTONj2V9AWu3ciiQNPuSm7czJawoV4ujgSQgL6iw1v
FwtDPmQHIbPxH1944t1qMk8GWQpYnjd01R0FZj22CW3MqFdG/gzZ5i4khWlCvUpCklBJmD7EbADp
O5jyt6z45ZjwVTU0bhA51d9kIjCv0PD74TVFF1jZJH9RDRhBkKB/1+JGLNq3tM79g8BRFUPidrhT
TdfVOI2M7lc2e/1+gKtB2LoG3bHG4EDTgzXjWp23M+aUvpt2x6PGx33LNTN+HqGFs5/INE4hAATk
3YE90s5UaOsyNvUQ0nVektIZw5LUxcGz02o8OpxUNDDKod/ptvgNXj9azSkh9xl3aKjB0w0rMzOj
yockopim792YWGHFRzciAzqBYvLMXQKj31ddulBzmwdpvWBI9Z+0Eja44qx9HufD4HUX9zsnnfPQ
ksz+3dbiD3fNtAq0ZGbkyBJGotp1KKIjkj+QulznrRqgY+rAOeRk/4+z62iSk9eiv4gqIUTQls70
5OCxvaEcSRJIZPHr32mv5uMNTdUsPa5qULro3nuCKYf91NcE7wq03ytBJ1OFVFpY9SB2EvRYGjTJ
Y+idhxlrx40Y3E6GXLhs58L2476cIOUeF6Txb2rV92Fv2iT00xyX8ho+bT7wkU22V8FQUow/GX8E
A5oo+6wI4mMhiYw80tMjG2IC93QnBnCF5/KVTdJ/c7teH6FaHaP5Q2GOgisdOzomcAfc9VEHAc4F
k2A5PUenc2rML2DYy0gFPD0It0q/lX6n3GNqDI83dEhGdBJjCMG7nWt1O1WYIKygIPrC/FSR0ILX
8m3tF/kdkUGyK4pMbEgj+i18FdyfhjOofwbolYS1zy4+LQkU0qsAVLkKWgoPAZcG6Ena3IFZXt1X
sMB7yp3cOtatl8GCuCceC5lI0n4rBfxJgZdKBFw2HUKfr5/kpQg7+y5z6SjDJG/OPlQljX6CCMxK
GrEQ9OaK+jrW+QQaXXuGSeUbUfIPDdgpSKejBEHv+sv/kzn94FYxh2TEwBaYivninOSYNA1I8s+y
6lnYUZpGtOvKB5Gn1Xao7Tbe+GgN8H0C7thPGAKbNLRqTuA/ZGn6N2VJ8oJ6NSQju7yh1Vb4nu2H
gazQsbv+sgszPcd1TLw20BIMGij2QoYABrb9hhf+yo9/nEaRec8sDQaOUzM2Z0rQ+Ct1fB4yeZ9O
MOd2oawf98OmRzvq+kiWVvZysXp3vykH0yEBhTDshB4UvIVgg3XM0rs2WcN2LdzQ5iVdIp0KO7zu
ooD0Rx0nGjf0Zpcnq+bbSyOYlSvzoISLXKubs6l92Dx4KO1udJl7r6jDV38RnNf8RJZGMvsqj5af
WH6WQgmawqPZY8GP2M/vKr5WlF4ayOwzXNl+TrmEH3fPm/0IC0Hj/a6TBjFjJTFY2rWz+NBSjzAJ
b2wMoIDI5NR+bbpiJcFcmJx5HcOvJ5jadEyfU9M+sxhSsAmDEXf/+KltOq9j1IZzyxBuR01huk2B
j9LGNSWuGuq2p82aLO/CCswLGFnQSEGqoUJl3Tv5hD4mWfIg++ZPQc1KJF1Yg7lk/diUxvGYQjPH
H+obEyTZ/TQmeuU0LyQT8yrFmHoy1aiFnD1x6H1I5PhfOy52rGNhVfZ7R6T7hHx2ti5DfBc6isnq
+aVPexYTAJX2ve9GoHpsSrGiK/PvrT/4Isw7KXJqZTsqAv2qQ3zIjuNzFbX3wy1cO7bWxt9AkmdD
9+bG24tjHel7cgRI7ejtvN31Pbe0VLPz7kylD+cMbOnezaAo/pfxT6GPyD9rvXcT1+OK0jZxhxZb
1r0kssu29hg/aWB5PCgErnxFlt5+dtiBLOvKRgtyhn/MDsjtR83WOlwLH6i5mDyM/uB9FzAeSYds
YreEN8kYpskITaFvI/ppRf05vWEyl0QnXSAtFfQB8JM86hzoF3ll8xJPyY/rS7xw4OckQT1YqhgC
fzpX6UYZL0zZvWlUWPdy5VazEBbnhMDCaRSRvgvAd5VseBw3QLLpV9gHrFBDF1Z5zgq0IPQzpNKZ
zr7qbiFWtHNwCb8+NwtJ6D+1jXe7lMFvJ3GyoQST7gvVNyrzzjHRGz69TG6z8kX62E2Skn8UhHcP
MaPX94CvBlHsqZc+c2JsntS9takf/7E5bNKASBKPdhzDsLwDlLLLLbKDH4u/M7lX3GuW12dALPVN
VaLHUFVjYGBCWSaHqfN6II6sAiLEVvlmOWSNR/4xCZuSuWZrQMUEQWSgQkUJ2Qu3z3pcP0sQSWE3
CB3lkDu9v3FdLEZNAvPMUqcAb7bL6Bg26pP6XnwOILoU+byynMaokG9S30iHhyBRqikarXRl8354
OsBjufz93eIwyCd3pnXV2ddfW+RmJGt2vRNJf40tv3Q6ZhHWIgBBWfLiLsZQJpjgPUTNviSfLHr/
W8B3729yJ4s1wYWqmpKT13t/0ZPY8iZ5pZZeCSBLI5hF2SJnHqkaIOJ1PGQbTwno3zs7mdRye/0U
LsTaOVsTNYnMkBEWClNDny0NF2RAHb9i9d1tbyVPRsCRnhC2cuaXnnb5+7sZC1zB7Fh7flTl7o8m
GaKJ8LM/qGHbOhI1m/ivssn++sgWQtdcMD3m0M12qwbSt6L84gXtrR7739d/emFV5ozNAnbETZzl
3bmsKxLqsfxNY3ujRhOvfFwXYuOclkkChkKXX9OoiN+0fAA/6QT+HRw4i/0kPvkFn/MyKfC3LSwM
1Vln0KmYaGRyvTJBS+8/y5mKXEntKOBfcu4lkcU4P5Iqid9QiK728NXpNpB3TH9dX42lID8nQ7a+
G6du19AItgSPrSTDTUoL5wYqwf2O+hr9Whh65cfasaYoTdx+n+n6DxuY3gWMWNsOlEOI+3Z5d1Ql
gZiF16EFV8BF9JiDvHnrokj3nTe0vgVrPllZ4Q9jH4L87GD38LhLkhLnTvdq28YlBIPYpkq+0PHp
+qx8uEdBpbxc4d8dNSs3CjVLD1ePEbSBhH5VcG3jYFiuBO8PjzJ+f3aUYbAmLF83JMrQltkKFzik
MSnELreVPIo0BoArDoqNHCB5+7kRXTbbuxHZbZkmUg4kSjz3tvXFobXilyBZIx8tyHzxOa+yDEjd
Nn1nR6Xsn9qqfKHtuJukXUQBrHCj1kN1L8jd/KRTrz0mVIm3yhvgySVMF1rOACvZEuIonxvsZVnf
DdaCJo7LusSOULb8TUV23/VxAuvENU2xD08olu8SNd/9flNUjoU6lh8paTZl/eJpK3R4v+nETYzL
/OcGMQsDVZ5LM3Ygi/lpCR2th16ZkNaHz/04/e8IigQUUjNhhuygpjtmYLFeBhTlfg4p5+uP+PCQ
YpLs/z6iFfXo1AXWvoD6NxNwLztB+wreritn9DLZ/5eA4vdnQQBKo7Tv02aCxYQNm/hCQhqmbfnK
BC0s8ZxQGbSt6w4T9yInQH+Z8zCOaYg+SRjk/nbIP7fGc26laCCB5RSWE8W5ZX0J3LrcjO0YwyLT
dY7Xl2EhlM2ZlQlsHHmfuGMUWDeBTDeOc6jpWpN/QZuHz5mVMR1E2WnbnNMpy7JNNjrlU24BEVd4
6QSR4jLQP6uBjyYkTDDocwa9R0MYdEBhrqqH6ktV+PQPIEgQ9SZp/dcvC9xllYBbx/Xhf9xPxT15
FgsUtOgFacAlRaMdbqlBGvoBXIDxHd3XcIpHt8EcpRbjVpfdTe+7p+vPXZh2bxYihrzxWZ0DASUB
ytwSqiBt5cJfKMnHYmXzLA5tFiH6uEh10bUsyjntn0e3Hm9Z5QcHz0CnnHnJuCm8LoaCTu3rMC1R
gkc9+8f18S2cvjmVFb0rLUuI3kRJ6cNtSOPHoTq9cvtcmLxgNnllJspi0Bc1kr58chqY08Fo9tbx
7S/XX34hNAWziRunrLMI6fNzqe7LnB6MnWw0BIdg2bz73BNm8bWsWRP4mQeZDFF8nfwg3sC4eT/a
EGE08VSvzNO/UsgHMXDOA51auP8qKPpEOQQue2FtSw19Cfiym/4IKNR93J1o993xCNibZmcgrtQW
342XvuWDBrL6O5K8leRkaclm0TiHrREFFGOMqsIuvgE/4Oz6PoZ6dsDSzxCKoBAxu5RNlAA6AHwn
jMxEdHGLLupqz4OVASwE/DmlUcP+lLYOc0DkbEPL+xMXTpgF943nAfdhVr6JC7PkXx7+7uIgcLNX
YuDiPOTtWG7aAs0EBv6u3sIl51P4TpvPpQ2pGWuLjQzUYwuallUQV7teqXgbk1p+cuO5s/0NTeHO
lqWnzyUVTRr2qTQ/IXPIXqukYo/dOCLiwx6VwcbLsflvhp4xtJ6m3q+2OQQLkzCYEnQGrBh9m43l
dB4AiJdsgogeJvO+XnnPhYM+Vz8f3SpzmGvGaCzNo8MJtIH6MPchymF+Xj/oSyt6+fu7FaUkUUMJ
ddQoniYS5dPUHILJsne6KtyVfb+QLMwVuw10xTxnSgbMtflrV26xHVI9RgRXFBlWvTtAxVXU2LTN
ZHafG9UsQLZJMtiKVs2Zxb6169PpW2bX8G5uy5XTtrQws/2jC1MEqYdReICiP0yu9O9VDyu2PHUu
YDu95n+48JmaM0LjDHRokSAsxaDnDK61I5x8cllmEa8UokvtUWVntKIC99lSOqwNvlYtGOgPSbum
GL8wgjkRtLcdOI7rMjsD43xulPsCXM7K1XDpp2dZ6OTlQ5a5dIzM0N4AARilWbVyN/mw14Vb12x9
21bgZhL4TtS4cJ/fxJnqdxbw82ANO+mBq8bZWS1g7sDqln/t3qpWDvzSc+3/HsdCZjbUPRSFS5Z5
HdpShSVVO95wiFTJAQar7TeSc4BmcGFZOSsLH465wHWuM6y5acjZLcHUrYYByB7gbcKcDngoGHn7
Wvpr8M6FJZuz8hwYSzsFZjZqRXo/JHJXJnztprwwkDkrrxtLJlKKgWQCAKGd6Hbda7JLtwz+9GHy
O4AjwV31MN6JXXI/PVwPNAtxYI6snsZYTiQe6zMxzikzvn0L1Pa44+mgtgmtrcP1xyxN2+Xx76M0
JCWbGgXNM+4p5DSmVflqFc6njMDxwZ19AwBxJ4MFzmckchC0DUphWUJOvcrNvrfNWsXx8msf3PX+
j1k2WpPoAHk92/6hSu51+qCtl89Nz+zUOEBPNVBbQ9+bF2/CyZ69dI3QsvTWsygJhVYBvJdvR8ZL
Miit8SOjcJh2O7HSs1/YtXOQcQ9P0tY1IHla8GuBQkifwTIn/g6wXOisauss7J850LggfhxbNkS9
kql4zGEA3Ge4QH9q8ucYY2eY/C4f0aWgtQlr+YeMn7wIzoVzCwpRZd2Dm9pmcrwBFANilRqS1zyh
9kqLcyHeznHDUCPgTVvBtrVu4YIJUWOahigssW1RarFrANcrNzr/kdT5ftKOeLs+ZUtrflmmd8e5
K5M6LYiwo5567oaa4iXnhIatqu6KXr5UJVxbP/ek2UUo9XiX9zZkfOrgdfT+Qv5lq7HPXP0jaz7F
XoGg2+xbOV1cYicfiG+Rd/1+Gi+ABpiY7iFZucZKdf91Vz6IHnMYcclQaBldiWqilRR7XraoydqV
/uPDdsu6mQAnv6N1DTECiTpxcfAyUhwb25QZrAa8MQt9qScZOmjn4tvQ6AjI13ET2C7Db/n1rhoT
840IKuBZO/hb0YmJbRwNchP0B934hFafF0HKsthUnLTbfoqdPwzWdycw2V0Uh+wsuHPcuMLdSSZb
0nbJnrYevclSiIEZEaT71nQwZJOj/8abPHixbQNqrTdk7jPShXw/cq68DSu0ubUGmdxQv3XSMPBK
uPLmVXwA8iyJEtiF/0TVCcIFAkGoYYXcpMFI9kEWiD1FYv4s2l7CpqKbDl5h6V0S4MdDmhr/qGzb
f+WBn6B83pFHKPsMty0kQKLaLsxWcCE3fQ5HA9LyOhS6jY9W4pfHoLCHkKQw1eS1O/3F3cQ7uEBL
hDWHt9xkte5LX0hztohHDrhI9Ns8p/12NCUJB+lj4Gwob6y2SnYjhIWfOwgkhJB5DJ6oBTBm2DWT
D2UTl+5HTSAGXdS472RAVVeeHraVzQqQyni5L1xvOoxC1296Ys4hH4f8tfbAnag10kJWAOa8mdoM
fPIqcH62rjdsUZVXz9oF99ekVXeuWvfcuD3d9bwvIMY9JDv4NHsH8GnrrdKgRImM1ndQ3bYfIezi
/3SSFqX3VvvIUqrh5JVSIAlNurOfm/GWj3ayN8qfLrreFFU59quGBSW6IY63zxwSQuEDMGBR+BuW
2VPIePpgSYueRqC09z6Xv5O2dk+omZJnmzUvhSjaI9yj6C8AEppywyvdf6PU9Juhu+iIIa2UEO1N
XPiOxIX8W5tKbUozGtiJQWsygLzyFoBL/yEHrvlZtsF4V7eS7wI1Tt9K165eta6au2Twkps+M38N
G2sAq8f83m/8GBMwpreN37x6WmVRN9EeC1LJ8wgxxLvU9vQeiCwVOmP1xYepxh3XmGG7UPIU4xdP
sWLdoRLSlRvVN8VWBd74FufDEBknIwdk0c6WTgkkZuAWvfcMd8NKNfDe8Kr6oOjk/KTSyJs6q8CE
bA38TRpHnLgZe1wR0/rg4La/y2wSg/wFwKrG+fE2lTWpm9oV5SZwHAxSwoAKO1ptuUYJN67REBhk
k+7zzu8eODq34cQSvrWUPYCQLNMjZFmDTYmQEvIMyMUACqcjH9WmGMYSrh5eKsEw5MFXT3niUWg9
PnYQBduqoku27ujpI0TjSAd9T9gSoe4CZTmBhGCPx/nnxrKyTT0SMAmSQEyPNXznHoo6jzcyqFQ0
1q05SKdh6MDmf2KnZFHg5vE2cdDejx0vO3pwNg3ClDdQWqx9VZ1cPfV3vIR7ziYebf5VkswNU+qj
Lm3LGLyGqucBXCaL8rsN1kUGFb1CPYyTdMpt01FIOpSgN9wHYxXcCcaT755tfRmlrH3Ejhq5RooQ
sivHgu+lNs3NpIH0KxkeYsF05RY1mG7vZWgZeSVKEKWGj2EICPT0MKXYhanwpi3RSXAeuO52nKf1
livYqzjwDrmz2769G1HC2RfIlm5TuMedYVaqv2BX519ihziv2DvDEwq+A+IplDHdkA+m5iGBfxXc
XLg5FDW1ntB6VF+BjCYgdKQ9XJs6dUNH4VjbeECZ8mLY7IP5baDrpwLHR8FaeQikJhVHe7D4xVYc
Z1PSlL7UIps2VprwnSWm8Xsz1HQLxnoNGUUeQ7mhyHi6y9wWX7UxRpe4lRk9CsXL0EvFsGnbejhy
x3Hup1q3WzjgyrsMKI2j6d0JLE6OsltAmTyOBhBJ4uTkfiiF8yBTq9rW09TtcYKxTSucBeWX0EEh
Q3uAixb6iCJuIJPUQ5jpBNsH9SrgarR1SDHdCpW1WzvL7X3Oy+COkoE/jXLsgeHW3Z53yNxAN7Dv
izQBjrimya/GOO2+6nR6lyDibBSbnG3uQfK7AP0rTDiB27hDpjzMSGz22QV8VHCOOxCuX0JvYohO
PHCgRJ7KohbPpAXqqSpzqNrmVXGrIeb/UhZjHMopUS9FXnhFOGD3nCCeTfbFQMleOfVDAPPvbcbI
dHIMI99RC/eOce7X28oofgd4L7zk0PMMIQRhboPUcBl62QC7HEjqH1BV0Y8leubRKKbqzeW93Amn
8A9AiQaH3sBgUjhpE6a2YafKZM1L5RT4dKkqfuqFMT9TwAoPAE35j05bw8R91DnOCYG4NoFPX2dp
75QGNEO9uWpuOpQ5zwzB+5tjW8OLaNXvUVAbZo1e87vp4c+8GVEev+2acbxj3Gp+9ExlkHhMOqgw
Jv0e1Gdz05upSDHFowPD5UHjY14Qt0AAxy7aFVLXNOx6prcMau9f0WfMnyEbl/4w0KvYwnqB3dOk
zb+1jdeCdAT1aEomipkkzaurKEgKlgdsuG8rfFjivL5p6eD86KYJfsLGwH6GVal1EuZyGWshpffc
EhfoWenm0EpX9DAmgHSphE53sarUH9LlPCzcwAd/Cl3mYuwbQKXS7GvS5NlN6ubdE+L2dIPQ62xJ
PLlPUpjyRiPEHYUF9XDHADuxrXRLI7/HpavMIahoN22yzUsCzlxf5F/70nL3pKzEqZJ2f+ygXne2
bZVuR2diNppYzrTNrPTiBtSUaFgGQ6LBKUokwnkVnFwj4oufU/cLFkoxRpmXD+Ads5WKz0KiN2eI
NKxlpuENOn8ZKCFD7lRbqiGu7UDgcaVetVAsmBM7asiUeW7t8wjnMALJtdvE+C7VVbULLNfaXL/x
L1Rb5wQPNzAe07A+ikhXQ/mxpTdKWjdJ3u1dmZ4s1rooTDgrud/SiC6T+S6RQe08QBC9yKq20NEp
ypOfFFDEK/QptuQKoHkhd51zPJK64n7WKRK1llEgAYJxpdb4sUu/PUuPIKdS+pnJSaQr/QYBQIQQ
Fayxe5d+fJYXBRWhMug0FAtgsLI1yjURiIfycyUhNitMMFsKVuWwIGG19b0w9FdP13Qdlo7CrFHl
DcD9KuGBD2GB/FQzeVKquCN588kVnZVroIdd+d5QYtZd6NOZcRxCLYZv1/f/0svP5kX3piqExPUP
V+Fyz3JYuRlq3Le+9vsV7v5C+j6no8ga9FVUa3DELM9BKQiA4IFBpG76VgXl06SmP9eHsnC65rwU
X9rUlBRyDUimNrqG7Q/ksno4nJbDGk5y6RGXIb47wI4i8CsSvR35g96M9q9GjlHNdwq8jutjWDgE
c0qKl8BjizfOFBGFK1LT3TSFv1I5W1jpOR9FDn02VXCjPSfizcLXqKkfm2mtwbO0xpfxvJsYncX1
JCGFFflulu/iCZ8pOHYX21gVh7ypm1C1qNhcn6OlZ82ikJGiSN0WRahkiMuzdoNDx+TWq2FK2MFQ
CETDYM24eeHrQGcxicM5N4i5AcxtZHzryczdCOqpEJmzGw5TUu7oMAClGftrIgpLO2x22HF7KhlQ
LTk+9Wh5e6PTh9B/fYOLchz6tFipwy/U8ejs1BcxyUD8TiAFmjx1UPAfGrKV01eZyBA6Eru6+2b3
KyXDhdWaE1ScDrc5ZQsgZ9VfZ/zStg+u3A1Yq8z6en0/LGzsOTHFhcK0PzQWTM6IPpVM/+Rxt606
71PCXEhDZofe+HGSE+Pa0eSKMSSavnUDBKOvv/zS9Fz2wbuD45YVJKAoCnU57pgh9auD74Dlb2e7
lo2vFk9WgvDSJF3+/u45pQWNQmQDdqS76U9FreesHS+ClWvjWAhcc4YKHUctvQHQFK92qpNEzfau
7VGIuD5LC6diTk2pi9IGxxMtS0OrUA1ya+dfnSHbVRbbXn/C0vzMTroqueXyEjoqhgcHLoPfcS5h
XTp5K/flpfmZnWvu6Nx1A9AZkXZCuUEf0k6drr/60haaHebGLqjdTTbuBwm0FvTfLPkrSLKdUvR1
Vm4JC3FwznxAMoUyAp2gUiIgj5Bxu30InLg4l7259xO1d5xk2llx4q+sxsJ6z02rmlEHTodENSpd
iLsPfztXb0n2o0UZ4/qcLSz3nPCgvNIaWIXGqulQN0CJQqk/bvXj+o8vvf3sTDvUYpCSoAFyCn10
C/mKcovYWL2+R0WF7a4/ZGFDzWkPcLiCiEPP7OiicmCN06uAPsjKF3Zpdi7PfBcsUIVqg8ZNggjK
nF8SizwNFowx/BUkxcJ+nbtOcTdowCO8sCFzthFlDcU+2gbIVcmpqpkO7RxsseuTtLQSs1MdQDnT
dA2sWLg+cmXtmPyZQR0c5b+Vjbo0U7NjnRQJ0RmYb2eNxgX3v9PxLverlSVeevvZwS4LlqE0BQQL
KAJfqhJkYRvFaAkUdMhTtRa5Px5C8H/kB6JHGiejOefqYsJIs8fKuBQlxHFlGB/v1GDOfpBgszSS
Kzsa4uoEZeTfVh6sgBg+nqFgbiOF0lxXgs2HuOSyG4jifDVZdSOJ/Yy22t/rW+jj3Rrwy6PfnYUq
6ydSjbSGDeC0aTx0NpVyn2XhPzcJRFXGMl9DCy7N02WB3j0JdeYcMEjZnjuj0Dmo3a+Ulis55AJy
O5hzGOqcCmglVfjxnJmNGOHbTSrW7kzKj37VwwqeHACy/JJO5ju1y3s4jn8bePHQTuzRy8rHNref
uU2er0/qP9ri//cnAz67w5OaQHAGfauo6APwxP3YRY0+Hw4uvBzvglIn90aoi39gpc4WY3Ceow49
kcTpfsAcgj85/Qhe1OTIZwbVl7C0RPMKkhK69F3Z4d9QL3lmGsiWtjPARZNB3TPa0xvHVr8dRgYA
1ivahdzl8h5yVd7NUEJ/plYJamZJKR5hgzeGVaewyvVEDyLP4z1mcAitrotvY2QzZ9RB7FvhuMMp
R5YDjR5l7+2pgy8r4aMGyhENH2i+ywhlP/FNKL/ZlnSyj+lo5zsE7mmb5PgaKGEHcBSUMSijQJFN
Mf4DKNpgwxtExomr5K4YefoWD7Z/7L2x2g8JybYlQ1jOh7a/67i/prK/tANn4VKpkSvn4rHiUXnv
OOrEWLxySVmKMvNAKXgMYhDgLLw5WOwm9x/ZuJLM/MtaPtpMszg56MK2BHP1uYvYQd2A4aub0L3x
j3KT7MojvS9O8T3LwvoOqdqtvO9Wos/CmOakEY5MDUgHWp4VFNrVTg6yl2FXQ6CUFsGwxrtfWJQ5
aSSV4AbCWK48k8n8hMPNV6HSNXGzj+91wZwtgsYUTFmhyB7V8Mm8SXNmhfHAzK6t+LBD8ZpswGEP
tokw7cv1k/+xORfE+C9x9l2UiwMpYuqSJqL1sLfs7lA2wdGNgbGRDOaq5Yseui13qo0DQVR4Dm17
KFdef/bHodybF1cqyycdUA8taNmPGR3uVCpvtcq36FTcTe2w/dxTZmG810nXoZJfR5mF1moumw6Y
ChrpuPxeFOjKopD/ySdddsy7qURjA0JWSd1HEKD7Dt/QFycX6aFNRsA6GvOX9WO6vz6mj3e6N1f/
8NG21yMMXqM6L/gGYBwbskeAuvUIqZ97wiz02LhGSQJ2aQSg7XDf+OXwkHjo6SW0X6tRXabl/8OE
N5f6MHRs09ZwHXG//ulKgAo6NIGvv/7HFxFvXlBJ2tECGgSvb4r6wK0XOpGdpf/mZA2Cv7AC8/y6
RUvMH6hoI1SdcBGEwlyxq+wcrd6qpiuFlIXzMc+ybWL5PqOJjOQAGkumLjxtgGZOlAsY0yiXhX4n
+pUrwNKAZgveK6CNENhElDUwbM80GrFty7yTLmTxqSTPm2sOFGmfqMkugICzb+A/vvPpMUan7vqK
L73/7KNTCYCMg77SEaNKHiR6rieHNQJiiW35eP0RH0dnb551DzwHCEv4RaRtePGCMmzrH3kR+E99
6VQilDbazWPjuygR2oqvPHThlMwJ4vWAZIDrWESwULs1ynq+NLWvj2fpp2dTxjOvavO+lpFbiuC+
I+7fDrbNK5v34x9352kMClxp7AR5H9k5lNPiJv4OhkGy8uYfnwx3nsI0va/cJA+guTkS8UMkBtIi
emDFre1A76SfKuZtrIb7KzXThb01L38w4RWxj/iKW/nwU5jgxfPMd6XrT91bvHnxA40Ayq1pkMia
APXusrE8Eb+2gZ3J1xjvH6+GN1d9sNwGXrRB5Z5KYre7JPaGQzM0a7ZoC9F2XvsYK92lnZP7J3HB
I4l7Xo2hvAiGTk/Xd+rSAy7DevdlBbDbH2tIOEYs5cP3rslEEnYTH/dKjikAgnGQHa4/aWminP8+
ybDOht2gjeNW2O2hAfX4BiJUYvu5X58F2QFtC8ogvhnVXdPtnHhAmkXraqWQ83F8cufZt55KFnSd
urCxocdcEosd8jgrQh1IYJmgmbtx3OAXzHa/fGY07jwVr2GenVCf6miayqcqK14auSaZt3TALyfx
3YLbRmqrIr6OPBgubbwY6C7Zu7eslceuzNhG5vVKG+7jreXOE3E5smTQgaqjAtl23pcHnrGdKaxj
1Tdv1+fp4/Dh/l9yTZu2s6seyBBjPcemeQ18870xllqJhku/P9tVfaoyAhhxDQQeg6psuZN5AHbm
dLz++h8fCXeuJGCZHlxqjtc3znBXqaoPBZjsKydiafpn36C8KWTu87qO2iyG35gsrNBG+t87+t5i
a4iAhRHME8MOKLu8ZVjjEUaTN62VDgfRyM9dld15QljWfdVMjOkohRnNNhnSX9Vo+xsjPndvAozp
v4fBG2Ik1OBhR9B37eFDWPxCWSpDO3ptfhY20FxGwJg6L4c8xgYd3rT31pp7Ea/kER9L19runKle
WIMQllv1EDKWDUBV+ehtNRYbUZtY4zff8ervlaO7L2oc/F0cdPk5n5g5+oM97u08cXY68RTQiqA2
sASqKUyQn52H0g+4Lc7D9S2+oJ+CDPu/UzwyXFeg7xOfZCEADhdd2zzWPHf9TaLR4nJUnh6LWDYw
rOq5ewvLmXIH4Ll39mB90hUBB6V7SL5YsVhzSV0I5nMSflxOZQJtN3DLq/g86u5Gp8FDZddPNIYK
vnYfQUicwuvDX4i2c0J+HvToPDooO1zUtSnfW0BqU0V2BFBV9GKuP2ThpAezKe5ZOgU1M/EJ6/y7
aVGmnabprozL3+BQr6zj0kaeVbVGe8zlpExwCuTZU/zwP87ObLdSndvCT4SEsbHNLbD69Em1NyjV
0ZjWdIanP2P95ybFLoKUqy1ll2Dhdnp6jm+0jhUkY7mxVq09fbFWIVNr23Dhsq5KuXGPDGh176Cy
4ns0V1sXbSuvWIrsG3ApS2K4dXIxttuGQ8DN40Njt97HemGpsweh345n4UQnDflJaHXF7Vhi4TV5
fhxR+LnxlpUFdym09+BVbpK6hPDE+yL6P47eiHDWmuc6tt6EBVaZkUyCG37qyI2BCfo4PCeIod4f
oCs5eVdc3/rm6bx0LXvq5+hkR3DhtUZKb+BMTHy478ZYbhLShNTJ61/Aa/Ed8P5eQCalLlbTzIdx
xiUZFEOApkeCII2PsuxJ2vOHjgjuUoSeRlZGCcGHV60OAFIM2/nBLT/k1EhcsQh6O0nSKr0+vYWC
K4n9Mjs59s+NVr3Ovf+meWC//HerNvCPj4Aox08fssJv03kIBK39DAt90dZ7EP1bv5U425qr5GZq
7B1cRzeqLFYWtqVPMINVgCdaEp2cur+P4sQ3Lmy502I/ZbD4GjdG+8pblhrxtlZ2ypomORea+hZs
fB9Qni/2scvuQSSvfW+yN66NVsb/0nY3A4YpK70qBnCEpceoKZq9mOrfGYXK+v3uWpm5S3QmTxJX
oyA9OTPvSz1mF1vkG2Hk2m9fzF1NYm+GC3V0opXzyjud72NE2Dxqt6xZ115w/fub6VuBLmRVxo5O
I1LmQWql7n1NdP8URXnywda5ttqbV4hBprNXYYWo9bEHtcYut27G19p9MQX7semM1ykUvSvk27Vn
0rAuIMB6v1e9f8/BJQ8gosBH9CN+92SD81h30Vebuq/9mPyYK+chniTxJwuKlUYe3n/hymbPF5Pe
9KysIsuSJ5GZ9jQQ8pVn+XPr6d6fky0E2VqHL/bjuXQ7NxY0gnZnDFn5pFgHu4lxYztYCcCWWv8M
bAa3rHHh1unsLqH6p8q7e/izvPQ2fGdS+jnnH8vOoO7o72HFrQwVqxM+xKH81rhRyKNiY+NYGVdL
hf8085TWIH6e7Cp/LAENhrHGxqBae/RiQqde2hZVCn9PmiA+p2BAzr3XbbT+yohdivotz6qrhOj0
7CiveEbSOHMDJCy52FU16GQeznCDb5tRfzWz8E6tV04fjMGWSv90NMax9ARjDWArXJ7Cs+QyTezl
QzNjiQfKi0k0VocP62YYnKi9a+eB4HC7kVsXlCvTYgkHSqN2mNA36ZmpTvmFOTYTRHwGkMv3v2Dt
+Yu5ndVN4eHK2zrp1D2pWYcm9h691Nu4FVxZOtzFrMYK61T6Oqvhz+PXCfG1/V3mj9bWjefK85fE
AgGnBBw1Ma+VyipfJ3bkZ1jOc1m/pIkkH5scS2SBhjvLNIIteIJq72hn7r6v2ef323/tA65hyJtN
KE5F48WoFj6Tugnn7ihbXKQT7YPnu//YG65vfvMG7rWySTXCDOh0XXVvEffBiu56l2wc01YCpiW2
gFbEYjNBWAbt64WU8e8o9TCbm/5IyuYLxDhbpekra/jS+SyvyOBSFWFhhSlTjvhyFrce1eGUY2aP
T2WWbixXK3Ni6XwWTyhsE0bKEzP3qH8OSnCIQML52IxbIgpQ+efxCYi3kyDD50zAQWpU5MVtt/p7
ZSVf0glGUTVeNOnoVCoKxbwTVlb7/P5QWmuYxWxuBneAmzVmM8mYD3iO33qTL2BI+qHHL82XkryI
KqeR1mly2avbIzXSFHkMPTFWvvffsDLblsI61DRxbtnYQLElQ94Nweln0+XBnG2BZVYafymrQxaB
OaBSRCdZNy8FQIJmEBuL0NpvX8xjRYoE2yIi4mnQIc1ePMUCozKf5k/vN85K79Lr398sFCjwEgAw
5TFCgGTYayxKJzZqsatHK9o4Nqx9w7XZ3rxiIJD4q+uRR8pn0mPj54eSP9Pog1EMpX8/X5F0ThUT
8jQ63Y1nm8COxo1sxcoyt3R6NhC986nEMscLzr7C8a4Npin5U8c9RbEfaZ+Lpkw2mmltFC035Qyc
i2EacIc4VuOusAq1Y8bd8nVY64TFLDYZr3LW9fm5tFGN59O2sPd2nSd+jSLJ27zzio0mW3nRUpuW
co9JlOnEZ0/eku5Rpg9t9OraX98frv/b4/+Ri1hK0uZMS+5KHZ+/fr0/Wbv72/SJHdjhMvrAGvig
OwROUPmXKPgFvoNv+SxoD7h+CmiIAMof/DZsQ3J2z/Pn6iQOzQ3w7LVfB89AJ/q9/+v9X/nvSYVq
x79HZCWHIUY763NfSXgHthAatfCHrIYtO7l/N7JYai+nvGt15+LCYiznHfM+E43qLkDFvM8f+oD/
LMpz1QNETIFETVH8W/lF9pOJrfLofw90sVyPQaAhTT+W+kzSorzrLEvvsyRW4fs//d8Bg1guxq6W
s8rHcTibSKHW6WtKLECTid+JPYv28cw2ElNrX3Htmjermod7WmgVC5SKeT2AFGxoL1lWWfv3v2Lt
6YtlOeFaU0jim3MPg677Pi7AKAaYa6ONVobPUtFsD3UeO6C5w7XOOhCclHBH0txWDZyu4HK9VX29
MguW63I7TUOSz1N9xhXQsXJh+TaLKPeJNj/fb6R/nzDFcnXmUI5yaroMgo243k1pg5qCkop8V8Iy
9EdWJzyQTQ1eESBAtE6GrePZ2hBbTG9aciS/irg8V1UrfUigf3pdLYJmrhKcNpMEuIBSnBNLbh2l
10bDYvEeI9jjtlnnnjybRH5cgahej061URuz8vTlis2KeM7zAfnUgaJ4xUuaCnLrRH5oWxPLBXsY
bAAqJlWcK5HGuwaeuPe4wt9KjqwgvMWy+JXJbhDxgMIVqs0vMjNYPJbuQ06LJ5I2gz9mIAF04y24
eb8yi30sXyyWda8j17mFBF95jtxLDkw4b9VeU9wlmSOtPhYZi6W8GJTprsg7NzvDESS5N1kKrp2X
WtVdItt0o3dW5qhzHRNvVrG4bshoc7hxJuknE+2brkIKsdgIvNcevgjMKtiMTBG1rpaS8QzGUtaF
ccrKW83V1vFwbew6f/9+VVb94LZefSGNvG1jfvIE3bj3dv5X6PbfWEMsy1spwAMzaCkeNHNao44b
9Uv3NNJq9oci7x9EFQNmk808mB1eHWKWj9RnPQg3k4q7ELL2ZASPULeHIu2cb9JuaH874XITzq22
1s3RsXnxNI6WtIPJyYpfSUsqDXxY1dxRR/EbmPe6cCYutL4QnldwD3O7MbClTIERS0QwN14STACC
BSbyvGdedsb4TeKw+7bgsJqas/bBRuHEZQCo6TZ3G3GmADIFGaEHcMzcx0JFaVD0jvlCbdfbI92B
/Til5AUJ095Hdby9j2BYLQM2jslLlqTstjWa3bWRY4WUFPx5vOpdYWX26qVx9MNtK9wP2aQBbMi2
DzO3yC9mcuuLGWr6yms326eWYqhSd61kZ/NBPhFHu9Vd6SrYm6S16R9UXZM726qqfdmDcIayAUvK
AL7OE/iEkcxv3NgWMogrt+93DtBfn9LYIgCZWOBNzSAzwmmpy0KszO0BMg979BXPFb3oNqrPMZno
rgLw5M5NMv2EvCM7u7XW99HkDLcRBdYngpd2MNaTezsY6T0mdsdPsCIoLp2i2S3wOu5LY9uoc1C4
OIwNSHBAiZHvg0eKIqDX0oNaxUWQuU1+SvOq3UdZVP4shtHe9d6UH4V00xOZ6uwwGLs5iNlJjrQn
3g/JLNBmEhcUONLQcWcmVu+sgQMa6KbJFzfqqq8FPmUObD14BrLy3ru03ej6yEaK0neMK/FPUWIs
5/RB8sTBVdZMaZDxJoeZeF3y9NDJyTuWVYnBZ8B/YnlrHWxKxyNF3/kVj6KD086IKd0hP8GKmOwU
KFs3GkCtS83j5G4oveyI4kzPr1jNQruiGs66STN+luAPgZfmmMdYz3I/RpxXvnEo8L2p2/BQ5qUT
QjCVXFQBYFg1CBhuw0h8B5MxDuc1W+4z6sYwP25GBAnDvBthhO3sphoWDNzFBmsB3XdvNTGweZaO
bz07gal4CdeMDIC2GwOd+bmmEThJaTXqQCNr4Sc4/A9Aboluz/lg9q5Q07e2gFqxbmh7qVuhTw0A
WL89peo7rasxCRzZRQl22bGFs5BB5VdggCiSflmpsg2bOc5rUKIYeIdw6vanmM9fZuo4u6iy2fPQ
xuwuq4na9XwqLiop5vHsTW5pYZMoul2ZJjYuaR1Q6voM2dEWmiynTqpnPuXpoShKO0BQqfYjqt+f
CZH5wYugu8+T+CnGJPTdWYqQK0Uus+NavoniPxw59YDagyVCFxj5MJf9dIdMirgMaiaBQOmJX3RZ
GZpr8VEHT6SHlsOb9URoL3+D7w4sK4RKXAZDKekBhmud73lTHBqIVqEgiRwCS+rZgMiMvvlJplSH
UmWW3wtUqqUKVEMxJICJYWrBw0cjPXfitGZg5dTVD9h6FYEZTHpqKNO72OZN6Ooq+R2JbvyW2XBc
TOasOhasHn8b6JluucydH0Vr9afKrsqA54wfk76Y72GBLoOJNnWoATe7TbMkO8SebPdzBDYqsJou
bYIEooTbBEZK/ui2KE93pZffqzwSe9LUNk6+xoWfPFRwzQ/naq58svCfwpee4TZYbUMG14LRUbed
N7UV7OhGZN4FER27UJEiv/l+6LqyNS6reYd+IhDPwCSVjx3olqU0IW6dC58V0Jt87BXXV7/Z2uFZ
wrKkq5qLquJ9XneXWkyXoXY/dkJZ+rcJGgtviGR9gYUG9YfSPbBh2KqyXTmgLAXNyPi6WMSj+iLt
lxTjaopgdIkLVWVt1TKtBA5Lm0s65a0WedwA51p97zzvFiLqjXrUlb79j3LFK2w7y6boDIWEuzOD
7EBe4+iGst2937UrzbMkgEytieB+UUbnRJsDa6IfQ0MBV1P9T2Sut6yJVlpoCQHhjUezNOph1D7W
D1f5JFCfGy3077QaZs/fQxPoKISxrGguegimW+0EaRYidBYfQ/6LpS9tV8AMaq5d72zq4qfj/GGK
fygZLpaOtGywS7sFNe9SgmtX9VmQ2KVPrK2D3lrHLsNxu3AkdhaMypw+qnY+uqh0idrpldbxRli7
1q2LoFwno9Xj7gzVUd1XN30R5Y/3x+TacxeReAVgImqAkuZSN/MjGKafSRc/vf/otVZZnLcHuHXA
izbSF035zpE3eVKcvPyuHj/m1iH+d7h8s1TCT4U7s0KbIEwGGrkQB+NuXJStNMtScaT7OnHhf91c
POdP2TzjkuBDbbIUtFTYo9rYgj/wKJ6RENjbBDFvFx1A8/Xff8PaL19MUmzwlqVGAg0wDu3+UBXg
RWZb6gAur7mLfxyu7EVOQ/fNGPcNikm7aLD2TpzHn01eyWNPx2w/Eojx2toxO9dNKhLMbpY8ZhXE
wNoRKg5cECnHfeOV5iKbqHuwsrzdc1aR+4HH4psNTugr5UV7qxKSvqDCs4CDN7uSgcEYLjSUqqnp
q51bT/MBZdkzOOia3qaihZ8Z1cBw+3NZ1ok/9QP5PVVWfbVm/lOk4/SjLiQsMxXuTELbAD8TjjZj
CYJs2b7YHOQEP2vc5hpnyV7gvJuXpzktx1PXoPIwgHrO3CWJk0lwfnWNbuM2EtfUAHs7CwgdDU32
ErXoT4PTNX7bdUOPZwPuVDI6WD5cEqbQMszsYshC2hyWP1aFE2bPLXPHs1n8mGlubiZI//eCN1NA
hmtZI4kNjUOLJ9lO8VHdelk9fwPSVwap7Gru10NRHJMByFHYWrr0e96TWQEHb5l9njY4gnhpZoNE
nLd3YDdFd8mUeodsItkTiMp9SCTqnnxPZAA4Y67Gfgt00a1wc/191LIKZJeLY4a6tDB2G/Jjlsnw
04Vyf09QnIm8mclfJkScIZkBR677iZ5xrKY/CbWyi+eN9FMElX7Y6JirHQJZts+TJsc5thvjaUfE
nO4NUDlBLuopSKbqd4oz8Os0Dji5ezZ7Krhdg7TsscC2nPRbxr00cLQlPifQQzwz0wJom+OLQhfu
J5dZDPWJ469+CazsJSt696BELJ5BV+8R6KT1EbWxcemPxJJeWDQsee1toFyx/8qvjdMmYCbXPM19
ayiHO8BRy0MOnypf6xFMlrSo7yLUqaP6rBKneopwpjARkFtA7mp6wc/MyIXHLs6Lg7KKKqgrMZY7
cC0ne6elKi/YOPWZu655NCbud9BjznuV6aYB7LeDjVEFM4pvDmEgLyhA3VC+S1Fp42DyfvZMye8h
1sB2S9z8ewYD5D+dHWU/J2Qs75EGRH0n9EA1GNyleSGFXVOwF6I537tU8vsROhIceHpdQ7catXfI
jrTn3r2OgBku8A5QBw99xe1QtoYD5l5ne9DHyc7Vqda+0CDROtVowdVwqo/2EDWALmT5mRasVDh8
GpiAIvQ7a2k5e4bSoX2ptR24OKWFCEVc5CYafRSi624GzOsdJ6BCcBjkHNxoznaF16R7W/PrIUPp
XTl1OJCr3rmBgw0O0cIeD9ro/KgbxULgmTugnVX31clZgkvhqiQh0I0wEbNbMzxmU5wFqZi7x+ux
4gEr1XxWE5mgfMhojJqcucbI9cC/l3kHDqyKsicuRihH0QDTQZIUNWZJLJtTDvA1eHZze1uSNj/h
RChfEpz99wXm7K+YYcnBSab325FbeC6upsOhretPiRTu9xzWWOFQZcNtYaNyyhEFPICtLm7HwDQR
urwwIBMXckJlrKIUlZgOSpOOFuFTaPrJ2nV8mI5KoKq5Yaw4qyafA+Z11mPTy1wAYK7lQXVifgXH
GQXkwMPvI5qzrxrshR+xhQUDLMv6oDx7flZJFH22Z5GhHDDRfpl4bo1kA8tv4EIkHp3Rm+5SNsMx
GoyXUNkeP5pBwTrKRvc2GY/vCzsZjtCskl3hTKiqEaW3oybmPySMhfx5mLtXoAhnP0qpHftz03D4
+HYpeCp1toNFUPXJmqFt1j3VWVBWMkbBrp3va0btW+WUGOX2iNMrs6ZiV5sy2mcZTT4VcAyEewbA
V1QYmvuT3YwIDUEdzJXE0RIZ28ZO3GAAIOXIaiTwis57kQQVJ5UVXxd0Oz3aDBUElWDeg6z42Poz
R+YKnq95s9dg3l4Iy8yDHmjm43A93XlQnN7CVMMUITOC7UdGNTItPDlqaqNbxpjd2NWYv0SRnb/0
eY7Vzy7dkHtO+onZXQ5wS6wuQlolrlHt+LGA1dS+KDVoH0CeF1+sFnCTwMXkO1slQ16C5foQjYX5
eTW2R96OtfCP0OCFN1a0nytMAacoVYB6C34s2yQF/ssaDujdBuDA1PYpoU6QD4hl8xRACbhWj/Op
b1sLM7do1MEeCxgcOKOAxg7rSZpd0/kAdsCggpHmpoq94ctYc4MIKpKwb7M4yKo8DqpJ1l9qEGJ2
pG+zQMa4/0fFePy1iCZ1Q0QPwEJUDU/1Fe0cm5keR8O7ELhOnMdFlwZx6bRnGyl3cGscg1/jyGnH
mWL7qPDmQKkYBprIqJJ9U+gugLNMfh4TQ4MGoMHD6DkKkn6sLZY3/yAtj78z2pgdiH3uDv8zgkmh
553bxtMYV5B/uaL3bhRiqXvb4PYK+UxL/0rycjwCQeF+xv7jXKBmpLNPBqwie9xwvBDLwOoismsn
LE0GnKxQSf6gutHsqwpwbGTZy1BEA+w9GqvpXjE/2NdWIj87j0SHDhvqp2ZsnVOUFvMeViwuprCe
Qi+i0xOuT45JmeQHREsDRk7DbjB32UMxefxnhzxfCNB5thOqqo9IOA73Xk6bYxZFNChR2HkwUytP
4DBP8NFyrbuktpwgUp11h8CUHAcg0UPemvYeGsroIc0y67lRTvOpS0n+qTddee68+iEBRMJXMLQP
sTWkB5uV7XVb729g1zTvDYbkkbXMRlY4GkICAUWgWdre5ChI/qYzbAAA25viJield9sNvMfBCURo
M1ndr6FFGg17e/qgiOPezxYKyx3kzj83VVW8KiT9/NpDQm1qCHwBYBvyyG2XPIpMVQ8AJGa/J9lV
eyFzeQGt/AmM82xXxyw9VFJXN/HkkGdAiqxfEST+z4Mp3IOtRmr2GivNHWwXxH2XE+N7jPSv/SSd
P6KXzhkfbHa2jupTkkXsCckC7+DN0/QJTk/WgRuH/RrccvpWuC3ZyU5He1xFlX4L27/baO74zzLq
1K0Lw5tPMZKxMHhIyuE5G+L0tR7K7g+2eRijeLh7e83Stn4cUg6hCnrXeeLqar4E9s1A/VbFSB16
swHNIVd1TncsLRS0LENUInFU1ckRG3aLvBdh5V2Cs/pdp5V3VxZWfzMp5uwq6J0+NYZY92NuA+c0
wxMFqcCRF2FBRX+uZtmHzM4T4fOWyzHsjWU+weG8wlivaph7FG2YwLfkAZcWAEHVCMEOqWUj6Zk7
n4ldIPNg4NMgaQXOY1IVwdTm5LEcTH5b8o4e2pxi58oqehMVRQObYBnfwckGNySoYziITroPyonU
p9jkwFIZroddzEZ352lrCLE5U+DtqcAOIjzpGySKj9pU3sPYwY1VgQyIdL2pph3az/sVJZl4Rt7a
XK9jup0LZslNBnUfwJOIji/94NlfZdr1/piPJPA8xznJlpPTkHeJg86bpp1TxvG9Su0CJjRaGtyt
wGEebvZliCpK9uSOYJbuHKTT79Ne8DtPw2XAhXZwl3ZQhFcRi++rxE3vLG6l+xnOH7+slFYoVnQM
97E4sHtbWyFMCMGbSEX2IBBw3g04lv9u7SkHdj6pHZ+ZuANwHrli7jZgYEc1vIljhHqPuYmAvWos
9dhansPCBFEV1viu3tFhOlCoMQ9OVMoDZVPziHQFe3EybQW5cuddxur+MMGvxAdb1Bn8xLUQtpOk
/t3Xhj2keWLDxrfnT7BMyfNgimnqhqzytigD/86M8SVRwik1EvyRU19Q9Re001fcDfoYTO+fV9ce
fr2tf3OIpyOx28Sm9YVHNSppz6X+BYPi95/97wwEX+ryW6SwJsvg2R3GIZb+AL4eMg77bksg/O/D
Nl8K8avKsTs2eM1lcq2zTJJ7Yfrw/d++9uhre71pl0bXNou0hTywd4dtHyeQjVzY2oOvf3/zYDi1
Ms9YKoIu2IJfj/upLtKNZNK/E4R8qbdPmwZXC4ZJSPrZ2XT8i4ryG9wV5FBi0ZcmyjY+YW3MLJJW
kmUDfFkSfUGSJkQlQQBuVbZlpbk2aBZpK+RnPZwN4bYATxZ/dFDlZH2rKhnM9pZJ9trPX+RQJrhC
TW3igNtd4vxIabLrlL4f7WFLKLDGFvuP7t6CiZcecE8BWDYg0wetAnj/fuLfRNDhsBbyaSMtudJY
Swl+BH2sMG3ZXPIW0rjaVzggQcwZNPnHOAV8qcFPrXwEri3WF+limYaMCYcWnzizr+T+/Zm2MmqX
IvyulWMpG2TMIjH2QUXjc5nqY1bZfWiPwvgiRTLn/Vet9PxSk18Uiop6RN1DNqDyabjPS7jpbBle
rD18MbGLvrOzyUZ6vomeS4ZbYreFDUr9sXV6KVW3W2lNxLo6X7tdaKVfOINjDMjs7zfMyqK01KhX
iYaFXEUQ0Mt+ZyFIb8UWtXwFhPD/qcw3C15pR4jRkW88ZbpFCgXJ7jlMjBpG+P4M7nc4kfDPsxeN
dZDnugAAr0xxYsynk6aw09oBvQkJg+O0iGlH65cpcImfoH7NHyWqLZJ2jDbaYGUuLSXoDslso/Ke
QqB0R3oVpFgcJtRXcOdDt5d8KUFvHKfGRb8k58io4gaWXiiihWP69ya1zAe/4TrH3rR1ETusUH2F
Qt3KhiTwVAqJrqQ4gnyoTpmLa+O9eUFku05bGwq7IAIzdfUr96CibPzc2mijlYG4lKLnmZAxQFDs
rAVSGRnNj2lT/Hh/kK9MULGYoCJNKhxFegdGRU9t1Qejdz/BsO/9h6/9cPp3wwxtS4U18hmL1/BY
lNYjQ6brY492/n50AYcuEvfIpMWj/DLn5TlXRfixRy82W9oD5mfqzjnj3LzrLYGkmiav7z97rbkX
22zbSDkI28GZsB/9odV+22LUZBuNsjJbl9rzgXYxTvkYKMjge7kIa6Qq0uEZWI2NF6z8/KXkPGFD
2pqeOGekCvyCY4yTby3faJuVPW+pNqdejIqaqGdnhPUgVjEAnOdiePE4O1du+Ucr62MSWxS1/D14
YmQnJibJfPaiV9R4BNEm1XCtB64N92YpgHUs8oWe65xRXdvtcWVUHD0cj+7JgFNokUZFtrGorfXE
Yt7O86Q8OBqRsyOlF3gWEniUJF+F5e0/NFL5Yu6mI4gStdM4Z9yXBgaUu/nOVFv731ozLWZvH9ei
r2HoB+5CoDlq08qvWcP9puIfW5KXkvM4zoVEym5CqXDpgY+hdmXk7hHbftK4A/lgHywmc1UWgBhd
J3Msi6DzZt8CvmbecjJfmQ5LyTlyuXPW5NhV7PLz1CChdSyzvQv+EG6QNj5gpRuWUvMut4y0I885
FwPFHWkcVjrZw5QOB9SNBWPtIxZ7L0O6opFe6pyjDvFT/OJl8X2S/8myLmgE29ofVyaDe/2+N7Ou
pWU/aLjcnmpLITZmAz17XgoGFxXNJ1UWzmNSZEb6k1DpHrVA487KEty3lSWyOcjDozRMKdjXzXCt
vIEAhpwqlTDUIso20NerLB+TgaH0bchn1IaJBmnJDqYXqFwKYINW3+RtW4AuOtbtTWmV1R18qlUA
wqL7hDQ22KZQY8GbqEs+I8Dpkc+catSPNyrpIBFVKnQcr3N9MsLAGDWysL/Mq/LciwT0dVw/Ih/b
F+zoVkn3mTvRFoxrrWsWSxWBSWSDa1cHFzmQh3G178vON/P4tUJRoh4+yLNcCugJlR2jE6kvWh8b
ZGczKBtQRroxglcijKWAHrk+Z5iaub64oPJrWu5N9THeOl8q5+lsjEQKu7lk8ZOEeG7uf35oZXUX
8UWXpirikBRcEvVdx8jf4aa0Y18+9vDFmtQUYxL3ArV0EbN9J013tXjhbrT70NOXcvlhBvK+n/L5
3A0Xy3ih1cOTIN14+Ap3DZ5Bf0/jCTKfNJWzPKVwPM2DLO3ZHqA4XMfChzNwVVdfvMJD4ljBB9oK
JMBMO7hvFoHTth1Q+523r5OpCVsXbsUf++DF+tVQ1Nw32WjDi2v+nqsMmpDGPli4I94YwCtLF1ss
XQ4qvGnFsARbDt+16TOUP2Hd/n7/16/MjqW0nrh2FFfXcK2A+XlD6avb1n8+9uhF/AE3WS2ctHXO
HgpUouSB9FstsvajF4GHjMsOqCa0SGSbya8EgqcSdK33f/bKjsecv4dYP8h2UOBInGHmBfMc8gnu
tIcMZGI/G9uNd6x16WJ+99rmJUM50Ll34Cmd3UIF4Ru1JYVbWbaXes0o56jGrRjctpof+cx2NTzW
deVP2GasdKNzV1ppqdnMUBmeSFQSnaV41vK7ar3drHXgpv1GydnKRyx1mxEtrooYBw4jjWog6eXs
mJa2HYUZfG6wOaue4K5HmB/v9/pKjyyFnN1ct7LrYHJJGb/Yyt3ByvjI1bf3n74yYJcutaBxOg6M
E3AoYoNfut8J23jw2s++/v1NWMNQTN7B64mcYX0s9rhxubiteUi0ZR/e/+VrL1hOYsuJTVrAuS2V
w3FO+xgVOfI+JWT//vPXunkxld0MQCmI2Mw5HqrbAdGU3xD6XLU4zNHsh+Bb0NW19yxmddlx5SUJ
5kQ3mXaX1PmtyGCoPYHAlnjWmedblzdrDbaY2lMPJrByrfk8d1O8K2w32nuWJ3ZuXrAP9sliA0+y
ylFwvo4vVT6eLcG+5EP0PeUfUwLypUKz8EZSuCAYwtunhmGfDKE8+4RC5I21j16b/L+1mHyp0cQt
cmVnTYTFD+yHIG6tYZ+iXnGXdR0UHiOKAyt/zk32KlpDLjgV15+urIIdKtbiA/R3aeEjY9SH9ayA
qE4G+F8WKK4/mqr0vFCxOEUtFdRtt1YRT6i/tBLcVhRWd6/gHPR/nJ3ZkqM62rWviAghJECngGfn
PFadEJU1iBkBQgKu/l/e/0m1v3Q6oo66O/duY4PQ8L5rPeutCWn2uix8+S3zsV0jps4+wDlM99yF
TqmgyiQ2oBDcLWa2v/5pkJ8r6HtbQVeaet0+7Ocqymp9UxbhPRd6XVjzJ/CyK9c57YI+ubPnInpN
vSCDyKTbT63zLa0h7TH9Lpuq+7oWsa+md8uCK0/xwox2LqqHGBLCGwUEsHRpAkOUjNzqWhDwpc8+
rTl/TWqunTpMCrzfi2XcFmOIZAl38aOvn8WF9/NcUz/XrDZuAdgA7H0gqg/fp8quwWO81hK44BHm
5x5hFTpwR6k036usRDduKGkeVZMMMOnkw97J8d9gv/RzLGTp8MvnAUBbwVL4V9bNzxdmfm4WhviY
K6TKy33HD4JVEVO7CZqWkVdXnvznN5CfG4VDOyDhR/hyD5XsxvZDAblC8MJmSAe/fkKfT9X83CUs
bMkgX3CKfVBavu6A4HzVC2yMHODyISpmrz3AtVBcm+4+H238PBsntU6ehp2RqIiaO07nbQHFyL/9
krNFB0c4w4siyPcVy+2drMcoRdLwuoROeOVB7HFa/K6so5eeytmyM1XSo6Z1gIkDXE9BkVvx3QJj
4dc/5EJnlp+7jEYtLM0WDOolDFd6WV5044T7KvBvFCn+EOilYJmtozKz3wfkRUfQXkC2mvbvX1//
v8H1f2c2fj6DplmWMtiP0GhjmPjVkwdrVs/GrcN+wXsTlW4Dk92P0GZLzHW+hxJlA8kNdPVw90JQ
RD2IarlZndylMidrL2hvil7dZgtYgePWiOU9yOk/EQ74+SxcwTY2lNzN937Z/8lyEeek+/j6Plx4
uc9nXTdjhQrdKt+D0QCgiQAuZUhqKBY65a++vsSFt+/czRS2RYCmMp504FTrsnxV4bjr+Jak9yT4
x1fufA4e0DM1EkTavbukMHzZXa76K1//v7Cjz0bK6TX/a/E4ha1Rtw9xi+D0Cv0mQYzJxtY0Ue63
1Cu/1/oZouWomcCgnHGQYOMBNucrc+Ol5+P978VnUoWhnotyD7Fft+0b0PaQqlyvlZzafZo33ZVf
eWHO+u81/etHQppJQh+WnH072nsgYfYma671Qj+fSdi5+gikTM3gqi33ARD3UYbomrjABdEP1fLK
DH/pEqfb99fXl93QZw2HFh+hCgAVedOHNP1PDx76r8cwdN+fb4X4eXZUgBJtOfDF2zezm63JOMx3
OpRq2xAxQIA9FMgNJsj2/anCATJ/zPtmN6YLeaUChc29cLwuiPSgvVceOA086Mp58WifPVXaCWA0
D+kdBwMgDrwifZXNUuFWeQU/DpKWu77x08PYkOyV82pB9G7fhkcvnLM06l1bvk3o5Xsx9qXBppee
Wx0CAqEjEyobUMOiQazYqNCTaHLRonJCCQR1xE0asAVgGPApyKyIo1xDb+3FcNA02/7k6OhcI7cp
qcNITEW/rtkC/BxYxqc+88zlGqlTetsATrdDbF+1xY6SwSHTDJFNDaSQPc5CcTvMgHYpxp/opJrN
4MzDupnTcA9aA/s5IQ7woOrReaMzTA8b7Wr1U8/M2c426H4itx2fqNQQ50M3wBfB0CTQPEgjVKjD
JjK8dBJXDOmdm8K9EHdNG/RxVeTZrwaxVSLy+dTn0CnC2d5CuRzB2IHcHqkBYJSLxXYmz6KB8jSu
cL/KmCC+5pdluftjlCPsF7yH/cqp4Nimy/zbLj0UXIQO/HG0g10NvVIsUj4sT8GYw5pUAeCDHKr5
Y+hzKMyV9dMEKQb6ZzpJ8yaKaf4eFpn71NRu+ch426xTVwbvkx1hmghIUSbtvIQbZavpp5+fks1d
HDO9qJ1tdye6bi5jCQ3sCraPKUGOcQm97ojm+VJ2ArnJuRMjzrCdYnjdnVsN37sXGwwaON0rP0iq
VhJEgVf+C/dgDYfuEoiEebI/EFUZHkVF51e4prqVOwvz28kzsWrBHIC0thyTKjD0BeyQgMbINw0h
8hT2VQfCP+C5sMcKLAcVpZOYUXzq+RI70EIFcZ0V3t7tS7nDvecbt6HisYO15s8068VGDEZIlOb9
5ucyec494tOcj4qM4t4RGs1R2TnQujNab4aUjUMUOrXrRmU99EkzWsiQhwwOBqlC9lG5RNu10Dii
zVAsgzlbFSJISDohDkqG4DJscg55nFN68wgPXm52aDWGjxr5R/g/8zBGH0I9s8BRbuRANK2jWjK1
YWzOY7cOIG8JStAtiF+0MWD1fRF1VYoPTYN0pfmUH8ua9k+1CAPISar+Hh4tf8BL55fuSjhkQqT4
4AxvdanHP7wfCWBuI3Img7kOj8yhfEXdrqqQmLQsa4RuzvsgwFuXS2u2ReN+K4amudOmNlvKG/su
qQStq2LjfWFFB/OUqu8HhlWJNFgkJrcDRypcgMMRfNqXCkhnaoS3Dzrmxtx4/npC+NOtQorxTvnV
FCm3crxdpY27chEv8NFixwWlD0wNJmg8xNXUdeSWMPHgm4bfsGlr1/nMhttMAs2wNHDIsRHUKG2S
EMcgMbJ277baMaDJCL0pVV5umPZGHWewJonEM1bcqL5KE3xl/maI+9QpeTKQgUZcCQ/xH31XJ6O3
FDcCaQBNPFhvvO3h51uRAkhy00JpDPZyn27dooeZQ+cGHrMGSukVYiP9XViWdAvravuH1DV7G5D6
t0VnDBaAwUx0hYRWDeNVEfRRVij+MoR+vYV9y+PQuKXjhpYdrCPzWB+pMHQDakSxwn4V4IcqyNDv
yyyAHuie4KDXxa4FyibPUgdhiKJYEiurECAip0Eh045H6JjJ88wLZ2vhokfqrwWxPcA2IsLUW27C
QjQb5gMvvVblQCKfhHlklVNHqlcTigkOfV0cFdwbkbEfrA/qYu3OAGhEqTDDt6lw/YeGu8W90w3N
ZgpN+qbRj3hLnTmIe1voKPUHTJ8eqY6LFfZgWFVuQdiQay2JWqXuENyroM3WjMz5OzTf2Y3RaZAM
fqCOi2jIXlYg0zQ+o3dZUFdYPTKd0K6ViYYx8dh3TnCLGsfcA7pRug+aMLnVUMXfhjk0g/m89DsY
fODYs8G77oz/Q+PABx3KCYQYucrTT7WRtohTNvWJb5zGT/DTWFIOtt0VgBg/INyE4Wl64xpV6HGl
mzRPnJCbV2lY/djJOn9whklsFuERFivXJdEEQydor3VDbxH/kD6qsu5/1nUApFYHX8e2ClDJbrrM
uTEW2Bda48jse9bWcAg1QDEvLPBPATTykLOgvQ3aln9ntOCwSVXlRy3LfO8YwF0KDz0h2XF3FyI6
b0Uk4j39qhcY/4FsIQ4HzqYE6zDGEGrX2ASnv6YFbWMYYqbxYUhDcUyx0/4hQVTZVjD74RA/5O5v
hNLWzwaZnrc+G7q7WTre97lS45sTnlLO0parFfxxPkM6ywiDom5aGenWI68B4MwR2lywDzmLeKtS
0y9JTjJ7itQMEDohPbFRVVnepBwe5MlKILSR/7cijsN3o+NlG047jSKGA9cXb+AVgJkl4rKCSRjq
g7iDIjsBHbJYYe3uPkaskcmgZ40eOIJmo35os81ESz/y0i696RhyxR14RX6FYnHWevLyzaKhHNQB
3ifTtdm3wCVZMoxl8JIhAyqZTKoSoJvyWwTOF7AHs1Oytn2T/jR+aK8jsQkq8wvG4E6v4eso71HZ
J++274YbNmIecolZnKjyTAqPHcBLMk5dNXxvaeNtp4zWyNBu3eU4zRKlZ1E3MQp67VEvVNzZOiR4
EfoOvY2ugc1oFC5OnoBtRPW4kAcW+jlMSeDglFlZ/PH8kR/Qnze3Pdgqt9XsePGigZWGz7nL7K5U
JS8TASrzfFvnw7Kpec5+OLCI3Icwip6KRHzV6z7YAd9cPTMuzbZk6dxsA9ZMDyjkeGuaDd0K+6wS
WycUenJZ0IS4k1PAFM0E3HrYeYkImjfcNe7BCg5txbhpEW/1gAJuSU7uywo5NXCfINq4nJ4s6rOJ
B5BWHPTa2eKoglNYudR1MsCz6sbSzemSaG7Vu2EliNXlELSYAEwn7hpNMQnyvhvhas0yATljTr6P
tRhfUpixYiP69g5YI3bqJ3IHpqE8K9UqTN16U2jA+qOxLiAnrOky1usxKP0dD2tnq+BAd0akdMO4
B2uvV8TWIYhSULbboEMjqtiYnDeJbqp2WmNrxD+cfuq+t0vOHpQKQljkGl1CYlnQ9j4P0YI2xOcP
svPFj6kT1e8JedlJhgUwi8PZhZ0S25/3EShoiTCKXL2JgDDMuWXvgqNa1t6pOz7yO9R2BRy8JLfv
TWHDp5EQtg9d7j3KYaDw+/kDXRlpsgRvm39XhUF4088Sbrm5gJMNK5aLbZQNyC1UbEKvbFcY3I5e
rEVXmvuwWtRvNhIAfEpXub/1aPxbuORaHlfD6Bw96rPTc/FKGA9P8V5wEpENTPhq7y26fANCqjlI
sxRJmQHBg11TtgcyUsPwLl192iRT8P2U4tuB2amOghQTBarvLjhU3oCStKjgSWqdEFlBzMGRljL4
v+MmQ70Gi4nnbNq+IGtrdQ0IjM/hUupD9qIxTLpm3GfIF9piqRPv8I51sCNPMDWOcJx/rzofHGM3
8Da9qSDlol3/U2aSNCsdllkyqnSJU6OXj3yBBAgkEguZV6Uc8SxMGcwRK23zLXccP42A4aQ3fcmr
G83n4qVq/HkFuwOFdd+r9mU/VGOyFMaPoRh2oZgosuk3T7vi1jNhu4LvCGywbCM4t7e8XBANKsph
A0DbXMQwIJZoEgTQIM2O+1DRcdpUlDlhBOvxtOqCdNxTEwwHMQd6NaKwCN4Z9h95J8hhnIYU3tg5
eLXAId1XYUnuc8bMrhJWwooJ61FT9+HdaQ69GQFjOkyOQmZeIPNjW3EgESpX1gdXA9EXNSff04wd
VInXbQwOhBngHTIerICEHP/kqqaHuW7qTSDV/BMBfHIfYDxsPanoOq9E81Blym5d4VcwEYZiHQyF
iakDw3exLP6PHNC5hwHnvBqeccccpUjVSeE/rmDYxgvpDG0HN0HIQQuDdn4xkQcx0n6SbXuPzm/9
u28NjhdNKeeIWNOtKx+sqrTPgdlymmz4YFYqsO2VzRNWeU0ipBxemqJyj44COTCWJbz/iKdapldo
LGH4r3Pxszn5QBNstMvHgpPmlrd12h2RzxRuqVjUwwQkxrbXWm+6hWFzVIVT3cEkTKoDQZEVW/UW
ED3VATTDiJEziBZSx02X4+wJONgHZgQNKzsd0HWHh6yYy+y3ozhwtyMpYWfPsY8f0yZzVhMn8+8W
rssHVjdVsbGzD1l1M2FzEXdlXx9TNCnh6M7r+ogf6YYx9zleTci0Arz6WgMFhOjwsMn6ncbrH7uM
DFtTVDymIzob8OsV837GbLjzeAjNk1touAgRvZrUePRt5JsCmAtVdGVSiKp7JgXJE1jn8kcACIIf
wVyCJOYREuX4wo8+z+mvXvD5UVdEblsANg+mz4L1FFIXlr7htPo6GvSCJh+TgeYoiij8+RVqdGyR
A9AfnUU63wbA035JpIY/B45jgHkOGMJ5RGuBQZsXbAowOXteMgQ5otpyr0YMYjkGzoempMd2d4ZH
FFWchqzaAUbUFYJHAWxzvBqOdMAPl++lHXIaAaSQr1yfewdReAanHDgfsaDk2teR6Xy9dqkad6hr
kkjlLjYmovVXk5vWO4MTVw6JG0ywEemxJVss8RMR1vKmA2Low5s86BKVrZtDPXt61eU4ykvruQnK
4u7Bw6u+zgI49YaWsU1jobGO/DELAP0KlwRY5co7dYfrLi6LYbhTsx3u8Y/Le68NBrWCGLKE8If5
6ke+eAwoNx+vCkQEe05LufL1gPM/nypzqOZ53jZ93a4yOvKfKBSAAdIOXgUmYA9jdhW0x5rqdAUW
RZCkE+o0MH/7qDtMvlljqxIGsXUp++3maKtUhjZrb5qb+yYY6XqxdflegylztCE2b8SX1avf4PCv
xlF+tHOpV9roYGWsnfcKh80pYpzlyRC6zvtiQQZIUR9KUjk1yHYGngm4AGZ/M+ooeGNCw2Etb9/s
vJC9cXIgaDkt5KEbQZNkiOLCNjqY38IB5bo4q+buW9H2+j1NyymIcMLhN8rXTQJiZoMVHZUbgeVr
T8YpPCJ500d1iYEQ06BGPgrRfsDYa1uUaECggBNeF6++p2FatbCrssyH/b3qpgTn6jYxColUEVAR
Bq+HdMbNwsfptplKzOoSG6/JLg3uYtvuRzdon7p5Kr+Nbggzh1lGePsDBGP2vl4OylP80AQljQs6
Fd/IFEyQ7A39G1sAPpAT8Y8446t7Hx/z3ZHWfVt44G+1KOnRdTLUfHx38AR6xIG3HmSYr4QhI5zI
BPbXU6HjAFH0aSSxEhsV4FfyeKp6voG2LHviisonFhKCXNZ+2TXdXG9BYLSbTgO4iTelTLyJ5new
3aRIE/SnO90AWiaUJWtgK6tbb+zCBbZi0W4tiKjfvdlWd6dNXuL6sISDGUrcXwMopzfDsCBUZGY4
NioRrqg3qSTT2GghkzzHqa6iuHFY+t2h6DcOfF3JgljXdwWq9TrwUEuLmo60K5q32VOQYYkBRlnF
oOtiOoOkeRUGhZvMTgNoAcyB/ACvkFkbP0UUIVagdW8BLaxHIKV1r+wN3NU8A66nJi+p9rHjmiTg
Lj2CpjagG56YeBPghQueSoBsvkeC/U6bDFZntxgaMM10qm6enEIO2EVa7jzSyQ53ohRzHBR0fBnz
0tmUpW6OPanHtaK52tQdzlsREYzvgfWRJIKidvreYBscw5XdFOgmYSu8mFTezljn393BNb9aYFKf
mqlWSY1HG0/92OwyH29+BAQBvnHJhqJOMqylsM46TD+Uedvf4g1eDoHohrXr593NDFv/jpXSrhvD
0+1QWGd3Ohve2tlFiQgoVo4ppsWOaxycBZKUfm5j6vvLhqlMrggwFaipwcOjvR5cUZ53NtG+y34C
EW57jDRfPNu88FcNMDMJqsjNPdeFfwOAEnimog/kmg7aQVkaOya8ev2NzNIWiCcOPEMWFgoOcS99
4KbMD5nAvVl7ocKvCmlDtrOzMJpYZCGuQCNubvwC+R8K2LKNaguFngc3M3Aopx1DqNR3D3yGFWNi
GKMW/dOjnxp3N3dVtyqwd3svfEfddNbFaSD10se+GvJn147jDdKUyBY4pwy3ly8Lzl4DSsXpDO+9
N4kQTnGpdkIB2huiWgjdM22Og9A2maay/0DpWsfhALCAmkgLddKIaNKpblrUTGC1BQsFZ3q1mRG4
9+L1qttoQYv9mPqmi1Ffab9hnu/u6sWwHQh44wHd0vZA84rdkm6p71AwSt9KohXwnUwmskcGjavS
IhFObbD0aX6fhThYlWnD33zoXW/9xoXtDeWOZRMyz/lDkXOyso6H/w3paPkbi1reRdirVOj/IjOz
XrrpQfNKv1LLwXixGO5zZdsb0JblJkeZbt3hX05S0GDWM0PZmvNguk1F/0PgMPAEuleQYJ4KIoFM
9XUIEMlNOLfu0esckXQQqbw5ma+eUdVhR9UzHuO1qhkQsG0xra2YsiQoy8YDvXQOb1ghUCr0yUI2
qD9U4YpMDv2J+OgRs6RQ7A6pOdq9L0ZgimMCq+ljF3rpc9pJczd1U/+cgiEtd5U3d/7aA9v9vdBY
tmNPjAtOmzbtfo6gK93nUF2Q2FtQ3I4mlM+fibQUAXYjJZHo02JPcbR11qHKvFfI582E4zV5TReg
0kqAvfLJK5+AGKsHoGZRmWOLA87rmLvDxploulIE25ykZj1kSwvtslXHJhJnYx0CLgFeCyhDtfoW
WjM8IWB2QoZ7VzY/ikkO0DH4vvcQ+uUJjBKkt7Z3gPrBZPh7ytryO6/UhG1yM7xMzTIEK0zI47cc
7dIt7AQGgDV/uda8utQgPVNfaUWN6XkDecKsnmoXoWMCSxn6MSTKGnBv8BJf6XoLtMM+aWWe0/xG
dyAAbzrOrs7EcFMsc4btOdQ8wslHxDrb6qF1ymYH+nZ59Hkttl93z4ILv/Cc9jcb3qN1Jut9AbBU
Mi6lF3teOSULsL1JKcdqDSRGBSj1ZKD7IbTN1z1IApE7UboZm25cUxZUG8pLhSBVkxXRnLN5I3E0
fB4bt7ud3Wb41iLWIJ7y3tnQofwzUkGxOcu8Ywsz9aFrNBh2y5DGWHJQW2gQs/3YiQK1OTkW1a8q
ACibl3kKBHmRLxgUQzutkNiKOnzpdShQYuPn3qB+NTcozLsa8ZhD7vxxylr+KbHnuZfFEK6dLu3Z
PiikRcHGdAsWHpSQQM/OVn6NjhL4Nu0Km5TwaEAuvgFc6zdtPfPIjQ3xnlXpg1FDCdYabV/7Djtw
kaX+Oy3c+qVtJ3SbGA43jjD1xhtRtgDyabmF7Ws60MGxm6zt4TghcyNjFsLHi0BbFrPSfMP5L426
kPIonOm/mYU4OT3tv5quY4Z8WZlnaO+x1tmZ0M2SvMVaORFiVlQASIbGS3NFjvJfn/WzsXvW4p2d
IXWxBAK35g2UxTg9DL/6aWAxaNflyrfdL6tR640WytkB6AJsRgyKME9jQPqnr8fxJSUWObWf//rF
BSCbmCtptQeSZe0wCCRJ28O302/R6sKhLlCvYrSrqiiBZfSfv77qhdb8Oal4CKtapnwq9iAi9W9k
QaumbD125b6ebt9nt/VMYGC5i44II9keqKPisBjN1yER9o6hg4wGWpFelbF9fiUmzm7e4oPop1AE
2usG6xAc+SdBgwipn0whM49tifHjYDWIFyzqieUTB/6S/8Sj7BGbJ91w21qSvhVlMd5nmWGoRQX/
eo/PdFXZUDgNdFvtHkGl76hA12+zWew/PsAzJdXcST7z3Mc5ZcmQDGc7/5HQerwiCbs0PM5WjyDs
2tDTp0Rmp4ogCo8BmL8iPvlPovN/Bwc7B970biBaYnS7Dx3tv4dgQT8SvAQfJ40r4PiO/+p5YBhS
P3e3dmyLKDDoMyFJFtWCAsCuBlyi+5Y6+cafCoQHOpm6QrT5fEVh4qTS+OtNHLGXpFkwtnuFRkCc
9flbrgsR8TJ9AtuexNKYa2Cez28wE6e//3Upzc0im67GDRaArXXYwtOfX7/Zl1QrZ++eMbD59RZV
zCEsEf7lNvbHErrNM6zl7IrO7tKXPxvYIVpgsz8Zf4cV6L4BjUaWyxUK9qWPPhvWtKiEXysMjgk+
wmJ+tOTt69ty6dmejWh4ENH0rYZmPyzG/qR+xnZdV7GHYkGqIkQx47hHJF//T4YHdo6IcfkUpDAV
yT0Ii0Ce3jL8xyKuYGEuyBzZORdGYwnHnrlXSDpzSkBMBT3YMjPhem6ID64qWjw7lPrkjNiGUBZb
bC/SQ45uDN156AyNIC8U16zDnyuY0AL834GMPkA9NAJZiQSV/ThAgVpP+rWqx40J/F0bZusJk/6V
gXfhIYanv//11gR+Dla/XzR7Sbrt6LiPYO17cVAtvziwlw7641cmqQvLSnj6+18XGmZFkTKJwL4Z
zmvSyg0C6qPa/aDZlXF+6QJn65ajGjtWfQpWZ11ACIGUmvQNaOdwg9xGcXBNk9nV1wP/wnwQns00
yN8KOrT95Z4297I/UjMAd3lNX//5h7ve2VtVLBU2gkVnDhkwdxCgmCxDVf7562/++Vzgnjs8xJiF
ILTBoJkPCPdsbsv6ygd/fvPdc2uHR9D6yLq2OgAguaB8pKW8H/qU/GkXN3vIwafe/NsvOBuvuYFI
EY0zxEyQeyROJHXmXRmgl+7N2QCdG+ArUJ/VCIPYopGLnqn4p3cMcMn/HfpY9WZmRaUPsnxiCio8
9SRB85FlsUKN68pFLoybc/E8N37BJ5RRDhpJHw5kOiWkHgYai6/v++eTkkvp//4GzReIK4inD9ko
sH25QS/CKVgcQtq+5EXUoi3y9YU+n5Dc8zQs66LXAXGzPow6TJZ010mQidFzXhChWbD7ry9y6dec
vWRaSZqG1BkOJJTurlZzvrVGijVxTLsHWEG/ocIaQhgnstU/XfFcx16gdKBhzNEH2xfH3g2fRy8/
Sk5sXMoKaVwu5i2/Tb6+2IWhfC5Eb+HJEKhqwYfdnZBwPoqjVybZC0/nXIcO7tWMjhVeP96Q8Qal
mz5GYJSJTzXY2GSkXIeomH3/+mdceEr/bXf/WjKg5wbJLOj0IfCBXV/Soor61OQnwVYVuw3yigSq
q+/uBKnW11e8MI2d69PLwKlTVrj6ACFOc0urub6XaligoJUU9QZd/ttoOD+SO13fBc6UmYMfJh0a
ZytkYS2r/A6yzq9/yIURcB7843a9VciI0geM7Wh00bMsfn39yRdGwPnZem782vYGYyu09a6AKinP
u22Omt6mUC6wq+l45UIXJrTz87RkYeEAMaoPLCjXXEMusiSUb77+FRd4Ai4522ShGYHHiXC3g0S/
LQaUF/oDtx6PUDWoXbHAZcI1HncZnvIoJuHfg8jRrmHnrZJucO2qNaF+Cbz2Gp7pQt3EPU8KCpDd
3rBUDIcUXsEIiXmbEfhoqELmaCLFN+V0z9B3rtH7XwkCEYelS39l5bt0p89PCJTOgLHgpbbYaxDv
Xk0vYXPFlXZpIJ7NtIj7nmD6wEgf2o8w/+HlV47Tn39ncn7kpRYaNOalaBBAJuW3LxUJcGS/VjL7
/FuT82PrkGZQAIFajG59AcXdtIWiOrky8j6fY8i5zYL6ah5oEI6HpeUTtB/QHvhu0R687hQKwI1a
L7kaVqKl84+TPBKLA2UNWj6y2M2ssDHNa2h4ANtYQZJCwUiWzcfX3+3SVzsbCC76I42cewOUBqxV
AdlyGGTcCqoN95+GAxFnw2GghCz95OClrvY95LnX/Df/7UP+bwmEnB8PmZ5dUWh88BgPK9CkH+XB
PMM5kVTrbG0iP7HrdgcX2TM7hod+08TXQo7/swt+duXT6vXXKgVBeZVOk8DO6OjdhRvwlNdqbW8g
xnRu8xt1GNb1Tt7bY3FoVvSQ7dOVeG6vlFf+/879s6ufpum/rl6G/lJlsDEfZNYRDxTp/BQMM75M
qG27wH5hp5H5YXNPkeMwQN2OLJsI2XQNBPiD+82RDkT1vqHjbWgadoRJJicrBxvJJoaIBr6QAgT8
W+PQem8rgHfBt65lBDY8oq6BjhORQSxKPJBCRVO9eA9ThTYcYNpL4pARQhVuCID1LcHkytwdQTgC
3JDUvLZK0D/CTeVJldC9o8nVJjxEUdO3iP0LYE6CQ0OaW6eV0GZIEMpRtw6eiZYmHk/JejXa3YdK
1yB5Q9mxRhbatEI7oIUPZpxeWjDNgc88FR/HGiEwI4UqaGY+mimz8tdBX843ClFDq5D18mff5kil
NFbhpylbYuvfqeZWQRv/VHuFA2kl95wfKagmR9oZN5K8lsmsQzrAvztmvwJBBOodHYxCrRxvS78I
IEJAxiT0cx+8Dtw3L6My6tJsuQ9KN1wtzWKjxYMCeHINEhPTarZx6rj1XjOo85GioI8OW1IFOU7l
bEJihseZzOijlUzfwVgGmS1fmmyDEFHvHZu8NEoJxZhGl+PQd1mZBJDOAmI+N299A2Z82+b6NmSV
j8QvJHtiThY7WJPhOxENdH3DmJHVDMmQBw9OjhpHFdRQ9PnemMwNrRHc00v8axq67JUpUu8Iq7P7
pBQcTFBfZ2LvDd2bRPaEg3lJIo8SMupwD+eOY9dfz0yXJuTTjPXXMM+gY0KIj0LUWvEC0cYKSe5X
dkqXFpLT3//6ZIr1P+BOJ/b+ArIga4dVWyLeaPh/zH1Zc9y2tvVfSeWdOQRAcLh1cx7Y7FarqdGS
rCgvLNmWSXAeAE6//lut5Nwjw2LzHlV9VbcqScWWTZAYNjY21mDvP/bmxy968/xOmtB0h4dGOImh
vMwL/gfuW8WKlN1r3v3O8tcVrNMs7iYqcayIbGYFFeyJnmdxxC81TXaADv64i6MSCEqwH2DfUMIk
NTJhww6/9E1VWMbNmNZtkJbYiMxuhPksl/R6jItp5eOXNhTt1AhsUgPIWdqHAx0i5KLpWZm6biBd
KKQlUboyhAuTQy8tWQZAvnMb4eQOdpMrrqLi4fTYLcwNXf6Yg7zptkPFDg14+36OijpA/7kvoCZ3
uoGFNNTUS0kVE7jP6Fp2sLwyD+FtMO9tnGeC+ejWXJYqBOgPStjgl+3BmwzcATg7kxSwkgAGlk2s
ODPij6WBKC7+OFMnGecRmSrszfO5KD/ntfBje+XcuDARdL3kAkng1EJoLxzrawY9ac8dz4ecnEXK
XZkE/JhCvLMUXC15SQxnBOIHs2DA+rofIBd2UUcFOa+j2ti7Hgx1/Ug61lfQz+YH7B4FDo4EzlE8
Bw9lisHtnNrutkIRKECMFEExwau6qLJmnxOgZIDMFnsPDjKgqDXg9NZwRbKS+Ahjd+f91MHmGLBM
etuY0+AjdVc7w6nNAOKD8aPHjekALFFzlgFmfel6UXqVU5vtRU2TjeOm5bZmgLfW3BgCGGV4YUp6
N3DahFxRQMEAZItyILzwf72R0j0KYC1kC+t+O3ejtfEmL1s5AL9/5DZ1ueLWRUZpKKRRMFYqt3kd
OJc4dQM3uHrQWVisumCxdFNwko5IXIBDrrLRPtRAbayspqW312Jtk8A2u/Uwy1pANSB4rQgvz4Ud
l3dQDhOw9AEQtNzFsUX+KJh3kG0DzJYUj4VCRR9ivl+EmRFkSUY3HwR3W1C4hHMG3iXbwHtujWft
vT9RuZayDTMdemmNMmTQegxgdldsxQglu5Za1j4bqXo0Kw/4USd5oDJfo0YvxTIt8waMEJiSKoeI
/xw9j5W4h8noAzzFV44OS8N6/Ng321wOjm0l4WIdivjWcR+j9P70mC499zjUb5+bUWS3uEsOu67c
QdZny+M1m5CFmPSKgnnzaGeacCMBi9vQhiVzrWB531QgLvZndiNXZuRCpztaSE2KzpbKGGRYTldg
6figV4IUa+4+1jfa7oo7Xy+GVzjOPGDLpmwvm2+nH7zUM1oonaIE+DUTa5RIdQAq96sEft+lcYBI
s3Lj9n4ZyXS06aiaRI4qxk4gOt8rL40jq7u4Blto0+Ly5kOfoUteRwJ86yFnIpSzfWdP4qW2xvMs
Ulcs/WB2p4te1/AQS4aOpSHamcAsn4/GST1fmT4L46CrXo8EaH2jLZuD8CxIinUSXkLuYD1U8Oz7
PDukWUkjF6aprnmdHmmZk6Gw8xfz1o334BQDXrwyS5c+4tjom2VmD1bZg6yGyRSV7Gj3BtXu6TGD
DyYdEWxPD/XSFxzDx5tGgARBcLMxY+F/IkvXt2vQCb3b0w9fiEG63HXlphLec6YMwZeNoKvUeiCj
FWwlR156dW0VU8DGk9ptZejZc9BNZ8PMA2WtJJhLna+tZGrYuIx3UUKvp50zA60XDMkW3OSPdYy2
iBEn4hjHbwzt0eXLhrCD+th46gLXMfJFOGWhEN+lj2byAnK0L/uVDl8IPbqy9aQ6OsLoDHEf+Fbk
erD4VMeL6RFVULDjK7EHn38KTnfR+wPA9EK84USZYwNufBDNF1sBug9gMBDkQUzXRD/fnz9ML8jP
uFnKohloxiKdIR2C6XmVcdA4SohBrBSI3+8xsLO11dWZwAsBJn4AeTMUzpVrn1PIiyZg4IHbf7qj
ltrQtsooto0BookMijaqgth0lg2BU+bZp8mGO23VQ2K7Rx1qZftZ6jRt0cm5rTgEIqqwrYH3wu7m
9falMXQrH7M06tqyyyms6jITjkluS8G/y734YgaNaYuxms6mqlq7DV9qR1uAmU0Q6CSjB9XMHlQI
ovvJhUJHYogLEzJjHxkZqpfa7cKmUJ/o2AEc9An47uQ8hfqWKZ0zNTSPDhRnTrfz/phQvehu52rq
1Qx99rhWL8CNbYosfQYk/Pljjz9OvDdbxGTUFiBLlQmekfDdZPKn+lKQb6cf/v4WQXVjtTJpMtWa
YxmaY3/IqmRvxNFKBFnqluPvv3nvZvCyipvofjORKNiifONk81PUDeSDDRy/6U0Dbp+gNAxRi5D1
uFeoP4G24qfOh+5pqF6ggudaBWACG0MSX1FYgsPKdZcba2X/94MGkOI/vjrKn0k6zVUVQv1Q7elU
m5/gmFxdkKyzAia8fOdWAnn36UF+f7VRT1vVKaqkOJ5x9zB7w7eO0guaZii3c/bkRNCi+1gj2pJm
VEFDyRnbEKphO7BsUFkGWbj3xq9cOivXBguzVb8sgeBxI7seVGcY/FyRrL8vBVkp9CzMVh1Il7sd
55WjoH+ZAHYwoXZeABXM7053zgKym+pwNZzYoABFejM0EvHQ2DQ7WJY6i13zG6QVN21OIF6mthG0
naa83J5udGHY9fKiJ7I0blvwyFL+ZaAUbCwH/LgcGj8PpxtYkK6jep2R5jLLrQlh3JjLCBJkkPMa
sqq5txsPFzNp396Vs0EOsElnZ41nm/fgulBYrlDzs2mU+Y0azXJFw9DFyvm5ikb1giS8tdtuLlgT
ymTccKuF3+ngD+0Asul8SaIX5a1EnaVe1fZ7JwfyuKwGcmD9XMLvwt7aTD5E0/AYOdB1Ot2zS41o
8QG1fQ6VC6hkSwUxCt80bO86HcD5dFDtBnPPQB36dEtL816LDUmTU1eMtYlTDh0gW9sHE4ufKJcr
ifzS87WwAFZvRxuTENCVTRSy3Cn6VpawvY7BZv56+hMWooLu5yYB5JmUKtmhrZpvEFIExM77dPrR
75e8cLv9Y5w2WjioJHURwdMHGlsW4DsztO3EqK5xorollRv2Wf/C+uzmdHsL+4Je2rELNlVdNM1h
0j86ODtQNW5c97pjuFFzHj/WxnHOvdk2eZlDTY9A6XdwpiBSfJNCf4na38Xg+fB43p1uZWHc9XLp
4HBc24iRHFJU5XHTn/vI7h69aHZXsruFm3PqHKfDm+8YGW/GYuBtSMYRWoPQpxCbtKPlQ4L7ynoz
AY3uQxVMQU2INZkvszK5VglhN6PZ15nvVC08s3nDDxXY1aEH4uWdZ9u8hV9MVv7pOCq7hoxFnm7s
Cbb0peMJ1KuOOmKnO2hh1upFnoGWRsF7aR5SkuLSXQYsa1fW9NKjtVkLqXHCbbOnB2+y1bXIcFvQ
JalYibRLT9fyURQVCNieog7HxLPOpXKGK5c20coKWIh8euXRKuq67UwczSvYobtTAUk1JwbbmNwz
0tQrc2fhExwtvEa9VwydhKGMmyt5NSWWfZRrW9shlqa+FlKzCeUh9+iGDIrgeexG9yUMieJZPZye
OAt3p1QvQbZjKgzajyakhQFQaPICvDhOqx0pne+kjcXOyGqyy1pVAd6as3OQPK29NUbGmTc23zJL
REHsZSCaFn17y72a3VfQBFqJmAv7sO6mY2ZVBun4djxUNVCCEKOB7F5zX4zWLVSaAhTEoa44IPs8
3RcLXa0XAL3KcFTnTFUILYwLENa/DUW9r5x65RCwMBntY7NvQgzkUXrouVATwsjmRQzLMu8zxHH3
1CQffP/jBH3TAImrBrb2EH11IfP1bFcSpBT4OR/YkFtrAOulj9ASll6oHHSqoQsL4wL6krcmuYCs
zBnM6lZW08KmZWurKe5ELmhujxBFmPbKvnMgNiJMd8OSInD6/uz0UC99hraqVDeXGbw96EEoEDDM
mhzwVdBuyPuD004re+PSfNKyFS7AJB+isQvnrr/pGIScIDxRFtnu9DcsxB29OkhdNbhiVtOh7znS
8AzgwjUZ6YVB0IuD0ONMEo8AW0TjLICa91e7cyu/NfqXAgoIG2W5K+Fnad/VrwEnw4ZkgYihbvCn
/ANqaYfdeK7OSBghffxi31t39nV8Y15AJ3t/l18mD+LL6c5bGJufDPFmZQAXhHaN4r7xIKnjtoEr
9qcfvjQy2koX1Bkzp+oAq1XpE1T8n8gqgWjp0doaV54TlzFDiaWF7dNsi09QA13zlVrqE21tQyrE
TEkyAayXqmKbEPIdim87LEC1Pd0vC6uOa2s7bU2oexjFcOAyh/d7xOZPZpZNQTnN7DGeILX9sXa0
1d33kwMvgLYJSZOFHmS9gHc7QI1uB/WsleLBUl9pa9uE6B41pxTj0HYbqyg+t6y+T1O6RoVc2pd1
qzdv9KAZpUpkFVb/B+D4cLr5zod0J6L5qinGwKDtBgnZYeiSZmMnILhCtcWBjK00a8hyD34rcJkI
DaDTXbow76xjpHizt8A1oAC8c6zB3hkOrc3OonlcmRULXakbvJEcMuOVhwynt+Prkhc3Zmzg4o09
n37zpccff//tm1uA5HVqVmEpgQFzCHuApFsFG5q1qbAQLC1tScLOwqJjVGC1T9d2f4Gi6t5j0Y4k
iQ9QVvCxr9DWZtxCdSuvijqcSvUNANWwYfP1JPN+JXdYGl9taUJ+NIKil4E8PG12DFwcnq45BC6V
qyxtOVaoms/N3KqwTe2viIth4RkPMWPtRkIDuZHTLYvlfVuSXVW0a5TOpWHXFiiPoepeF2YRunO1
he34xdRBNtlaS+YW+usnA7g0LooIB7qwLjnUexy1MTyIz3xosHXzt35kbB4mqSAl+1hOgBs7X2m/
spAXihC601ucZUJ2Nja+rB5wAwedXvEFW725sb2ZfO0smVybgz08sAbi10ZCx5V2F8jFlB03hTfr
sCcwO0vmtg6bDHrd7TWwuLY7oHoM7yST7CBFdCXq/FChaCArSOR/sJbHtPUPrUyZl0PdwI4TdE94
ENTNZs77bZFAImv243RYKU4txAGmxQHhuCxPIAcRdmAmP8QOeJk9N9jXsuj4YU5jA2ytZs1GbGF6
My0ezBHqYEw5dTgPoVWKjR1L+AXMK4O19HQtGjQUVbXp+HQ5PqZWtYlRbfNWU/zjiL9TXWVaPFCg
dtMyxtaG7Zk/G7B733NR2N89KlJ4FxTJyoAsfYUWAnIKr4ixQNwZqAd3a5CZlNjyPFo5zy2EAJ1G
DMq4dHLId4az0Z0DVrbLGF25P1h6tFZzYXFroydZEXooM/Vl9dTDRel0bFlY/1TbyDNBANbJEReV
GOzdMLuBCWokjirkIp6N26Z3jLNx9jgE9NwPJpa6KReHrHc2CFRIjtL9vjmr7x20cXzVM7qyfS1M
KZ1cHBWTLEHuAFIY+rR1U+1y51KO7gGA8JUWFiaTzixmaWLDwoQMYQ11MQ8oWm8PYbiVhy/UOV5Z
NW9iI58rt8hYV4RG+efYQZycq41lQQS2fXDA9nPpyopYmlfaulY53F3b3EM7nGymNj93bbZSyHud
9u+sap2ybAg2mrLE6cGzlAwUMdONlzDIqHokgWgyFO38KO3GS6dx2B7mf9EOrl3WY+O1Ev6yg+1D
VX7y0y6GagEp6Pcc/nAghdrg7kI+6y4SMXvy4BJyO5W5vFBmC2GNpgCbiDnQXxSZgnQ1UvyhH9NN
42X5A4qw3c3pRbM0Plok6SrupChGqTDK8slP4mTX8A4mAMOT09khz4gD8TfysYRVJ0n3MxPFOM1F
iMxy00Z8W8BGKV1jRS/sUjor2m0Qz4soUaF5tPhtwwYXNaPlBnEOLhBdSWAW5tnroebNfJ6UYSso
LSvIOz/JZFeLNZjP0ttrSYQDkZF04LUKDblh5gv3FKAYR/rNvlrbWZfe/RgA3rx77FkR/F7EEKYe
FE0a1/wMqPz29Dxaev1jm2+eDakUUo/wwglbxSZ/GFMI44MY43cDRKwjy7qEBPL9x5rSEwSR2zlu
SlUIEADq0bAfwiTNwJmUJmJLO3xwpLWIMpR27RVZXYYya58Mp9hxU35sE9Q9rCIFQWgDyu3h1MpH
2UW7lFQfy29eTypvxgG3OZC89TA/eTnXWxQCzTObkaGEtnsVrQTEhQ1Dly/sgad2IgMbrQl1y8Tw
ztyyvYkL8rGO11UKa+pMiWDAbXcTg5kIDZS9diewsAJ0Xj68WhvPK+IhdNtKbRLZlw9gjqQradPC
Vq1jAWveUJV22RDyFsJ/VbVV3uSLXPmiXzM5XfoAbQlDKNzkvEiwzcFox5FHCZDMXEtmlh5+/P03
cwfEPsS2BBRDOd0xr/K9ag3uufRkbckqMJplkwjsMo56iUqLg6TqJOMa42JpQmpLFR5lpOtMF4wL
XjWXwzhl90A8RWFf29lK4XOpCS2z75R0erhrgYgn40ezz4IBS81XEg6sp6PaUhdpG7HHoyydCI7d
OB5fJJG8d6v+20ceTXSAH9T5h8iAgXA42PAFy4pNuxZt3n9pokP6sljCAQUWKyFIvxClGf3K/lCM
ITqLHhxyeBd1oFVCezAUuLkyW+/Bidn2dJe8P5zwY/hxqouWOeWQA/LNJDZYM3rIj8AfSLivjOb7
2yHRRRaJVXZ21YMYCX3ebW6/ZKN5NsMbyICWTg5e8Me+4jgsbxasXQG2ZEMWKzR6dSUNaw/roaes
jT8054mO7TNh2kWnxurBVoNRkKD7TB6cag2mvTQE2qJVYszmBF5KYVRX4JQTGLarDD4VuVpTeVhq
QVuzVQ9OEax44pCU4jlJ7bA00y9TXd2d7v33wz3RtQ5aOUWOrPABXSTAbMnhLmEbl8xyoTsr70+3
sbDAdCRfnEVF7ow1xAcYDOrKMzraK4nCwgzVgXwCIsSCUjwZt/B3Eu4yjdt/6uL5LMJm3pfjvLKb
v38qJzqiz2FWDUVP0oc9Zd+TSZxDtRqWOExct51zBkcb5IieDcMqN1lDjS6Muw7oG2sOm4AI2Iga
G88GggNwX5OS+EMCo5HT47KgCgFVlh+XXgaj+gxGlB3Ua4YKkohdf4hlAdCZJ9voExMQklfqdoRu
WhZAsB96frVxzJIaCX1/s/YcsolMAbGGyOYmHC4obMqMRgkbqKm8vJ5g7vQlNk0Fj1Y2G4bvSpJu
CydpW2hy8Q/Gbx0XAIPZGb5OIwRB6HBPCu86n+JPp3toYRB0TADQcp7bQPE7TAx6Y0XueSOdW+D1
gtOPf//cSmwt9M1O6nX5bOJ21ZSfE4Zbgyi6KlpYRDJ+PEFZ6Tfao9h/urWFj9FRk90EH8kpg/ga
Yf3kuxV5qHBxBaOltePT0jrXEqTZJBP8adEAjLScElSPp4+9uBZkAcwWRtHwPpzphUi/qfSim76d
fvRC+NP52AR6znDQadsQPhBV7ZMuM2q/M4HWAjwOAiSgbJkrg73UO1puFDOT8cmZetxDuX4zXs1Q
2j/9EQtP1jGRLmr3cUPw5Lr8k8OpeG3rXHrucdq+3ZkbIzGHGrN/pvU26cUlg6PY6Vde6Hcd+2h4
x0qNK2B2M48JinXZ57asz7gANE40ciVqL0x4nSeewKW17tMsOrTgI1BiXsNIakfjtfr1Uvdo0RMK
uwUU1GPQKm0l9s4wVRcNLjJXXv7VvP7ngh3RIY+CeaXdtwrLtVDO3kjmxIejoLWBYRcyjQkuBmKO
lOEbrpFA8j4jgaJ9scntzPEHyGL7qpqHpwGX0kEDpXzfjRiuIw2znFC/jMzAUqy69qy8WEm0lrpD
W/2JqBvLm6HLZHZV9TnNvPRSyrT942MTRosBZSLarBGxPHg5rzcQeonPjWGWQeJYMLfIoEX1sXa0
dItMKRSFEmwmsDACFdoBqEV4nyc4agQGLtg/2IoeC5p8zJGT9qFT30rnBZKzG9GcU2vl3LEwFD/B
TUvQZBsDU6erX0T6xSs+hmMlOpMY/NLBiyHYHbo8RBKwmdmaPPjCWv2JRTzjjed6RkBwi4fUJB1E
neJPacQ/nx7XpS7RZudcGnBpxHEptMxrOJHD52XtzLv05trMTOaZp00ncfPQwTMs9dNS+G1hfGzT
trX5iLQP5s5mBa9d1922o/CZSQOUlT7WK9o8hFpV3Bom3h0GFv5gXI79GmBhIcDr6DevIoYxQeoq
NGKYSBjTZh6arUo/jcXafrrQ7zoITlYEKXLXDaHdQXgruSBHnPe0knIsTBcd99aAwQa/pg7BDB6e
yXRtysfTPb5wYtGBbXAKPVrk4CTRGP2hS6oNaWFqV97BFzeYm2hl1iy9/rHP3uzcXovSA7NReHBS
5w4G3BvaFrenP+D1GvidfYkf23zzbPgDDHU69SgiwdLI8uHOZPqqFFYwwiowmBTBvXopnWCwjz7C
0ItUZ6YFY4YsbtIgoTXZezFAJtTj0F/rPeiF4SwVGm3d3eF+vvXVq8HRBK6CcEv3ivOpyvymorDg
gH7zLsoTF5GSDFfO0f6Lwo5s68BgPcgLD5mEIF9Of+fSBNaWhpkCFZPA6SuEc1IBF9NkJ6V7zxM4
+TIc7z82UDqC2qmsJj8G1UMFrwEl0JtrSOAFvhbREWpOxgxvBlvyAM+v5FsGabl4k710TzBRzK+y
J1ZtosJfw2suTDgdf4ZKeiXzCo3BthCC6XfRvMKBXhgGHX2W0g5AzQqy1LB3ckXit7zwI5hTFGMf
nB7ohbO9pa0Vt0qNVFGWh04Xf+t6gFlV/Ano43QjOugCxtl51xiXFdx0Tre31FXa+mnzAX6sAmvT
mp6s5pyMayF3ISBa2hZXTaxVA0fMqt3a2zLa9X7NuvG8qNlaxWBpNOiPa78Z8raxEjcLi3w+9LyY
Q9mM3XcOasUlKvr1ypAsdZG26UV9MpuuDU81CcWhsffOU6v7dLr3F76Aa51UepIzN4UcDZxTmZ97
3V1Xd/dyBu19rM9Pt7Hw+jqOts1dc+rcqMM1fnrDu+gZDI6V5cAXBplrXTN12FZ7u+lDOA1Om9bK
rC2AAsaGO0Nv+SC35JGfwGhnI2Fau5Wwu99NInWlb8NjE6AqGPHBnVQ9wAq+vHBS+N7CSw62zQkk
NVvIi98WoFo9mJzyIO7hlYVeaXZqmlzYfCuAwyoa74Qn2oc4V92B2bSDc27rpgn0Gkn53VIlvZub
tt+BN+H0sGuFCWUZTdW2VyMMqLB5bDgOebR4NB0jKs763HYCAD7NKxg5tue1qZKdVbLslnSx+b2I
Y/kIscv+muIZZ10NBjNsL9w98pYI3nWMX8PSHNcXyQzM8kpMXqjKWFrkrwku06DqgTIGt+VZnIzy
YWySKbAsnEwBfIPA9yBhs0u9Dma8p6fMwrTU8YrKiG0aeThqj+0Aa4+K4F4Ypg3z+Byr/mPT8ifY
YtdnbV8hJZtI+kWQ5CtMr9d2m4W0RoctYnee7Kqe8xDOqWpTGNV9OWdhUjr3g5KXDCaJKx21sLZ0
mKKZwEPR6XBFb40xfJ36sHLNj+V8OhJR1lDnU4LiCDI0gSRPZvTl9OAu7DA68vDIIJ5nCr06eOG5
LznrxA4O9ODLw7/3pobG/qZNJ8NPXRtu5iymu9PNLoQKHYPYW4LaEHuCwH5Nt4DX7mK4AcbDmprR
UoLB6I+bQQ9CgC0g2IbbxL6KNzUoG9uusN3L0YKPqIzgDl+bROxiV5VXM4uc69ImEUzRRXE7Qcvm
CpIR0cPpb13QqCQ6RCvNWwDyuYP7dnjcbvsC1s+AKdVHu85hP5WWHRiIxtsaqMltnbN8OwiD7DmM
7KE/rNo/48optsUQZZ9Ov9BCENHv//NWknnooN/TZqqDpBqqFLZN9ywzkfInXbZRbvPYV923082R
11F9Jy3XUZtFAw1G0P2ON1FtEhoR4xezy1Tuu00z/2HCp/S8STzI9tW9eBipYz+7uQN2IJvA2g+G
whKbai5A1mM5c7ZMyDo0I9WcS1pE18rLzMA0mbPLh7x5hltWfwmbTQdqxhYffNu0kms46qU7g3rF
FxiUsBROiL24yLhR+bGc0+tUTsaF1SRkZ0AE88ZUlXMzlZ7zZQSS+gwE0KnDLY7hBhwM7ydoPrQ3
shZ82zXV8DmyhXhInEF8I2ORXJZt727irjHPxDTHjZ+TPL0AuXG+s+oS/n2qqR9siXviGLPixa2o
U/pJS7JPuOYYN0Mxj4AWxxPwjg67lrNgfopamU8gcX7FVWzD9DNuiqBWKKWVJQz4UH0WG1XVVw1M
lT+LciBbmIc7T70Fv/LcquSuAk8/ULK3z3p4zAROQ+Qfs+AcVrIu2fDG5Jupd6pDahblBqdAuekE
ZApIPmH/hLrA5ZA4xosTcXqW2HYUGBAKuxhMHvnFgL4vyobvkwR6q8DMO2eGjI0vZseTjcd5HNDU
yiXy+4R+duEJvBuKtH5wQGb0J27CmccG8AcTn+5jk8QbmQG+CBhe8qCyOYfbYTHdoCJoARtEypuM
MThlwIPyjFWsClrY5G1hI4SqOPguic+MiG9yGNqFJfO+t3U/nMG9uwlsu24vysobzpzeAf+zrfI/
5ljF3/KCNn6RDsAbJipbA5QubAOvYeDNIXRgoCc0tYcyXWKKC8obdsmjj1mpkdeA9+bhBGa1tFU4
+nm0usapFkpqpdix0v3gTcwrBv9NA445dE1fjN7BK6/z/DqpXtxpJUFcSCR0VJZZ2qySEwwp0hli
5VAor6AaPrplMKwRdpa6XkuPmsm2QDhHZJsnBWSQSL1zrCi+EjcXNq2fYFkCcwsmXJCL5GbgWtyP
wY0lI9+8xsl/fB3/K36pbv4KiN0//xu//lrVUyviRGq//Od9VeCf/z7+nf/5Mz/+jX+evVRXz8VL
p/+hH/4Onvt3u8GzfP7hF9sSstbTrXppp08vncrl6/Pxhsc/+b/94S8vr0+5n+qX33/9WincR+Fp
sajKX//+0fm3338lR021f7x9/t8/PH7A77/uX57bb7+cd/lz+e2X47+XX4OqfM7/9XvdT896ee7k
77867DfHs4HIAkuKudQ9ztXh5fUn9DcOM2r80KZQW7OPl+9l1crk918NTn/D5S+D9A3jjEOAAH+r
q9RfP2O/Ec/yTJdYFBYILghZ/3rrH8bt3+P4S6mKm0qUsvv91x/3V5dbFmpHnsM87licu/odD3xA
B6BTCuPc4DCnj2Rtb0G9/BPOw+12iPLqTPHpYahWsXfHc9a/t1m0yz2bMIta6Bq4KOtX556c3bqC
RPKhR6J+U5sdoGblEFWP3PaK5xxMxk8oUOLY4+DW/hxKulO/geIEyTa9nW2TsoJ1r1WTMFWwKt+Y
FiGhSMqc7NrcrP5gKMzCYhu+6i8QtbBqiPSP6eWkRP89sQfzfpqT5jvKFmcW7s/UJiJq2qYkU5d2
TeKvUFt5gBR9jUR8diF/Nwtq/DEZpbjJPXEGwe7Sz20GU6yeDlL63GzS0U+MyLw+Ct78lZH9Ryvt
UsCeoKu+S30d/bD0ruuX8k62Ly/y8rnW/+T/wRXnOYh0x8L28qoLquxb9cs/frl/RmUtEcXz21X2
P3//r5VGGPkN6wXINsumrgfyy79W2utPbItQEz6L7HXF/GulMec3TEGHe4RzChjK8VD390I7/ojh
FV0TPj2c4YH/yTrTeGEgR1nccqnFXdOhjJuuFvap6c2VwfPqNi6+p9bDCMpRm3WB4zgbYD22FdCi
Fa6xHMAVAMCH78baZqmdM35+A630AThhxrwWb3C0ksC897syDqB7GgyX0zlvAVFpboX6s7DlRtrE
94y/cuv/DzP5f7GzLC6J/4MT/RWYsjzJr4vnH3eiI47lrznNvd9cbA/Q6yG2B/bHcY/4a/c4FsX+
3i2o/RtzbUg24jDDTNM5gjD+nsPE/g3IIcsyKbFN27JQrvsP9orX68l/B20H68T2XCwt4nqOCaOg
Y9LxJu8S0hFpkbo8wDkDpQ/P5izbGSBPs8AbJ3LTi9mQ533v9s2lUY5e6WdqdJUPMUxkUEYNErlv
QOzle21EKNOYRh1dATfSww4dd/T4b9IBnCUV8aRf1hH/CvDnMPks7iGyH3luVoOMUmSNjyjA74yy
7z+bU5PgpqOuUlzLt7S0AsurB4UjVWPeSmkkf5S4YFTQgnSzFMgU1xx9eAjDcMuqaprtCWlRSUCy
l1B/7NrxqSg80kK1uGWWn3lOgxStaVqy49yw8y0QZJXa0SrlBw6yf3Q82Vh0M6h6ng8tawndWFNH
si0OU4UFTbxcZLsuE4Lde1WG8pTMEse3YgZU6AgbZoh/xBMA4jJuOAHDUc37uaiI5VvR1BgAWkY0
C7IhYXc9wUduqimbI3ibtyt0OT08IdBBmgWR02MmQqGni3fBFCI3FXyAgiHy6nLfK4M3fjQUxbC3
o9y+TfPKCyJuQFANp9crszMldIByYds+GRx3jweXN29C/d+pytvU5McUHJsz7sc9ZArEIUgXHF3z
luR1jHqr5waFytgVMewxqJrB3aeoKB4gouSu1HneaQ97hwPXYeRpHmL/j7N7iMw+pyjmBrAdmndK
tuIpcisZFLLqvhKatmenv+/HFP34fVhExwzO5FjbTK//qLrLXOqBm5TH+LTMiIeDVQ3pJhJRvvJp
P541/m4KYQTmAh72Ib3q3VVeZ8Mezw2MKXW3pTFWX8VQz2tqDj81g/DjcQv/hfrb6475Y3wYZJXO
sXCC2KDuNk7mZpfEs+Of7jeq4S1hsIHyueN6HvJHNIcZ8uNIZcMIn455sDYyirre29ojN8aAxAOD
WgyTonlQNDf5U24ZxDgrHSq+x9CVqrcRfCncCLeRLbdGP7d4jyiUZON4PQ55ApCPHKzoKbViUfsx
rTJwl1K7prBJoqht+TiFx+U+45Xx4qV2U1wCzGH0ezXO9iMcMeW0naXCBMoQJNvYB8UB7lFl24EV
M0uu2GZwh7l4SojVGMMm8eap2LnZGCPc0ZK36Y4ZLL8bmIEYIUEqLYM0p7ikFV0XWbdgC/XJphgc
yJX5ETxxi2DmfdyGdqQYXPH+H3VXtiQnj2afiA4QAolbIMms1eXyUrZvCK8CCQRiEUhPPye7I2Zc
aY9r3BNzMRF91f5tEiF9+pazJMEadCSfLQJwguFkwqIBevtN4q5VHaAEFCpl3SnQiRMVmnsDOmmA
SPX3ke91BKFEaAX1+TorVt+saChhJ/a9wggvjBZZgaI7djpP7ebq296GKbjGBh3Y+3oLx/Rd2tfW
FsACyuQL8hrdHQyZR3NsOPDXN+Gg6w89mYK5RBrUrh92DCG+ehl2rxMw9nefzwbq8Q9n2SL5HoNo
Ob3GpH+1b2GtN8oTb9XQ3kFqbrToo+i+Q84+wibHlDIhcVRR6ACup8WP1tx6+JGr9wJ2vPLRkMVA
JD6emvberzogN17uq/sClrTGT1m4yV7ZNa1daXo+gfa4WggBqX1sYUvb0uSLU113twUCdi8NPLQt
RILkPH6rRaekzeWC3uwJvi9ZnPs0mtMk5/0UBO+CtcvYO4UTNxRtu/KuGlqf0QOd4MD4bob4NX1j
YZq8v+9kK/RhFnzfj1vfWQ8TEkyoXnXGaxHktjZd/YFaFqfXgLgBxJwGItKf8C1gy35qFrBeRGlY
YslnIlYWLMcRLT7zVaA7uW2FEPOmCs2zdis2Edsgr+M2IiWzuEAXnZ5BxcGmRKlaauG1Ftfc5CAG
zu4En9QM/n2ZYce52eL0ONJBg4+4r4BaLPi4/IixBA/zJQjQ8Vzwu2Uxad/oykx+hYENNI0/Ongf
ktKvCoP5dYExXRluGHXn3Szq+gBaa4IjtrlxKdgGX59rvlAr4EmT+OxAw6BFc7Tm7h2kMMVtqGnH
D9AybD34E8GSHcAOidI82eh05SUbadlM+wxdB7CLpgJG5wS2SiTe1XHXLmjzNhvdngOL4BzMA+JQ
3MbU7KJCrW3dCdiK5EaC4qCPGqYSn9qBibEC2JoJyNEQOVbGtDBnT3v4WpxN4dLwmkRJnMIzLYAy
DRjl+o4om4lXdlmn5C1sMUlwGuI1tEWkQn0/24SNiEfjoMqprwXsWfC+hTABLheOe6aHE+Mq497f
OTqNXVDOPot7/GSf4uPil0PuPedrb3IUS17fg3jTe8zyp5Zkpx33BiIQ9WKiR3SPUyLMtYmJIf1a
rrrrRNXx1sxlwPzY0yOsymq0M/8cnC8uNTQTUM9z3G2QU6FoaF+UOVrXAlBD2FnBW5e+yvawL9MV
alcg4AcvXGoXLqq4BvCsmOGqOV+hSG8vrgHkaSOOHGvKcLIaqi4eeAy+bSUlQ/Iexk7t4xij1Glh
anJf8yA8DHtWF5NqXhpUX2QO5x+CGvGcnvMUqfalnXtmoNy9MN2WhDqWnhDExReKSLPnbR2y7JZP
NVQT/7zQF3ctjSNcsFESJkiSUk4uvW1lrSMaULqVkdlcCTuMIe/24SXv4l+fgvQrRv8KyUqC7B9V
x88ZP6Ra2ma0kSsHjMcPgI3Ko81C/8KN/punoNWFlcNtjmzvcihpBmQUXd9CKatZwtfTTMnVFszs
659X7GK2xbBklKGhhjYXsqAUjYDnL4PbbdFW1VvZ7HJFccJTVdP7aYLi6WEdWTa+33uAYq9Iqsf2
GAYCom2I4Bn68sYut1DzCKOj0Tvk+qIlddl9I01m/9XvedZY/TnrfT4Bxo8E9gpdBwo2CY4QVuX5
j4xnsu0GmoPlajp2SDJDi2REXysbMtwQXOxlE2DW9M+l+T8ozf+/NZmis6H4f197X00Xtff5P/9X
7Z3G/0BOHiYsSwjnIT93qv5Ve1P6D8QdFoaob0OWon35n7V4nP2Dnbs8GUmy8PzX4/+sxUnyDyT6
qNPPcfGff+1vavGLbRInqMXDczuZpCFIeZfcRY3rzklDyKFXMCC9tjNpbxo5R/Vp5zbOPiXDMLIT
dGiW8O+gtDhAeDQ9n1R0FmKWXbLLtfFtq2gdHugKQZtAS/cWkKy5WG3YvCRvdfmaoNQgtKa4Rs/9
D9Soz0+D7ecoUU3qcJ30WzXP8bd2m/bKo2R6iswy3jcQOHph9PPbZ0Z41rnzcu7MP39mEqAeGHro
PXPItecs3s33YGnEE+yrgnu4xj6mE6cvPPPiBonP70lYhJY+RUecX4piJGAWhzPNAJIZBYSb6kXG
rxTE4kGo1Xv3pp/E8Pqnff4/qK7PT0T5BFLtOeCgN/r8LTeYGU5dM7gy2aAiGKOHfZMyT6rQxBsE
5+f1+NfPy9Be5ZSF2K6/xLW5kzP3kXHlFAsodqsClhTN/ZSK9gqQ7Jf0Gn7zDbMkilCIYsKRoN36
/O0wc5zbdieuDJVBY3V3r6Kgu2t78D1SnZxi3rz58+tdXGHnD5hhj9IIkx50mNlFLuLcjozbQewR
oJF3s5XZdYLq7oU1/N1DIKuARg3yqyy7JJsSMChgbwx/J19H6N3OG7Tcc4jr8Ks/v8yvq4eGIwIc
Fi7CVRlevIxRowkhGOFKsU1+OaYTNExfxekZu7YGGcsOoxwgA+7l3O8vcfkun42wSjl0fBmiZxKj
Jf/8y5FeYlbfTL6EzGVQWDEu76LGhlU9RyYXrfbXXmOh/y4DQZ4aIqSh/QM8y3mPXuwXj64aQ9vd
l5ArqfuSpnU6FQ2PxEuSY5efEL0spKQJIym8sPGiF0u7BOk0NAzQ7QXe3SCjNvo16UPzV5oiaNSe
4yUqDx7DYBS7/yKEMdR0XZA0wD3wyH1SoEkCFwJd8JeS0F8+VoQ3SfAuMPLBxXB5zKyBM5Ecal8m
a6q+UcTUQ5jAuTZMoRepcZMUkovlJZDchdIiXg/JL9qVDPcoR+J/SSvla92JWYLGlZIj1B1yrg7w
ejhiznqag+S0yexQj4DNxy9tk1/eF2NafL+E4wJMz2fk+eak6xk/qma0C1gsbjcVC9gcD/BL4vqc
HtOhtSVM6pcXOqEXRVUMK3TkxudxaZJBsuqyM8l0ZjeCaFfWfHLpuYsA5lou0SLei05DC/aveE9Y
XzwPfTVCYWqO0395G/UDUCsG4i6lmExUdukAx3WIoFd/jjKXdx5LKAa/DNViyECc/wXzbiOcad7x
EvpJyc3eMvcwOe2PQRjsh2Zv/Qs33i+riOfF2DeILiGSpkuyezChu7r7BkjcJpsPfsp2kUMQA5ax
7YLr4m8jCp6G1DCM03OihvHL862y0r1fwEFk5cxCdTUtvM59A8efP6/h794pxVwTpxCTTWAJnj9l
bGWTBJ6zktUj+6rDYfhK5ayhQEmCoPx3noWqE2cOddSltN6yQ4MgOcONbVijvbfN7R2AC+21t7t7
YcP/EiXPi3eex1LkQkimL15LwPxKph6LR4SERLCic+FZP/9tlDw/BYcK8zlk5eGlXzWZk2xbpULD
n9nhrdWjvO4FNI//vGy/2+Y/P+XiXWBTYuYYwyJ4J5LgRkgslgMSrPSNiNH1b7oXCsjLOS+mdOfX
Og90zoUGMB3P98QU0NoifrFySpft3TjK9s0mhvhGtU5VEWY8Of6UoPE8hxhZBWup7BqXnqwbLAeS
KhRWvTBd+iVsnn8R8jCM2s9b5xJU1aiRMegKYZfOtq8CzNxuMeRi1bzpppjC9Vu4TeT9n5f9fGM/
n1XimQmaJKi4OAag55Pz06xy7bVHDzti5R4TiDJuiT9mXdAfO7YG70U8PIp63e6WbmenPz/4t0cS
s34k54wQXBjPH9xMtWPgv7MSErPxKRo7f2hX9HW7NmQvVA3PAdGI0+d1/elR5z//6R259l27ebzj
2mz7bdNEjzAWU3mjE1Dx4/7E59C/MTDAqABFHF74qL89owknaD7RNOSXrHmMlOJ9C/BRJ7m1xw1c
qaObM/3vBJ3/esolbMJANr3ZLGMlqFj7DV0bmeuMj+iJoMP75w/32xc6h2xEhIyjSHm+mp3fAoPM
CR+OZBZdWjZ8YsP6UqHw232JjYl7NUMic1koBGsr4G6NZduTVF9nsWfXtt7EEwTR6ecBmgnXqOeh
iWkoeWEpf/9knuBaSrFz+EUgargOt57gyd2mIsg8miE6pWEbVMk6NNe7oRNQqK2vtsmqr3+/tEh5
kSTiSGTAwDxfWt+GY7BBCbeEUTN74zUdrluyixci3+9O3s9PucitHZu3MJ49A9IALj6g1NHCRPNU
tTsc1v53L3TRl1j6rGe8wcnTzM5X0si6mpf1pXnq764Ohg4EOhHAtvFLZRamIQUwEryQMxpYZ0Jt
MWfIyCJmQZT2fJhf2CK/XcGfHnhxdYTxFCYYgLDSpF33VSekK1Xdte/nDcPLv19BtK84OgEpaodL
PVXDBV33DNeiRQP2K5usu5q2/SVxxd+9ELopAHiFuOXppbOWmWljRIIzrWgGq7swgtMGFB2rAV/v
8OcX+u2jMGwENjM7DwEutsTUhKIBDIWXRvMxb8Hh+cbWpD+tdbO8kMn+LlJxtG4ilKsM1d153/wU
9zsq/YSigJVLTKMiHM146INEvbAZfv8U4E8BIEJPPrx4IZ6pNCaT4GVaj0kVAUx564ZtfaHX8NJT
LqKSUzPqGFAaSjdJRHlhg0MbD/2/9RRM4NBOROv/n3TAn1YMYJGw3S1i32CAR5jdTvJIyfaFLfC7
d8kwkUnOoK0YRfHz76Jsjelbj3dBpUzzjIgesT1+qTvzm42Gpitu3Qzd6TS9VKeYSbJCJXaMykzK
bMynPVr3Qw2xqCqpa5G9cE5/fdq5CRSi2I0TlJ6XGnw+oWpVdRKVZkzA3W4m4HbLvk/j7jYcEpAg
/3yKfl3ChGZo2ofn4VaCT/V8CSPScheGDSmDqY8qpFIgtAv+dyrX58QpSaL0nI4C9n1uoD9/yszh
NgYsHSmHxUDx2LAxhiXEJKyEIq5SfzlFO+Pm0CpHn+KMvkGEuDivtscUNlMkKoc2TL6hweUoLPf2
7aV2zD9/9/OkF2Otc0+ewNQTfayL3HOMwCMcEwD0vHVq+1Jrkxp2iFgQuiuVucUZYMxorJ4wp6Ts
GNp4mwoLYEafS1KjlkAtgD95RNObtNWA4txUGUbXWT7UPJMF/izSgImHrCEHQG98V1gL0b7jnzfB
r3suBWYpZEgUcPH9UjuLSaphgdxIyTDFZhUDvEEUK2b1bbUrPTz++WmXtyyA9CxFU5UhnAJXf6lV
gS/mUfckdamxafp86wP1cTXNAP92/L0MENm9ln95qvBMIFxiYKWA2kAv6bwCP8WjdQY9odM0KzNM
+PnNCEIOEDg8DmSpVg05vD+/4uWpwvQ2PmP7UqD7UE9fVroYhe/QDN/gZTc1wFl6DNM/Tql9SXf9
15U8g6XpefMBLo2u4PO3CiABLIelAfsK8payhEIz++56CdZkUo+fErVGW/m3L4bh//l/uOPRk7hU
NUUnGHp+ntQ4yNt0Gmctr8Zt5i8s3/n44Kf/fLJQzuGfB42AYxyIOHhxhOdpmzWmQMNhI51Wn7sw
DcyJcSQvjy3x81YJE+71kLt6/dDIDjPmlahX3dTzV8LG+5pDgAqW5MxlOijF0CxvDJS1PntQL0Bf
DSDrj2g4fPBK3GQiegvrLnqKCKt5TmEkBXGZPqvvox6ZeZr22wMS3e6MEdvde6DslsPYevmG8HB+
BIPQ6BzYokncyNCP482WwCxzR27VnNy6Y1Cnosjda3aWgljStn+bLOt2jOuWXoUdwt+hZTJ5siKb
jrAjdPcBMd9HEgASx6EUmE91E33rJYCxWzTLT5HLZkj3sO4BAo+4VoNhat7G0FysWKzXssYvgaxj
PZY0cV8AqIPJ4Urd8mbPuqHJM7iUkXKXOqpza0BszKFyL9vSCS7GI8yYUnEIfc9nEA7hNpJ3fNzQ
rqP+BNodh4ZS0Pc5CJcdJKgpyU2y+Pt+HuQBFgNTEdh5BIdvgpcIhFRCBwG2dagcpWC8L1DV9HlM
+1Ae6NzxvA3q+c6JHtTLTOkQdt92fy8pOiKKkKRQyRzmUG7J1ipomvg7JZbYYg+Cps8bmE3k04CL
0QqyAKCKfPf9MrJAFEGUnFdKC8EAF9i2pki2wPdFL9CJrGq4m8kcuhwJe4rjbkvyAWCS99tA2Yet
2YCNGoIoA5OSR8PnTp79VYCtEz+6JdI3Mz7x+jaIumHJ8inhHCTiAdhhAnUmDrwnRH3Wcfvee9ZE
D7PAXyzjiaSvmIuy+hr/7IzmpFdwTm/2lIwV5lcYj8lt6aI7E6/EHlw3jSdg3eAQbTrwu/N4EC4H
oTVKb0TYS3sdDYDFvTIIOrBb7pM2/GbXvh0rDdjYk4qb4HoiIIgeVi76J7LLRxiwDaUb1vkDcYT1
+RxskGvsBznGB/BcaVfsdsi++mhRD25cfWUBN4ugPicUcHikhnmEnGhBww68sWkGiRTRbEy3Ek1P
I3KjWyH2AtJyIKourXPiRGS6JbMAkNMkg61aFsFNzCjqxis6+qavNCzk78XgFXzMYeYEoJyZx/tl
xsOKLR3aBOo5vO1KmZJFFQPuXXcnx1bF/eOAMga9ll1AHOJdvO4RztE2QqtfdoAKFX1vXPOIC3KV
FSGbTw4sk6N8hLNGj5O98YSLthS0s1CSM7COuxfLHLRrgeUgS7EnYl5LD+/VJM8UUxQ6QdP8Hhho
wws2Z4H4pEOlY6g5aMWqFB48wfXAl/lVAHRKUEaISzN8ioULG4w8Yc0Mq8kWMxPLZm/LbGADzyGx
DOGLFfoQNbzwZskOKRcuKGPEeBw1BYQLEFQhqSjO6lpuoZZDpR0fH7jFSaqavfMPIvMA+Nep1Zgz
7Q6lVmxE+q2vpzkuApZmTakRxqKqb5Ydo18D0lk+CtfqQxyu21jy8IwYBq/bvw9EkEAGNc5cfADf
QECytdubV+0otc85ZA4/UxWSV8leb225hiYAOCmaaZpPDGP5JgIduQQKTF0xIlgA0ZtIfAOPWW3l
NBP4wXgnIQM2YFtn0BqTW1ayqfZfNgm4ZjFqbj9aTxQ7UhlhyBIMs/icAgBJy34QIcatDXAOuZEQ
BYGHoGqe0ikwYR6bbYOtG4uCtnIxBVQnYUFThOBGwFl5H9I+n3xollzExt24xVvQmAWmVDnIecoe
wICL02IU8N3bQXzkuyzbdJfsim3Rlt7hbkePFnugh0P8EHFVhX3LbpVrXVZkS7Bu0JlnO7BvdCdP
jTAgqi0xgLWHPa1lmntt3Y8QYInmyvJR7ZVtRHqbqRZXlk3GkBxivkcPxIyuLaLJzw2ibMN+nL2v
75E6xfQE5fbkY5ouPryOl8lj6LVL6BTQcbYDuN0acWSQNPoOa2nrD7RPxo9dr1O8FJQdh5w6wVi1
s2h58gDeQk+x9Wo8Lbg6XquxJbggBr/CEcR3MYzoawao3oK67bbG3OZboAaWQhhp22guzQLFMmHq
djxGUO2Zi25l6VdsskWUHPdwdIh8hDcYY2cnmGHJmebDQuHj2tgpft0MUiZVY4IexiogtH8bBokY
xFM3Qz+iY9NSUaobWWqxb6wYe0a7HAMi6MWEBHDanFOJfBT6KuunGP8iAb6g7rYiZnu8HJppDj6G
E40/bV2LLjDIlfEHSXuVYEVnpY4RBsynOWGQuo7Mft5RgHRnkAMm2S1MxERXtuNUfzcB3SHIlmwD
AyCXJqYwKTi6lUKjg+R92q6veNSlBt7cAXoZ6NzNYEQ6IGSLGp1ZDpC72ONyDpx6t7S+C4E4jZXC
rbxBliah2/7F1wjW9ylp1ne1V+1aZarZPlHm1a1aupDktB2xPxYt+u/BithYjMvSZK+HdPOy4G2g
QS2GMAasjvplGwqIJTWQwgkb3G82MPiAWZ9tcekssMRH+Cb39hBrafTRDb4dqhWLnRSjcnjFLRJj
mMu9A7hwwnT7awJX6PjGsIFJ0MfhypzrmPvsuglhQV2orQO0GkesbYtuD1aQNBXibNHZuJkRCUCw
KYmKhvvG1iDNK3QYwEL3rchQTWSJO01uCKthGgDNZ9k2rR9IjUh/BbPzSJZu3hLyuV6djICnJbO6
H7THwB4yP83oDq22my6Bv47Na28SD2+eeB4a+QVEg3b4Bjn8tEb7kcFM+Ei31Pr53Y4iZ/afUDIR
jFWBSaFSv4YtykbqyiZQi44ONaRrRpTzQTSh5aJIl0w5xcIN6yEcvUnDYkiDdO7Kxe+2/dZ2DVEf
WKTBdMj3tUecBGLWsryvd8jq7GwadDVCMcVVnW6nGroQaoYLheiX8VVNOnkd42fAGksZ6fN6pt13
hOtFHJiZwHwdG0gC5TvIUFluM8gWwXBza77PUtQdrIx28ybsAWWqaOKTo8agoaugsIrAuqz4f0qc
X3LXY6qDO9Xie4LDhRuh0NAdZXcTJTKrXC+mjxT/dnDgzRgcY7NADCHol2Uo+YScNO/XRPFD3e/b
604uNL3ZNxV8sBEuyYoKsBvKzmu/HbZeTVFWGZnsE8ZJYnkzxL1cD8CMSQcxHb7aqoND3XUoTKSv
oEOx+3fTZBvQLzkd+VM3QLk9HwfWfoZMZAgMvlpw+fnM+qxSaz+BubGiOVps3vE3e7doU2AFIaTa
rLuqK7E3a1PEpAbXLW41RLo5sdmjMM7ckzGVyU3QBlDQHxponGPk2Hx0kIn4KKUemrcSkhvmSBto
fDT7jIA1mXa5ntwGFhvLwCs9AIcvkTFi1vWRdTvpC4J2haimKBrObDlOdRXSiT9oN3c/ItU7VvTQ
qApzy3yCzDkmGympZPtjx0b9BQGRvAXjAxoaCakncfSxlCwH6CLFvNWnW6H10vw4gyzosVdk/eaC
eQhRwXB0N+vRjScnlxGyFpx2P7IB136OPg0cSCa12IedKt7lyRDV3yVJF5QuY4rM3UAP9vvOcZsd
hsZMt6H1TgOjT3AxgxAwo4Sro+la6wZZoZ1jNlYdLgT4s6NdVMaRhAibgo0qPShUPHC6b5X9MPjk
qfZuLMJOfE62eDrM/fnFabqABkDd+gP8D5Vv9YZ/ue7sq4jt0Jzn67dxydoSvSZ5twuQYPJ2nrhQ
uHeG+aHBUX87bnv7o24Tsl416aqh376aKu1BB0A44pEucBPOR4f2f4WZSlBJJQgSZOP7L/AhM08y
oG921EENxISRHOVQJ+QMutVRfLTWgNmDeADgegvxsCYl8HCBbkpYIh1HKWPbtIygQvbYbzx0uFZN
dMvrABwH3sBzZI/e0lDsYLpMYzEtjt/xhpmKuCx7n2H+eJMhRShmpneXr+EWvB1bHXzsqdJvNqgM
VS2Z6NuJbPa15T2RkI9uP+mmRxMo8cFmckibrOT82aZy9NxfN0jvjy0YRxCTkOxJ8Hl700N+sqiJ
t/c06btCmwk5VRBCpSfp3/pdn6J17IFXWfwtsakttgknGzJjzhc2hO0OMh+IqHBJn1rTtado6OUH
jwvkECwqK+hmdJHUO78D3aUdsDdJneRBjdcalHszM1yHjVnp9eba5apBAzvfl/B2gYAW0/S4MBA8
AFEFi7SGvaNu0OnLUohOqi3qcgAXyFOICvvEBlBDhmEnHz0FkTGBfcN7rRUUBVMRslfw87RQhuY3
u6v1O3h5a/x21ZbKpdNNTbPrAMOYH87O5mqz7Yesp819DO3zYqThXIxtB+uxLgmemjA2t25K9Fuw
HZdHB6JYWllag6xlNhKeaOeWA9yW72Jv4ypW0MVBtZl7F15hyjQ8TSu6ur7T8kAWyBE4ayCN1zSt
w9Q1zD62RjKIvu11WzRzlua0n/jJCylKtw3tFfB66U039/4H50F8UhDMzDdF2jJDFe238FM6psFj
l6n6RMQS3Mi2aU/tiG4ENA1aWUS7eBiWZH6gXdS+bdt0NoVd1R2cewIol2T7ybERscy67yuAGhXu
nwj2uun6Ae2o/gARIDgv8Fl9rZXw1wOmjrddMnzWSL1QWMQslyOl5Wxde7P18OgIRD+8BeqXXOtg
giRwjYZD7tIUa8zDDgBZYyuJjLKDQV0A2d0ETadKoqbPZxyZKyCxXvtsym5AmjqzcVM95d7DxbbV
aiOHJrVpOaJDfB1qHVyPaXRtu62+oumgblaVvKd1HDx4DrMTPVPwjcMmxH70+/CUNiO7B2zlEQED
mtOS4m5IRfzAVP1jofPTinf4jOpjmIoeRP9Pe5c1XU65TA+JkvMbWH8u151vp1Mcbg+dXmOcGwTV
3JlaAmycxg9AYyDrosv2sbVtm+8eBfC+1q0r4hiFCO6lOAIFcAQQOkedP9TY5X39IYqdalBDoU1W
uHUebUHIkmYgIEb+1I0GVzaMVhYk6O20T8cpnO1eIH1bHyGkkZaoRaNHK4ZwP+DnJ1ORaTQVyrVe
FWjSpgNJzKH18LhvCZJWPnXkJh3Qt81HOBJ+GJN+8PD9SckXALL7qqEZzMwUHVhQgCMl78FvBG8M
3SFIK3IjNvDV8LVkMSJE6CLuzNLjwI/8a4QQq3D00uToMjA4j53da2C0lEK6BS+nEAFkhUBP3lKN
juzWoNlz1rPL8hZ7yOTw4whpRaEf1VZgU0Yq77tJQhp8jNfoSmm+rYVPsHh54PYAN3FjuchV2Nih
TEdoyQV1m/LC+IAlueKx+xhI4ppCyrSG6Gsg4qcB7LsB8tRRCq1ZSaD+AWrSdgcZWgaTDphnfJuG
YP6SLsvy0NkeYnF1QAUUfRG1v+qg5arE3dbH1QJiHTYmoHai4JKR+dCmA32nR/CuC0AqW5hLBXzC
xYTUcrxb0UVxhVo2NVYWFVFWzq4z8iDndH6joYea5hngGAxeh2rBVsDY7nNHnKQYRE4sBq912WvA
Z5cE/bBNK7ShIsGT14uj9d0yRxKKE5g51fneyu0+S8YoQEwXK/pNKcTA2OLQNtZ+rp9oAnpkEU6u
FSVFKvZjnVQii6G342cw3E1/tUO6EjDvrSbsLojPNbNjC/eFHuoBYGKqcNEQ7ZBSrsj819LVxnwc
Lcc79A5N08yicZQj0mL1iBhpA68N0sOBYB9HU5pI8TurO/7ojc2mqpe1StHcmdxesh2leAlF+yC8
AjdVeOANpq2SMBnq4Ae6SFlFq0WIbDVQ/SWwHjs7Zpqn0zXpprA/DuEcnFydfIyTnjQw0xVSHTZ0
YRfAkTtnCucm60/Itpfl0CFuv09NXH8XEjcP7OqNfuRtOzdwfR61LFHDRgQtn45/GzGZtAfBzu6E
XjT141BbkP9BK/QePT+AdQ5wGK19QVFtvetsjUY2NqBE1cdF2hwA9IK9RoA+sck3oeye04VOOJ3E
QYKB15m988OEeiyz0EUrRt4zk7chmN64M/jIi3kMOYrHnq3k7cCDVfyQUqnlsEJfbL6K0HO7006M
65vQD3Q8BgOOFIoRAzDsQVMsRsVbmFmgQTJY+NskIS6QMLZJUrZ+TIdi11nLixguPzcMNcs3ifnN
VjDviM6jSeqwdECH3Bul5edoz6SGpyl0wcnuEADXFLKlee21NoeaJsv92pzZdE3cBdiRTR+9tSsT
7LisztISiD7YrnQjALoFFXXjcjuhIrs2OsKHL+FENi5QJajpittnGXf6bsEASL2ezKzNnQSuJ6VF
Q7rOI30D//bAwZ7+YVyH4sdn/dCCXD2GaS76EfJ/6Gev4J8uXdAdNGId2rUpg8wfqin5MKxdiMQY
dgRxbmCfA91LsdLtkKVbV98ZlzDowyZtArRNnWbzUY9qBnYdSHoCYNY4b6tBCuCXNndgpA0PbEEc
zalNPIf2EIwnH5yKpugudLoP8W2XAVUJLJ9DtMZjtR5TYK9RiW4G61THomdXUPvVIzAVyBSeHLqD
tlw3ZIdVAta11bCoNSR8/x/sncmO48iapV+l0OtmgvOwFUVN7pLPQ8SGCI+BM2k042R8+v4UmXU7
M27VTVz0qoBeZCKBhLvkEkkz+893zllKI/e83bKgB9xEOiiXE3PMabhXChY34ZFvT0+eorRXJkQ7
G3yTTVOU/r4rUtk/l7XnNlw5xjw/pBob7Q/ZmY1xInRQiVO4eKB9PFh6+TRHkw2YJso8+uhyR/h5
jEPcGZvYKlzD23sIQ+1RscuNah5Avmhp7mmK/lIw8uuaTSTy6aeJHRHJ2ixinDszJpRXaCsmaNf/
MSh3+agwC5O554mFKR3RwX7tniZBRcSR6cwQvdQOehdPssZYDRG3UUr+74azIMWY+JCxbb9ES+Us
d6syguixqG1mP1ZRYBU8jG6uM6RhbHvjUUde5SULB+nmnfF5PSdG7iqj2fRWGbLXLo3Vqy5+A1Ql
9qiVzrq3PEtWh85mWBRnRm9whPTmKSo4W+rFZ5/XIjYRxKPUojZBSxPCXuRdoBMzkEZwmtPUoFDH
0fhYoy1bwKx5bfplHvdBv0zstg2WcuNxtovcqDbYeYzlBe64JEHRLJuhMWKpo27eq9TrovuGDEl9
k3ZRkd34HPKLDS5ht9o6CAUF+v4kaa2WjGyqAwWig3hEnErtnddW3nSpfbtDh4/IhgzJE4CnXckK
aMP2Tgxd0H9pLbSuJ12bfeOx3C2GEL+rwv/fpPi/MHz+Sfa8Ztv9JXvu8n3Iv8tr8pz6c/7Vz5/6
I2XuN2DTqwsQ9Rqm6ppV9YdXEROjb+PjMW2YJJzSV/Llj9wgz/kNDILAIHI0iFeBV/mHV9Ezfws8
J8IehpMbmTr6tzLm7Kvu+yfxlFAQQCUIUWDRqzn811BCK1wVdZwy2pAIYTxrxaF6MwwmT8I5xY8e
VINPVJCrhkQFOQHbLhdvYgRywdoPvGubC8OccrZPoZ9GnzBWt2/9sjBy9TgP1bu1zdkCZCJKn11n
lMdIYLhvdaB3f/rU/wvL3JUK+eXPgOz5mY6DAmzbv1CMpqvD3glluAnL1dkJB5c/jxFXMdwa0q2q
m/6xW9z8MBtRdTQpVfsbaOCnj/yf3gBaC4uujbfUvMr8f6IGeKR2jZypv1Ipga2Szu7zMBcYYIZ+
4BifXgNGVTalJ1GFxiFg+86U0niq/UwdWwaXE9hY7ETrgXep7tap6u/saFH7WfbRXtAbcYTIt9yk
Q0eHIhbGCyZXIy5ACz6Vo1rdsysByMFAqnXnzUN6+v2jbtbpb/7Un06aX/5U3OYhKTw8W1nQfwEk
2iwwp6Ci0AOgWTyy1kYXtZie2q2riPxd3q3LZQZJ8TfVEoZTTMAfxwjO/E5ch1H+hmOm/oKw48uN
uTiRajZVNnPgzrzRM7YzW/q/Yyx+Bkb+cn3AaEYkdcErcx96vzACs+NOtTUQi08ITH2xrOX7UIk1
MfgDk4hgiJumm9PTEC1P9sLZO2hmwjOygZSRZmruoATamszJrtlaS97vUxnU4lJUEVndlTW/rHkR
fs2UYFbQrZIjoZZN/+LSzLOpy2g+6cIZd47fmveh7nbkA7h7vsZ+x9zF37ZCOfuFWS8S/CDPoMny
rbId/aNzIuOxt5r6FBRI22kq7IswlEF1sWskwYRaxwqGwr+o4C7UbZhQJNs+QeRE39h8vMgqXF+7
sW/furxtX42g9rejhfHKz+r+psgUVqyx1/eKcEZNFkqHN6VqllODwePCKFGdO7Z9d9LucQKkk/OG
RJ3eeta6xFFE4DDD80s6FHO1JWBa7CrqH54cMJkKG3xKjaQHK7PyyzbBpOczW89bwLnhmKm1uCyl
upvqaLdIZlUROajRaH6yRU/UVxmypS85BJLSY9hD4taR+WAVHI02S0sI8YL2Sg5UWJ6zPBNbfyrM
OI067m1i2gHGJJ0qxJG9hdqIdsy3hvs+UFVSmeOpr3pSKJemS/710+dXuAuyhrsBJwmJnyGUqf/L
40dglV06sntiFU6z3PiLiGKvU1O/t4WQP+gHMA96sIytURb6bjYredZ+8DYYNqldlJ5xXFh6wwcf
difgHCcjiT/qisN0vfvR4hVb9MD6G57v15CO67sm4ZTIKd/HA4Jv/q/PLPRUrPTdNbhIsDlH5g83
0bwuPNQ1kSVcQUFTTN+tlNl/nVlOYmaaZJ66SD/964/v+jp/fqBc3wcoF6kK2KRQW355di6O0eVr
YOckN0/9c1Tw/ZZBzyFj1NbO5qDz7Apr+Lvv7J9flSi1AMQLhpKcgF8pZ9PyMxtx1riebPOJEsC5
f3cDmX0l0swhpa7J2nnvlWv7UlVdtAfBY9OPnDOmn6ZeoxznkfupH5W6NXAGMsq3whu/Jy2MXKe/
S+EA0Pr1M4LxvC5vWIdwMZNR8NfvShLk1haG5HwcIU97Y3DHm//ItQBAqoCR9lde25I9tniixbs9
cd03U84cigjLMI+VKqzYaO0vDPS6e6+o5aWyNUCBtIs92ZfEpLup/Ggd41BwwDxN04Bi57VvRD2Z
sWv1Vly0Kn0i6L05Eq9l7oPafZEEo1nbNUz13jXJqUozET4xEwTMmxG9FL32LS3uwXgBf7Lm2MYR
tLGU4e6jrL5dcnvYGG7DZESHesPMYHxTtjNxzsyje/DQbCPH1GQ2kvrhbjXX/HMRBfrU+WG4L7sS
RSHKGGdllVzjLOy8HRNy/0khHx6MPk/3VQNb4hW+TCKzZWXuc/eTB7qTM7Hll6+l5b8vnbHWUCSw
Pi5c5m1rGK4RB746ydmW957Xq4eBOMNvBI9ZOx5n1QU5OEu3qTutpwaRaWVKCpafscFnykFad+7Z
D50q572wHfHup30XZxSrXjw1FvdG6dinLG3TpGTzd1zKOk2Wbqo3S2fTjlE1+Un5ksDC2p/2jUNg
USMmxTPbzAT1QByyUMMCrzuAabofqvetZMj8FVhkpHzbK50J8dYhI6UVaPWS0NVYu4Y6LCrUCVld
xOK3rRRfrKwTMOpDjKZWHpusGC+6mP1tWKTLbTmEx9AvBgbG3rttps6N0+evflYaG1tG1xyz4hxq
dop9Y68YuFp1wdPc3bqrGvbXI98HpHW9b/2e6JsJCKreLhkIFowX37PXhechlC+r5iCuuiG8CxHz
Yg5c9TmY2orMX+Ht8WbeM/L5nKtiedRyhTspFWlFYppoAu9rP1FpKbnk7X1prWILq/7Oybt7mGc/
vKt9eNqZvdALmJz1yjbaPnZZ6dyYlB45zhruLZ0P2Mgr/dwwRo2zWojHQS/VzdKGOhal/9bi1I59
w53vpS/0/RQZxcloQ5cYSLazdRfuka1myiEGTJ5TOGa8t7GhsGUKW66wSG1L4vS3mVqGz3yH81Pt
DZ9TURenaFjs+4mijFsPIo5huh28E2EDP2H73Q6KMN02GbwpHQfftaGNfdONSxBHi4OIXLa1fVr7
iHF+vqSxX6aU8vX5984dGOiUTXAlcT1qACbrOW1hRops7c+jye50J+3OeBi4YR5ma60+aDE7W6G7
JNKV3Vf2YmYRT+Tj78bQD08AePajmzN0XkM5vra9/VSKzD0xlTIpJnDQ522PCxleoPQ2tqD7BllY
H2q+gAvTc/eLxUP/zfCH5tDx7HkJ61XcCWV372xV8wRtU98qJ6vYGVdGUO59GAPGofXcJq0q8nnn
9Vcn/lBatkRgzNN3Y/D9XVWWxXcJpEHgZd6050IZIDGdOx/rzIagGnX/YSz91wC3RxxKOwRz0jqu
88jfWxXdCAHVOzdFXax3ypbeTeAtJglh65tT+D867vhd6as9S2O0y0wkXass7+2awQiCCkGbteXv
x6sjDCnw0EW1jctjkQd2M1XwGkRMuDcMeiI2aGsxvwb22DvbJfLqrYdK0+8Koxru5r7LvuoKfsBx
qXZj2lR1VxBo3dPOQJIdzUrElA7pISp1Xly3Apc8xwbCBzUbl7mnVS8vW+YKvlDFvmbvwP7azA7p
OjYbxy+Raa2hIEZJLx8aSP+mF117NgraRGPI8TIBT62/Fb6oYiXX5i2Ep9nM0nc/RtL6nvLR4MGv
XThyI/wSTe58BtGTB25o61JFVHCBxfDNkJlm+FsVitY/TUtLXFoVjNRjtED3KAGLTPfBXNPPxvpP
3lyvAaW0j+Br8RwrY3Blgzvgeu8LIZgo18VyMFOzuSvqyqbRxLPSKMGmYQN2LK29vBTE/uyESVoU
Hr3RhCOEqv42j2tn3U2lgoP9+UrlXPrnzHEyd5NebwMdhtkJ4M/0KP22cgHYpWf7QRa+330bo7SO
O97xZepSp4EivJbJoviut2zU9XbkXkuUGsKtuXoswMhpxV6043I/o+qjScAh7stltS4B09ztKk3n
WHo8fMfGb6g3X6zlvg06mwdxKnMvESKTYqfkAqKBNtnPW7Nmj3LDFBBAKMS/lrBBxLZZtMV+acLw
lnU8euXF6/7RrPKy/EhhdZ171+/tMXbZjFTsgnGz7mBJUDczK4Rd6/Jm+EY4Lyl9JPVcsBrLw8+3
WkWZexRyKPbanq1nYTby4BHPfmlGLmNLZtbFNPmxyGIx5vAG8qIHlqqUVebWalrlbwgbXO6LZY4S
lGv9KCONxBfaXffSrSthfnam2QI53bTcDx6fljEE/vS4GI11yYnaJmIws9wvBH5yaViLDrINE8fU
2pUcKBUKKKZVlV5/kdnW8qAWGd16cKIYTZ36E+M23sdUkTQYmFJ8ikY59LHsQvGIfyzoY6vOhjCO
ppILtsvd41gwKI1VC9DNrL0MqOiCe5z5b7BLvs7OiElzWu5ryYnoOjrNEp2DrMMkencd+8Q2rpkp
wkm2UXdTL6a2toFnIOhnHR/dUgHpCGmrb+hq9OmuOu9jE5mSabFevC/k95pvFsN/aAFrWcROdO50
XzIS+bGSy3h2oy7ceQCRm05EXKD5sg3t5gRo1hOUmHvRfRutRtISXbKdA3fuksof6l1UGHmCrKl3
udk+mHJ1v9TElp09LUloa61Erap9iPolP2XGOl/AYCYLLXe1oLKC9NmpK7kkbul9hXi3QEE4TZ2c
utYHgsiru8ApxcNY2+55jcxhiyOCnxsceZqRmpM5iq4nNRVBcrCT2IVBGnxYqq95+oi5O/SqFjfW
oEmzTIv6mwrYdfT2vkKwLW8dHbJTEWNzsKyg/YHctJybdDCfAZvGKs5X31k3/iDpV2p7MX5ah/q6
VRHQ6jPFA3cirQB/i6a37M3qtHove7TzkOi1jR0IJVGz1vrgY3bQrKBOcWP3LNPB0FnHsnYJl/OF
Jfm0YUjZTtDbdDCXNqCVzFi+IwmrrVvb1lE65nKyysl6LF3Q7Fhx8j90JDiecV01Pjibfk1t9409
5lOQZw8yt4vY6IW8UZosunocHonomjaeo3cMf+QHPn+q64LOo3Q1yO4EOat02DTGgwGEGS9hIff0
FT3kM6J2xGg7NnxPJ8pJR16LhX6wveUuG6bxBiiyu4MaWA5MEUJAx9a+b4aIRFliT+7KLGzJIWlA
LT0QvFnL7KzqKr34y6ge2rwvXybDeROd6R4cFXYXvABfjCntXqUnCj82cnFVbYuCJu6hOESpes26
3v80LkYUKzeT32ThFtt1DRXXwSB78lXnkI1h6O5tQ+zWsHBZM4fhYchxyQLfh4wILSfYd6Pt8u0T
FNZ6L5GtzyuujU1Xy+R/F11GvvK1FAVt48LhJUtwG9QJO9GXlm1noc07FBOU/4UTm2PJD+UPj+Ho
fQUlfGsnnum9KR5lOj4RU0u8p95kVUGbk/ny86z6b026/18y8P9SC/E/qIMFH8WfDvX/NAd/lqxG
37783r/y3H18ybo/z8N//vTv83DDN3/DVeWSk8V428JK+I+BOAOO3yIszsRQ4KvG0BgyCfhjIm5Z
v10HnP51QPAzb58J8H8m6Zu/ma53TcNBLLIYv/5bE/HrsOH/DiM4YtMPhnOXX4RZGG/yL8MIMwiy
BV9yFOdQfvBgyknmZRm2f/p07n//fX+Okvzp6P/Ty/gkEDLzZ8tGOAwK8a8OXjkX19T0Ko2NtEyf
mQ/mS1KrCbA0nGX+qcrdK9pRGL2PbFYuwK5TgQvCGgjE1l5b6N2a4ungWWZOKvHXzlc7XcAvsv0b
iljBVS23wnHHu4YNQp2sYbh8AKQMp9lwjGqfoUW9rniwg53dOia6UG8D66naUp8AMSR5P8ARN8on
fWuTetp5qFlG+81Ys9zGzFrB4jwLi0+szKz0jmk9hOORsQ1Lm6NqxKpJLJeJFGc/ifoqMvYLRzIZ
96nb3jZtRlNASV0LwOqa5hASLn8ez69o/TEHMziqXWbdHREsxWvB/KaMbeWPr71du3MsXaBZdgyt
voVSLp2jVtI92mW1nvRcBKwdjQ3mLlYPFpHDHUHiCOTkbndVDlzjVR0ez4m/ZjNZbvtMkcxqbDsM
r5fcGVOF6uvlD8Ile3kDnJDSjgVusUkXNw1hAOpwpXagaqbYNSr7YkyV/VFhg63ixl/Cb//6Mvnl
YmQUFpCnTiYEs2scxQ734J9VBaaxgx1oacTOqiI2QqsNS5KPfyOe/BLadXXA8jJMTTyfhgob79pf
X0a3UBQR7WqxVu18rIrgUU0kUQPmq5vQESou0jS9sUrgQG7b8hbTZfE37+E6v/rL/cBbQNXCxhli
k+Xff30LZAmlS8QcMg68XJ3rRTqHAhhws7q5SEacMX9zA14/uV9fj4cMr8qtyEPll9cbXKKn0bIM
PAQwMy4dq9saDwB8bWDt//WXaP8X32Lgkmvl2B6XGaE3f/3bepGnhaKRItYDM7x9bxfq/Vp1y/qf
G3BKjtNeC8M5RXOgg+bDzGJ+n7uGfgqnLp3bZa3yEIyjm+7IrYGLTLFpYB5ypiKGHvKGGMCAeang
9glhXbC/LPPa3Qjw+IecMAJOb538PWbj31oI/9uml7+scnfTdzmM8vt/0H2k/mM3tt++DIgJ/wNq
kH7GRf/3CbU3bJ00I61fcmqv2uDva11oIv5GHqkuAFp/tBv9nlPrR79xEsVyDiWO3YyQtX+sdK7D
/yI5+hok8J//64+VjghbJtUQkNykCFnowv9OTq3DL/zLXXANfXEI+cAyy82POP3rKkRxViWEjy6q
pGzx7xUriUhpbezT0abRUyhsjiAbxmUZ1vFQQWwdg4DmyrLrjcOsWxyscqq/1XhQ78j9K+6ttHry
MXpJQFujTwbw6ONQ27OzmfxxOAM2yR89Z+V6gy8A40Nbu9/Bt9AAvakxduPYuM8V+rCIF5Xj5GmW
Xu6bxXntQ40JpRNpcR8sLfKI8opy2EQc0d8zN0q/Wn1knMoplAR8KJflxZuM9K5tLObQmPqu1JrE
zJgdTEuFu7GuL0GX6xn3kWe/EdbmfocryfZqJiSfqU93tJdoQcUKJEPAHCfqqgL/ocE/uomwFSeS
rt63vCBihmU4fA/9+ccUCYmNY6rFwSRwa9gSQmi223E082cvaGvsYbBiTLj6r4qYhi0qYrpxMNBx
Wma652rArWxtD+4wfBQS+puh5LrlAsy30uGJG3Sgpcovd2NQ3poMaDZhjXBRNNQdZD5q0lfVN3cs
9CD9Xj1+NmqchiXw+gaD4RCPc/ZZGZV3Kdaz5R4y6X+fkfrjvrQeNSZwEZTvzJyu6Bs8OVODjZ8z
3s3GwgIKDErOKH6yXtfC1iM/fQ3kxxxdfRY+gBVMG8mj9ScYO2yfMjT2YU4IHW6IxFu7uGqbG+l3
wxPCsX51h5HMA+g1W2/SDMNw4/ApzrQKMD30K3JTwuKU+8wa2zb7Ns8gfmVUxNVIQWfTf2Ygl+S6
2mMNNm57mh5iQ89ig/DMST383mnC5h35MNqqOwyh92VEjbN6N9z4igO22TQuy1gaMaChSmHO32lU
es09v0AHMLgMN3kTHlLTSfw8tSBMmxkEmaKgDcH648HMlZHMvka1kDB0MXF49lcB4JsDwUca+xej
r+mBSSUzudnZl7YajxGOBqZdtOWOQ8FhWo7bRlsyKXEI4b9rdL5PvSZ8xqtTsNOzgw0s5uNqY4G1
OOO/uv1cfq1zyDcPgi4mEdi4iaSNBQM3D3sTWTh4ycfHAulwY2onTJwwgsU2BoHDqkHeIvHzPEv3
yZ9t/Y7UtOyxnR8LTsOe7tQu9fz+6KXFcAltbrFVNekrgkLzNniPXq6Z44Fo7rPaj56mekUdI8tK
E2FayHtGSYzqqrmHUKhwVBpNWPGNTAz4sdSUjMS3iENtbDVWvRt8MZ7gf60feLizY2mm8WgG46EL
VXYHz02P0JALMtzpVYHjKx+E2YuTjf8wDufI+cKY+NpWtdwstnVr01BxqFTziNhUx30Q6WOKInKO
zDQjcEUc6pZHSLDIs9fVETbjwXxp5dVI3fTqC1FfG3C5uK6GfkOGwdZ2AEDH6CJNPRy8KTgYabrt
I8qcNW7xHkdQgq4cYRy4o+fkB1PnDrykX7n6ObZSF7HJzPml1IsZA8PyyNFH3ulynqPurbhKIEVY
3tVl/4mIuzVu5HRSc/FkjXyQGZpGCRtet8sp1+GRHsOkrm/XIH3AMXap9XJSY5A4Wf6qayYIPZU3
F21BipeIYlDcENdILU0tXoty2jp+fYLb+W7kvQctAoZyjpYV3lz3+6Lm4QzHy7s2P/l+TxQBWeGP
NHW7E6LABhDWgCsot6STn9OmtG6ZZts3Bi2I28ENk7rq2H8wyG3MFXsnhAtjzs0yZc2ZkpeExNMt
xSK05fl5szdchMWwChid4riww/bQICrGgyk25so8xTSfjUHhMRnNladBcXLk+i5Mo9+2Awxl38h2
o7T3bhbjm99WVygUxd8NG74w6p9rM98ablXcGK1P18aoPlW9+oSJo2fcR8J07WWXMrSpuNBs/J3C
VYd5zh6dRmvwQdnfrUF205Epk+eyjTOyLPDjqLemrMRt4MmHxXw3uusDMR33ahCQiaE+LWawT7sp
IcX0TMcHDTYGy0zk35W00MRVhQjjomBrXmQnKO65uNM4MH3mFoqqz3bNXHfj9YkUkybBSwyfKTC6
ehGsH06tnc+LweDQ7DxUVo8TkZreIyttY2JQPodNnoR0WQKxtOa78G8kiOPd4jdoXUy1Hz0L10l7
8ocfCnTolbuDB2Hh68sS2NQdl3O7x+xwDJSX7T017zMTH6if9xcomPtV46ptRPrSRc5LQKTsUQlv
2doeTYgloMBbas43q8J2YBXZWw5M7C8tUi2D7kn30zbtx+lE4D1R8KK3Y4Vl86VhyH3vDG5zv0pr
jzfXg7lPVeIOejfDk1P4Mbz35tUGyprn7vM0OE6+n+R0Pl+/vHOWBtj6oxnC/GepVAZds+kqdSj6
wDoUVT7sa0bwVUEGW16kmMTMcoytrMFx0gX7UIi3Gvb3ti3rR2cmmE1q58a3USlRiT8q0X8eo3nb
TxotI8eNtuTQU3kmieCoN47t3GkDt2pW1Xo3pNBvgXKRCqwfQxUenU7nGzynecJw2+W1QmIIONAO
aYMSXlkPPUhY3FrUz/Rl/0Lu3QEmf8S70gdnGgDsJ8R34h+XDHOQrMdtJycTm3Gu0fQQ6xE8HjOz
b29T7G4UjQ/lVqV+e1gXU7z2uNn2jEsTlElApRkfTx4c7EZynkYtQYiMYqForZrJPiYiIfHHwt0K
glvvMMZsOxL7WzqmTz60cESUHZWS1XrorIYRnuEnxF3sVo7lhhzpLiEKe4PyM2+qydV72oH2i2zR
3SGewfeZlw7mm/BGyFwb4IXgAuLxrd3iszLZobi4bvGcjquLGiXOBmpS3GVjH0M+hrE5GdnW7AaR
TH7EIxyXqFrT4dCuRjwgQsa+OTwUOb6oAbydVRyXUXXF/FpMrdi0EoSfFHdgMpbsHzCmH2skbuzO
PI3rPtpo3NOxq8wnaSy3vlcFGyJOL2ARCA9tH92KLGWbVZlvjObBnMnRxeJs1ofZ0S2h0eSSZD67
pjG4FNgFwyI6hOmSHalrx6w2gvuJYEJlZclq5ubzxG7/qIzJ2zRT/ogLOKGKyL3JvCLvr2kOmCvy
zDxyHpTEZITRtoVxfssy5iJLJ1+5ZxiJO/jS6WWy5Fx+L8n822H6Cg4eWTNbX0MR5oX9MQZd90hR
7gMdS1igqjlIFDsssjNL1l8evkFAedQTG1LGJemIYY2AG7fy922W/+iM0XowGpuVbGqJWe2PYF4b
+A/oesG4i21PHZuDoQkyqOXOorViN7fLkTiV7/46YkzIo4O9Ukc62OFN6qUyWTgv7Jxoyb/MkEY7
oqGsXVt3MkUW9qcDfDK8hTDXz3RhuBsP3XpfZA4i7GDqW2NlwzbMXFaYMa2XqPe/Oqmt9iTGmKTl
FFStrG0Rl9JcuEQMPMSmTLGhOFGrORDLT16PD3krqtr67HoY1r0Ca1LoVuK+sMLlQFzxng3YcbD6
J8Jub4tCGwmcVf/UFO6UBNS9fGNw1qEhee0tplZ8kBlWc9rfukSJDB9ArdaDp6213Qy9/X0om1Rs
dCTVyfO7k56sHyp0vlprN4JqMzSrq22a9p+9okvvO1GLBBYs2DeR0x1q74czs2rkrnNPWsnbkFFZ
s/aNe6AW5LW5nk381s83RMIMGz5s7NGu/ZGr5hBly3pmk7gP2FMHZTXGhHSMGyw2N61BsAKRyQ1Z
MH2JCgJkOxUXf8bc1TbO95wuhw0d1MClhTyaSCX3xogOUQM1OPnZEI1IBvwWD2VF55Wdc/17Gr+M
8zzycZ+ZkvKP+ByaX6Ji2LjB+M1KhXVfj6SB9JV+pW3gQ4blo8oog+yzlmsdPS1FgKeI1GbxErLY
+kHLpsOd2zjVGXYYjI7Ljba8+eSwi8HXN653GRJ4Yg1ZfuNlkXNAq8tiEXT9VoaNeRlna9fP/Y80
ylDk2nOzIvhiUE8AGtipsZ5n4zpvXZljYtXgMBnY/Xmm4+qd8jQDAsCYnjk3uqyvRRRzkB1/FMGY
PqddZj16Uzt/c2hvg24MZ8zhJoCLtPz6I5OpfZuD8IqkpTEr0T0+HvZZ4j3XY78vU9v5WniTpKNt
CTZ5yfZlEsaDqAf7uDLE6SSkYzaWG8CcH74wNsqFTK7AXUG36tecLrU93WQFTw3xCV8g1utrbn9K
6WEn6TlsGI5tpwg6Fpx0PTpZuNc5GpnF0WTbXGNByMfG1lHVh5BsoNuqFMdxKnF+mdl4mSCHdmQd
iG0GnQYzE2K9Ha1DUKivpDUR2muNWzL38Az4hKogD60FrNbgOIJxr5rN8zpZlxq7KnyU2guj8U9e
liG1p4xpIwJ1qujqn+qHrSeZ3YloPNv1ugtnO46cWSd9tn7Cn6bKDT2t/V2UVtHJ9edEQOW+hXP5
xCS+Obpgd5z7Zgvjqv5oME1Em0y136pUPnn9sgt6h8UaM3zGj0aZjcHCqNxLUT5wMDiW48GwNRPe
o38tE2nFUTOI+zIzcUy83HojG/FAIMiFI+oKmyO/46XYLYon5YBsV40MAtoVG8sCyBVZOplpKb+l
bdFHbMvsLUfQnp426cRtpZKc6GE8zqt3g6FxYQDe4hChEJ603iautbjrhnZX82k+CZ8BCsG+h2sS
QNytzbH1mxvTYxdD5NBySnPDi6Vhpm9gf1QKzgsBRUGPdtc5DAOnYXDugeOc2JoygJwBlwEb5+hc
jpw0q87p90OqH1TgzN+QAv0tbYPdFvjUeopan43BfD0j0E+ni91sd5KWMMyz1tykT1EkWrjZOqgT
plfT7dLb4rkZxuHW1DKXsZPNxdWTlj/aae8n1QqOw2my288kcB1D5vCHitH9dpwsrIlhOY9fVc7Q
nQCJvSlIYTN6YvtU5nLvWsFMK+YwPQm5hjeZ5cujZxKMNjn1zs4JbstGin61rt4cb7ofRA+sA/p5
bqxJPvWBuCU5hE0v9zBxK1fr6GISPmEEc3TjTf1pGjMoLNNbj9XS4Y/T3RR3I72Y5kJjYjZbxWuq
OXHDJxj7kYbOby4pcHkiSBYjF+ZzhvjCI57Pm00AJ1crt9/+D3tnttvIlW7pV2n0dYUR83BLBmdS
FKkxdRNQSsqY570jdsTTn492dXU6u+oUjht90cAxDKPKcFIUh73/Ya1vwdglw7R18yZs0B/jvaze
MLxuggjYid/AQsvl3nNJEnXY5NCyS33p9hrKKUNGy9bW0Jso1EIApMwNUDH/GfXLS6Io1ApCG9Aq
z0HoICtH+Ky9qYabpmyw/03iIMy82rBk0VGRw4OfovpkznwzESLs2ahpYaUQK0adxvdpgG4wNW76
1HOo+R0rdiIri5OMPwfX4jKKB+LLpV/t9KyNw8ZjSmLk5pMuyWPkc10sMJqi9w2caacbwWnsuQgS
AJNLrTEL/lskz8ivgg1xECxRJlY3tVG/9kk8rKckYx2VQHTwjNbaQHo4mlw34EMGzM0lDlI3uKtd
nQVRWn4HHgPNSxaY6WMKqczL91ofYBeWEpG4k56aUftAFnmJtP5LFjCU8vjRw5z23OHsCo1WM5YO
dD2ciKl50fG9FyR6PfsDkDEHxdhtClYuJs10wlol2mdtaNmGhceT52F5JzLKWtW6t44z/2CV7nqe
jCCkop9ClCuHsgjKZZBm1Dpx/GAM5hlE2QmKS7KSvXGlTkWiZTj6oXH957ZnTqlS2mJiRtiDoNRj
G542/r3nua9tr67ECOy4+e+k6Feqd1Gx1WFj2tve5YtsTiATfMzvc75FhPIYYYNOFp6r2jUboKvX
OrePFBMwt8r6xcBFwVccQUlvUaLFKj4GbZy8R7ZidIiBMlujY4u/xYmcwrFn681oJV73Vk9NJkoq
C9dJCZS/Gn2sveNMSU6gPcKE/7FvR90Lk0h7xmXnfDU1946Q5d4R/ImuSXCBWlayjvLPUlU72kAD
JeO0jOEuuNnorDpZPMts2DKQqb7sRPD0orhdou4hy7Ky1xWq2ce0iwHxkaV9Kz7TFTYGbhHTEnfK
Qc/YppaxKT312JTMKKu+G174FetdbdmvzHh5dsicwtJziqU21tUmApewRmeQfFXTeK0YQixzxQXm
Ddr69oqELQODRW8yUADi9UiKMt+ajnYgl94QIqEEmjYw2mzgjq2TqTpbvN9MqKarSVQIacP9sAER
u8mr7pNJTLIyignkvCOGFeu5dunc8DHzmA9vLcch7pb60WHz6PbVlYTTC4qQZjtPXnsx4SYtEEW9
lJPCuc6shnWjhhnUijad0keMn3Z5hcZnXtPxdnyi9LLH6FvdxCfJ5xdxpXYFTm0eoMElF28WewFH
GwXstBuRCS7HSFsGEzSDDN3e1KcaM6+yQmUx7LtBrBy+1k9anHjfm9G5eaAK5nyo6Bg/BkeXRIcz
+aIds1y4nFrzXc7kLtcSYpf0WCtzf5oBOh/sz02ZvjE/fsKT/YMjHuhVELUQlwaYKzjEAP0f2X4A
VTYadQF3hHAkjuB/jB60AGqgdpkyR1l1GSgKGKNiqzELToMOh/Y4jfdtWR+GPkPMF48lncQoduwA
69047ss8JcbdGRZ2rYFKCZA9G958SzOKRwThDJvy6Jiwdg09LO6OBrFlMNo3rcWnXDpqR0mLUYbt
wJ7fcMCnkoVOz7S6M0nZXdgIVvgFycwa6mshZrFQY4XMNmjHJw3+ySGo5z1urfxQ+2V8R6HYM17O
n5KRMSL6bgh9gfIe+46PjZZrR+za3bqf/W06BG/zWMT3puVsota5a9lsIwuaD1NuvieeuDen6Qfw
ohUhOsGqKqN9y4YGRxdjDJfx8w+CXy99ZxwEI81Ab6ABiGjdlrG1sPoftgR6i++0XdKv96HV61dh
m+caVsh6CkS6RteAaCanFhsQ1+s9xBlbb4szerUi7Fur+ix9thjmdBVxvHRd8kmDzKBin6C9LRon
ycNUt08uieubKTZbUrM5nsDTYC6CDNR5jb1xcsEBh8Zs2fa1w0bf3MZ4aL2ons/EQLPCJZp0XY/Y
gb1vCJ6aI0CRCHLCuIyUWhces3PId92D62vNfZxoFiQRGpgSNT1Y1vSg281t0EUnk1W3qRch33Ep
HwrTu8NNj1yeITl1lGQHU2yBn9WbJur3ladK7nMmdzknky4vnntOMHmsDBQK68prSU+uM9z5SCe1
tisPgQzmtZsyAWkrb5VSF5salBtzNOe9bVCIsdVwgRzVdSg6sFaWPAF2hGJiMGVxpq/Kyr6szvUJ
9Mkv3JfFrmziTVN3YVp47dYfxHK0nv3E1H8wV8tpGwC40vylX77UvgHq7NBtG/auQ9m77CNDLvuB
iuEm/SxQhTlQVq2s3YlbIgSI1WIzNJjIszM2+a0l66Pv9m7oMGMXQjegfHg0EEZa4VKGLyOM9ASv
rzpzisds28BMms6AfYvh35aEulTfIOHoGTq9Er8e7yVDHD6Gynpq6OAXiUXmYO0SjdLO68xv2UMI
0R5pLz7cwnqIUxZqvKwPg3tLCXgwqiTM2eEv4kSIa2KIAT9ZnK66qbkFY5HXlkD0GilskhqkZCOz
6L0EtbOamkGtsOe3K2QJYmsEKafcqLpnqYqCudhoQzObpHxkhXpsMnk2Rep90V5e23I2ThKPZXnn
QB2klHOS7D01nV1N6aRu28ypjo9V7EbXqandFZVmzzwId8ICMTGp4OnU4ephVdCWhQZkpb33ev0D
ckSxUllZMuwftmwKcDC09kMTdQfGkzPHp9w4rN/hv3rOu2brd16EBBwKFCAFu/S1ncKjzxVKgjee
Bj2gT1Lfm2SawcjNr+aMYFF05ZXhLGeBZIabDszCkvZqmFYPFq68B7+7tYASRqPlIQj29VXeWNsg
fwL8EDIZu3Imasu+nciciOPHyuS7o9DOQw8ehpXpi8/UjwS9npU/O65NwzoQEi/zUBfY6nuzvND2
LaPOUKx4Y7YJWnafZ44MG214GHJwLZaMV01UrgG+bknsCJZ6MJwneiBaX5iKRT4u5wzskxPPHz5l
2z4uPgwB+IxzEPRaoUaWJ3pzN/W5ttG0UrubhLNGEH8iozfYImJlaqih+VswLCMujWz3Xd5pFnkG
812qD90Gty7/PhFkREdBsCgoohaYMtel0xIY3b/oOoM7Y3Kcpdb7j7Jm/zjZbgGCNp0uae/mm7TE
LdIHnbNPcCx2ho2GGtDdKuFCW+bWsK69+0Z2+6E2L4KN74Irx8RUgu/QmAd0FBJCRGeUJxz1d41v
nnPJXDvBnwfxj+YlDu1eRuFoBVB69XlrjJYI/caoYF5EhGKZjKjAVDFJQHC1YHViPUS66YZKQEqM
J77sXrlkxAi0yjZOdPfgm2t369LDcN5IqJfxZBytyvpR9iYjC0WFUlTsRNxgHck6ssPAn5MdopOC
Eki2/XoYZbKpKRJBy3ijue5I50LNq4wd0d8xRCfiHBYTRX0c4irN70XWaKEPK+eJBewhzs21q25w
suyeK3Pb+x68yq5Ux1rGU864xKuBFZEt9ACEVt/Qi/Dr2tWqrPTmm+lI88GJy9ehmcd7R1dpE5Y2
EtG87rJ4KeIbpwzn76IdGvwH/gRVOgts/4Ij8pyYnknTYN58n7Z5H43N9Na59O99E+kHXyufmdg2
ISWqBkzaSw9EXyfsnsYkHObkmtsgWYGpvpuafWdQnIzVK+/sMsioUZwqWWXjUPIU2NCm8injahtx
F+ik9LICdrZUmse5va0E5B7NLXugsoa6WDEfHRVq4+I69aq5tlJnoFHSLgm1qXOGEIWD4AD7l559
c7mX9GK4L2Z1DiZiCpZSKJg0I3ZC611CtWAVkw/xwgLVb4gPx75TlFOD462h711wUAAWzqx92WEB
R3mfkgE0nPBgUazuUwjCidWfHALXFOQUKIIiTJlwXdPa/PSNdjxpCtvt7085nz6DuQgHuw+Ljv4U
9gwnkhzvo6hIOMqHZTM3i0FLPhBqv8TutpqGjRGje2voXEvD/BYFbRI2wbibQXlR8hljsC54GVg/
VPR5BhPAYGBBoWsC14m2C/K63VQWx1hs5Wxni+AbWd3XjugTrbXvCqXe4FEyx0ZJ0zX5PhXVCnnS
NRsjf29HEiXTbO0RhPNuTXjNOoslR92em5lV4++j1rLxmVYGzr3dOqybJAiCSscr7gE1CAO95WgN
UmtRpr58niqwwe4Y2Pz/qHoe9RR5lAPv1zS8Q+qIk5LV1neLj9GxLhraOhY2fndCpbmLNXC5uXJR
uhfN2rVaRjcgZzrczQCJ0mfhAZjyzCE/tb21B8ZJs+FqzQ+n8the4g9DjwLQG+OD9ipMgCngxyCQ
TDQDNbnzIeAcRnhaMX9CeerCvou7tYV04XEe8TEtiB8Ndj2J69kiUKO/S9G1v9imQl8xuUO8iQ1T
A69021EUhP1ly86beCuln5XfMnSxL0rOMTdw7d51mKa1TWq0fLxK7dkuUu8yRV51ynoGjfibaLhh
uPJZrk1xVzkiOcbS1e5hwvTfisxzzl2tgs9oyBrwrbA9j4wgCHqdfRYZUyvzatHkNc+rTcodK8lo
5XiJdejTCA5JpSL7ESlrvTEG5bER9sgAnRrEPE4xszqZ3A1OnFsm6QyZl3BXmM1mX23qzII9DJlt
3Mh0GO+AsKmNzoeRgJvUPRdNZb3G5m2bq4/NHXAC6h2vcz6USo/KMoYPRrk5JptkXbA0KvVmC9Lx
zqnb7Mir1RxFVVtvujHp9zN4iLUwrHpFKijFThHTSGnlMhrMeJnmOfShCV2eAyXoavkSpr7r6Cuj
gunZTNFECdhvfLdkB0DLe4wK9yVwxDM6ApPlarS207Fdt/Zgf2/seufpJz1QJ2hebDk8I3vLkPWz
E793VPkABeplKMmSVk7ibVRDKxDYzW3t6l5xmk2rjL+ASAyF/qOCz3YGG8AviR/gGJAFdjfp/sor
goDRKSll7ToqJOW2/tQ3fgx4XQHhXbSQApFy9Utivvol4KqB3UnCLgI2DtoTCJBaUapDZkwH3fTj
JfuiAA1iHzo1F5qFzSStx9uXrWcTjKLr0zbbYslEANWMifyA6yHM2GC+pSZN7qCGke4OYIiZZ9bF
n5hCpHjMlqnItiSsDczs4OawSnR3DPH9FQIIg4aANNJHgj3glXYNT5pTmh0BSsmMHZ2ffiVtL85T
bxhiC8Wd2fcNLUjA7e/FthP2Bd7ewVEDWpGGjYJjfwylt4R7T9TebQADLzLeu55Whazc6JJ1v9iP
gvWYB5H4WIpk3CNY03ZDPvkvbTdIDDcty2tv0vZ57pUXHcSxWNqlNt11KhArdgQ3l2eHobWnjgbO
CkNhovNZSNFV08KVZvUR5w00Jq0dDt7Yz+vGTCHnVZZ9MJoBuBVOkZd5dj65rN48K9i16egcmUlw
+beW5r5PKda9rqgqrrmpOjHyA6/Bl/kIHME5yaFVDzVDat7eQGP+YBtP2mi2UcjIdjgOsoH1NU39
FiF6CflCuIK7ujvEmAQr2ApZfWqsG9E1iiRQsCR/cFwpX5XZOgksRwkPlJEnU3zw+NEQxk3kPSrT
Hbep7NItQ6ws9GJxrYqxu5DwZRxavvg7ZUz1Dm+8c6i8sTsGqY0EiQgXtKxEUp9ywGefSY+Cq8tl
/F2HX7+FMA5uY9YViAFPkJI4jZG6VonZQgOZIVMXvYrOiV2ZawJgWFjcKLa6wNw9IyKh/SrORso7
L5qTSUm9ouX2nmER32pDL90RqZetSpKyLl1D9IlAh76xvdZ4mIwy2TmiFCyu6HoWysWfiqcv3cpi
QkbeDyOEGyt+LxqDSYZRoaHLx2bnZHbxgiqvRQ7eBTxn55NogG7pNG1z0onQPBialTzZhRw9qOf4
2DyZwNFAB0hFONVsQL142FWxGL97smoeDcSXp7qexmVcn5Cy8X4buraMZqu4n4N0+AZJtvgSdQDp
r/MtdnAWch5GD/ARX5EWV/PSBWyzNIhweEkq+SNxJnkXFbO+YqyrVlmHhM4p3exqIhpeWEWJbEQN
2WXAMsaaIC+zbSYNJgDxmEcXc+QY6nW+1jrpH0e+W304+7qHHJ4p2IS5Y2dJDFk4iwverV75PPsg
/obNbzohN0YoxtRk0bldutPJgFmnGMeWkGflmmxjecDhoFEiJkkIApzfueiz8BYwcmnSaHjW2rS8
8Ej5gV7P/e7gF9XZHKU3sByupid0A6Cj49J2zonv3ide/2JnAjQvdhICkbHLzrUfbBNp+Fed+VlH
ajHowgQQ2Qno9PwmSskSOJ/Lb3gEc5aHVnDn5igrPGMWYd8j/OncTIf22pV3TV27DMdAQQ46sD8D
G9mxpNPgRi/jVQoOEu1cntxbfuEgSmqS7QxckbGCLC8QwggbiEsYqLDAXzBpeHdG0acHjOCYPNtI
AIm0loqrYSnllBx7w+czpQZn6bJK4+DKWe31tvka5HZ8btNmfIsdxaxwam8u4V4E34dIRQ9lbHZP
YzzAqGnb4CNOHedHXhTDRVlTdO4d1Y4r9mHFlj1D0Cz4tAdbNgK3Esn3i0vH005Dv2qKT3BB6bPG
2m6VaDeNYdDld1rSP2fQbJdaXnjvmVT18tbmrODN+XEYGbU6WkZbMgifmZs6RXOerBpjcdnx7wgA
WY8aZ31gaObjjBsUlDwGMqDKFFoYmoG75nS6jX9KZ4J18MlimYff9ANCqr2eiE3eiZrJHUcgTwGn
XbMFRZue5aBg56SgUSCmMzY1kPMVSHHPtLRQcjVmU90CwaZ3jSGYhH1pinUmAo+hG7xf/OLMGYek
rpr94ArOa7u3cEHOtfgU/tBaC9fkRGtsNqEDs/HdrLkyDGJEe3OQ3wR0t2AJKb194znNWqguhkE3
y6M93DIdWukMrPAEgPCx0V+jJphW7NJYyPUXC4ct8oqIHI0yDgHHXFr/wZis+AyKdn6ccAAcCbUo
kqVw7Js6ryovU2Gj5hwq45Cxf1iJBo2erTGxT41CW9fx2B+MYUzuq9SywiCisBtIqWPKVrXbnKQY
gc3WiQ+lw8CeJTMcGsE+qJL1+JKaCngJtOLbyg8dFGTKTytz/cs0eeUHXM/GXXrF7ai1Ga/0pf6Z
OaPJGK/0p43f1d1aq6of0yirdtFnlRgop4L6A7K0FjosbUPbtVCuOEPx2qdtdT85Enu+huRtRGQY
N+ZOTz9q8tZqC6UUAIbshyEALdXaMJ0mQtL6Re0G7cVDMHj7TOHKMYrBvcui+z6NR6a0VvMABwQh
Ijtj/Ykokh7vsdCCR3Z9KG4xOK9utOWt60YOzHscqV+lZfbdojCc+eFGD1jmU6k+GwupguFl+ncm
wsmVhRDj4rmu0F7V2ksqOXCLaEqQnBQD+lPMImxm3bu8jG+5tFP3pY+m+RSXoyRxqvCPUykpKtx6
PjhoDrZ637NXqzv0PTqrHoKHOEZYjhPHpLI6v2j8hnt3nsR3Q/Pna6z5LiQPBUkQ0ycMgI4uxNRi
J8RsJFeka1EEAXRejUjYYGom4NzdQdncKFpHU5RdFBkTmqW31yml/kU3lPHborUL57S1KCEtdzqM
SUbbBecyriGYTExH+UwAnM1M+UBigl0S+tQ7F3Cs1qrvJvkEkcl9slORb4a5YU/rJIKZgiJKGRCx
2qJo7/d201Uf0qbYdCdR0jv2clOZM+C1pA2eulK6n1pE3QuaA5ppYoBrTUUYS9WTwV0j89d6I164
GuMh+oIE07ujreKSwUziYQkifobPbuk7r2iY4iPtR301irlkBJrdSkxFeJTmq+AS+7l2qbsUv7KH
TC8u6uKqi/bN75Hc4tO+o/QDHcrXPVgCwAVrheH1mJHa/FDbtxVnp98W+n3jItdCC0/3RDoJWVDZ
a9y7N4gBfWPqZken0QBGEucdDrlIvxB6KRtlWCx2k/Kmh6wzNBTFAozFKmYSep9VaJ8QDGjHooiA
j3hWn23TVNR3zPDn97ZM0idHNMaZM5Jkndp1je8GSMAPp/D774hppt08eGAo2Ch9OL3WveaCBop4
Ogg9Yp6TA6SBb31dOGtWCCZUFXeiCBFC3hO+YLyQeCKuqupzlKFwL9noO2dUP/OyaRJjZ2uZziFo
fFfQQB97c5Rj6ImKM1Lxyi0b37cctLeJcw4CORzwpKOdBk7NR9R3H2e7c68loUvdwvKqWq2MhqmT
lhpsDxw+IuA1g+KcRUXPJh1W15PPHPvRzTnYQslIk37FvAnClCJ67VTlXa+v80jEB8NDTomCUYtO
ZqnBmKZBIDatU712h6sZkPNkkxuS1d5JT3Ip13YX568krufHCEXxpWyld6/SAnlcoNFWgo+FXusG
cz8ucMihSG4iYDa00ytLevGDHkl/JeDxA0Ny+6cIgc4Bf4xcwGAVr8yWc8ReEt0xCfIT9nbFNBb7
yoOVEmHm+2h2lewUag4v3bRj+eCb4mw6WnSQY2qtlB/N4Hj18gWfYgQkqeYfHnPDPgMmNMb0m3Sp
Oao2UpVk1kq845N/W+mb2baDtrcy4EGv6wqxVs4Y6BHwa7KUDkayCBp6qLTIORtCS3d4sIfDlPLQ
UzKZa3kDrSY48peEj9EUzmhaS6ZMmnqMqaAPjYHxtOwt88kOGhs/hVbex34bHWUT1A9T65Sf9YA5
aVHqUIBsB6oekNRIrmy/cm8bKRsJ1BzrbxaKpXNJ5DqKD64K+JjOJTNs3OzErb9l/Tgcbbvk9puk
foZxCzyt08qzFYjqvu1U9mJlsVj3aG2OQVWm55GiYs82nyG02RWYwGnVuDRYsse+nq6YDPgrcKje
ORg9FWaTGT+2VFUvTcNAe7Lc6DjEzbTOWtf/JP4n+2YjQf4aoaBBHuzSpQtLgM7JLtdBgQUJRkXp
3llT7725HUGk0LtzvDJTGoAZJi5kCxo8eSKzZdYY3DIm1kYEuxOxq0uWENaOAXH0DdxBcYktX22a
LktfZzcvw6r25u9xa9VoHGxxyLTRw8d/014BF5iYNA/6QmrMFfWUJ645WvZRol59dPxCHoeGII6p
tpp9Ws1c/xbXoKY0LDd4qkNsHQrlfNUs6fvE15io7DDaMvsYhyJeqbxDE2Q7eJupVFKO9j5I8huG
h05bcqp8LzsLHrJtGtgEAgaIDZfZu1EEKZb//ErlB3FgdMSiZEPxgUa9P+Qyy3dRCi8LpR/fP65X
HziQCIbk3W/rYZMEM3cXmIE1Ezux95kjLTlVWVjzpTz1uGDADqNyzF1l7aBGDm/U8clXgMjxyUQM
m2yAyDt73Y+9aYGRGKUPFqUAfV8ZP8bZyDofrl6wJeHJDidodhvLs332hKPa0J3XJ2XivVHdPNKt
ShefjevV9ELOjvSlDgcm6UEgZkbvwWgzVno4z2JrNN57M7CfG8MVWyUNaxm7afJopDV9v+odppY5
U5kWushd2sQDL6i01b1HENanstupCys+sptRTSMdQ7TnkDfZpZvROUUA+UO7hcSlwiCCwNRGzEZt
m/KBNtQsyMTxh+QzdSrgDPXgr03k0OxkgmprZHGzdPjeUFoHrtq3fCupeWSZ77pbV8UYZdo7XTt8
RIEZPcWJUzlMatnaKc9vPzt7BjWdoFIzVccrAMXkOheKyYh5mwl3qjv/zSoTY4ptM9jg/WaP7LjT
sbYRP7LGMr/rbqt/G0oIT0OtxvMszeyliUf1WoscP0mno+I4KlM2u3GastUoUrVyg9LCUQAU32sR
KeO1mRa/x0sgha9XDvckEZugyr5bVFXHCjvELmPaFC/+xhI76AisiknpDrpt2VjiRzYjx0HozFFZ
1jbKukZDe2KMcgXXHuWWjOaVbFUFk6vTNqRs9bse3XbYwJxirDV/dez779ygQr85liP7HTILKAR9
w2LPapfFo2QxWqxy1hPYBitWxqWw8T+37IHMBeR386g7sthOuWYfO+Joz4oEhH0RT9U2E1ZKpx2z
jfE9lb7MXsMyk88hKyzqowslxckXqfxuwB66QqrOn1OBQHnVeGzdlYW0MbNaeSxbhPc+grJwqPh2
9CJOH0qlvboF9aMg4WHvBXqyJy+if1LkOuHeKO1LjG1oX3V2HXq6UOsMbtTlb5YY6MZtL932s5Ev
rRYiZuN4PixS5lRpg943M564nNjMi5vlQUQpgi6YnPQYWis+4jgCA2LkOCespiRYLq74pHme2b1x
NFQrGpZ5DXXTCuVUms3ibynSGlXro7uBApBtsiRB6tHT5P5N9Inrg41PtgrB3T3UMuuRLMR8hbt/
3KQ0JBuJb+iPeNj/Fy7l5qt6EN3Xl8Cm/P+BN9mF5Pyvrcmg5b6jcUx/hnDc/sQfvmQsxiAvMSXb
tkVA0I2Y8XcmtW385nnYnm/BvQGkXB8O5f8icJi/eQZe4QASAtZj17B+JnAEhoOJOfAdvPSB8X9B
4PAswqyCm83Z4ZGwSJu/wFQDgjxkJtgIYjmJt3B9WQt6ZfBvXPl/NuX//acAvGYwyXCS6dUvpvwM
/c048VNYkk7HOO6T58LgQvjpVf8nnA/jF/M/EEZ+H0zgNq8PjFEo33/+OcWQpIR8cfHmEqkO1NAO
fFTTRP69L6VPTFXu2WGb+x3uI9v0lnEjcPAxwhT30JR7jC+DrB4RvKXuqtQdoz4NUWxasGx1m1Fe
3ClvTcQoE5u0YpsRChEF5PRB6OphpIHGtwnLTLdMShF4eeAUyM4WxiQbiBa1x1MZeuaNOtbaKz4b
vT3EQWPhoNEyLu7GtuNLVFf4LHU5sHX00gripBsp68Omcva3thLGxossjM8FGdNU+jLPzlFtdxZ9
y6hoDyzn6nipn571WunPk2ni0/LdLH8ahjLQVzFggzvbJNt2LeJWVmtMdYCvW3xUJc2tPqMBUyOL
SJSgPqq7iOozzGa9xjJNSnmz6rrEoFJKlW67YGuT6LkaBQt8EtQcfwNvu25WaRFE2QZuU1esgoiU
wIPmpDkLGdMLKqAPU7zrGHOL4+iwq3y3a8wUoduLunrmUG0OXTbb7bYD/38fpRDTFthzmKQWt46R
leAEkKqLq/YdpX7A1jpQTxVO9B9DaWGO7GJRvGHxZEOiQywa0sH6QfK4U33TvGhul+QhDNCaKrYv
2yDRmE45mSbxAs3GOK6EPzbZFod9l10DF80nv1gx4Fpq/b496JlCuFQaqslBcbF0eBOdZlchOYBk
nglT2PHKNoimu23SGsaAwGWzxRzLwFyypc/UrnOjIV1TyOsAyIlL0cGexMb46ktfALN0aEC2LUl5
Z2eOhz8QxP99PP9PFnQ/nRT/By/p5Z0up/8f5AYAxMCu+f7zQf37n/07LYkkgd9IDTU5C13zlh7A
If4HQkJjbfObAUYOtMgNzvT3Y1oz4EfgPXV0w+Ljb5nm/z6nNcO+ZQ4YXnA7XF1K/f8SQML4BaLi
0eibyDvBGCFdBmfxy0kdj57kwtfFUyaJ6110VlncqSr19CWNiNwEI8iFTMXY8+bJHL63skNpDwr4
5i5xc9CsokUeYJVXlrIzxFeMTT+9qP/k+P2FKnN7gp7N6W5xo/g26aF/PnxHiAU6QwnxBCXgvmEa
vM+IOJ7DvGzt3X/+o/58n3BT3n6U5/OSUy36vF9//lFi8NA/O7MgjA6cmxy7eBXrSbb/z3/K7Y39
mVvDjwl00+IksGyTd9L6hSUzoj3SOlEmz0MNnspwW3tRJuO9amudSVXfrvURDy7Lvih/RL7s382t
dgLNfugS9FouUs+dIfN5xZDIeSh9XnFSzHPa5Yn82eiae21zyFn7b+k2yFzuwSgnsnXCYAj0f3MD
/xIkcHvJyChwbdPnI0x6g/fLSzZhHu6mkovXI4/5k02YdT8mVNuB6VZsUBqEetLYKwjRoSQTfAN5
AM9broelcJgdNfMGcAi4P/noYOdbDXmc/vGm/vf5xPnEq/2v68fn9EtU7+WfTyX+xB+nkqEHvxEs
ASKND/2N4cb37o9DCZT7b4bNV85x2QjdDpp/HEwmeSccYAZ/m9wmVHj/qB99ylET3Br1Dd9Rmwf5
r3Bt/vxN1EzD5jtPgcfj/wzLIheE7OKixlXFIGry3rXJ2v70GvyT4+RfPfIvH1SVukZXNMW4T8T4
QVLzh9bGb3/toX85QhuCDiLgyGovMshlaWtccwu22F968F/BU9D2A6KWsnGPNrYMVV2e4UBa67/2
4L8QtIJGy7H4oZtwPHkMjCK/Ma+Hf1M//4tX/FciGSNh3MOSZ+7XBDZbuYaPKQiq8K899du18VNY
i6rABiM5Gvb1VNB1+7Ak9Anoyl979F8uHfxNUCt5E5nQtAMG/Vvqaz6Nf/G5316xn5478qMUkawr
97lPoJdfrJLA+zfv6J+pUP/4At0Kh58fesxTdEX5NOwLs9bN7VABYdnMgPXadzHQQCzlFEEl0qJB
O9jINf/im31rLH/+ueYkOpOcbbEnDQQon3krrPEz/aV345ak9PODu+B3C24asScoJL0vy7I9MS47
/LUH/+VgaHLpO6lZyX3pBaeo02u0QrH6g7QGIy3++g/OzmtJblxbsF/ECHrzyrSV5atUMv2CkCXo
CXry6+/Knok7Eo+6NQevihCKCWIDILD3WvX//6zzN7XvpzcdeoXJqbDZX4xyjl6yQg7vuDfVm9L+
9kL91PgcXlVNyzxcqnT6zlHhnoKHb1qdYm86xbbLhnXZGS6z1UTimeL94gZiVjI9arXPYcMvbzQc
kKGVkRwujjL7U9STfWoNsHi0Wv+P0wcGYpD1UIooYLsHr3Do5vGdVtNX5tvPQ9GiNhS6YICHJggW
jJq4EZ/ctR81+2UzIXeGZ5IGrobLkDTZi1lgKliswNPrl783cz8NmKRwewrVax5eXW1hFRSRQqzP
ej2zmZCbZsVhwcf/pcWkxgWPsJovkWPln/+9+Wsz/w/6+L8T29/fMT89u6RS2G9MJhg7MQyHDFxc
T4NTli8K1x8JJKSN/FdfA//7l7Y6tdlcnaDzOmabTGa3FjUhx3LhquDff8d1hP/md/yN8/vpd6Qo
u/2EMoNLBQePW0UgzY8zxFPNdXF7Joa+TEydyYxDLaYNUgV8da+Gr3oPv3nHhREF+WDiWW74Wvtk
GNbysVkt+w9r1z91zWbR5cKJwg/uiS+NxF4+Re2EsEY9/fujX88Ef9fvmxnHLtTSTEnQXbLWm35Q
Km7fVs0aPBmLsrNdiTMhP0YQ1rR6irPDX+cJU9p8FrV9e+G8/t4puj4e2uLt33/K7/sJrMOvbXOv
kwAbXNoLILIj53hU9Mx7vaY3K22fUaaSG3N7Wavug0OiFWivP3z+/tNTb5aUumnqyaFe69JLsAB9
ccpaV2shtLdnGB7YJ4rCrP7iNPa3KV/uuJLTemrH3PQ1yA3VhS5LiQnqTs7yB8XKkeZUsOnsNrWT
qp/Y1hThdAt69J1rN6867xGBxq9DhHSPrG2asL9wiXuXmeMNV61/+PT//Xt0zM3XjhlR1d42CZtX
0qLikjJIrwW9ofPcdrRZXmUQ1WNjMjv2A/ZFLrwo05ns5oNe65vVdbBEMfdZ0l0iOP3whWxSHPVa
vs46P83qno0E2yTR5GLgBM+7ac99umZIbubcygocW1ZGe6mKgGSi9K0O/0Q3/v2rBBHx61PPHA4Y
WbPy1L1BaZ7pv5MzSalaXRJuXuUa9LkxFCmimNwjy1jGSa3ZJeHmPabAIVeUHu0lCerPkdW/KJJB
NB978yabdpkpamzayyzd4MCdBXeaKC0Oep2yeZkNh8RSzXSKg4fetcr9kNl6k2C4eZljaIdtSa4V
VVhgFyiT+BYF6w+9x74OoJ+Htx/gDfEZ3pbj/EX2+zNFG1qLPmeivzaNsrP28zBpL/QNIFmyRkzN
N2n/2nKDrLALr30tDfLvnK8cFmi+xc3sSgYd8KuGxT0AbYuUxYudqfui19Wb6XWhcDobnLq92Ch4
Y/LcvwvL1Zulgk1Ihi715arIukuw2CfqmA55MWqtCnawCUm/ayxOFIv2AjPgaWz9j6IkQePfu+Qa
HP+5deN8cfMiQ4OrsYDlfR5qUraxvwKnjfABfy9L2wNNm4X/l4z+X36v2+5moId5CZeZVLJLROYn
xdaUZR2R0Mz+H37KP8y4wSb+F6g6s2nR/rjM915n/xXY3su/99I/Nb2J/yjJFyyyvFxyXUmzauoE
upZr6QVTsOmYpKtJSelJXDOi6sYPu8dl7LSOT0Gj//p6pzVys6hkgVsXID1hSXZ4Vw6NZo9vZgFo
EWs5C0NdFirxYOzEDsRJvR7fTAPktFnJmrIMUfKH/DGiIMKo7fd6jW/mATZCA7oM5kUA87tufmWT
tddq2d/MAh0mqjyibvXScjukGg8Iwr1ey5tJIIEEGs6WoK99UiF7P3gHqi35wwi8juPfzAL+ZhYw
R8dM/HnqLsJSeR8HjaOil8qvvPq9GLzgTesnuNvBWLfUrfWduoQ47ahGZn73KS/VatzfRH/UKiRq
GT3PheoZA9hOhULzpW6in8xvdvhBpKhmh1w4V2dklZpNb0I/75h0eztUF7P71l1vgzO9Ie5v+tpc
/c6sV57Z7co75ebntGlSza7ehD0Js6NHli5dXckgnkaIy3mmuf/c3hNX7gT8ImWPGIxrdlZLgNu5
zmy9pXQroh7gpwjUSwzBKgCihxt4zfVepbcJfcMe50nW9Djq7eOgjH06ixutse1tYp/O7fEuEft9
5Z36wqEGVvPkwNtEft45JCE1Ph1CuVjWvZJhodkfm4AkN20IpKKru8neUxRxxFOmt+5424AMnMQx
U/rDKUlxn6OYg13NpjcBaQ5Mdw0fEBcge/sZRlRANZreW9yEpHKra3ovA8RhbRjs4m4ZpeYA2URk
mk0KvKWjLga2hRdITAvJJpmt2fpmLba4nAvs0GUucSArWi1gr+hPZ0DXcfablcfbLsVoTEi24tQz
GAtfHa8Ar/tltpyGpLYg+kZd9zLvyFzDtqH1FtxNmLbotKgDKokl/yr17r4Iqy80297GKQVbiirl
9oJxGxKeCCNUH5nmiYK7CVU1YERrw1RdyJu/lKG6KeBf6nXKJlaXjOQ2x6VpIIDPZmW/Rqn/f1LZ
/utd/yZWyzaNSKix6O9VXfyiigV8SL2n3o76lrQZyrrVxVozF0AlxLegdDy9+cvdjPrWCpRwykZd
PBRvuzmg8sPM9A76bHcz7N1hBaUrGYV1F168iOHuzwA6tfplmwPFx36O4I0lNMKySTmj2WIXoCSl
njX/wGacD+Viu1nJRo5PlyulMm4w7+g9+2aQYz8I/DVjJAZjDi8CCJMa9aYxZzPIxdBkyRJlim5R
t6SF7rkQPOg99WaQd6YdTVnPSOwMgDt+ckwoStZrerMgobto7YSM2gukyoLs56Kp46aAnaHX/GZR
ykjG8ARMZvbkqfUyS48SpjX0vuu1volQXDl4gTPFniizv2et/GiElJPptb2Jz2XtfXuwCnXJO/GZ
pL+HLh10296EJ4neRj15jMKijb5bOSnIlO3oPfc26cgcB792fV5oDdfapl4qahaY1F446o0YexOd
ioToyo6YuPIUha41licYonrDZZt3lBo4WKyaGPK76WEtxY2rfK1cEQ5rfz2qANZdJNJK2GUY9ofW
Cy/D+Ket+XVt/80m4++k0Z+OWKWT+1BLW77Ki4VqbYu82uwIuYfxUg7W2MdKrt77bOwDyGte07t7
cGJUhWoN1L8rIH7662QbOEVY1OoC9uhHHgAjcSh61RxNm/g1sqztx+56OdJjAKsa60au1BvrPfk2
fCMDQHzbqwtu+PeVE75ne/ZRr+lN9GaOPV9BC0zG9Wr+GFNIMGtLZYtmt2wCeFy7xenUwDYeL1tv
snsse2rwtJ59m6cioO6pvKJblk4+jaL5JE1Hc+3eejdN0phk1TBYKPumsq96W3tb7wRpm6GCjqhX
PVckl9mpDrNMbvuwe9HrkU3s9gamiRz1HVkj4HBFMhZQ6DTPSLbZKdWYgntur7tHE6wam5iSkkS9
594srshLiiwP+NpLTe+jPQbHvBj0on6btBcNVbEa1sRuPXHPozeVu6WSveZz27/OlQUn3SRhBWwf
7eSpLcV9l4daWXWUEG+b7roaGre6AJYSsRiUH1PC8EWvvzdhyT7GrdbrJ3AU1X8VkSqRUZE0tey0
mt9mF7nz4gUUrPOtMYvnVPhwcyy9zeN/pBYp22qt677UtWD+t50DStXVS1awt3lFriV8F0wL20dn
ErEHbr5EJKTZKZvYvAqBBqc11cUO8hfQN/dVk+uNFXOz7R3WHlJyQNNzm15AOD/BHHvRe5WbyCzC
dvQ5wW0uUS/e23P2Yo+OZtPbJXNanKkXBH04ZHdi6N5X4aR5AkCi/i+XuTNqo9EZiHpvbL8xB9yp
stLbS2/TTjo7z62oJeZ7CFfAX27LsDnqdfYmLGsQacHccwjor6AoixKTUP2q0zQVsJsOwc6aZVbe
XMys/4YR9CFZwWnotb3Z6Pbh7KXRymPDW72sifFAVrlm09vP0B7LZhgSkeByn4MG2lFknPWeehOP
IdXg9uowwTqD+SZd8w7qhVY8WtuckzoaTWcdy+YSKPNNwZ+NExtrn95zbyKyn+0py68LGtUroH9o
vJ/geOs1volJDwopVsmWb5Y6NA7DakUf8dd0WptNSEC/DkJLeJTEtKwLnoubb4oeKSLVymGjtPvX
pks8gz1o9OYyG8mnMTQhlhZa+crUBf3a9JXW6UAHocM9eMcZKNQ4GRepFfMUXv/aOhBVvx9BSF4m
Iyp2QwVmuOl8vTG+TSJi/wCSNvOaiz9Ur2Efvevl/ElrpISbyJRMTTLt+OyfoA7tsrDaLz4ePb3G
N7EZDHYGF5Zh2MD5Aw6SY/It+4Ne45vVMjCKsa6u57cG6pQOzlgZWpovcxObGXVMi9FyIOd1EzaQ
bEwwGpAFpffgm+CcRD/1ubeoi8iLLvbm6EmpTu+oxQo3sVl1g9eJhOlwGBwqT8CXphg2NJ98E50+
5NTVHHifczcfEzd7a5PuVa9TttGZ5xCtU3YR6OFxvQX+q5WMWlkbVAn+GpuJZfu+N/DFk03RhF+0
XA+u2Su9Qb5NJwKlI8VYdyCSiJvJlF+9ydJcN7fpRBPWgWKV5IWxwqHna3KZlPs+EVTfa3X7Nskn
mm1XyMZtLggkT8EyvsusTOumgsqPX3sdVFLvl9dTbQNqNyAK+K7GDAlQ78E3ISoLL1gFy8VFKu/O
M52bwNdtehOfZD44RlFQ7jbXsNFVAx8JjZPOrOWTIfhrr8AnlW1XhQOwcM/fR40d7fq8M3Rep0+9
5a+tyxDb7jBHwxly9bBHY/fBHYtZp8tpfLM/DFyLovOWR++c5dTMy2mqtaZEmt6sQhTv2nNAIs7Z
5MY/rjNIEBGOOo2hQuObVahLA3QUkTOcWzePdkO5quc5mrqnf2/97zqw/zgNpfnNOI/6NVR+bXZn
c1a9eTYX2RoPEi2l2HnWWIjXgpgKz03eTvKU+D6QvtmbcI600VxnJ0x1V0PoEs35A+YQNaVkaBau
1jbTj7YJCV4BLGuciu7cWPhJCguZtB1++feffo213/zyK4Li51TbMTc8oClGe16b8hMS8iym8Elv
JG9zEkakbDKwUW+H8LHTAlK/pcR3vefezB3rWgLAcSV+2hFYOGzjJWZ3FeqFibeZPpCgpjMa4WuP
gxoOAui4YBILzdY36zsQ9rrrFX0+EIsxrGFAjaH3Q69jNus7mqSRExMeXXjyo9lPNw5cM72mN/Pe
iFBdjq7guW1MNjN+oaC40Wp6m4IAUL2c/I6hYlu1u+OS2dqtZN1pNe5vxgr0H3+sEK6ercK59bJ5
72F802t6M1AAL4aY6jqajiYbc4xxk1d+qxc/V47Lz7GZlgnsa2Pqzrk54JfiD3ByoJUazJS3GSf+
VWFairY7J1VV7r1xgZwUtY7Ohxqtb4aKEGBK58waz2sZqB6bpgugT6W90NmYMCVuFsksK2VumRVP
z5u9STMF8bOfQBZrvdZtdhl45ITkb4JIjW/G3NzDrNQ5A/exFf36TtGQQBxniJxFX3+qkZLyDr78
+0NfF6vfTOXbZJhx8u2E6v7hjCSpup1rVV2GyFnMXWVBJP33v3ENmd/9jc1yYfVo93pQsmeSBfEh
Vt1XMTZaJ4X0zWYVhos8JEVjM9697IRVZq5CvUja5tmzuhvVCr7hbAKC3mWOuTO5atObzrc5vAnU
5aZaaVwG6l4oYGmJ0rmfokc2M4A/YxL0PHwcvguBvfTzRyMRWjm8NL6ZAUowO605Od258IvxkLrD
X2Waa+5it9k8vTOtbdq43XnJQP625a7tC70Q2uby4JZOl8CxGINJmp5NTwrgnTDftUa4swlQ2Tr1
Wlv0Stj050o6+6VrdY6A/MjZ7JD9GkydkfHgUVoAla12IV50vafexCWYvBRw+tqRqWJgk4Gon2rd
G/PUm6j05i4sSoumC7TIZYVD8rPeM2+WZdtvFQI/Gob7L+6NBJt9l/mT3mbF2azMWTRcSWdDdw5E
OSG3bBTI4kZeRUB6j7+JTTsEttZ0/fVtNrvGG94cqIV6TW8iM8IKs6SKDUsxl/belvMZYr/Um66c
zdKsELJSC8CWpSzc09RHWNJMvQG+zeMxrKIPVpBiZ6cILoYx7GWjlTPpR9sMHoFseB2dkQFuRBK/
Ikj2BkWZ5oNvIjMTeR6KxazOrpNYFPAN8lhi0dQLzm0az1q6OOiVovVU4jKpiw4s/VwmqtIbittk
Hs9YqgyJSnUWFZIMxfdEsyR6K/42Vaekyhh9mOrOQ4sjYQX1lso3rWG+hQfJrIs6ZZXqTDbmcJyk
t+4MkxNsvdY38bmMRg76GIs0Dslz5tVPftbrLctbXM3qGF6bN+t8HrGl7Y2oRJ1em5rb/i1OBjsE
3GPqgs91Eb5P7K6OK2/WWzv/I08n54AdL/lyJrOsAwI72qcuyrVO3a78xF83t63ttkvliPlcBlg8
YoGeq9xFapm+a73SbbqOvNJqi5lXavDIMAcO6K//MFqukf6bje0VT/fzt1adW1hARl6pifDmBw6j
xj0k1dR+rRX2tP1Mymb23liDsjvo/ZbNsrrOZrNA5Z7Pfv9idMYO0PUffso/7NG3sKO1KhMXisHf
+vS4H6jq9bTOyXnBzq+9ZIDrX72QXpJTh1TagiapdVFL05twxUtplLDN5zOfGIhawfLFaat5KLLN
4ElcUdt2185n4ab5G2dHxoA00Hb+dMJgQb3+hwG0WVazUrVizqPmXDV94L4jV16iiRoN7072YQI4
31FW867D1U1y+LJS5vZ59idnkbtUNMXV9eqZ4ICpAXSvInmOrGU8r4nElI1KUt2CExzSSzuqpX/o
liSNDrkpPHHTm4gU91WBTfdm6f0pvHdJm7EOlXC4Zxi9JIKdLLwo+eganh3usN6EFhwmhQexw94H
EDqCbnRGkj21Ty4+Rg8ls+kmJ39OhXhCs+XuVm+Z50OLLQDzJJKDeh2+uGbd33vvm+fqIF84bpJd
Eh47Ry1fB/7asvO4vfLPpBtV0Y0DAvWH0Q4KdSAoyGTngnxNjtAX3frVyuzxxzpHaJOkX+LR4ofJ
5qaeHcQhVrVW4xkVfVmfZRZk6/uskcV87EPfWI7AVef2xq446r81Ogxb92gaKuevAh3wgA3BydId
LNfsrUsWbCHCm0wudq26QbyOGrN9KKVbL+98UmBxKtcmQvU8iSr0VWPvCXyfK26ia3mM3JtVvriP
4+ilUxwJ24i+LHR6e+PZ3UCOZhE52Yc0m4V5Y0xeGCAXloiMQr/EDxo53A8c/GA2Hidvle6hTtQS
7lx3EP7jkqbVC3bhrL7WC1fuc42tj6dBn1PsgqEOUYgkXRHGsESqHANIK5zHHOBPsVPlgsywWseq
iWVVdv4xyCerjxF4JMYuqgJsnOtsdMnOnHr0BIlCZXGDJK2uT2G0lkasQHK/nzp11Wc6YWOgyMlx
Qa+YrPMj3nEzOpTdkGS7cG6HD0NRYFkyJMDYk+P5RvB99dbWOTuisZITkHa40gMgBIy+RtQOO6EA
4wSmCNDlqMVIdqtq7M/8GURYaVCMFz70G0RUnmq6j0MWdnnMsW4QnVOvM8e4FjYn6bNLFMV95fjD
0xC5yFrjzk6QnWRl7Sx7j2rr6jjgX0hRm5P+wm3suopdTTkm+1snQCjdgsJGxFmYIt3ZocyTI84p
d95bWZN/nrJkHvEi1qhaKRnDzx2aeTRignGDDxwcCGQQkxe1uIEnMZ06/rk4D6HTw94slBs+cnWA
y6Qq1FSfRAmHktxpamNQR/tof4o4X3rOHNthkMtHa4nkjD4xQDr0PUijNtqbaTk4d0VkFt/tFSL5
yQiN+WvLnd5fC4LtdxDBcp8zi9RoX0SSr+Yudf0JQ5hE0VLvMrdtrEMvbN99msrFM49DUhbVzTII
uz7JKciRrHnDiINsKKojseUMu9prm29T6nLyJ1K4eGcutI3sZCxj8oHLl/nQDKarbkejLYO3yasR
mmKXwBE+Zl3woW/CsmgOWT8XdX6YutEtniFMFtUPSwJKOYh8sENk5I1w/MvcA5yP4mpMPFntcq6F
GqxjJmimHT92aR8aTErjSRmuHd41U3MdAwauSzj1TcLr4rtQvAZyTK3XfDBSVOlDR0l23KiEUzQ/
K5u3yjLN9FuokON96yIOevYmXnT0sUjMytu0le58A4N+LR4pPfPfF3NuOLvcHCfv2NZy6B6YTY15
56ZD7R+LFSp/3I5RXr4hJXGit6S2xCVsMjneqFJ0yaXxZ/9HMdjlcC7coJruq6piu2CXY/fB96KB
NCA5ZD/6AiB/LWcRYB0hooxdt9p5+ZrhUxJ7a2WPEY8dlKp9yn5JncyGMWEavgwf5kgk5gmgDfL5
jK2aQel2kDiHYM6iZN+FKfwcLJY4zjLDmD77VVipmzpf987K3BFPiEyv3ftiQ1dd1pANpBRIi7Fq
rU77uCbdoUm759xAHX5gSgh4wiQXzM5VKDBi9YUwrRvDDYPa2iPH6d6jNea8zPK76HNrOcFt6NTT
vY9dtgZdkZbOySuogDq6BEF/zwJ4KZdmp6boBoLQPbK5tLuRmbuiJ6/UHcdarO5OlWFHX4JK4KTK
AxRyC96BMSZAo7+KMVoeIsS1EPun6ZOdqeibF6nki92YTfXcBOnKSEgtae18hLD7WVk5C6KsMLJ6
i4hDzuNiLy/SLy5GnNHNgTNWpjpwgC73oPNhw/bilGIncs0MtY3k6giY+Kl1LHTK1vIoyquNTKCI
i5SaY+l4uGOM7JltBNoCPxp2w2xM8TpNLzngm70IQBCIOqjvMtu+n60ck2H7UeBPPtpmlu4Hbuj3
lM3crUG7cJSXh8Ye4WCxFyUuIIm6MIqtcJCnOQlKyexcBPdRiF1mQZMwufOXQIj+WKjc3ftjPr0L
RvR7KhPdsC8x+OwiktEGhm2YMP2AUr+omfsCsgLe5S5fEBhSU5a26m0JDebDREWxy8vFz1lasWst
99YiTlY230djax6CpJtJ6C3xSQb4RJfOfCj84RPdeLUPrtaZg6wv0kWd46DetMdK7EEW/gDenh4M
oCm7kMwbNgBzcYRhdlpKoXZJZPY7E2P7cR2sJ7MMH4cloO7XsNj5ZMMO9jf282Q4la6K7hq3uE/k
PO19f3kuAHfnx3Q2PmF1SFEN5LfAZe8x0NexsLq3esrDS+eHqPIm/wdI2geRc128g2B17xV1TyRg
6lNmeMcn53pdAUK+v8eaKagyenIybNx3CK49pztKKPNxOMtxZxcSY2ajXpJABGe7F+3erM1n1wmd
Q5MXO0dir8kHAAWNyf8JqkLEo+egJvTcHNme4yexNaHfxYRE7XFVeE8UUAWsNKgI20ZUSBU7CCRN
sHZPtrD8H5Of9AnY9NR+l9YULO8RHHHpaIHTze4sz0JFWY+DtTysXoTwzawEbiqsevmO32chZzDK
xDpSl2zNF7N2rHvfNICcumIeRIzBKfxaL2Bbm8wxwpuwSPwPTVl6c+ws/fyRxEV07TAjkg9TgYyb
PV8hAbrZbjgzMtuxjUWTrm8c23vrIUzsdFcuKGq7KsWaiqqs/RA0SvxoBTc/t2U50DtDTkwRTiqg
AgKXJAsIB2UPvjEXy0tbRaK6BALr6LG1hTnFZmmgP0VXVrr7sKjEeHaqKXnovAQbZOG4+V/l2uf+
2e0QO+9DWzKs7KaDBleXSzTsRV/wrG7ILcKzE6XWV1TOdvMma7MYYrvhsJUz0kl9NGH5DGyqwrQ4
p0lTva/7xW0+1X0w/eipREvxEDuLE7fsiLm7mio8aThI7fBpRCJVH+yhiDwu+pYiPwelql9Ny0VY
0NSSAamGEOukSHFDYdoK2sd+msTK1qTt8xjU+FA94XxGwF0Cr0eW4WRmjxqx9Lpj1FWrFbe5WBSO
cWE9qh4F5itIx6h7RGpoqmNjDp3EDZywN+SA2Z9302xj7eBXVP1xbJxs79ameWbTbEcoBsvkzojw
+FmZZV1cT3UBspbBZj/mrWt7KJhnPiAPWOdv3pKYBuNLGf2pbcwi28tCZuI5J13WuVEONCe6gor6
eBwtKXdmYJfMK/Ag44n3WZy9Ko2quJ9zfGieyLLmGUZ5lT3i0qlSxPCJQkxTr+HyxHcLZStut7rh
gb31k0N1a7/jE4GldB2XZd2DSfCpR3U9eQkt0ZNf4+PD3mF0D5N4zFb1Og9h+9lVYcbIMCIWSD+j
jmfn5nL6URuhtGMQJf1btWBLQx8G0/mMj4tdiT9HBT7Vnr07+Jywve2z2oBM5Qaf3cHx3nXKyLG+
R3xQZDDWmQot+eDh5R3jPEeWeomkALoXifG2dd11/ZGPXveer7owiIumTZxda5tnOxHyYORT2e+B
1Cj35LjGPO/q0bXm597KsLY5mOv3zHXhx3XIEyMeSZOnFLxpqo+GGYTzoSzYC9wpZt71MWe7Gg9k
AR4Tv6rNL2bfOeuOj52sOvVo6erDGlnixQ3dKD2shjFaF+x2bnQrkLK/IxVS/iDPYxS7TtUVGFi2
Wxn3SZOy9qtb3PVjOdmQ3q8bo4rqvAnlr1d/i+zM9Z8C4a6HZqkQeXL7hy5nMOe4Iwm0jhPDvfda
iEo4ITPOHy0zWToO2lzH3Q++K8ydTPOc/RhGn2dk1MZL3mI32uV9HjyHUyCHx9XrmvZpspbySzVV
s73Po1oa8SJtlic0YMhvvWa1H7xKjk9plzcUJE3pR5kts/qYWH49oqBZ1Q1AS8PYEwB5sMMUep3h
F7DDzPZh3+7mdWrT04SN/DJiVMtiV60ucmDghszqg1F8ZFNX+DGIclzMKQ/yinQ0++5JOT1zXO68
pYE31Qe59vKmIyObTRJW+IKA9A3zkpL5s89mazwkQS/Pkpu6WM5w0I8mVqUEPQY6+oe0NcWbGr1H
ijfcuLbNvW/LXh4CiqKc3ZRGCSdazpzmt13jTGO8Fk4vmb4XKQ/4oOWhn12RPQyZsxonc8zNOxh8
0wfwvsZ9ZQRuv3d8iioxdDucjK8t3xUHSzlOe590tvwyw6bJY5Od7HRoPWsIb32rDM5LlBdkU9mj
IufCQgR6aDxlvF9yC9uqcIJdBVb8BPtYXdNsvjaj+eAOTXPpsQ2v7CmKwNjDqHbESSSqy+JRrNFz
NBXr59qrxcWaxPiQS74E42gurew+ZA1fvpAOvYyHdWENPPXV2Jxna03+aqphqQ9o/ypWGzk347FK
LLN55EyOj/LRZntIOqz4xjd08Zp3PWrqdPXPKhzH15bJ8sZGiu3fmnOf5k8c45ffRVhG1CrLpd/b
ai4BISbsb/K2fegjUZSYCAymsSZynY+KvC03tsnLXg9qXuuHvsl6cUi8KXi0SPPtz4no+SwtF9P7
SmRfD2vMYDFeWjUXAx+0UXNXFXNzRqHlfuySzC/ZX0XjdCitumVUsShm0DrT6MbHj+XGSxbUxm6O
1GjfitwT0V4F1XVJKNJXxJEP+eg6+zxfL9m6qJjccfPFzdR615jzONzbOELfrawV6lCIqaICKzHo
Owuj5E2Dd9O+oFgN3sluMWo6XZb5LsJs9he95jqX1Mmr1TwYnrKrjlmnW+Z9MqnxyXdB1CAJN7pn
KcOEFHhZRrd1MX0319VfP3ell3yv7BG9uutexU9yWXazUcjiNIllMePFtHsGRH+LffvguYWVHspS
zvdXC+2clE/oW9yJwwk7uGHxJ+UsXhGIezujMaJviwit87is3WuKeiffJXPbFti7rU7duAA+sn3Y
ueuLsVYDJsbCtT+rIM8/jfbguGezZE3ajY43q2O2JJzl4CGMxWJP9x0EeLZfeW2cBo/zjt3UTqu8
mIHnDbdLx6Xszm1tu7nDBx7S+ZM03+UAxroH5CPYElCRhOo1m5K625UTmu53fVqnP7hk6Os9S/DI
MQwYT1pZ/WXcSXvwsjtjpv9tZ/afvLqsi2Ot1iuGc2gX7+yRQQqAMsoE2/vUch+z0K693cjEfm/W
Yvos0Q4HpyBvSEBjFsq6fZijWt5nCR76YxWQH+HKmVtes86ZbXq0FPmudi1WvpYDX4s7cWn75yao
xvwGakShboZxbF6DHEnLLerWgkHt1inKSBcRU8mCJmO28k10WZzBrmPueSjwz81ykB/Ca3r0njWj
SWIPYER9dPMS22vb4nU9Bk7VpQ91Ugu+euzRbw5DL8cvmCFZACwkZu5plOEQ7iyVhq/F5GVipwzf
S+9MhxONd3wERMuNMziL9c5OSKT/FshsrR6mMO8HUCBTYp/UmBTtU1gi9fy+JlUuT340iR9jT041
IvsoX4ncvEVgnHJAsJcovI2nxF5Nj+EjuYgg0ruwZRG1ZDVc3ZN8Ts8ylNV7+EDBeHB623twON20
sYIz67hPtleZF7PKgnE/Bap04sGkM26zNFfOKbMxyx7dkh58P5V5Zx/mZF7c/RhkFevb1JfVx6Ff
mN244vofzs6syU4eS9d/peO7p1oMAnSiv75gj+zMdI6e8oZI22lADBICBOLXn3dX1ekuq6rCJxTh
G+egZAuNa73reYf13kc88A2ZkMFkRdqQcteBYFXsa3/Sz11Y02Av4EEDxc6C6zR8t6vqczzzUR3n
wkPkAIZgEoddmPvJD03PymAP/9mkfl574smrzTOBy63a1ukhgfPzoevhm5XhCtI1xyKtffYTUSS6
HGDYSQdkrXDQzkbEo+QT1K1awn0Uv5C3KWzDGoBz50ofiwRxzC+DX1aAOiJ8EbMMkyz07gfhYaGF
B1M65bHXs9qg7LMb9W2DQ1a1wlE+CIq3MmSsyhiJGgWLUCbfKpgP4gAsOV2yrtvwOcqqVW8Ieseo
nUIudNqVXOEFdX2yqfOCP9Du4f6nEwSaoi5+I0KP/bmVdKRPDP6jxSEuMcazABa+D6QlU/M9VZ7C
pbflJYc9FYH1O0KFdcTGPYps1+h1pJvHvodaSAQe9DDzA5S/Hq5PXTNFu0SMhGUrjuLGTQVnF99O
YdXwuhDyPMaiO/cwO79HrCxyzMbYBbjKl74ABkWe04ms+7ZvRLb1oMM6JKjgMWElZIo1GuMpWVE5
BwPE0dMPpmRHt6YtfUOPXSyaIpAstQq8rCLttPMMdUnO4rmtRMyG0L2XCkj/cYe5TTf1AdcYF5Vq
As/RX9NfyAF6kI6yK4mAw+1bjDdIK7lhK3xbml/GZgZDHSVFmOswnm6HB1zzndSeeHJL4KCQtmsN
4WD4J+EFV9angHguMh40bWVOQwQ2wyFGtVIUAUSQeDWO7YCjuSQz0bqVJm0RztVNda0QC6OjaqaP
OqEfnUahLQtGYTkMwWJPXoaaPWuZ5MMyfHJr2sqT4iQR9IA1q0uBK13vi12jU5e8MTrEmpYcsiNc
XcBVQsB1vUsX4h/7pXKjP/i2Kph5EkE8ZM8uc+CdgJh/n7zks1ufWPNyVR0WQYhpL9fKEESNdh5f
3frEVgO30wDDIDjBXgwSK7u1qpHqmga3YWJrgX2cr9YpwPjWpP0advNtVEYu2poEdr+/rifKEKiO
PJBNWNihjqh70lvhojlC09asDAY+BGCyoswvqdpvYdXRQyDqxrF1+uuD+8W4MJhYoWA73fwjJN4f
DA6dbrsDtXSBMFoLok6jnLUMHllQnaKxdWzZmpZJNDOfa6zfDXxtzxDvIQ4mcPRyGuDUmpms9E2j
oES9sHg+9Xq7Wf3h5Na0tWEW7TJwlWCgbJQfaUAeWcO+uDVtTUvkeGOAvAEjxKn+57o2R5wun5ya
tos6OkFTGmossIgNySPUqdupUZ120ewlvq2kL2kgBeur4aJWeutL7yLb8sXtwa15iYwoOLgDUIQ0
DrI4qk8mdvOOAaT+15lTEM0RUsTMQVYSogGwJSqnsiJ0iDUpsQf3wQbZ/wUFaojEeTcFcVsCbfk8
qPdlLz28SFNPXzvmy31bR6XbDm/L56EiE5NE9vyyVWQnwvY2Ir+DBF/f1z+JutAj1oyEGKCFk4lC
6e2A0MdrB37yK65auFUheka3M0tH8mAIPGV/81n+pQgo8W1F47hsfYJC/OYi8CGg7KnL8nZF+vtm
W4IBmgck7J/gJFDUULqI1m0xtn35gqELfFMrnGPExL9E8Wb6bGsG7jjP7LUnXIu0qPHyUxY9DGVw
J3zh9uR2kUB19a+OcDm89ALxWtzDX1sqR7fl+J/KBKIWAUEfuJwkLg5t334IE+MGFbFrBLD9zYUY
8dzjiKTgmAwZCyHBcVp87CqBZKrnlir09zTXP3sdfpyGuvpN29el4F9MCJv3WVYVsumQPF0kgcYO
ZUhPOuTx58I4qe4R9LXWIFg2dAFbE4njeh9m0STeuOa/4yL8m+kcWgcDEABqY+BffUGcD0M8bKd3
WYug35VFOlW7shm8h0IIx1XPriCoC6W40OCAhnz87JvgLpknl8AAuslamODuLpGGAwxkY4ioeR1i
nH2t/d+85Wt//Ku3bM1YUau6GDEqL/0Shz8rQmZAO5fZEUxjFxD4oQK0CGSaC3Ki5iMpVv41VF3l
Nm3tGoKwHWKV+D26ZolFHvgeR3aXLw9Ok8suI1g9ubabBp6LIpgEZBRDvDgYF7f4gI0C3Rr4rUwR
bk+VXi8eow9eqN2WHLuGAOowvsQQyl0gqORIs0YDEvJxtf1mhw/+zcrw16//A5Gzp2GJwCUTl2We
EDSPq8Z8mEAVhPR51XpEhHAWL6CoDE+q8snHHuIvD0ejLvmRRl1zU01hwqEnnxiyoqX3MQ1DqGYo
zg2P9dSIr03aKoUCULL+mDzqySM2+rG49XEch8psQFta6uIKUV/dAN6+XbjQD6OMULfUg7sx3KhB
3nHB3EJMtv6/XhcdLZAo5TgXvldM7oTwvrsNUOs43kIFq1iDpqPgDjR2tblttbbwH8bMk66hasvL
tYXWHCOorX9z6Pk3y42t+teFX8cjLoQ5lMjp43W3esb1qnt16hBb84+6H8PKGK0rJH9WU+5l/cOt
Zeso7peNanUp0dWky9biJu0cQ6c2nrPgi2RxIVjejwcPiuNkdjMZ821tf1DFJFhHtExDeTBjeruA
uerWHeGvN5Ml7OkwCzTtM34Mx20PfIrbdmdr+yuJ4tKZYvD1dC53JbRDEOh1y8Htwa3tDuWxdRkE
A8sbSNP2RPcPuk+diikS33bURnpu6+MEjUeeyhJ6jKFxcXpsOzmA7Ec4rnBHyZMeEod0yBb+4tby
9XbyD2s5JNkBba+ye7/hKP5OMrZ8dWvZuhhzvi4pJKtxnkS03W3TyHd+j/oCt9atCRlNhdcmyIuB
oE2Q7pyhyduq1Qkxkfg2mRMk9KKEKj3OOaX1DRK/1QFS4fo3G+i/WQTJ9ev/0OcrdARxm8g4Z1PY
3AWiLV6gG3Uc4rYtLBu8IBqhbM1TqJk09Y8DD9xmj43n5Kpd1g1lDblP9D4Qr7Xa3C6ONp2zZmm6
jP4U55OS0PL/GDbHE6jtCRtBgRTCXBUtT5AhlJH/xH2ZOgUJiY3nhJd1ixKLiOZ80ffFtt6Ny/js
MsAJsyamgdANCVVKczJUJXyyiy5bROx27CfMmpxlH9cR3RaadzR8Rs3Bg0Km1O3BrZnpp/A/IA2a
xtkkV355UZHTuZbYfM5Fc5mCAQg5ZWnqsz/O87mAlsRpRSG2LbYKEu4D40hzrCvVMfHItJ9EV7kU
UybENsYeDQ9HDaFcrhk8gBJ6oVPj2C3Br8vJsoDIS/uZ5nJh+8JjqPlwWqiITecso4H7W21obvy0
O0A/SQ7Mj35XCPevl0FiAzplArVpM6P1dKHy0Io63BGcstxepw3o9BA8HYMFwxCmHLdi5p/FFjld
3f5W1vcP6/cUVYBJdZj145zyN1yvkmW3jNwb3VYVm6RnKgllzLqtORPkXI3BboL4zGly2l6ZW+E1
EWoP1zweADdYDHuBcY7TGg6Z5q/jsN+Uj+LFec1XKivI3svhOBWJODk9uQ0ubSDGHlGMgfcpZXVC
2VtzVpPvNtBTa83aqjSuSeXRHBqbJ15AXxL1sePCYrsfp60GYTBA45A1R5kPzeBuiXTsOM6twwQD
iw567ZTmS8lRIRANhQf6Yl1yJ6ZHQmwXZFgtJcgLqijvNrnXm9oFYBi6vVNr5WqFnw5EtCQfi2Ln
+0UeLoHbQE+tg75JyLDAVYHktYbH0sohs2NOpyCSWtduYN7Wth9Lkg/e8CyD9mXoPBdUVUJscmnX
Vy2Eexra1C74BG9LGKs3i9tAsbmlcahRawVJfU5MAL1wzT4vyfro9CJtbmnTKb0NXbXlqDJuAwSA
av0yNp2bgx6xqaV9w9cg5AlWrTm+i/vuMDLidEtBIcKvixbMfhg8uPmazyQBDKc99FXhuIxbQxCa
Q3/ExrnkvURQDJnHJlMm+uLW49YgFDHSRaRmS456CKiA6B2E6W7PbSuXikBO1TZ6c46g9j4Zq7xB
cazTU9u6pVm281hrFEfWo8miKMg86hSsJbZoScBRfU38Ys45KlJ5Why1Ez0yIbZmiUdGVmKOZowQ
FPDFNKHAPYXMbVb+k2ZJhN0Kbuuca1Q+7StY8R3Cxc0mj9iqJdjXhUHN9ZxDR4vSP/+uXNwMPYht
kIuyjbVORalzGc4fxlnsoURzWwRt1ZIOhxLVR+JaQTui9LNpcq9Nf7oNQGtODss6tGaO57yiSb4o
b1+q2G0NtDGGKdMoYq4xAtcIdn5tb/pjRSbP7cxpy5YoAImTIv4M4VmoD6jyolnJJn/v1C22bqkb
+BIi3j7nde89bXw51k38za1p66aZwNJvpYTPue81eRH0j+nWfnJrOv517TYRTD1qOs05fJQfioB9
Cno32DyxcbRU9nrGFWLOUb15ahdzThwdPYktWRp5ZdbFw1O3ASkziPNvUBbz3a1HrCO4317pVL6c
8yD+UpLl4Pe126HHFiz1UzvRFKXMeQC/t62bTwP9nYft9XX9cwqSUGtOgsiBQoh5mfNESMMOSaeS
+qALFXwtkRSOs2SMuFucidh+ueu0ECCnZyzmYX0TtOoySc9tJbcVTHyOWAVLvylnjdwVAOYT6Mud
XqstXyq2UJpARFNu+FJ8HImsb4sucbMjJTYLNI6HBJuQN+VhV5HMm9vkJlyFcdvybRETaAx85rTG
ittf3QHZvilrtxXXFjGFJEqXcEG3LFN8Ctl4O4Nq4tbj1q1KIE/prcob821kGeprgfNO3C49toZp
a5AEC5cKBRGvKUpJhGOzwa+LIcp7OQPlbsp97aFAnuco5Ha7HdvwT5ZwrH4Ib+Szl8CKlJ+Bb/id
yuTfBIFsWU8YrZqgeHjKa5S43CyYRWcPUDO3XdPW9XRrLBcUO4254vRjaFKU9zIwGZzGiK3saWU7
oGLITDlq6drLrOqPslKT2/3VVvZAZxAy+EqPecq6I0+SM1+pWyjSFvZUVcJrXXZTvvntMw/Unrao
QnfrE/rrKPTWsMSNgU95p4OfKCR/FTMYQ25tW3MynlKV8nYa80C8U9TQNqx2O/7Y6h3azkNQTOjs
Qmw7yBmOMO502zdt9Q6oMIFU1wFdduNyjudGHWg6jb9ZXK+HqH+xdYbW1sm83p+BXBmxdfLwskCx
/DZIFF1C01cP0WECzsnPgNlCxafTO7BFi8u4LuAgMZV3nqf2SijUJQMI7NS4LRYiRizQoUvgX0qy
ZTKdh11b+E46DDhK/zoyu2mIvFS3Y94DTHmUMZf7pAei1unRba1Q401rFyuMTX+uyG3rg2uA27Nx
G5+2VqiClVoFJarKmd/H+6rrvtCpdTPfJrZaiPbBmK7BoHLBkg89f6zL+NmtU6zFoIQ/RoRiH5WH
jYZVRPijqYRb+MMW7ExVvaqeo2klUP+ElTiLl9nNhYfYItml9UW9yUjlvl/eoKNvp1G4bUi2Ggg8
mHTRs1B5alKQDoqs79wy4sRGgS6MwBA46lRei+K4yfeAFG7z0tYDkRWUFEXSIYeIeQ9bvF06Od6z
bD1QvNVB5cFoOFdNn81sBQisdzsQ2WIg04kG5UmgPXSiLL+ky1o/bKQMvjmNbZsBCu5EWrBYDnkJ
p1EKnE+3Oh6JbEVQOhlUHTdoekmrad+Yme8SKVe3EWirgsQsvGXo0frg81MjgCWj0i0BZBM/uarg
u1O2HfY6lPWXZdmfqxmSW7ceD35dwOW13izc+jL3oQbCUe4xlY4JPRv5WS8dRfn5yiFV8aGsLfp2
+dSNYB46ProVrMVyUhRjhfb1tPj7YWteQRFxjCDa2qCoAsGjVx4965FdJqCIksJN70HsouGq7jal
I/BBBPjcoMSaDDwcx7SY7dprNt3NnoyuiKYw26A8in23uUmsuBCZ6mgAw0yfh1pHx7QqtxOq3rXb
ZmxrgyCOVElJS31uvPjWA26FaekWxLaFQSIdfTohiH2ugw2IK8XugqJ2TBTauqB2WUYgG9ArtTIv
amh5BpSC47nfVgYxr0NUYrx2ygyWxpKk+QDUpduh0xYHhVzJaLm6nDEgPsDyWuIdnt8tiGDrg7qi
0l67Jmi8KJ5h0Pq5WFzOhDGzxUGqk/0IxLU+ey1wiGAJJuATOKyFaDr9dS30KxBSqyWAfcta7XWQ
Qh/05tayFa6dld/pCFiSK9v6a+t1x6VRjv1hTUtskkZVYgGhd1hvpK6PbHPyuEd/WCdNiTReUFWD
PmveFUcgvnywg0XgcmFG69bFk0WwLkeKQ5/VmuwHwj8Wm1PBMJoOf32RumsQVxlmfZ4m/y4oy3ZX
Br5Teh2NWzsmjse67QFyOYPc84GxBHD4RLksVWjbunkmPanFUDX6vICSiD90ChPtOE6s3XJUpKHg
plz9oECZSwIB8tDmFEqN2T/JgjQv5EBafRYj0hym2eLD6oc/nCaP7dvrBdBGzqhHPot1OG1dnKGT
XHYdPLc1L0k6CcTJ0XRCm1071jtZOnr72OKXAqhugJHQ9LpuRwZ+ckWY26u0pS9qHshGFGYOR0wo
Ez3/mBLlaLyVWtNyQFkUVSuI34DD7mg4H3pwZ9xepDUtOUgzGnw6fb5yg5C8Ak0wfndr2pqUIMwA
VwSTxnO4RUcBUE2WItru+NzWrOw7GBBxwIfPneDPQfNNeImLLB/jz5qUQy8Y3CXQ2SFZsSfQUzlM
LqdjWKRakRkyh1yAloWDyQhb17Y6oa7H5bKDpq19EnjOsfWRSj7D+S2LZbiLwddweo+25EX5mClN
x/W5rLd9k+STdPQvtdUubaBFoOGIc16rfo94UtZLJ0kK+sPaJ8mgzEB6rH6lGdZ9naLaeSt9xx6x
5iOIhHHjl3huxtQ3oLGfdWu4Y9vhr/tk0hIPOnm0XYW3s5/uwJdzbNmajy0w5DHBReE8S5OZ4l2m
n90GiDUXp7KK6bRigEBPs4eSO1va4W+bwX9+X/9P+S4e/hbhHf/7v/D/78h9qrqsJuu///0iOvz7
r+vv/M/P/Pob/316Fx/euvfR/qFffgft/v3v7t+mt1/+c+inejKP87syT+/j3E5/bR9PeP3J/99v
/sf7X1t5MfL9zz++i7mfrq0BQNf/8fdv5T/+/CO4Ckn+8x/b//s3rx/gzz9e37pvNU6yf2vrf37h
/W2c/vwjDP8CeWJK0yjFYRskWgzA5f36nSD4CyEkJPg60pspvUZreqGm6s8/vPQvQRKxEN/HD1Ao
r7FGjALQOXzPT/8CsVkAJDwOXUkQg4zy/x7tl5fzvy/rP/q5exB1P41//uHTv54u/jdOT+M0pDSi
YZwEkY+yA5s3NUkDQFs0QwjWgFR7jeT2NbDJwGW2wVj3V/xcSjewoFVc/hyVv34epqJj0RX7Vy7e
vl6S5ccacjOdeNoDYsM6QlZ/h3q99B0a8Ai3RdWVXQWQVdeQnRcnQnyqWZGOLRKvbIVcjMf+K+qu
m/aho96kjsjSeGSX1oY8bkUTljmyCojXFsVW9Xdl7YUK5Nlmmw/dvHyJwA42x82bTXpMEeoZtsx0
TWcAsuW+0lk/rWG8R6EcUUivwzZwL30kDTow4403PBbd2DdlVnue1x3IEJfpAWVkc3xOqqRvTjEQ
fJkP/c+r2FD3JYKY3aEWsXrZPF/fVJSMz6tKIc6V9fplGFtAJlif4sHG+VmNCOsDoPY1kt2UAZj8
o03aZh8Yf7lZ0LmgHgJ6igzm8JYQdHFCCeSKrAPWeVjUicKb+Q7Vz/cenA7wNmaQ6gAQ3PmsGg9N
tUbnXi/zzTg2/b4m4Vcz1XpXSJLewEsjeQg6RFt5RL5BNgy4NBnmcw9fh4Opws9AvusbWGDoSxWR
/me10ulSDDIE4ESTHSBK4R71pyITEQOJeEimL7RLi0xOhmYceMcBaZBokiF4pgtEAPdTGzeIqvFJ
DjBO8lIeNh+R6NTm2CQjXlSmJBHq0Ru3jX1d4BE+3rBmxK9kfc+B58jUnLCVASjZqSjZBRPo+vMu
VKW+57qWmcfLmwh0v+Wsmm5oP1AjHvqBFOUhjWdZ4JjVqJ0WcxNllNEmyHxwvoFU7Icg/hjIq+fG
Or00cQxWICcaFFkFcqkXmQqZ9O3AuwaEbzUceniwTBmH4Q5ky32kvQPI4Sl7quugjY+ot57vIKrX
+xXWHo9b1PcJQHxwbniuKoUr7wyjiq9aFWl0DuVUF5eNA5B9N5aDqC944U1y67fJt4pUJMq9sJib
C6iolcyWUL2OLYaMiHuaHEvIccpTW6aBPBfQOJ/btH8MNjVkqpITXEsmFJzQOPrURNsIgLvxH1AB
XWSz6c8sjKUEn9TvbrrUS3cBUckIfnXYD3uQhw38NbykAX5ghfvpmIYEZt9NhUq4di1OAL5zuJjp
ZEM9X2tUszdrE7McnCcZPACum04ZyKbwNgni7TbS5VMYyA/DvLWniE/v4QgyITyFwywQQ/gZXOBE
fBnTbRA3cmx4svd80lw8Y4r+WznA+OfKQJXLPjFRG+/XBiWcN20Sg0oBexVvzYqJLvy7BtiZ7cic
fPBQqNzs1KIpAJ/zvPTQxGvgXmMavRpOq3ovTPIdTIUcxGJ5iwUKMbxuG/FOK8R+GG4oA6wcQKKn
nyPQdCN8zh5Hx5l80wiLwAIBpug13FpMuP7AWiCTTG1Jm+7BYDZlxtsojY9ltwJxWepg6Q7eBk8/
4JPra3FvgaLTaukr9Q1QSjBSAE/zhoPWBQ/2zNsaioJzQsUeO0bBzt6gK35QyhtQOz5HkM7F9Hbq
ff8RkxfkWSQL7hJgw0+wEeGnvmy3rwb+ZPVpihcPBj8j2ZOw/BHxFoby4TwDjR2R/AoNBmJ82T4a
0t57Qo1ZHcrxFDT+djRz+97LxNxgY/eOQeHBCINP4c0EG6FLNNTe93Su4byhSgHyJI0HkvvRbIaj
8rcoPCbDSI8Jm9/hYMBgBlGb12HqP4OtSI9XC5BLOwhxHEaW3PgAIJtN4HM3dNr1If2xwGruDtjy
FJ4TsK/G0Ig+LwR8+t7U2yWuK3VYOr2qTMNVuM/CSDe3cQxnClrABLPtyTurRfWE9ba4ZekGd45i
9UHwNqAUq5TQUxJ3cU47AfcSGW+vfCrFESDy7TWKk7rd86LgtxwclTyicfOYqqi/8LW792nwcx0A
0MyStEgvcVqIWyRmt8uyztNRFDR4arZ0/oKaBpjnNH2a140uL6mWxcdwbcsDxTIItHQVLblvxuUe
3NtYHeTiG7DIA/oGvjr7GpqeHVhQLw964PzRRMMpSovumIBvfV7buodH9uDdSg+0XFn1LAuXGJ2o
d2TEkyTx7aqnG/jBJB+SZXzpi86j+3BgY3SINvozrdYnSvso55Lok+LFbWX0fi4gi5uEOAMX+iZh
DQX7kwevm+OMYr/shp48B6o/FMivdutwU6LmOEmgEduYWW6COtyOwF6JXRVOZ45b85GaCdrAdoUN
Rk2PUyBKEN0rdVSReQoM1njTxHsVwZqgIleXpu1aPJ5En1i0oKllkjuzROxUwTnrDkwecsSuj9Wi
aosLCn6AT4288lvkzzMuAFtwoqZp9pVOxB3wyedEdHTXMdhntNR8L3W5gL++5aquXtRoQPr2gnsq
y7ORYnmZa0B7saPHi9mV1XaCZdBPocVjI2VWjGTOpvAVqet9yavLKAAJruY14ytsWLbqczkse5gF
3dcKDPqAY5OO02MIFNIdb2F4MCj+BKPkW8aXS5VCGk3UVc8wi0/BQs/AIu3o6EVbRgcODH9zA+cX
k6+NDIKsHntzCsT2kdfSz1JhuiNNyAM8z/BZ1iMTIdlTE2PnVeprHI4dnknHezqZBcY3BgW/NYQg
WJci8lQ1BXtp2EB3m67Nl9Ybyk/p0NfeLoxGsx19WQZX1yIOyrFcExUemazBft9q4CrarAWke6fG
uH2DecK97FHsFlfdCgA7ePUokVa7aQamOOuRQPseLGWbDxNgrdOd34RzNsyzDIDnbdtd1RlYmzDf
x2LdkJtqK7rP6ZKaPSNbAY86yDKzbUi6Oj5hBskjOPkhEs1ThC197u7Hba5GnDLkfAmY2L6qPiBH
qgyMZVQ9JsdIMA8+DFhdstFf4C4RTbyLT/BaWN/gtJDCAmwJPBwkNw5byB03/fBXoUl4V4aBTj7r
Mh7YAZBi3h9qPZYPgHtP99sIsvRU1uH9rCivsqE08AVbzNDEWSU1zxcW4ctw7xH5GPrbA+Mm+iAr
3E91EzaHbW2GnS6bOVtnvPSg81mG8lWzH4sWCpelJveynMhdUEVQXXdc7VFcNX/CGb19XEzzqGTg
3QPPve1MiLG74bR/0oE0N1RTdQcszVPtrV8HmmJg4Ai+i0RzjyPgehvNQwrnlrKh+7Wd+mMru+dy
5BjQsKXapVx9IjHSEWAX3wZkgxlPVKEwBTCvfb8k5T1OLSQLE5CpR7Lcw2NpAvmDnEkdoveL7b2M
vbc28atLBXueA/DDZ6O8fIz58kZTPuzp2LDDQrYpB6bN7IsAG2e2rEv/gteqv3bworqF39X3NdqG
ox5kg4gm/Qy7NPUBV6AwX2Z6tdzon32CgZqYxFSHRo7qEAmsriCoA+qRbVHdwUluq25TKO7FTlPJ
YSSswwckWLZnGNA1l7AKYWwdpHetb+iJxmuZ6xB7CQVg6QVZ7/4zwFnFaYmTbgdTJtSIyZodV24o
MmMeNlc2/Vjm8LEWq/zSEbjhJB15DSfc4uOFdI9F4cmD363ldwZQ9q1IN/KFVtOpKgXOfqhT/FJv
MDIr+zJ92tb+mdR99wXgqx/eSoCh5tWOKW6+klEfuV7qc1t20TcBz8QL2DHz0zT76tCrovyG8qfk
mwjpfA+eXvSRNWpMM79I+DWWSp97WNnsylhMzzPZ2htYcFytHzSbf1ID+0AY5uhT45Px5MHo6DEN
Ru8UB0PyaoJ6voeXVZ+VMVlwjK8H7xBG7YuheOwUNi7PRC95W88BbLsi/3tLUjgGpQEsitq1fx2b
oToIk/qHZp35vZaE7UZQLe/b1JCvMAIIjiRu1T5I+886XP3TGmp40KXiJJYqgbFVaQ68jVUOAfK8
k0nQwiXyamqXbNulJSjA3EYfNh66XuuMzEGCFYmp4mYtfH2S09w9woVsD23dDBsj1YEUJMj20MQC
4ZAINpJe7cEGs4HLEZRB9ISJ+lTJZrzA2WDMjCweK0PCvahQjLByITI4ddCbFQf5vdDbQdfekJOk
OUAFLL/A1cJ/nJR4CUk33EAseFfCWCRrYkS54NDuncMpbe6FF9KDVHLdeWHJ3uhYYb6l89c0WquH
zodpg9z84Nkfw+o2wtaxa6Iw2KMiSh1EYT4CpnJpFthUclGFTzAOxhnfA62b+2u7j2GnBG636uGD
QyEgNH1hXrTmMFpsZn/U2dyb6OhHuPABbS9+8B62dTja1g+iG6onXNNxuywSNn6Im+E7b9ZgB48N
OWcUeeYb8M7ZbV9cXT6GccxwhYEn2BbhzmHAMWpltD3U2ugbjy414lgDkGrwNYMoAHefkiIM4HX0
QwMTt7uUoz4XdPUG+6Nf7YpoEJkJa3YezIjeWFS5r4NpPPJG0qf+ev6pF4SRo0B+h6wIMxRuLXXD
Qjg8Ez/MCkzPfFmwpwZIfxxDNX7iK/jycVXiHjotEndvKc6mjeCa19cr29E1eh/K/gsnVfBxq4CI
74dozhrfrN/wvugF/kvXi3L9ZcSl/wuGM9STMOGDqTdMh7ooPnmwEADtbou7PJK8hbMD6gT3nJly
xXWw4PtWMVLvQgLPMQp2x4EVQO9HDac4RpdpRmJ+W+o0PaGo8C4KyFMQ8HLHiVd/mKv0I/x99wDu
slyy9C40et6tQ2p2SwO0OU6AjwxGpjsfJI8DyB1viJN02PXb6RSbJoILQHWeew5jyGHLSdm+6i5a
4OkIr/N7Tdgnr60DOJxUyb3BMfamYIU0O39L26X9XgV9ea5Qd3KXjkl8DhAseC2SbdnVrSf2a7fB
G5HdSBC6nyFlrr/p6+48hesBcofmGe6it22cyNsCBTHHMkq6F2RfXhA4Gj+NM1tgdYayJDPr8Afu
B1cDzP/L3JksR64kV/SL0IYIAIHAFkAOZCaT81DcwEgWiXme8fU6bMlkUpu00E6LftZtXVaPzAQi
3O+97udSi+qr6pPqY1767lxA8GEsKpvNIxQJFQiAGL5h5H1oyU1fExXaGcozXhMTio2rpfrIhHLe
ltkGFynbczExgMwhYxe+3KyY2t5ihf4wiSNN+LtVi9Ef7eFN2ctfHpGI18Kqb5ueHc9LNJvntKrP
LujzXW3V7JcdCvvHjuz5SSHq+F426WD0Jtev17jztzHq/TjNAfUa1tdUFuz50mWfglcxnbASU/m8
TPnAuZ10d1nfDFe0bCrk4oXOM2ad3zTSCWwR6+sCFYWxp7UOPKcY9opptgDEmhE6dutwj63EGYCH
gcxBGjEW8GFFNW/30raL6yaXdMAm3Fg32Xv4OvguvA9hg/f62Kzb3yySnU8iz2bXtNnBxym5KzWI
w4WNgTuyNewqt6z+UJst+YN1Wk5y80wskO3CbvbzvLqvlEcU5bANLk3dlFdD0dnnAvIhbNEC6Bjh
dve9SmmAvSb5WVbu8kK7bdhPqjoP2dLs3MhzzzW/XKCbdWcmzksBs8yHpA72rdwy3xs9l0vXKg95
Xy0fxSCWC4QmYFq1KMO23N7Grd327Fh3z+kG8DSopf1txJERAEuz7wk5L7w9FjjJeChv6qRXoUX7
e41uKx/Tyqz3vYS7N5m/fZ21zUswanrCtjG6AzAOm76aM57FGO4O2uM9e7uSkACwxKLV5XHFFGdi
rzKuxOCJoEvlDwqUpoXIHpnT2nxmEG3fJGjtu0m13E95RxRqiH7klHkndleqYynd4ShFZlL4A7Ms
ve5OyYyx3FWaAVxIhzuwL69n6qeLpwc5+9BYpF8q5I6rGaExtFE0A5M9VwHvjxP0SzXeGyqv90Xp
Vch1wEW7sujDYtFUR9HsReFmrW4IcmkKXKd45oKuA8NYN5jIgwtPCUyLpyoz6BLjnRvP2MlmNk8A
NuurWM7Wvsyc27Uqr5pEZycRL80BTCjcjsilduR8oLcfdBau9lztdK5TEhsoS7apxcFioUEIMu2X
yNr2O6huz3W8vMBrngLkRfkOxeSzqNWtLOEJlpszv7DDpv99tsjAi3Q8IILfLhsZ7Jzdcia3bDDU
CZTVTuX7xnAHFJ91CTrQXdfk2xkashQXK5SSu7zIUF7j6QAGlxlicCTBNKwoiHbysUxRZLG1pWIg
Q65JvPhT2yf1IYcQMp3loJbHNqkc0M9jPm53UYwS75dZZFYkXGRswdEQYDGAjmXnFLtwClRkmSs8
15Y5f1KeU/LCyBF4oyhitQ2ImKx6W3rIWT5sCmvxG1Xqt3nrgUM2iLivhZibp3TieQO62xjMasuI
d6eLm3r0M2+hJ9QsGlx6v2fJCpdlYcT0lXpep71bNhx5vVnQpcxr9tiYROK/jQG57t5V82xcZ10t
DS49yyo3n3/9IO+HyaThzlpr3ELhRWNzY82dlNfQWTzaRuYuk1Ozsq9654gur0MOTbFdG5mS4F/i
lbEym7CVyUYqVS7nUmFx+nBc5e2QuevPpJRZIH6ZbRUu/YD6mSIt36H8e0e3T9ejquKnchuz/bQq
yrTyBjbTcyF+yYAFAlw8F91DFTvXrS0+mahcfdhFw44sSe+bi/t3AkX9woMwP6PfZgdlLiubqbEp
XplHBzGcIXWUhrfse6hjoGhzdtk1lW5uvKwHKx4Qfq5+y3LdDqFRTNnLErXdcA/MtOJ5IANz9EqE
5MCMpuohRUDKdvFUFeVj1c3NyUQQCmDcTH7fxeVrPuoYiMvcjDdzs2FLJOIoDdEGPeGRoJCbsePq
rF9YHPlaYHWVrRt9dDq3H8bUcB4asVaBTNbzIikRVauqP4OdUVsMzuMSN7QFHJIkqwxZHtqxqe7K
ARx47hkucieS+cvWR+6V1WiHNVhp9ya3ZP2xoqo9uExGr77VqCoAPfZWgNnbxQMhXmuKxRUCABs1
RASotBuNNQAjrjWeQd0L+FhdAzB2mcXfRSrJEbI1zvpRqrWUMMamQu4oxVvnaI12Eh946L3sJU17
D277UC/9VZqUorPgMLaddVok03E75QgAlXbadjQQEuOHFpnFHm4IZI4f12dr0M5LORD8amGp2j6v
WX7mE+YdK6CtxCDQ1Bj5MJ11t+bluKzh0K7b1h7jpKx6yqLYneezbucPrCBWSUm+G7ase+yd3kCz
buP2yn65O6Tp63g1V18mluu7a90dBbOZsMsyzZQtWfWkYXnxNq/mNR5FCieYKXDfdqr5oCrgPPCb
4Tpx2vkSgF4wxhpKrJld8Dv8mXblT9x1t4Xr2EELWeggZzuG0dero1kDPO8cBskbRMlgyrSJj5Bx
kuDZT+0VrEPd+01fylNlbs37VibuWzxF7rkVdroTmzW/J61OrhckUsiaCaqsgy9xHsqt3sejp4+6
XeLrMQHLsJ8b9ozx/aT95sNmZltNEudGWPDIBHlnW+XOTUyZBbIyhe9E+YOrvfctjsQjxsC5FOJq
ZkvPuHcWEJJb1y0H0VGWm1GRB5Tg1W6SKiKmM8BBLNNVBtyfze3k8Or6mzZsv0Gp2kOfAYnr2muK
ho/k88qwodMASkTGXShv/6i2/+5rNOaiG9S5sZo84GnKQqqUGMFQ1jfDsg2fU6Mhh9JwZWM67KnQ
vavMBOur06QpfMLY90ltXZTXGYduWA96Si9t3h+7RnknoSKwtICN21tPT/GNjTvAMiNvDjrGfIRf
xI0ARdlj+0Co8g2u6CfDjS64HVyKNNP3rctTaSICPlh2dqPadD9tznWKnQf9mWcehtafFnAF4rP7
4TTo1LaNy5R4Wfwg1kQdUQGS+8KFae9NtjyoRaLeJvzQnlfvVunln82WXfXe9MEm5N/7AoXSUhZA
5YVLOr4vYdx9cd6WrxMUVt7GNtorc721jd4JY3dgXbiBQhB2rBIYfcsUM15/5zxayrOFb0ZldiVn
YR0tNhaG6wZGHVX2G8Duc+mY2F+8d2cHgMrRjectXPU2+F7pXVTkxndxw3fop7+1QuGAxQL6SvR1
wWvqei7tooX8Hk3l6teDZVxG4XShEE15Wox23iWA0TJeaG08FrpuH6cpf0hLitiotqe9xtv0E5GL
0GiAaMUs+mZxWFlfVaP7WmWW6ZurbgJjnsub0pA0gVF3KNj99/mLj92JMb64vx9qJzp3RwOXhWZp
rSFo+ENTGm+dktZxikbKt6x+SfKyD3ItMrrkGcy92OAyU7mHa5JpX3GEnCqrKm/ioVGhHauvygUC
S1VsPlWau4AJnxsFOHy3iXK7suJozy+IHM2Y1a9UdqnMHO24WneK2fd3164Mv+HQul4mpyTjspVV
2OZJ8jQxeNuf8nmausvaUybBkOsjdSLYNEfvXTdFzq7z3Eic8qGFHzkJm3vX6oNonuPlwPzhyZwb
Wg+vodpt7Vldq6iU6TPGR5IFuUcjfMzXuR5COsKk/YzY+HGSw1YOT/8MJvyfshk36VdX9/XP8K/J
i/8W1rhtvqvHofv+Hm4+mn/9k/8PMxriN0b1v2c0Lt/NR/FfIxr//PP/HtHQpC0IZriuJTzLcrzf
mdl/j2ho8x+msizLk7//0JCx/zOiYZn/sG1XmtqG8Ehu4je98R8JDan+YdnYptpRlrTg7cn/S0CD
H+V/HKR07H8Nx2dGucbDnHVHoHfdfV+2422SRCU7DMXGwKZh3Jvkj1Lfg34LhNxwPO8gOyTALHbH
hzpn6x6brNpd1JXRMU3WdOdZcvwp0eLDHHflc7YI+ercFRzIWTZ9F0nq7MyhLIJ6HmVIPzHDxvGQ
CJXNTuQo6y9JPeW+nVTAIGxBJynHGYhTGcWPW1Ftu3gT5nc+1xz79tqB1TZz92jB7bn3zDK9rqfZ
fNqarBY+XDn9kJdaXClv0G+T6cirrCyKz421In/6HPZ6yC6rdq9qwhvgCOEZs23b9GMz1zeyjQZ8
lipHIzQqrDoXw8lNU5q9xH2ICHZcrGRuX1tZR5s/zF4eB7YtKjcUA0bm0rb1dwoe+b5Foq+DcUyM
PxhrEP8w7/Gz07W9Uebk7LK0dO4G7Qa6NuMTBr5gq7izHNtoXh+mrCnefuEiz0SDlePLzJuPVOMk
zOzE2t6nehggiRsi8YuiTN8iN2+XnWkrfYDXPJxH6N7vizPPMClV/2ONrXHJ7HL8m2+DeUYkXHr0
TUf7xgJjDhr5JK7abNOvC6G2kHCJdb0uuMOADZO48Fc3k3aIEdm9Rnas+0A6Wnw17Vp+1bKsrlh3
2/zNnYZTmggD1f+EulRVJraFUNa+t+xu1039o6h0ebCGJ7Ksll/Xse23ef26YMIppsB2ygaqmuaU
hht6yENsVveNza5e56lqMhXCR3R36zqXsD9JG2MHhCrP9y0cxmMihovFeT5uG1tuXOk9wLAXR/ZN
W6FR/8SWJQ6plRb42TG64298Nts+1dofhVceDJGz+8khqzvR30jKlmm0H/oK3nlbFtsxyo1d4sU7
QMTcFpkZZPpOrsr5ySpDBK74beNYs27+ZUghCistfppmml9MpftdC3g6QOOcfJv/6EV8WGB+j16R
vM5eOdM4dvmp0ziE/adCmCF/PwWD4R3c2TWChjbPlO+O4MeCdwsU3MAlzg5sk6ze5bo4e10+CHuC
e4puzXZ0vzCfiJiG7PK8aUatroo8olZ2g75ikTLI03th/i7OK+e72WI/cTeMh7gvjjKpvjD5sAjY
fVmK6FVVy5WFhQWnelMBMvHkD9q86sz21m6NFCMnDePa+aPT+K8rMvyuTk2+dL5TV93lafTPNqgJ
hTsAXl9JxyBn01NskQ7nwjgZQ3wut4SqNxf80vOdm3j4QnNgm5JUVFcY/Izpw5a492Xkds8tA3EY
pil11pgdeqDKF2dKg0VUwLqbLBy2yl9cb6aqpdsk++YPrs6OyCQZ2Qi7Coe0fEUVDXqrbPc1QinE
TYc1f3bxKNvqZyyeZ7yYIGLVt99ZKz457yfRnN82Rtg7Uwz19cKSN99YLSaTB9PveOue0AD03byZ
PCDLN4CZ9Fq70bMxFNXduBj86poOP3X1nqGhkHQb68WmfVISuEpH67FqjaDu4nvtDsS5sHju1y52
f6oBDTVZo9044Zw6XW5dXHv7cElgZeg6pf5gTRdpKHZkd2mQJY4KgVKW96rrxo8FgzEQS9XdziCE
6R2b7GLKxktpwbbh1Ag8u6kR0XVem/SExraJ53oymzDhiD15Cd+vMzdf67xZH0Y9p19b4lXfVmla
d3HX21cpNOh95NUOa9DtJqzn+cVh9P5Qqwh4ryFeAG0XPigkHrfMcHztjMDEvJn0bc42QX/F4QtU
bqsfTf1CIMTGLo7hpGuz3vXj8F7oLhzWCoqysS0nYZXxddUgwxWLPQRi6C/aiiG7Mrnz1HjNiOq5
nIhLNXfpMn2MmcjvKkvX5FjMngxWHd1Griq/ojpyvwAMUZ1aY2VfvIxXNY+k0fhD0ukqEOm67LSR
1ffLWmW/F9c64uk/GfMExjkmPBOLr83ehn3ipGLvJEo+gfCawrJGZPUZvl04zvLlXEidnKJkc9+G
pX1sS3MWfo0k+gFTuQmQYXF4s/mwxKRG0C0in+uDIzUunT0SIneOJ4pjmTN/uJTzgUCPhYYJGTpM
l94R1Kiuo4IoUd0n7bx7dIp6PkGu3q6qQs8XwNlAi7ncwdjb2yyaHcdYEdrpSPYjx5qsw5znrOtu
RAqoPYgmgAqFuR8nLw69DHl5rcZgyu2zVQ7qMg5vRdOVn3VHs5jltiDIuES7BRl+NygS2y4OUcJi
aKTeX3PNrOYgM9xib2fGkS+Rrz5fd3WCLd0t/KK+icxEZY/7oK3qPRL5VoWmbW6wZmfvNUtyS7MC
3+Vq8NLZr+i8uqDzsJesqqsDe5i8cGs62OPJHXOJVqC9+Kayo2CIi+qQsMgvnAbHDUC6B63q95vu
3oBjQqK2fzR6EZrsInaJ6iM+nel5rmcuaWIEN0Q/p9bnVdL7Qhl+VHbXjWXkfkoxdtJKT7/RTxmo
fiPFxGb94/b7txrln7ymA6vlXxTIaVfi4C2QFm3Cdlc1o2W/Pv5nmbdnXbt0x5ZR4K/P39Myo6p0
gIQ5XuadnDn9JpvA3FZM8mgZ6LX5kgaK6JPOYYJPcTC6wiCbqoIeFPF+BnsfWAgQvuGY11tBvDYt
fncvvpir8Y6RXF2YMnWClJrhtE7z4ieb9eNK63aLxyKsrPnaMuyjl2c3GcPow0ImpNkW+lZlfrl5
lPnpSuvnenaQOvwXMVvtzrX6n9VUl2W5VU73Zyqtu8WO10NtGb8QSGaJtecTYSm/h+E3+6BDzqI0
YBPsO0XOcBoHj9+jydODpxsRomLcjJOT38fjyVwjwy/bRfpZ0pzc9SnKq4gh2X4MVHvTs8/zLZ3G
o7U8iLE0gzH6StpInmOhdgPxmqEYiPQYBBr64VIZyX4y3SAupn1PjIwB8yHAR38RDiwt17xa5Z0e
7ZtiYD1or8xrdo//4o3nEJz4R2qW+mLbKqiHMg5za7t3VHxeoc73hXs3DRN9amkfJ85oePbF6wbJ
fq+X4crJ+xudot8c0yF2r218azzE5GoqU59FfPG1WyUvfWHYj9WmfySOc9E9wtluAyZk3pqFJfDo
e19YP9vOLM/5zB7XpZg+WRtwb81RTC3Cw2qwIpWpq3c9p9m5JaWTmyYaldjuk8i5EAJmGDC1wspc
3tZSp7fNaBNH4mNyZFb8OkntjW0b9iVXj0zFvuilunKMeccIMZLGuPwsKiILQ3jDn3pjYyrf7v4a
qXPq4wzOd1Q9T6n5NLs2DXnZn3lmc4qu8k17acYRMOtgLfTGWwYCPK9nrrytJES53WlVIS7VBHKH
AkyPZ+Q6wJ344xaz308dWQS73wtnJmC78qYBuzaig0N8MFizttnlVXaZMePKhqJ2XKqHMQbhDttq
MfSTNc5UGkIlj6PIj9mcLNQYVdgztMcduQZj+jfTzt1omYc5ZqUIspNASEDzXj0AidvBtttQifFO
xcUp95ybZENKipBGfS9lCqjJB12HMc/bSuzWj+OG+INs+TKUEayNk4XTbNg71vS4jJR9ZbxV5K8a
UsJLlRAiGa86dprQ16zfHPxGGZ8wt4urcV2vJfIrDGKUVIIMXCs9YfXAEWbziOJAkiU31bORW9cm
mzjPZlOfPCC3fpE9SP62UNjFsfDaxJ/1KTPMJ1YGHWVrfYJAolMYnNup5xBtJiuQm7iNnJwKN6vP
3ElnM6pfcA7bwJT6OuYQ178ZC1Mck6JIUDGGW1PcploS0lnvK7xDvhGFwTlKXlaJQ+duzQkU+qNt
Dt6u75N3oy9vss0hIopU4hGZMVLO6a55Uv2M2c+Ad3WZ5kj9iZbGdzKTNmyaP3lguYeZlT2kRe4b
BH32XKA/jjMPAdfjOYOsyIcdX4zFdn1tvlFMYSJo7YRZOlL4eGz+c7vq0U3dS11JwbFa5y+TYgHt
aIvfMynjcdgKG1dAXlUEx2vCs1de97dTERKY4KtOk+3R5W4JouiF8D1gvMI+lsWTxfptwlpGje/M
zaLwx6Kcpe1RLhO8D2cLKi31V5Wny/uovEtqXKcsxyHsFu+20iIqxY8zDFPjEyky6HtbCqDBLkJ0
pnnvDt3By+tnY1HHWcm/+UgEuRpYiGzldmC09gEJ8Lnqf8sQr917/TBc6drJggGRPOy74bGcrYRX
rNV8nqMk9qjuqxyvSabDbd2nX+6A7yO2I2jokvyOlaAnXotOotOPvyajplg2ZpHsE1w4Und+Wk4X
ZhveupYizZL1uSZ7vbhbemm8noCQrD7JY12GSBYh8eNunxvyYHjibZIYYjzM/YOIU5aim2h9NoZg
mBYq8zki31OYhjsSuNNdqcvtXic8UiI1A9XhlJINByKDo1G3w0MqbDvwSjaBNFN1xrRAaSRgEBqV
8VmOyd+tTT5cO+9RAzEQCEVMPunCNxYqdm+k0W5LvaQhfQQAjMHj12iYtRDF2XTnjKMoY16itPWD
4xlPrVGsR2ZkHZ9I3Gn2mu8uGeYwM7vlZFlEvCKrl9ibIj7EbN1xmuXams0HvvkSEwMnw0njX+Eb
xXMcWHHTm07A41nekJrDe5LzDj0jDoYEfUCl8qoYsDSmVoYIG4+9zWxh14iDYQw5Aw7TCezFUWXx
k2Ca/rC06XBA5zVD7bn3G5VANtlffTqS577NYh3Eo/6KM444b8i+qwzHRnb2TkhEAYyt4+zJO2Kt
wbhSUsONw6+v+augQMf181STE3WxZeMkPbVZwZhEUtGyZeTU2DsfgFlIKEkNAk4MkvhDZvKiSnfX
ZGuQYemuibeRpHfGkIlXcdwMUmetS9vZFmGk1hqTb+h2q0FKcZpSQfxY/YyueSqdjX2uU3xrY8Bv
UEGDdk53K9+q37WvHac0PpQzhYlSGYM10R+O2ovtRY+F9Boftkvo5lwYspsH/pHc1pF8q+RyN7Zz
vsPg7M8JUeumMT/TWX+PNXH6bRVZMJoM91Oc34uKZLCbaYoNhyKTe3VvTMN4X1ntqwApqVlcEqhl
OLTRuEtG52AKaqsBLwIswd5b7KdyGHeSYYR07gde0uTKSNM7W/afQ5k/Z8Q37ay+Qy0bwS5i4mxV
+lSsxX0n258oin+flGhloo/8oc5AfceGsTec6sx4+U/uEvKNLePBMrI7s9l40ksRtE6NGThy8Wzc
fTlPj51EvLeb8TkbnLXbSrKHIJKDkDMzeCHmiPXH9j6WCfWo4+3Nzb6pCUS2cbeP7OQnE+l+Hhzf
FMv0HDPNnhsUow3yis++HGzotX2xUvlZaG6Cqen5kz0Oeob/XjrKPZCpIotI5HP0TdtI7lWxjSHB
2gey6Hxr0/bGTxxYU/lQlu1uyO2d0ZbdbYSbdm0NaUuwz5l8wYQIRkH6Z9Tb3brW/a6z1GMd8yFu
cgnXlCJAEgxpFoIcObGFYkb0GfP2MUuKXRKlb5XKlkPZqadOuDfVNt+w6Y/moLwpnGeb0bcwL6vX
tGNkw1i/e8c790Z3m+AWkC1p95Y2NvqLcdgZhv2nrOzQIJS9AwV3YINd0HDQ7woeRTz1HRHvK+kY
Rw8jggfdIr5ggdXELvLnmJB50+YEuHQeDq6ZvXa/h4uy/chxXtOi9sWUJyBWmqu+2s692vadTh/Y
n1wFa5S85GOyL4WZ7Uc7P7XtdBGj2M+ivWe3yA0tbH3J4/mWoCgdxxwFjR3nZ3QBPtcKomDR772c
PQ3bvDcL724qOHe4OwNXQuVamgzUoFlfRkPfeq3MqJ/z2whH6pCt8TGqyPnaiLXcT7lJ3G+rmF1Z
zL2aCLayVRPBBRD4mos80JV5H9MjsJ5kCNw5mg/Nr8s1TbH5uPSvo6qOqbWXLM0NRifugrJpeCQW
QrzlF4LYrs/MYTcmwr2bnZzMee0cRBwdMhkxWtdRqPCok+O79bbsZNj67Hr1LY3ndTk4fyMCh0ku
nhYW2u3MwnhJaiSsvnYp6tfXMU6P0pHUAM2jco02dOtXL6fSNkm09t1qHWcyqR6VT0fvP0bpYUvF
us/MsX8vhHg3zP70u9jGMqLuGvW0D2pT+Us3WiH/427wnDjAR39iL/LtNAzXvFJna8ufp8lTxD/n
lyptMvLoqZ+v9cmp9KXe9EGpofKjrRH3a43rNBA5cRi04KUI06kE/2C9RPQEvm0QA82au2zu3rKG
qk243XhgFJCsiBU1J9m1pzxB5nPs2xR6kSmLKz3q25YZpk7mhFCLb3dE5EKOzAOBRkY499qSv71y
9940yi9GhSwr50MZH0y5MuBWcQr01bXMSvJOkha6k5T2sdPt3JapXZNC31YUn9ucXlyL3q9cO7/s
e/YCEISf82td2YR+rOJqysQXJJEXayA01DZDzeCQ950mY+13Hs+3OXHWTXmxPoz9mO6MemjIT78y
Ah8xz0QnE1OdJ1YctqvzB4P4T0GzFBbmnJ+BpxJu2rr4or3u6OTztWq3bJ/KMly7mjJr2gICaNax
7h5tZgxFWvzM9Zg8K1N1e9txu+O28aVMuTfdVxsrXNd0Re/s227Hcs354JU0q1B+Ti4ur28U+dmK
xLFy33LaDwiC5DS34ivNxt1mI56VyeQD/DwYikqpa561E/0hZyXYJ8ptZ354MNbNaTnrKdqXG9FZ
CsfWCc1J/8RU6jbOhHatd0LHX5XZ7JMt3S0Ow5aO8ep07pWSarfNxVEvpDhypimq7O/Kd7s6lCtD
8mjIe4M+b7DdE/noe2kWiz8oxsN1fI6yZte4/TEzVeIPcGFxlFVNngA5NVXTejLT2L5JVYrNnfAt
eAhT60smWxkgWM/cvN5dvWVPW1fc4Y9Q3mpMgQjpqKO92/+uNPaZGnxSHTK09jhTUIw475w8bLGw
xyr5GMycMjZihquw9sqyn1XUzfgo4i5fjNE37AYHO+lZtT4Xm1+zX2a/Imnu2vVGpvpraR464iMu
oijpwbX64vamJRxiCMkjj65M4sswGH7uuB/khwdCxMyLmYS/BOKI21OXDIEkyHjQDCQHSW1eep6s
nvAWDdytwznB/63U2dH1lSdb0iXUro4t8bqnwg27xXgfu/xmSpG6jfQvJeWLxpBihoBnJqd+uzJW
Bv66RRIRleZ1Uv5qoJ0iuxsxAVyhIgoMgtT7lpqzyU0y9hmk92phek5OwglrwzxK1G9k4u4HnB8f
icEyIwLIpwrLZWGONi1reV9vaXqk429O3u8oD0I0FS73pW/UXkPQwmMkzUuDXpjqgGfHrOKkjr1O
CHkad81IwrjuI/TVBZZSJNU+Y3EF6cR3i+AHgosRJk12clrHCRYzLbEtBt6+QtbULasyzJuJZO6x
tDP0nGxTT1XrDTWpGd3cLVYNGguF592VYr3poqomrI6IxuEWk3zohRj3o2LCzff6xA77fNE+qdkT
EhGzKTNZstFx1YLYv6ingnkyAldR2dzMY8YsQk3AathXwm6vOHcQD+S4l2n6Wa5mSwq2v/PGOgmF
yr7MtTjXwmXooiSzmm83wrB7f4qKsNequUCSaz7bJqruliKLeT0zfR/bE8L9uCKlFbq1IQXGRcY4
QMF3Fcvug8HdilecGpigV1f2e8itMiSJvF2XBguhaWBYhlQ0qj1MsZ3cVkRaGcy17INqV3NfbYRS
EYwt728jMgPrBuG6GzJ9qq043RU0XrvIZdCN+FP6W2aI3TaM6Tn3hL4kTPmHzfxv3J3ZcuTIdmV/
RT+Aa+4A3AE8dswDg8GZyXyBkclMzJNjxtdrRUnqLqlNJruvsnoos8wkiQABdz/77L1O3yEEq2Ze
h2VtfmOSqdazMt3W67nGrOxFtZqWsTso6ojTmEcZfodEPHnpgBFyJEd/DJeS0o+TfZiss54gEmbk
vjsOWJq+CCvlR0JjFM1Bs6xF1G5DVVP8Y6jAnrPw2BTzeMcd7XY++7G9swC34Fznd3voOOfYa1zD
Q8qC7RYE+TwdResyxwokVFJcCbX6d4Q+SavjoDF/pqiJC+o5Xplg9NLXZWiLZO32A2qRkJb33qc4
QtoME76xZ8rrBfP+sWiC4dwazla7lIGXpILiEoP+0rryrsGNsjMDYb45jPKd3fvJzwxm4bclZ4QW
HPsan7+MjqEs6p3ix5WctIOGTdQPPqNp4rtl6XLPsK5lR6fWwwPZZfbHVMjp0V1qexMOgcEkdtN8
SXS2+1l39TlCCDpkU/GBmWx5kdKq9k5AlcF+Fd4tYEXuGeeWPaBhzMe0moqdI020lbmLyqBq96id
Pn4aUbGuBAGzrciQoAbsL2pVxpU7khEl473yu5I55wyLMQtI3S5CUeft/zJx6t23cz89KJIWT75D
wb4WpbYuDtrOtp6SmWhMGiQfXRCbC2zE/DrKCr//GJiPIAjNfMpaxlEcKk7Fd2jsbbgSXmK1H17m
deT7Jk6VlaiLP5FFQr+OrHDaRSV9wIMfRXKi15QOiCLRTPuxPIPXoueUD1ayIdW6UFqNfU233J7U
AwuIRqPJGv/exhUVH/KiqyNgtXSzx6HS9s5Gv9gvrhU+idp6CunflyvLZ1kMZVmcli6Y3hZraN99
tNxtk5MqzcmKHcl6TRfjV87e9n8WfqP2upVxsML3GTwni1NsmJZUbxdbeDWJ2SR+bLOhYQ2qOpIo
lSmyfc8S/xSOsfOA0VhXe972MCJiPlIKjsmE1u6PoyYoUzKIN3fC5dw4MUGdvjeNXGsfRWbnt92D
rfNwDT0gvviUkdjAsE5vBzycaydMg/ybP6udX6lAynOHuDJ7U5QzIkeA03KVMhabh3/sXsgPeg49
2VG99RRX7432RsQNbx5PDN6Z7lDZumNXKXFXzVMIPLNVSCLo57jrl3mD+Te8GC9wtlWGio9SzSlC
pNFn4fbZU6DnGsNrXfvnKMjdH7gACW27pBlFiT288RoAAv6Cnbmcpre2iZ99nEGPaTREO5ncAqes
n94HhoFo3I2udukIlqQlce6LB8ssvfU8m/EWFvYIdDXid49WTP50pNOnXDooWAGo14wbKMCIBaOH
gTWEDzIv9cviMJW9YFPS7XTT3OZX+pXB85C4ArXZQhWu51ubb2YuQzKxKkxligetnTBDBMpxn+au
st4TTHvbMa8wpYIJQ95Jg35TOHp+53YXdwSBEfQsK8zOgsJ3nc/IOKVugDh0WXw3t0sYU2q5zoeI
/eCdyfTIzG6xi/Ez4+z1ok2JWvbeB4X3iEWDvHEQc09XAo/ENpm68aVIR3UacLxsiY1Ry/RqAS9J
rvPFwaC6Chp6tokjqRxjbmqa0h4iRpViO/CmfuM1GfmFkNK/DXznCv+oPc9ZHj4yv7F9wYCOGpqT
WAgJmtHHY+YLucB6qdCOsMZoFUhqqowWQSoH/56wRx7z4FYO6e5yEcN6yW9g4Yjn5WJc05nDTI+R
sfWiGB6WWSOdhl7tXubFCTn1lvOINcxb5Lasa6oN7WioD/bk3lHndduoKR+RtoNbiA71NejtbFU5
IUpgO4cOax8dFM8041docTT04mm4VrMLjSDU9VVVA+EUrPP5hpUZAnQia+9lqHK69IHHCEK8K1H9
qcfFq4gQcjaqiha91YryjiCBbMoViclu5wxJkuzsvMrInRggnjF+lctshuFTZdJ+THNJ3yqTvrvT
PDA/0r9abY7yo23kZ1T8tH6Lq+32uj3YAfkBh0dsv9R4BGwriO+91iKZnE7lae5G80fToGL4rLc8
2CAB7lxye0fB6XTrKIdozD/vm/tfxjRygKX99365lyr7nX/2f3fM2bev+DfHnCU9+Q/pS8DgwApt
hQL5H5Y5/sr+h7IFDVjf9YAT2eC8/h/WSOGI04GWjnY9V9+wwP+BNQr+wa/au7lbtc/YVf+fMs39
hdn7G9PIg4vEaoRnzGEir3Jv1KW/T7O2sRbNi67Fsy0fneZaRptwl5aPs30GwDlGR0c81XQLS0KI
07rQ9zUp6XS3nFyyOMgSKAl3eXDqy31VnyJW7pB39U+1wY+qXsxurDbsOEP64E33UbumURu514Im
lzx3+mHoL8G4JwA7OXdN4K5szhcLZSVOT3wchEPC19h8UAJA8mn2+Mq7wX+xdI07PgHJelLlQ5L8
tOSHLq+TuATLoW1YgK5ljMkog1+jCeG/RUTlqgDSEZnQ6C6Pngd6x/zXXNvmpKT6H+B9f424///u
qI3g4WOQRNj4L0C8kdw8ck4hnttE/VBDlGwmcoJnZ/F+sl5SfBGtbazd+G5NDP7zyD5uUs4d/9Nl
3H5x//kyPNdVWjLS1wf34/0XWFyJ6bd2KGees9h+Q4JDw4tEwgH+rJL0x+hXn7p2XwsxWaSZzd4W
HImVk8/PVWptlkG+/u2t+Hec1t/xWRhA//PlONLh8fJt3KFcj/tf8LFV5dvRDD7/2dgGc8YtZN4u
7o/OmfdFqk+2I62j40u5/efXo/+dPt7bULP/fllaw1gzn/m//J8/Jvn1Wf7L0++6/8qTX39fp27f
4d+WKdv7h6u1TWqUprIt+f9/rFLS/YfLAwS7ypeOlMLha/59kZLyhmWzcUyAVvNc5p3+3zXK/odt
24ENyddV6APC/6fIa38Zgf/+9JBAhPEG6A0gFSqMz1P9n1epHumn6Uy+T6qiwHWIWtI61qED0YzY
rd2Da8RP3To1Ef2g/+kuot00o+6uNf2hd+kN09VEdVqsMssrdwRBAnBQyZfTVIb8D/M9NxqlZO9p
T26KcIQjkRihfnug2k6qkHjmb9+RBta0YcDW15zZ2JZabFYr4/nVewyTJTnOblkfRV9Pb5Gqu7tG
OdmTOxp1p+VMn9qvar46tdL1AhjlWtWLfg3jeCY7lXrrrm+/3VnyHVtlx8dWpR5ugMG5jDomHC75
WjFPJSHrvLwwv/bGz+iuIN7BXaj+O007jrA5BzWdO9iDayEOTt5+F+RH33GK0D3tCm+dSrRkawIP
Fauo3OPlHY7FTJ+57+r2T2KRdi6s+Hj7SmvkO1LeqRerH78bE87noQ7yu8jnkseRHz5NlvqDc9I7
JNC6DgBevryIG7h4TnY1/rI4678+BsdtnA0x9+mvq/TnMbsK0Av341x/Y/r48rKlpTfmEHlv+3ZT
TUofSsaZbyJyYn/cVKB/Y/pY1rE9dtdeFuIAVCC7qiCMSVJijmAyLr8eT/3ht8rRSRo+BMVM263a
Rsp9PrvZqyO4zSkz0na6G9DtCj42EQnv0Nlc7xwa3InNnGEy1KWNokepumBMuhqLy8f8IM5934oM
VSkHT2XiXBwA8kxbFB5driRTxDdOGNvfRc/3HDMndFZaWbc0/O2X18wdBsvKy/a3m5sysfqwTIXl
UCGE2G69/KspQRbhIPouTPqFN91e2zTKjrfbWjodqT2Xj0wIR26cpvhaMBOvB4sf6tURzkN/Nn+U
GyVHLOTeIcdTdyBX8e1Mob53aVDcz5Zxf9qVzV30h/sMWthDOYtxPbS4g/mnbyIUVDVhhRrc4Cvw
/MSKVv3Y5M+m6bxtGtOItpImO8uOloM3MHl35bOtvAkMrxgPjbiqbva3dev4d0UgxDbSAXzcwBmr
nfS0tbF4be+xavRbUU/hWSvhXLIyKDae3ZsPcubjmth6cgyArK0V+cxN7HUTHorWi76XwijE7HIK
NxDNwgMykvPtiMpFIZ7BNq1M31VborbQnqqlvXQRaDe/8jscKqSyPdyAiD1TgMhurJxWsd9eRx54
ztb0GoJJ1tDPHNhYbqYfGzE677iNx6fU5Sxv6DzCeHTm+JPM2nxeFm3Ofq7kIRLz+DRHXnrPU9+/
EzOm8JjcZkCwagb2eRHdt1rWJ1KSYicLzCu6rVrSg1I328oe7XtrbsKnoPJiHq0ueEDxRIVOM4Jz
pK0v2Rws91E9mdUYMr7FzYab/CnEembZiNdEamiwdsFwiIUYG2ZfRD6+cFhLeAP0fad75yrKcHwW
FVVi42OSWJQXnaDhUOJZ/qRRKzMHF4JIdvOUq2NfVL96uHJPqFo00EnLq1NeKGgwJaGpBMG1jEKx
lk37Ikt+t9sxK83WEaGzpb3TcIWlocLhlbgdODd2wqHOsuNw3ZfFeBos961qAqKKvZT3qa6S10zQ
prJLy/1qW3qBmAwEdZwWscQ+12WnAuGv3gYwt46ylq+t0Ml7QAbxva/1yVnwWizdGL94kA222up8
Hjh6Zgs9nkNC0pGSs4y7k1u24ZuyLRKTWTcfwq7qHnod9wdTEPPHHQkCcXSybj0yIOvcIXpetPGQ
drIFnl5YD83aiB5koqaTSSfCWnZ1j7S9rv0k/67r8LeBH7aKreng0BTczEjezwhgwaG36lnQksIx
y/aThjsxdS2NYKPf27S0yduXxXokTQWfPva2bS/MPff/hnFo4dXBRLoSSCl3PiMZXqMRs5SepDrR
EiC/FnF6i0OcGka508fkeMmNK6V4q3s8THCTVmpqBKKyTYfZbpCAzE20IaPqrSIv+lx6m89k0DYT
m7ywWKwfGYlSh3ZhZfGqTFV2WvyluCwqjzY2KepjX06wyxLc2oYzJpWlHIItEkGwVX18iNya1zvs
hl+D21/wP0y0xPm8vqXO+TRBIWjz4Sj0HBzq8AZIQzqsznlROFsDOuOSNYApsNFEdFrrwZHneArM
ebY5T7Os2zxQUjVPsajjA4eScc35dV7P5MKORgz6HSQnpMHRH39ZM27NZqxfWpRw5kzVxWtbB8sb
/Tz/PE90eXklsKHHEb3C2p3tUydLzMI60hTrGvnnkdDvfFCLpY6TTMq7cK6Wg6O8YWvbaPMaA+Cm
t0JvixUtvw9Lgp5+3Db7gguhJ+WztpIpwjDPhmwG79QujXPSQxhcbTLo26mJbik6dir2OzKMsZs+
WlH0lPf9fB+pMTgn3ZJ99wigK9h6mCur8iUsctZnaY/r2rGL3xH56osu0EdaaG6rMHWrnemX6gFK
wjPRniRY4WL3dkUWjr9BhBY0CKcZMwALfsvIDOK4PvLroyh0SrTfqr2T5geuonYgUFpnApuh9s6t
68dvtp4+LEJ9OFsHrGih20PDQCt/JP9b3c0Ri5qu0CmbkLkQRiXVkyNsN1obqUqwNUl4Rdx6nFwh
93YdXygRmsfEq0q+wOJpN519UHz/G6npobcmOK1DOYB1aosNUxbGfRgX1xr7BM6J6cGiubIx3UBX
r4mGdQxbw2XDdZFPL7yrBKYbHuLWdyECmvYmHxZXdJ2H1mEDSAr7JU7LjS6WL06w0LmmhH5ToH4G
oeQx7XwHfpGweGkTohv5DAzTy5+dxJM7g16zrdREgHq+KYQpmRYRdO0bcqx3ZqUptziLJYEMsjZl
nQ1fiNLVzywd4USGfmKui5LT0SpC99qWFhxBd4KZWhNIa4mSrQKm0P4xgTmZUQzPkvTktbET6542
/LB1GzvaDREx0KJhn4OG5+zTxq9wbTXmYFeYlpiG4mzj0cEPMJNUog3j/nISv9zmsTc3W/oaasUQ
xlfN5nYpIMSA+ZspvVy7RxMsK8seeWvAtviFbjbzXIpXfyr0rxn60q7k4LtWTIjctgzP2sxh3+5x
YzW7xPemnVNN9FoGEmCirwrwb9MpDiDM4MFxqpOjOlyoo7Me+lxvMSmrE+CIYl9V2FvcIAMaort9
MLTlvYUzcuMnrX51uuI9NbjOAEZhvPFc60g/rt4rha8avbXY+rl219AGMWgMCn+1NT5ODWQbJ0jw
nrMormXkZRtsTfSzKkV3oIQGtrjYkAbQethADC9aPCTnAY0cf/PYH3zZ+ft6TpO95Tbie44zvSdi
NuMacmZyUyrc0Ihazpill4eJQ0GZNc2vSBfFWiTAaQMnWbkgbR4Xziu0VxAfERE5Dd/0TRVfrYWz
myR7vkqJgj/P+FI7HQOKt6NmXcFm3rMxYKybPXvYDoHV/gog4nzg4u9+oaIGN1c8TxecL3ksy9GX
OwFzlnU8s5xLl4VWspJK+fbGGfrxHPjMq/Pc3Hngja2P4EnVxa8N7etGdskPAXT4TglcOeEQduF6
ntX0MnRW85nURM9qu4oPwcKS0tMPXctqSC9FPi5nH89juDI1Cck6aZdb31Y2T8o15WMRWNaHdGIj
1qhfsOWcdqi27Co09jBczg9D1Fj4nRs6LkTbwy9VZeGBM2H7pmijRByRlhkXWuu+wh9XV4yW3S5M
VYPz2CPI0jFGlP5D7RNUCmpx8CyBhc6UXfM4EO3xVo7GbAEMaOiPS+HVX44uvG82iuWokmGwN52O
4gc92AyWqnjyYun3e1wm3hsO9XGLZx4OnBgqeaHjUBxLABAPiVPWcBeGVkzrxAdUHGeKPq2JN9qD
OxpDF4spd+iDEC2MEbhxj1kScnzHwUr3rg96ofjMUlpIGE+GMzb1BEpBZ9YTUSIQuQkIyEgBUkmA
YFnytdCOvy694dvwR9uItNLNW8IizT5914d40CaL6qRY6nbbeP4nqSjcB4ZIQWTi4c6NRH43RN1n
1pN4bWRv7aaB03hkcVgPeWi/h87N1lExPOF73vsZ4jTX+jbPnlkDfzhFvR63Q18Eawz91g73Kv3a
QV2mtE3AeS0jGDGTQQSZ3T8ywBY0RlFyF9z6wX2JEXGZkwhdTxQHjj+PXjn/xLZoVg6zay8T7ysY
yp5BcNinT55UJKKaztpmjmtvkr65m4qbSY+iFEyMW2HNipf72vTZYfYG+RYqvGBESTTJHCZDKLu7
G7L5m7UTWHMZ+4fCYziHgaUjGL+bW8Ebwd4XAkjPuK8AZ0AcWqfJ/FJWRHVMK7Cwjq9T4fnrNknd
D0g1y7kq4Ow40JexgTThig7X29IPHyCmywfa/jF1oAxB7o3Lpa5TdvP+O6lVtc0K+TUVIL4mSDmb
3i85bhnNUK2CtELqLOZVWFVxl/LZjhXn3R0moGckhqNHF2DlZmP2I09SJNNpuaIgOJspMV9zApr8
dpYi1PNiJnbJIGSCLifbEzzuZj2p7KdFomDdSfUcjtYfbPoQWqtrJaYPEkHDTk8jwHigdKXXzndh
qK0TpiEmTWpcYQ7uOLpIfHxweqteWjhHwcdyArwbex/Sz5CBBBMNPhxA5BfsXcO2WdzqlEWcJjtR
g5PLfAQLt873fpTecywltywgzKUp4SoY3vO21lF9XOw8Wcddf4dhsvo1Vd7NjdKLYZUquWygwQ8b
+qbTixV5/tlfhuAnswJaYEAq2g4kThqBk7ILnF+CnQvXABZhJXZQGi+ZKhSWwHLYp5yF4bL3f+bO
6yF9gBzuLIKBTAe2dyFBP3415TnVwU84Dc+LwQ6sA/uSJMF5SIY/o+p/OZHeYXQ+oari6+RMkXS4
LasyPCcV+yZKzn0chOAaoDs4KeDaiZVNFMV2av1qxzSGt/IWCQ3S1zapx4sLQ/qpDlN/Le3qjyZM
0Rv7W5FGiQI/3mRMF1t3KruHFTtuYugW67mNh20n5XsjgveE8+26s5vDUKpznbHN+T1do8pvT3nY
r9o84/g+Wvp5YJPMeCBIKlkfmU8qwQSZu4cR9WPEzU682icuoe8jPRKzSiNK677ah64Hs5EcCzE/
hR+y6Dc53uDbpDYYDH7SUdIvgJ+JuXEbYepXYh8W01uNafzRCdwev3x58oVDh6zLXwXe8iLHs1Uk
7oZt+83qgru6z6eTLfrf6HPlivvxkZduy6yi1nmxrfCdHNnyWKfio2qhljRj+0NazWOl5O/CLd6b
IPga5+hPio9ygG8bOT3VePAnyuXRrzl3A/GzIaV0+RqM69PSd59x1TA4YMEHEtdOv9NMDo46PPU1
3vSVJ2V27YTjcFYU4R1UjnSrLAdDTBRnHDRv0xZyjcEGI9mBHa/GAFTMezePN0j+ZIF62EfK2g91
AbDGgRnmnooyoqqz9KGJlu9ywePL5bS4m5dzGjYf3MznrowPVVHdl3iyt9gOdr2Ts632R9CXel3E
ENCrzBCAWeJml5egw8reWufUaTTb5TMeOEZLNMNOJMR1FlJSuyoJQAPVTxln80g7eM+xRgLdeujy
cF8FxckfNODnaqWpKnCuFPEq0OaEk+stX2hMzjRKij761KnDJiJwThLQRGwKX71upOkPJSwcbdxF
g1cfOMc/4tG+8D7s+S5PekmvdmLa7bKoezdMj92ERW728/c0ap8GuubMczgrwUE6aPpNlS6v9YJf
fI4TIu0ZakbrxuBfMHsn2fxmT/FJ5OGVhBkGDWwl+Q1aGmTBEbhPyISL/qB1Hb04ZYCPUvcf2ArO
1MN4dsvCXetKxoeapWw/2RHjF1qPpxdHU01jSoSrZcm9T2NsavAsDdadZ5H6t8C3PbX18IpIKPck
2eQJOoBYkwt391nZNvkN+d1i4ygNhtK4QsAIyKXfIjjBqsZzQsHfLRd6G/6xr0S3G5LeQ3BoPEL3
STmtmKd+My8qedL0fX7THPePoac4BMTt9MVQsIAIeFHRTWuHCyfV8hu8JRG8IDLHVi7JqfNQhtEI
Jp1j1itIBZk4/hW2hfxAYnOhvfc2Pg6/fTU3uHFqFgsYEfAHTIXhKfey+YTDadMH7V+XBKmrDrw1
88ZJujaUey0H1c1cMShBWvmZ11btBq/kBs/RvAt9PREsvPla+qp9aq34Jhp1mlIulmbnC7IP2HuX
a7bU4WW2XXBkeRA/xA2VslvL4EfW95rIpibHz/CBN2+Iy5c2zrPPaM6a/eRXhI9zdiVn7OyTMKP1
OCQWVx9bfbK36VolML7S9gO2drjRBCMxvNpkoVuARbvApQwTfTfuc+MNd1TrCA4tgNiGF64MGlSH
eiCIkYBI3KhEhc8esfFNMNKS9OC4H1rV5LuB+PGhAXn66M/L7zlKwwsfKcT9BJI4rG5EXRFR8Eq6
Z8cyGbsTO0p7JptMS9K7GQhAhssfkJ+HC0VHiSGyjHezi0QwWjYyCQzqpziY5+cYQsTRw5L83fcd
GF7V/oAbarcbr7cuxAMJOSYc40MOxqe6tB+1CeN12eNV0pJgcHPLnxou6DNM/Pm5Vq3YEZoH0QTd
aM8xpv9Y0A3OuvJncPqFObgNozvI8XBw9WRLNN3KX5sG3zMU7pIfoeO7uGJANkkvGx+/5W7cwHNO
UYb36+aKrXrVHv2y7o+ZMf4aIJd1jUX6c3QNp1WdPGOAiVcg+hhqIqK7WtQ0MvzyJXE7+wnmmY3W
XJL16AmeAvagYNjRie6gYZPyUG5aHvMCiG+dLdmdwXrCMtflB68AfovtFQdiEZfDkW9b/VqyoT+H
FRnTuOqtbR/dfrHMEDenyPQDfRXuA0/mNgq1vIxtvawDd3yOCgeTfioadvMpXKVzoY4l6LVNEoBW
iuDpbfrIRKvAl+MqYerMxp2YWJDgwPicJDViZxvweLdVxe50fZkmfipF5biWfuRtS27GLiSMu08C
25x8h+0mmpS65vPw0tfz/NQ5SbyqIjEdq7kcOC1XTIPGG8NwGJ8pASZbA4VfTk2L0zwNqgKKyg2T
WM0cyW/iaoratq5jOubkNJMnntzuu8wlQEANvT1P6ZnQsPGACRu58/L+Gdrh8NxVGvI6zZt1Ho/l
ewYaYKv15J16Aohwp+jKZ6QLNsaLSb05drNHa6Ftoi11LxsUJhOmzaPFhNxLOKlwx/VcqpZ5C1Om
nUtaOsWd7Wc/XTPGuw7i2JH5Cc0epAECCjVXoQg+1vQNT7y/9sMgx/46ZMx/sWu8tLEaswMIxnyn
ov6jv0UQxwwMa1i6RC6AUu7hFnwNRoRMKIH0jDK5ROcOlsR9N2TDd5S2broqikWeiIETkXeFOVXC
NBdaUemOAyrhZWxsTKfZ4ZGRnLfLZWPnpdzIovN3BJTUthwZ16DDUOwnVIgzoqXYythNdqnKfg9J
waCPNIYXMtXjNhKp/BITk4qMcqZNHLXuulSSFL9Gn61xXe0Y2zKdhrrEzzQut/C2jzW2huDByBLW
9bj3L2gw3usAWPwShZgzx7jF5E0viJxw+2RqyHNEitqXbEy7bdCB0cDixRuYMuRtnh3SHnnR58dU
5Z80G/N9Q6bgMvCv1w4Bki2EAvvQZkK9JEvNPNk8J8LPkJS4gGjB/twvhLfI9GD2ZfqALnjTPavl
Qw7EegIzkVrMOv1o++QO4Yjc8BU1wLhnog7tvirUuMq9INkDxJQkwKq6fPRAJ2yAQelXOdA1ky3u
C2sJul+i68ECqWX8bfV0MiUTcm5ZdJpiIR3DC+bWZo9djjIMTeVhSfApS8+zUH6ZtpnK0jnqanF+
AC5EXm3z4s1XQ4Hu6uZvmsqHMAX6M5cZPMwJXS5w6vkJ9BJ9x2AYXodm+E6SIrovWs4y6Pp6fKsH
a7qvE6b1iKX9DuK/urh8EzI+1sYmxccsHD24PxZe8Qcxw98Gbmt+uHkSPMAUKLAKC9WHq5BVhqO5
k4n3Zoxs+sEakj9OcBJm1YgDvXfHiAcirYIVnCEPeqP/Z+JQhN6acOV+UU6bVtbdiXmG0xuGtHaT
ciD8OcWp9V6TxTmUftSdeu0PH2IKikfZeYquFZbIeyCYf8ZSMdrLohf/AQ6qvXgQ965eLcVJMrg5
QU3mZtqBYH3zkDkMXciLibrqfRDcPZpzf4AIDkfDUCHKTRqc7sQdiLqY9PNs0dWBGiy/XcWPS/VE
Pk9F6VfjB+Nj45TjsZxn5C/LFfvGnukoO6LdBFiXHjIzhscoiRNOk4np/9zm4KWbYmYiRzMFHK88
m+FoeWmVm3xB0Yh5dGyfrrvyehyotaSwNjN/sJ4HbtEUzzfaHYDjJoXVncVd8xCrwL4OgRsepYee
2rMmHx1h3B+NbbItbx53dnHqidKHzwvCGhyj7InPwndKAOnerq3KW2sz+VinVyOC8GWxC8pkOP8F
fCSTfw0gxDb0hPCte3EBvHb4VhUPC1PGuPwMI/qRNnt9qkYmrqVuHx0ir3CuLKrBQ6m4FtDtBbMB
jKm+ZlU73Tfpgaa2Hvkx3dlWhrU8SoT/Jh2evoqmNTxDbEHd/nZXSj7rQ9iydm3qgr9PBqAv2y6f
lwd39OnJkYInSGOo+4Kg38+ZaHGkysQ9oPU5q8Jp6nizTETTqluvXDj5F1A26RCJcqbxO0TaXQdl
zjwb8Iey/KDNbvDhijrCjpyDm+G47v4hDN2Dd5q7uLnLui4ZNyHQV0N4Zh7NfUAA7/dSdjjmFcDv
/ApuzdrgJfLkmVz74m4XKsn4yc49+1qHwmkhcgkpYXkU1bBty1y17CZLTr3MuuAuu2Xpp7cQFSV8
NmM69BvLj55SYvoe+2YjNE6yEYrtGnLtN56rmo4sb9BECc9w+3sypOAh7LY1P0QBwOCmfOdvC1UP
u2m7WO9FtIzee6ndlLQsvgTi8aRgznlFQAT+Sa15EIOOQHftpcEPnO+2udCmee1t/mYZrbD+LCJS
jvcumRd/P1V+D5ez6tjfOsj8b8lUWXI9Z6VojnYgoxlOQ2rWil/L61Kx7K6gI6qtV/fpD6Fa9Tmo
obuHwGM5EBIiu6YdmzU438gAEBYaqhgdAo8qbnWxptckwU6BTejtg8cThQPa9jeS+jTa+IAsx81N
09sFeYfxzTovQoeMIiNjtot76iJakGm6YhBHsp/zwn9A3GaNAPVSUMuMRLRnzhk+hut6yt/HNpyy
vTtmIKWIu6TplsRSkvd7pI+ShmjVNXd20xjEylTn+O+yyW7Nv7J3Zkuta2m2fpe6LmVImmojTp0L
ucPG2GB6bhSwAPV9r6c/n8iMLDAcHKuuKyqjdq7IvbcsaWo2/z/GN+jcgWwgeygE0WGhWugcQF3w
Qcq0aS98fgYsck9LXSBCCmYKIEPGm4vtkfI97LuaY3SGn1w27fgl1nHhQT1Xi1dfNw2xV6MMnrGh
+vk7qYrKXipkbcKPt+HBHgzOyAKyCJ2wNCwOMhsl+TwEkRmd0z3NDSo9ebDPNc3TFg2K33aT8qs5
brmojlO5ZuMauhBKNDvzr3DTmHNfY7hj8DGxoieYluNFpTIxy3gubXlGzpuJvAcEbDf5OhIMUilp
ffy7cslGy9bT6njvMzucpSX9apOIiDnf34xc+gFbkJKsxTjUULNkY09FpFrhHUy3SgYnukaMM6M4
sBr9vAYd7WJRFFjgOZ6kldNXGLdtc1iwtTOAI8TxHXu0i5G6AUhUysaBMaw1hSwbiUTLWTbi58uK
Pr3iaQJgqYYHiXiSuekOV2ZGYmEQU0JnC4LXuxF/6Eey/c3qeywz6VajIe4PvgZ4Af9YBvtirJWr
mgLGa9kwWeRMnbWtJYTfVQgXQk4mVK/Pe4og87Yz3G1uiOukLJNZoFlrDcDIPNI5Iemw8xzYsU5k
Yo8cqXr4RC1kpuWwNZ77WLoGSmlgwXBtwrhiq7KEmGc/Dmaaz2KFSJURKseS9yduAKl7CFGtm9HT
AE8VVNQz4iaAjV2U9KcWZt/WC3gB1r0lRAo0CRMD6VCyMgsbjx8xqIuqjAZMe2BXZ2lAFajMxnQX
BGVwn9MCoZyUV/E2L9LiRm/15MIfvNukYHNoDvmdTYUW17Ktd5I50yKerwNDQE92lmtiL6ceifFC
LlzYffSr8SFXIILGKNMXOCb7S4oG7WbMaEWy/SGgDtsLCnlMzUp8ju31Sk8Sgg30S40kQyrGa0kG
IlZooTar8MNRHCtnXcb+IklKGN9Y3YBSyqSU1D2utmbADlbahzSmm1sB5KgF8QM0TLfy5LGTfGXf
yNRz7dTIl+Qh4ngiUImmV/QyhkRI4aAgoKeNCifPSUbp3IFsMbOSZ1SCz5tejlZpiIgOPTEmOaNm
61hUnkGDYGRHzhFInnuDr/IOvfASvt0h98t65ck5qWmxcQ4rBIu5Oqw9JV5IVAfXWRDea1oy7+rC
O6MMSEXLzeN4Y4cWFT6FoDB6pd2zGmQU0eq8pEIZ3Eu5H0GzjZ7QmvqHPsbylKWEcFXQ/e0uo23W
kfJj4FoSdrvECqauB0s3iFlkdZLdQ6l0kCWLqDurtHZc5aFo3kDSviqRT0WKDG7CGGgMxiK/i2gg
r7tKt3aoEinCjX68jdNImhqO+VxU3jqWRL8EfKrOVZ0Oo62o4yszE1ZYNEvPRpEp20RH7xpTfsFC
UjleERjkh/UPuI3vGqDdW02KqXR4z5yjHjDKgHZQkKHoWner64DWfcxqNFNayalk09prAQ3nWhue
rZ5Ds4AYgF9EexNqouKvztK9pYw0ri2fdEGUTAu3QljS9j02GCt8NiGBT+1Yel4qzg6hD1An2N/B
+NCuaRu9xlLJpqLvLYqMYT03h/GCvBRrjY/lVtLMngUfGSEaHFoRsrAes0g1V5qgizHoZ1Q/oP/1
2lPYVtBvSonjw3uUqtsytYlLRKpiqOOIeCZhu+Kl5U3Y0FRSFOCRJOjgM1s2eOrx+26GxLicQs7O
K9WK10Mm1N3gu1eJ2r6E4XVmhPuIBKUFmvE5ZTZ8MeFOE3U7H0LpUvVy6SypYd01Inkxy3g+5N4F
7mf3IW+z+6hOFkNQslHsaLcXsjmvStf9gyd4Cft9uMEqSD9yOJSWRVnLMqHLlDtfHbNF2sQz4kBJ
fIKlSgyIXIfglEzKNpptk9pA+c2KJEJsu80QE19hp8JeCU1nh25k+7DXSQSQk2GjJB6ojMBzEdJb
D72WP4QlDuAARg4JG1BNgVD0276U+Y2tvTQ6VDKVCU7PqVX9QudQkjR9t1eNYG/o8a3lWWs/1LBh
ElwyUpDiGNJy1mpf7DCn3ptAYsukcIdvlAI15Mms9jc1nHc3yp8Fm7+oAFxTV+mfSldwg8Y11PCe
2FI59fdurUL5D+88s1gBKURFWIPEy84rJd2bQXc2gi2nWnImgnoXZrlxXskVwbJITNj5tGnDgQ7J
PynJWoJQL0tp/yOWnZslJYw0y259q14JaHdXZUxEaEbUJubITd1Eb2Gr7iDRnXPEUZzIgsMR4lTH
9MWoj33q/9AVOR73L0ofsWugnL1wMfQ+CWCA1BqhtLloGhwUSPEsDEErFBi1pn6duiylvqOcZ3YH
u/HEGtsctXGlRu6oFAmiIexS8KxVbWs0tbKrNNYtgOZkcnkEbHYECdX6lJ/alUNNLCUaUmz8TaFk
2bma8KHZvoYWRh5sbWEF6Vrx3X2JyGbfxYT86AhE7IgfFnf0tXKWmLHVD7Ee3WEhIUESre6ZxQlE
SjWWco5zsECxcxbbstBmSKqmcGk1lmaKHyJqxOrVW36zpn/Z7rVSaDPgzdJlAwVJVGlHZy/KZ2aj
F9s0saxtTITHzI+6q0BzgUbAc8vwE83lqNFWlHCsTQMneNVV/Xktyl2gwCoJMdsTswubhr1SEMsa
IlYFBndWMwg6LbmqRScui5bISR5/O7Midxt6yqJogjMOJ7QmqQxFbr7yi7KD3/FCcZpeQ1hP+T/W
TBuhSAV6ua7NbkucNVUg70IexTqr4ztWIvRqwKeS7DaPOxS+Dbw4I2OfTdS7a71quCfTWWPUarNA
KqO/dZoILkI7Dbd0J21w5wpCuaCYXMTsCXHE6tqrIdjHBUXyHhHeOUN5ksyJ8WbnblbWFcknlKOG
yJ2jywXNXOfWrqNltk2sLJn9ZzUYHk6a8NLSMpAiMzmMav4y/vMvVSMV/Ol/DQyY6AiLN3/1VS0o
eaZfw+Knf+BffgVA5AreA5l1V8imoWA9+FdWvPIP09RsA9cg8lIV68K//Qq6/Q+DhV6zLVPBl4P9
6t9+Bd38hy7bgv8J24JNd8f8GxC58tV6Y8qyqQpcpvip8Bdqps3v/uypGlV212UQKnNc7uo52vQH
NNrs+JVR39YjxLJASdJzm+zJlUXI9UqUEDoc04xRY/mjaRNB7TabNPXC208ekB9MOJPJ5r89QR8/
zNI0lR9mK9T0raMfZrrYD7oYXm7R58V5Wk8ByGrV8UOj0p3pkhWfcCF9fxKCp6EYsomRCpMI7pHP
T0KTO7JJ2aOhUnebmVxSzSyFVN/9fltfvUX0JbGvcXMYQyzYJvhRjq7SgDFH0oQhUzTytkdpxBpW
BNBHJaHepqrq3XpNoV7mAxCw3y+tiKNHKiZvlaHpOvz66U6P7tC1RNFmZs9uczSiJw/lx6YaTNKW
2x7naRmLdJXURrckS4EORWWlNblCZEkmZLTvYrMy9gS4W48nftV01c8vevpVOIh1oVgA9zV1+tV/
ng8BTej/+g/lPzHEQiR3sd6SySctdV7NGQtURYQ0DlkHHax/IC5jHxRNdc7ejv0g3hP6q618H6Uk
VuuKfUU8tuvPS2HSAjvx86YX8u3nGcISNl+Kon5Y6D79PGs0rdErUxdnnG0ta1gJQHq08rnPGnI6
4DPdY/BGMGkEaA1g2deEhOr+yu2NKR0d8Orvv+f4s+Bp6YrFnMG3ii7u4x1/+jnGSGHZr0p/oYcW
H2IIzhoBqG9Rt5GlB0qPw/73C/40aijeMAlZhAIY+PS+vh+VJmAYTOcEmwi45Ygjh7MxaWzXZcmi
BCWCk1Lade8Fr8Dxw6reDbkeYRjASiDBTL+Vu3488Va+hidMXxEWMOyglopnSxaTHfXzmOkr6g3w
wQPIHoZ5VdZuvyhlIrE4xvdnaUB11iwT+8SjP54gBJYyPlqdWYnvhwnz60XVBnWG7QbhIjNdb2Wh
FFwhNc9OPO8frqJN8x41Oiyzpn5kPmT3Vdpw+KNFDzEC9lwdGrOY48Hh99f67QkqOHxVi3wME1kS
+vOvN5MGTBNRCNk/Mob4IkPSvQYxGuP5BIayGhssZkRVGJe/X9WYDKVfviYuy3rHrREkIcSxtZIg
T1svZNQ2WUJM2Znk69I7BSE/XWZDAYutUyqPtkWsy3Sky6FE1IAxfVaOHTpyy5LKDBWTBnRSscv6
OkIr60NA7khyGLKQGD4dmrNTQmg/lGZqFg512/4Qhrq3ZSiJfUjezBVutwqCR23KllMMbrX1RgFv
I2x0MsvyRHYvfOLi+1XDdLCq5FDNwL3Q/UZaghimTkW+LCQVZy5EooyWh12B5jB8pb7z897YyVLS
pbTq1WzDOAk9Z0LjE3lDeEQxiwLAvHRc0GhXuDFkx1IK2jMpptp2jeTCSK/6lkYCx7DYWgll0Kle
jm38xD4ek74thviuJ3EekUkkScSShr4SzF25FslMSJ35IqkhEejSdHg2mmJd5fAbu8At7mINT1mQ
lPjxfn+nP40kpiNBmgS7FSanryMprkAGugZ2B1NNpHkWIOfRcVkujKJJ5gKm9s6PEXX/ftFvi8Y0
jlTNUDUiWQyqY18v2kFzJE0i14FPlMC71ARfBxSFuSqlxt/ONcx9FHW5Eq5SoSpHH2RVof8xBP4g
gvKCc2WgRIIXMsLVkGtIyaDNGIYUn1irf3ioBrZsAwAwznpcqV/vL/Ywb1E1MeYKlWecVT0ERxOS
PMlLc1o3gLnrUv77Z2pAd2UjyE6Q1JyjSTXThC95g8aNBoG2tHnhs5xW8FIUnnn2++v7toopzN6C
LYghuCIboa+3V1E5yKiZ6XMoYcmcVatcy2kQgLm0QUolSX/ieh+D8GjesUgHMljCMZrDIft6QTxY
BQnHqA8So2aDA37u3Rq7+AX4cHDTEC3xoFlp063krETcmZTFeJD8KrrXbdgkMznShTmjW52tjI7m
2pyPTL4sPIU2lpZWA3BJyapPfFc/DHGLCdJmp8g5jwiTrz8Z7HDeSXVGMF+R2tumCZIZZC263zlh
nr+/jp8uxabUshU4DaynR0O8bVsYx6lHjo6fAP6wpGAdSpI1i5maT7yJHwa2ZerTZ2vSFxHa0bae
mmtlhbiIaYFCcWpGqNYjyz0AhCoA6Qif/Fxooj1x1R9uEDu2ZsOg0MC0yEfPMrPtoPel0Zw3ZpQu
ItQTs1KlHN54vbr6/Vl+H9ocI4Q5+dBtuArWEVLB70czHiq6egRhaAQmuQCVxqZcaWEszymXxhe/
X2/66V9HtpDZDGrCUIisEvLRyHZ9ESW2kdCkNQpCLKSh3tossydGyE93hUACf/00xRuq9XUwgkOW
clsj5Y4Ojj2TpkhYkfjNTuCbRY9RWCeux7/y+30xPUxQEd4XDbejMRlHts1hLJVxQNCBhDfeI/XD
wEyZEYkhyly4OwjtqsHPN1VfjJMBuDbIwKsUyFyWlYcHE/xYuQBMB+68N4zkhqRDxISDRPjOrIt1
HCz0wloH+Y3AOFKPN2zdMRfgUAE+6WbDyg9E9w7PLNt7TR2ry8JsWL5jUqiaZdaxwNK60D1vQQRU
sOvx/T71oczeBd1DcgkSG+lzqlfxYxH2vUEzwqMoFspl84a+LiidNvdI+uqECsQnYw9GB26yXqJx
KM45qcl/tHIi8PLqcQQ2TXFL3Z8ytV+5O1ftAWO27UiOkFXWcuEEhYQ7MypMlLNWpdDm0OU+o0Cs
oa60zVifHqI7XIKGN8lqMCbdTRVNXM4h8cudJpWAoUKpMRWnjsZ40qgFoECaiPYzybf9m1oXJod+
zEPgOOoCBXmTqzecGNr7OBoGbwYdWvG2TSzIFEVE2L+4Lbojp8opQTmFMVJtbbu0vveRbeYT7o3D
XE+IVbwkULQaKRSSibgKemqay7YXNSY5Ca4UBs84+TMOFV0a9GET6Nrlh9AB5xE25WBoSxflMcxP
u9X/JCgR3w217bivKPCaZRl0OBWH2M1nuErzfWlI+R37txrrrku+Bq3sMbUcktjU0SkSqSIQFXeS
5wSZGqKC0BSse+FYgcBs616kjiFS2dwSOeM2a/Qv9S1psgZZTWh0gKEXQ7qp1YkGSEnePtgiLexV
0RvdOTRrHCA0of1hhokOP6odVBWlyhCxPm+wV2ZsQfHzDGNCLAi9dLOb3i1/I8KZYJyFrmh2DULU
ZmZLpXkTyrAv50EWWdZFZ5HXCMvaf1UzgixXIWalNW13Y0BmX6RrTEEpLUghe1etMao3XEhGgl6V
GU6idDwwrtFeg4lu34qsRLQRZT2/ViV4h8AAyy32RhmY8eL3yev7cYBdhC0rYIVkA9jK0WQJ/00B
A6yo5JvJ+qpI0VCwDqsXjUEsBnsPFKlyBzfAxQRQxtr696t/P9qyo7OxzyuU52zOt0eoDgILikKF
/ElxW/IxFSUjWc8kBc+tgeIoBpwcWhlNW/Sm6Tynt763tczcg8PCcqA33TZXpOHEdvP7UsXnbHC2
ZavCdkw/WqpqKbE6aeJ4FBZHDE0jUkmyCpucWTu+OnH/P6wd7L2mm7fRrZnHWwzyD0SjmTVyCNXo
1n3Woq8Os3QL5Uk7H4y+ekbdkM5b4PfU8gNpwSkENCYpW3zOCH7NZmCisrR0+fsP+z4sNPApH2dg
mS2QOq0Nn4ocQWx0lRLC7ZfLrN7KTYeSQxi5tMysnOkxSjmLBa4yC4pYmUkgMk4MyyMuEvUFQBiM
DXZeHMWBYR0tdyNQkkD3OwPCSuuhx2PqpyqYE4g6Ga5do1kS5k5fWYrMSzOozTUUdqQqrhxUT1JO
JMvvz0Po00j8sspTPzYtSpP8NErCx8d1pUSPKFrhsZdom43mxxNF0OCU6BSgDIIZjsFAXZVm0+zo
aHM6UXMGEhBsGY00o/m1HSihzmxsnus+UmRGd+zjxZmgBDJePHaaxK9FZb7mBM2sl9puv/FyC7xf
iYSD6CxP4GduYLWoRtQhRsDdQWu/UjDzhr6Xk0ybAWMmAowF1VWZLulN6MY9epGUDfQwKDSUMFK4
fFZNsMMEg5+jVZXMcxILfRg8acn4k6cT3KJOig5BqxGXhmPqZXebaYVQnUrKJSAGCBcnUGfwINCk
1jPReRnWO7phA39zUCV/ClwE8SIBE2ttSKWPWeECCQ1iPzN7Jc60Je5oFcNajrV47MgUI9K52DfM
wGLm1ujXyc8aZCIWeqO8qUwqC4tGhVV61lmqNM5rXb5IstJIL1tmlxowtSkILvbl+K6gRzfze80y
VnWfUv/y86qiPydZGrj9AOnArCdgR58JxEaXfQZfPcysVFqxQsbJW9IOco0qlvF5O9q+rp4VAAQx
Aw9lKC9wdZrNhiW8AtLrFrse5VC7JfiBmCgQLiMJunGfaWuE6UW5GmDtowLR21K5UiOrWUq+Jop5
U1o4TPoAvdRMb/Iipx1Z+fugLQCq53XY3ciowsnh9ek/8Da9yVndlBiRMpDIBTIhV6YriZzyj++6
3RVLtvfHZBDhYI4C/YXtryFwhqcEwWealD/oismSifq8euR4icMCzZkbQokOCncNXyfA0VZ1LaU7
jP8rYAOA44OoItGnK/z6pqqMaRHoh3gFOoVIxy5NzBsMU2ZOMzzul3kQoFPPTIFpSK7cKFogv27k
5ZgyTGFjRrlwfK0192j+LHUW6SEg+tKtcTSnKl549g8VyMsQaAfA0gBJxcjXh3k+DpLbWmRSsnC7
TmejJ7X5WwcSGusOGmxwDqRZNDC+oxi9aFPG5aqIfX1LmArIRqjflrq10+k65iBVZ5BW6ATTrVcH
JvXKWCHfQW9fjx1CQgZhn29RT8m3PnRTb0nBXHoxutA0HaAzkyBjrPToLNMi/8EjD/5MSmwQi4EL
5X9O0qt4GNPBeGzqZpCcunExmqsRvQXITyUbxLoPCHvh/ErAxDDIQ8GQSvunDlUVJZo+7h9GaVSL
mWcz0vCQYGMtyn7a43gWkiypR5ZaRTYOVFsrGratlXzbVDWUvIBBtcHxHb7poBxJKZBbavZx0L6Q
CIWpujNj+TFCYHPT9oEZTPtLNKZTI9YJqNpc86m7RLkZbfwYwW94aFW7udGVMHrvWqNFEZyHeNuq
fOidRKvGW5JIvJe4pnPsNHLTJKRT1BjnwYKgKeE7a1BMpF1GekSBhs+hIAdggSM2FnUMQgiPkLiZ
utOZfWxjIrDVBdwHRBJQMpSAzzJW9jHb65gY9SJLVikHgKc28SNzFkfFgEetA9/ToDVW1xJ6+XTR
1CkucMQ+1p+qJ3Udxkwd9edmbBKsPXLGvHT7onvADoUESTVS6xb5s76pikIRKP1bzN+FP3oXSuuG
wlEiUxlILO2seJ53larNlCgxi02VDkI/Y2EpfTRVnZoS0g1DfJ03ZoEVGXD/LknLAsZ8zVlwJqwY
bW1peGMyT8ldv8rzLLtTfJ9whcDWghEsSAtxSZKYzzDBSnvkJJFHhR8p5KzmwTYzwF9kUEh9JN91
RKKCE+erJDNppN45C1TNh8KkipglBckMUpqcKLpggoh0ckQ3y7OyKNqT65QaYOth3q9G2/bexVBE
BC7hi7nnTZcTV0gkuKAQw2Kz8WIEgX6rBKj/LSxZDacFJy+8MFqEVkiRAMKM4SNKaIzb1k1Zs7wm
i18DZaIUCAQv97XsFSCR6DuQ9Z2S7ILSV5AnAknAqRqtx5yqaQgiZK2GQNERNN46pZX1QLpVLOcq
O+gHVylG+M+SC6koQ4zg1K2I0jkvs9nCS8poOZk6pVuAuCBzXdoOHbaqAJL0tE9rskZ5SEokYGd+
ShbVXFaT1p2HbtCRKxVLaPb6hF7CPwuG/xsC/h+qxvbw/08PvHtL38YGrulnXODHP/PP/jsB2f8A
4mgIg22+kDG/swv+ZwNeMgWh3pROKNWYKM8xhf27A6/o/2ATzr+HHi2tezE15/9FNZX/YbCC88/Y
NIEoKWqUL//v/yFo3XvLLv+5aauO/vyZNvnRrPrvvZ2u03xhfw2DUIVoTFf2qNIhp3FDB3Fw53f7
0Umc16fAuQycvefsfGd3+ba63bw/vG6uPz2kf/2Kz1f9KLT9dtWjEuyYuK6eEAk3fyqcu6vMuWH+
dB74w8vbliE6/flttXi8f96d3+22z7fv17fnr1edc+p3fNnYfr/5o522nKi9NEbc/DRByXx2J844
9tfK1fcLHB0x1R6Dnz7dZ+Y83F0lTuY83T3cnb+8AQ1wHvjPEyx15+Zlf1jvn27WnrM+OJfrw2G9
3R0O29lusV0d1qvDYTP9t8Vmszh/ut5tZ5vrzezxeje7vj7fX8027+fXu83V/Pz8/cTv/+gq/vKe
jKOCKcWrzARr6M4vni4erjZnF0/7p/OHh9Xq5vziwXMW28N2sdpsF4fD/rBf7qefuLm6vjq/Xuw2
Z7+PmQ8c7G+/ZTqlfDqXZZQa8orYLp7lyzRseJYvLzdvl55zg8CNx3h4uwl4ltQ0+K+gyZ3D6u3m
jcd700+j+Z6/8z53Lh995/35cff++vh85Tub5ytG1+PlO6Pr6vr97v0VSQL/d3f1flfwQTxcbbeP
z6/n79e+c/V64vmKrwXpb+Pjow756Z60qAYZqnNP8+XF/OxiPv116TiL9XK5mjkzZzHjD87Z/Gz+
+8MU08P67WEeFW5zL+vjwIURyB0yDK9e389f9vhInZfDm+ccdjyr1Nk+bu6eL593J97k9FX9du2p
MPDppuuOTQ+bb3c+QQCM+0B+8qLLgBJITdxTJt/9fqvK1/P8P5+xQffF1GksIaU4Os/rkdwQmhFO
/NLiIui2DdFBlDmcVnunXMkyHD2N/TPAkEXaHignIrTmf9tI4/MQ3Xb9jdcA7g92v/+qH+ddVFY6
/ScLA7p9NJojIreIJaSGzOT3wkHaOQTOy8vl8/by+fFy93otO3evpz5nZfpcj5/854sePYrRLwvL
aKfCtcxOXb83zQF8+jm8F8KUHZQMRNifK/UJUcHXohIvgA4SrUgaEvSRqHgdTYKDpDae1BQjpVMP
DzfFRPbDSefNB/IV/vz+XI+vZZoWjQjDFKyRqmZ9KM4+ja2y7WqqNvi/kYe1FxVQk+dW69RDGQbJ
CTnBj5eiSMb6TDI9GrSvwzgLRCDbbWjN46IerzHeIElH9hvDkBiT299va/okPr+46bZ0mU6vaVto
Bazpt3y6LZN4gUYrTXOuEQ+xtyvdXdC6jU8Myp+uYvCdGJqJSEs97ua0JWBFdCjm3MaQtXI701yl
5mifmHu+jcLpZqi3mrgx0Vx9kJI/30yuo+A2B4xEatUbSyoD4p6UVooX6GfdDSoB3CCZW4fzIiLr
FR2O/SdMIcSeqHX+eLcTZJtmGW1u42gKNBsf4X9GvCCMSqKB7VZ1umqsZ3/55izkdrC8EQzIBjD6
o51OpftoQVwi5ZqqDFaRNVKa6HL/RN/v272gVpSpFKKC0AX076MP28MR2PmGiSW0AHlK3q7q+D6x
7r/fy7cRz1UUOudA9RViRo7FFkZlVKHeGj2KEcXe+GRnA00gh5bgV//Ey/mosn4Z8UfXOvq6bDu2
E/pyxEFSFBB+dEjg5RVVfdY0ICcI/oql5B5qLdJ/8r4xATHOSJs0lkrfnClGd2aCHNb78Zm+4pwq
NEgpKtpCKLd9+JcTAR1doNtMARSm0dpOctnP49lX7K7x6roBculVE0s3669CbRDZGeTMql38D17C
JMSz2bvrhCV8vZqsuCLsYEzORRpmSxCMD4JEXfo45am260+DCoGENlXBJ9Hv0dAl+jqJRYaT3xWJ
ATdKk7fSJEX4/X6Ot8g4ZphqkOjI3MsEQv96P5lLI60vNJJTrNZcGHAdlnGHp8EY8E7lkJbWv1/v
28iypm+dm0IMS0kbMcDXC9JMllmpSjK0t+Wlvm/u0ovywX7VdhSa6vvyPLwbLsed/zy+B5f2xl2U
8+7EBkg93n0d/4Sje+4IhZdibBHz7E5cywdzr+3AXa28jbjq4PCCknFQLl7C4kJEdSb24kY7MdUf
P/XjX3C0oLS+oCIoFcPcKyCu1+kZ+LilqnebrDCXvz/w42HE50HzHqGfgmAc+d3RgIWUk8t1hQdX
gZnuKNZYXpdeKj+cuMoPl9F0mnmTrsOctLxfX6uXE+KYm8QkaX6ytgoAYUOrPFgEr1GIa520pFkT
URO/FUq36mvNaexbCCpgr1yKfCTXA1LT7eKBPNVGB7Xgn8dld0bdD3DIhZoZM0UeHcuWAH892z50
JnJ/u0dFeex1ei/wIgeqTPIrDQzioe5NIrUjgxA34EoRsYJ1/sR6vdTLSD0xU/5w34YiGxpiJhSV
ljXttj9tDbJQs+PR5XaTbLRf+sjTnrLkVKv0h4uwg9MEng16dpp+dJFQMZpaVYkM0oZEXrZle2XG
Wb858Qr5pZ+nfAYKF2F3MCmPptrG1zvpjaGk9F51c7w/g2PjZYLAaoUn5s+fboXnpUwVFETfxtHG
Gxuu7hL320Euq8QWKf4w04bGOjHLHB/spntBz8QMY6liSqj5ei9khRuKX7QYz6OocWCE2de2COsL
tCLNKvMCQXJLr55Q40xv4fgB0qDTeH48Rya3rxd1J1F9EjMU2spC/1mWz0WqioBkKGlyZxc2cKbR
j+bA8JS/H4VI3Njj22wPiM88ene6SNB/RDipEKsRhlxK7nzoDPXs70fIhxAI0RHiJvmoHCEs+I4j
ZA7ynT0TBE3cbBTW+BNS6w9R5fFz1KbiG2czHV3A0XOU4qwtsyohDh7DgJPGuQ7oQfUu226wNpE7
wCglGXBJd0jlbxFkHHdZ9Yhi6ExrAfdqQ2c6YZzc5J25CIgw/P0hHPWHWfMZW4iTOA1wHlBJBPj6
mj216aOG1XKuiMqDuVKX6YtO63IPwG6aiyL3gEEhPRs5DXOMV7zqqupx187Ij1XhSYxq+uf3nzQ9
kKMHZtMVQt425Y+gR/36i0otNHJLacg4A6N8lgzCdNgo+MuYfOITn+/0r/p6KWYGmtCKzRua7Etf
L6Xnlpejw2rmbWBBtECJBBhuwLpr5CmphWmwHYV85vfqgWiP/sRe5dt9YpZCQGhR97LQrh8fw+rS
LUkGCAtIJymmcFOLWRdAqsXqqvPj8l+ZPF+KtZ/LpMeLNIulosoqsjoOSlz0aElDsmOQMyQDkA6L
fSzVD7nooBKZw1NcFfKJL/jb5KEwdeioMTT+vwCZ8fXBShLQndICAe2GJlyAQWov0mZs1kZdtYfK
JIwuybp45YaedWKD8G2u/LjytCPh8TK2j64MdrZpy8qO5saAjkqV8m3Z5LAAcv+JLOkz4LPeiff4
bQ3gimyh0bXaHx64owcbiKqnrm4wURW0CfPBg5U8ZvH896/i6PUhn+YLZVHmo0A1qn3sAj+tzIne
KDQLx3yeKaEucEYGcXVALNmLWe+xs19lfh/lJ9aAoyHKRc0PIeZ0TdS0x7utVM8hOtQl1uE8r/4E
cR2tEtYcxBG6L55/v8GjxzhdS5cpTFjTRhrR9tFn33IscEWkJHP4N8oVYdQu+gEiyP7+Kh8aU5Tw
yLXto72HCw1Ez6uOXjEYj9WIofe5FML/2+fGeEChy3qPA49ZbHqun14WaTgeOC2em543ibVMsAXf
qzJazCWNwurE7vv4AEDRAzOmjaKVUYa8/yNs7tPVhlFt4qINiYQ3sTOvsaFRCUk9YOyw9PVYu5KH
QLcbJy3InNvnXZk+Tg301in0ZggXsZJmxF4Hpuk/JTT/XyQPqPEbYo7yIov9tFvgjCLsw9HolYbz
Hj5ldd7SQ7TmtDPtq798QWy7wYqZ7LqpUSFn+/roCCVoSrCTJNQCiwHxRonDVSAI/X6Vo1kCzj1X
oXCE25PRII63oJ6XFWThwvpuuyI9qFYTPNFybx8hCOGYRzyANhLPxs3vV/02xHlRSPOoiGl0yZTj
LVXR2YE0EoiFlwQaKgxINJRk2J/Y13ybKYh4YeFkzkGYPrndvj5BVM1FS+5QPLftQjUQGyDgmXcc
lyz64YX0pFBY0P9ut80QVBSdFRTXLU/0253VPLt61NMEIIdVLLoQbL8OpenEx3ukctQ/LoOajR0h
90f56GiOiJQOw7ztkXzaj5YD0dfbdVYYzeQWeKfSWfl1EY/qzPMDb1nB+VjUVkU4uVL0KxNoytlo
D8r9377TaWfOEQNxH8vNsbk3sWotSPAuzu2YLVsQ6t0ylEpx4s6/j5zJz8AZg1MTa/exs7RHE5cA
u0/mIRkf15bv+5ddKBUnVu2frkIPeSqdaLLKlujryMEnK6WihCyVQ388DxqpWamBkv4Pxgq7HRX/
EV8BBZuvV4n8TJdiSP3s6dsQamSnokI4KT798V64E8paXEj/qBt/mhTJgB4K9qzI5V0lfoea1y0q
4sSjE4/s20TCwLd4VrwZqk3frNbsCSqpni4TV5l0JYXkX6YB2lul9usVNcdobQbRqZPLt2V5uqjG
1piqKR6GYw/IGNTQxdgPzC3LbXBi9PKZhocOIgLA/b8d3pNdVkHCSjFyGuVHL0sH8KDavT+nUswx
TMHBgy4sjvL579f5fkuMBSSqClt5/JrH1eCuGv4fZ+e1HDeyRdlfuTHvuAFvImZeCmXIKjrRinpB
yJDwQCKRmTBfP6v63piR2B2t6Xnp6FaLBRZM4uQ5e6/t22NPk7nL6/CzQEYFGhVJuRvuQHy53tvf
H+7Pl81lNOGe99IBm8yPX6txZDhSinC4nowgySoR7BckcWRHwy481KTlXdhc2sM/PSxXjhf1ec5D
I98+L90/3ZTV0lWetQASCe2O5PrQGS3iNQarv1Wo90i9Yc2qtjmYqd90lT9sdFg4z7cMd6OHGY43
64e36iwdBP92QWoO+oFT0UftZR3l1WFFxInneRkOVlNbNyi5zgzIbvrN9/7zK4l+ku1QEtGQwS/7
4fAoVnBkIBhKoX6WaJNwwrf7tnUqg2PDo/0sAFM6v7mlzrfmT5u7P74zjXTSfFHDYAg73wM/neyY
HKjWhzaLGji2dpYGsDURjPCbo/z5xuWrcSz867RmuKV+PUpSQRSjL5ilszTrdCXBXvsbVSCDIUCJ
G+s3L4I/HY6K0rVxuIEvZ107wzl+/lK5nv1Ax8Cm/Gm1D7qtnhsPIDnxJOVvVrY/HYn7hLfAH1tT
7pqPR2IimXhSu3FaZ2RadyGpD6Nx6k+TBBn194/Fh93iuRpzeRi4RuzaiD4+X8mfrlRY8kegY6K0
cCP5jIF1Np9C3VjlsqlqfB7X7Ggj/6Aqdc7S8jC5zP+0YGfTce7P0OrlkyL3w2ltRh82El5tNNi8
jizhQZFP7FY990Ps/9ONzvlYgQu74ryTg0z367ddLF21fYx0uqi0OOra6q9dv/zdfvEvLh/4Xcx7
nBq+18c6uoLp2gKN9dO2t+thZ/lW0sLU7oEOD1CYftey+/Phzk8Boi+o+gwp7Q9F5+xLZta8QfCe
h+ZU1e6YZijgbyOSJHZ/f7f85aHOzRqm/zTUog9PXF57XdGcU6Ra0JTL1gSD/7oMFg6XQbvWb4rp
Py0iAd/rp4N9uDWdUtSZD207zSfiS4VLOKPqhvY36+NffSVa4bzTGczz2J3//08PAAsVYmrX+Klu
4dGklZLRfV5E8ZUnEfz+f5w/dPwgW1itzuPqXw+2lg3Tac35K7ws2PtA5HdgDKwrl/TE33yvP637
ATZOXnjwgjgWc7kPh8qWsXIrDuVEevxUrF6MJr22j7psFqD6Xfubx/gvrhb9rbMLyD2Hu9sfziPZ
P6hXe0jhOBSiR9Pa+UVCzsj272/AvzwKzmsWLHp3f2qZjgQv9VNV+ynm8uq2qxr3stVV9Y83wpw7
+u+M4ulSs73/9dzNhXJ7vI7c5lE/A7SEVOpM6/Kbm+EvrpAP7MB3WHzxeHzcLPLR6+h3ZJBYKiet
K3TFTofEhdTDyATT7Ubzm5N3vgS/vJUDbm8anzb9F8rzP+xBP93qIsulRXsffYbVjd2ZDU5s1UQH
8o1GN6PKv79U53f8x6MhlLDPkCDWio89ftiCUTDkHC2YvSQNq0JV59gpIGWTqLYyTG7NRFjs3x+U
re95ufvluDgr2HzzTiEZE8HGh9pDGUgSa+1CZusH9SicbJguSCVQV8h5vHHrCkz8uDZG69Xr+uba
DluMSJh1411rrVW0x6FAVmjUq/I+r7wl2Yz41xGbVf6aahmQcgkzon2oRTYQAFn185iqUHrNnjJO
CfisfvGQ8SiQlahgxsXCamSax4RpbEQYBjTwrNl9codgfG1VRYCCkwthUsJ83X0erRlKGtTl331+
+LoW8OK2tRdVPfy/KAEUkIuaiaSOlNkXmIsfW2OcS9A9VHJ9kPdHu7Kjt8RKSMprvUwd6iGrroJy
yekfehlo1oKM6lukLG1HZuTUXEhrQrSvBjv8huNpMBsSTMgvxTDaX41CglUGKGdF+0VG7kC8VZW/
DoBL9TbAp1FuQJt4uPzspTlOmY7phBkT4/TCAvhCng1CdZI29SMbwvpVG5U1m5bXY33OZXPwi8Lb
29YLr/sNHanyM6AeQIqeG/YLhqp5/JE7FnSUYBrrxyQmkJj8PxW/SGsFyL8mfg1/3fIfDSHQL/PY
qPIEMzjq08pERm6GEe1Gk681eHpHtGvqZgrQoy0G6y4Y1+pz7tBuSlUB5Xo3hGPMKKAKZiy9QEWb
DQ/LBHYYpPkhUoQYIAjzJlJz57wGo7wKDDSuAKwZFz7JFXlYlK8LhpVX4nitcCPH2Q0uiQnjOdbo
H95GtF9X1MKcNAw1/bUdDDOccXvNr6x8gtLpVcTaVZDrQSPlkNYJN2MknzZjicVZ+Y36FokpIH+k
rP0XA9fm67SMwXWD3ezLwGQ7OvVGYBXSJhruQC5O7gZTv3E2dqzGe4LR4Qi7fjZUKY4SMe/WMMqc
TQ8xtgJ8atp4Z0bhXQblWlhbRQXNLN324KPmNQdLvZpE4lGL9lvtzs1dMpn+hy6a5KVoNGY/UnSX
Uy5k+8UR/vjCJM16KgfH/w7XCQdStvZxlYY0/YZdFBn7sih9CrGwNP6yI6gRp7ntaQ/TYGHsW5Ws
UwiIx3MeY0X8KiTNRN2NpiRwhQIvDvdnuhdbxiJsTh430HthVUhD59zCiBVOWc/Vqr38wbDCP5ol
AQod2/jmwewASsXQN+ED8WMFeyoa8O8sFTl57B7zat8zHRWcxGL93NBqnvbLao2HxF1gfRu/xvbu
AdrBmej763PbmOGUs5ssd5Yn/B9LZM6JJ84c1RdhYoad9AgUgRPB2kxzM8OCFOYQi60iWfXRpp30
QjcJH2ZnPOsaNlb4xeqqWV2iXYDzmpWi3JJrqj6Vcdz4+zFT+WW9DvjXGQXCF58bW9d7C3WPuZxc
Kor9Oq7N9RiZ4K0J4/k+HLo13EDLkCSGcwrGjd9Cfdm67to8WgM5t5bx/VsXnxAPJTR8Qn0VALdU
NWX8ZXXm4aateB43ENXzZMfMsg/2rXTao/EwLaYCWESyKz2XhcqL5qjaEJckJb53A8LUoZmA2JE6
hHMHW/qbWfNJAvha52deQmF00ONi9GZ2rG7eO5aLk94FKtrtST6q7tyliGE46SB41I4Z160gkhxC
uJL6ZlwhvHBBIHimwo0I8KhrC5e7z0PvpJNYmZlOJOvY23hQ8hTZRf4DtDvZQFFTqFc9juMdAQr5
p77rrC+kdA7va1gNrBpzo+nAOS1RMUuCF9BuRrlgUsu6N1j1mDDBZzfF7WCjhmXeRNBR1bboQUik
zL+LqWzfBbfWsp0pys2Fs5Dps5mLMOF7K/Pskm91zAPLhQcwztWjP4zhVwr4odx7up1umP477xlW
r1v8hMG8i5el/zqRwBZtdD1635KWNL4LrJ8lrO2pbr4UJHnaiFuSiOA7tt1AAXGdHVVZ6u9e5leg
+1dr/oZWabb3Cef7OiDAIePUtdy1IWrqPfkojr3LZslnOjkeYeKrk6k+uG1pPhVVZn1iKmt9xc86
3ZyHA1+mPjO8I1rPee5MTIBe0paaSUa4Ft5+Lmf6o0UAWwLe6cCskWQz/4hNSn+nmFKP03xOkQpj
4o6hLvvfSS3jjTBPk+QBbZzhax6ahaWxyniTBE7r8mruYFxY8Vh0hEzrwEnZH2fPw2onnX0CG8t7
+KBUTT6frbIzWHf0MNvPjahS4s/qO+mP6ofxuuxynhW2U1ljz9MdF477jZuXKBFXPfJiC78lhRfA
0R2d+Tk3XvUqmlCQ8M6bqEujPGjfrVmGX5KmJtAur4UE14C/v2RSbpkvTk0YfTpbNonYxl9RoMu+
uaqjKs83RTQ5arP0k+TsRNMYs+eo6ycID6w3ibIwrWaIbbONPbDypdDU9HNTzIR+C1LZ2g3srrrY
B6SKc0nlmg/HqVgGYkNnQeDPQjHrEm+Zk3gUR6tv8NI6HDUpjVvs/VC05HOPInjO4jVYLkJL6wfX
Qsy3yy2y1dMMhd2KlL/Ph002EUgHhWI0X7z4nFor4Wtj51zaCI+1mZOeRdePX8Yxi7kN8iKRhKAa
vgDJB5psldK0ijS9vCdqdEj001yv0Y+RuTBUsZyMDk7LmMxpUhH00Uyd+zIMc3TyzVJ9oTMlb+Fn
rN/nqRffYbjnMmXIYXoox1nmHHjvV9dDZ8GvEmTXWxu5FMVN5peUQK6rS2LcalMme7cMKxuzgKgf
aya09tZISwRUAlNNqJvfW9/ONJZvgqgHvR1rktQ48XPMotP4LzaqYrMZiRVcDmGNYTMNxjxD0tjU
c7FBp+Vk0Dcp+AicoJmuyu/wMvwIxskAEhu6U9+/kg1LDpvF+6Xf2ihuH8rAy5PNGuQFP1Q4QZ16
Jef+oDqTv02xLVG3wgde95Ao28+UnTia2CA062FUNU8MEUGucxVlfZldzGYNeeyG83qIW7BYdrPn
C7Lw3Fh+r0xg6z0zxmZNeS1BRy7aasFKU7ZWdTR0YP3tPCGCozpjGY1oTIxNcKSROPKlm8quTnrM
S2ItOjlVBQZlS4vkPhY93HJ/Ul30eR7a/DGqzwmItE9lTSiBwCt6yYzDWp9h7A2APpm5rZcwn9fm
GHVkvmzqUlNdpCW+8OZkNWFPspmGz32Yjb3UnwqvMEecpIva5p5t2UdDre0eSTqt1Q+fUNUGZp+0
6oZAt8BudsRua6LftKqWw6TjEgUgQ7Ik21l2aeekdAgDibvGpfKar0T2zRcMWgYB5MXLoNIiv2nH
K+ksFH4sJ75+aKhv9Gk2hPx+8hTvSZu0icaVgK2R6+6XPp+SJ+JzEJtNgYmTi4klwr/3KHmydGJG
B6xd5LJ9iie3Xio238Q7v0Q6htGtojK2P1fdPJL35wNXB0MwBmwZ+JtBfDn6gxk2XVsomy0BiqFN
LVpV0HPrKgeQfC2DDUVaa7NB1CbYE85uAWtoWacfnYELBwerLQgXLkdpILcQ17JdhjIyT4R/ruud
X9ABFGfLr0CQN6HJLwkW7UgXeYszMt02VSlADg4e2D+E4aqwniN3LJvbAZ5Tu4tkroN1GwoSq49s
hr1kb8iuKL8owfwbt/DEtoWYQV+rIg2WXD730LKXXa4RHzzGxItoVo7J+Nuhyfz5oTSJ8IfNnMNl
IqWr7z+PGoQjVULh1HtIBJJKLwzOGzLAyZwGMeccmMuHYVloi3KKEIPB2cAoUuONsDvD4orBoxn2
pm/NelIZPYT3xE6WZufNled+DbtOxtc9iermXsSwjA5Qi5tz1TgO5hkvRXR+/U9ts7wsjjLYhqNI
Z/KWCGRa9jjDq16mXVNItnwJoTg/7DquKdUUo346EkFx01co91KgUs1lb0ACXbqVFbi8s5wRKACB
p12zL+H+VVdEzpQjxpYqMncOiCVJ3eTr18hgZbj1JI3zjSelrX9g5Ai6HZlg5mWuXJboOJr8AcKN
bElXaNbkniGR0+28pQzhqS8IgneDXREUp4fCwdDuq4gdReKfYxnWGUe+2jglFPUdDIVBUNJBA4ne
YUY5GTgIi/LOLKv3BFC/nNKOqn7ZazAQ+X3rtpG3Ve46W0QVr1gs7NY7Z3FYPtmJ41AZ91FxEbv9
RCHpbLOs6uxvTtL44UU05JOnsCapqD+sw9w3n5YxdgivCEbVXmPbz0qCiDLUQ4vt1mQBW9MqHujl
z8OrtrygPgVGVOpp8vuuCjfgq8jwaoCsO4cEjX55meuada4ECmDt1STFexbM42eHxByIRJbU0WW4
BGQK2LkbVBcmh+dEfja8ldxneJcOtjc1p9waanJFRI6LTdPzPjKS9YDxtpptFJ00y7kbOwY3GweW
B67yuJxZcjpCvbc6pDriT/iKl43qeVqbJS950ydVSJEREBQucbgv5ttMfBIZYqj+sm/l6pwzrdlZ
xqfRLHH9Mtc0NU5lZS/dVeGNbnBj+MXXG8t3pwlmCAiHkipJ6m5HTesTWlug2rwQ9sz9P07CD++K
NogquZmr2Yuo7da8fQ50YYkvIMHmt3KegqC76DKOcx/laiGQrCuddtc6rX2MYrmycFEDxcuTLrx+
eF9y26vzi5IQH+cODFr7DGegjyB32dmdLzr26qXusp0WFb4NTlj1nvNIJbuKND9vX3SzkKQYQWzZ
8tXjU2NXsTol0mb7TqqxfyS8nnjZeg70VRjIgEdh7IB9DkGRk6Jpd+67mhxkXTQYeDNA4xi+ByaP
2YiN0XxXRSjpeHqahSymsM4COnZ9Xuz5PFR2rkXIPFvcfj2sem6egHMWK1yX2G/TeBhGss8C5V8t
Vd57u9707ngYz36nDRsQwqBGi4cH0UjkFjtJKvj7KquDWdxeHHQozBU+fRjiIin0F97NBPCtzpSN
O7JNBov0yIpwpo6cna0uydHZla4Yds5g7G/eWHbuRV+dn3NpD5KarSJwcM+EctmSqAGeJIZlQ3ZI
kN2roqFfVwSTK9NqWMz3cHLCH3OUdwR0mHm9F6oFqMdvPRDl6kXcsKsbvCgSOgK2y4j/Bsgza6pK
t/w6ZLRpSRYyc3xgT9mJG2nZZJWTbzLb+SZryuVHFI3oXalOMuJWrDCovwZrG1y5STaRMzrrxN4F
dmUe6JAMzs6vHPnQEAbqb1t3Led0coR+Xi2vQXQ7Ie7dTgjoXmWcRHkaTr500wU6C/mbnrDfSW5a
/N3sMLNIwYmp9aKyHNqulqzEGxeOmLBlsUhawGqWf4mDxqIx4MvJbDDdV5+dsiVULHIVL888Ed2X
fnRqby+MtRBiD/XvderWyipSCHSOc6EC7Tq7xcupQio2iTqFreM4GzMbh1M8Ew+c9l0vvkUeSYXb
DAbELtFz+za65cgettefnanQQHDZr/MLe0Qk8ogX3hM+PmhxMPMCfzt2PnduMoflo12Cktso5ccB
mW7mveho8KQLEbDikFS5/0N6eVeQ+dROt142o2AMqYzpXsaK/FGakfoETdX5YQWVnjdTEulHB6L9
J0JAPOqLgXbfRaMhnqaBboVzJPCj6Ij8zfsfnarhskuANJ8JBI5q9jsU/UTH2ivoPvou/a6QiXnN
4toZ4I8k1BsgeLI6htSlGzc6rZ70xGYGQAyLw3PonbGwKDbAbdK/zq4j+9TPLMHwpGxIHbQ8ZdiU
tm24boFBsdg6M1XthucYDlDuTwHNTHjfhBfFbUlO8rpkP2Y9sJ6bzE9aVvWKmDGQ5d4dxRDVbBMD
sN1QHI5vQzlzZL9vc8K2zkltiOJAI6JZdPL6svYnC+BQW1bhToqsfLda7QZpEFfB57kGkbfNWj3w
sNd6sra6d2gQD4ORxY0xWVnvMpa0iczSpmH1aeNmSmspXOquWograsUBNF8LTiSt7HF9gVfDJDZa
JKCTkkWPTabSRH7nmLric3cpest1BnufQXvrXiQBs9STLyXWtjLvx6/LOs70Gg1APlAiqqCqUN5I
VDfDNaJ2bVjnaUGnhY4MMaAPwm6W9sayirjeuUVSfuFmbJY05pXrbEM2RQevEJW+NEOorF1Mo79j
4aCGQJ/qAIaOejLjD1PSi3VHjEgm93r0yYdkqNgFxGHOYtxU3tAVvOJIrN7EXULLQs+yL6hge+cm
ka1rn5Mmpb/B6t7MW80ordtZliwJTSJQEDIVbGp5YZFqmxANbgVvulQWO3dyv1Foke93Pyl3fkha
QtptPYgtH4+mcQBFhU00kY2z8SEXulvbOK3cCTcBJOfqXmZbd/CBn8T1Gto7Eyzle2uGuEznmTjm
ywaDXR5u2a2Y+QFO0ahTgxSOttHoRTdZzA4mRRZov8Vt1rDPp1w8weeex4O3qkxvInZfzlZ5rrlX
OvKeeDykSiVT4qua6Jdg01qNvsHWSh/Damuy5krL3vVBBdLPmUoeH7peT/C9XZd7IbZfM/xKcO77
hZZQ4SFLSsekappDSXCPSWeIdMxE1opOuNNHAQDworStbdxktHbpllgPsiIpkZd7b393sjIkUZLO
THG5wrWdDyXTj3jjmk7czh1dACiHNETYMegF3IFrklO14tE+tRMFecrm1+4uhApagOhdz1qVx2P8
FIvE4vVHPVVuVxR7Kr9nsFG0d5Ldxk0ZUf1vI9+iU5Qt/XcBiJQEOjU078kwrI8BU6p1o7uRMGbK
8eaqrA1UL2f2z1b7oPhMRw9jc61ldwE9NSh5oXGS6Skt4+2s9eptWPMpkOyZZDOpmiHZtXFI2RsQ
2czKuX4eArxsmzUXWKXPQTrmQEvVuoCcSR51PyeSxpU1yeI/+rh/xL+5FW/dg5Jvb+r6q/if5x/9
3otFlmS4/sFj+b//dWveJOKgt3/xF8d/7XX346sq++7jz/zyETBd/vvbbL+qr7/8x45FWC2f9Jtc
7hkGNP85HDiY89/8f/2f/3r741MeF/H2v/7Hd+zk6vxpOb/Wz2QbxB4/zdXOn//fn7v52vJz129z
+b3/0w/8F4UTh//GreKFQJ7pjCGHR/H0XxQOQqd/e0i6GDGiRQhQ5f0fFI7n/vssv0V/ge8CdsBZ
gPVfFI7j/xsJG5BqhG5nhWn0j0g4HxQtNts0hrbQdkLHR9ryUZLNHeyUXVcM1wWa32g79O7i3Nb+
ULvfLZmhyiXCLvJPKnIDC+SrrNbnn87V3X9GjT+7PZwPE8izhh4+EGRq/HVnF8158PvTnLWcSqiI
bIuv+nEYCMozDDsffN6f+nIBBS6O84I25Y4uOdstJmpz6B+b1lMELuWEwrGLCMc2835nxf4o4UUA
jc2IlS+IkMj/+feCExAoagfnymUlIZ25D8s8lWU8GXqkdW7ObXkZ3ow0ksZ93c6MG2OvJVOzYfBC
wOFS1+RH+YUVHYOe3fpv5uHOh/k0/NAgOGtTYy/AbsHN8ut5q73Gd4UXiKsyLFe9Zf3zlpMnrPiO
LPRWvGOyWNWJ6o5MXeNC5N3MftTF35a60HKbJ4G8J2ksNqfcVe26bwKTlHcTbcngN5K+PxSsP82Y
kcZjgT079BFch/zzwxV2+sXxmeI6JNDCvbukUyCyy6GJ15m8w1m5O3LDu7e+L/Snupb1sq0mWroX
uKOZUP793XY+1C+/CpQA5JIxdiZuPP7l15NGcEo2N6EzndwsMgqBUTs219O0ekSZ1roSr2U4qCL/
zbX6IGqEgYX4B6MPcrgAIfFH0Va39lbYVYs69SgemW+uEmhZENZAC1rU6IS8BdAmz6Fu5XwAzsyf
L1YVm/u///If7hh+DZS/dHHQ/2EFDz7eMW3nd4bYt+Fk0xqxjoNnQn3ptxU14yAADf3GsfdBfXI+
HE+Pw92JyAUX9AeRtoeLpCgG0Z5cCZduSbWAKTpshqQr5t/Id5AqnMVUP19Z1leoxUS4IM5Ffu58
EDKMpZjJsBbmgLyZUp3J5vKuvHUxF3SR/WDHPdd3aZUw15b0GHZVY/xT20RZsMvEwNs0UsDBa8qx
RSzNNhp8HAllH58yWbo78H9n0N8MsFMqc2z81nsB3zldwL0L76ckpL6SnbPztLphglk8mCyiubBp
kgwQI/vHmSn00bbWWVlvpmnGdJSDfk9UJr8JPTIasZzmsgANeyO79lurhXUI7FpdO/QfUxHYMk3c
zLloViqtjTu48UnWjjrEaxI/WtBDb8s+6cgl7n1S9PpobxeivZIzbEDqL1Jeq66pOSl/NNfKJwxc
8r6IaJLTI633vQ6qY9j1+QGhw9PEbuuTmdyZaVcvt8bR2YFmRniRj33xVWj1Hilqy83k10PKLg7+
+wTTkJSH+gBA3k+HQJrkwGlgQ1v44kbFnAnHqpxiIwSbSq9C4BrY4jlzSHUE6lCzqxed/Cpr7R6y
JSBqNsj6x3wY43Mma7fl1eF8o0m8FJtlkMuOzvJy7Qf13YgF/xPVD5PFUDmf4g5khult826qYE7Z
ziQdHHZ2GTSNp+4T4mN/E/Gb0BjPFwi4QRfaxUbjzf4SZA7BmyAhCLLul+A4C8UusUAUEixhcu5f
MLjsvGNfhPOOOxnIKFD0tCj4a50e1UCNlXjWyc3H9YocXP3ITrF4rUxHzxRVE6GkagkfnDjzbq28
MM9MEUkZLgwxKmgrT0Po0wMpY1oTZEPS6wOvS+DmMBQ7q2kVW9PaZlxJnV99p1lzcp2xGQE9RnZe
JfvIGpjJPwy5xc11M/t0h459tnwPHGy8czg6m6Zaxkury+eTSfzos5msct4Usq0uCsti1s+eV130
tnx2c7v54S2BcynicTqw1SH/KyRTZogsVDlTtbejuky1PVzrZVaEJouge1r8leo44QoxyIv2jVu6
aRuIel+R/8CcZTSpnMiL9TMaBawXZue4btYSOF48RNK5quhFpySj/SAVl5hyAXBYLO2DExR0l+uR
jM9K7WnXEHjuzDb+p/hggtZLVa7F1ZJrO/VLfZv1Zjq4/TrvvKauLkDoG9pIdZ06VgaCdfJJPTaO
RYgjwqebSUXJwXUrceG2or/rvGV8CNesvSmHMr8rs3whrNJDlTDM+mQJhoAkrRqGjesk9Tnq2uG5
FK4x+S6I2oy23dIgTiKqZn7zsKYEKQEoyYatTHPtoOiqT3ExNc3ngnGq9Vqapc34kJimz2ZJoqq4
FrRkqh9OVjnvA1fOfV6xudx3SxeE26kblLqJUReEL0kky+xZCl41LVDXsiqPJqQR/B73xujUcpcx
fMBXYP+QcUM+GwJeud4ZP85njDLxaG+9fHSa/X+Khs4KdUcnJVbGv5wLn99qXIjhnP/AiqbEoZLd
gTBH0nCzjKY5VBVUHKOmQ7hPKkIULqexwQnXI4jwL2n1FHJj0bS6ZhrpR6mZhY6vgF+sxFTPXVkf
g4VT0KV9TSf/CkC0b4h7ykgB2w193FDSOZJ15VljOEezlGEg23S2pmvjIasYdz7raAiAmJnJVSBI
R70ekn5gaGMPiyaPaFqzt3Xh+bhuRe1/dSVFzVEssGy7hFssT2nBUbqFpHWO+4g9NV0PtMbzAYCA
bdLRatRxpWlJfraXhTYrrlg9M/btZl5WsBN7z1GRucfolNdHXYRivVPdHIeP5I7DwXW8ZEp0yt2J
FGfA7BXT8oS3QfRV66/dW4ceAmeY6wdEwo4lm1WIWiKv0AnH5RTuV5srVOxohSZSMrkKu+tQTa63
78bBu/co1KvyarBpBIbQTYehaq+dZmzq/ERTi0y9dJiYd6YBq7xNSJdH6gDBVBhi9iBpku4AMtbg
NitM7Nm7LraxGpihrkVI9OA6uh1GHTv6kbRVDAi7dxbG8TSV1GLtomo00SHIh2bfl0UeVVsaY7U+
BKE3sfH2iri/Chqnzo/JzGz+OZnjSb5h0+CyoCgSZtxSE1S8LSf+MR/YGlXY8HLkg9WV23W1/qKm
iRbwZujtJj6/nrLef/NbW8GU9tYsAJxfUbHn75HjSfGJ/rK90skZ/LNkiwUzJXJhZh0rRF4+CeWO
4Y0Zl5UzVThg2187uXQsWZluy+x+wNa5+JsxHBqG0RMFvw98YymG6h0tli27TdF0ZrDSNoNBq7b9
uLhUMHCcdYUaKClesKY4OwukIL033IyHeayHy1w22ZjSP/NvFJv0L0E3Zk8kpCRH0RVhOpWOoIHh
hM+UjC+4/cpLvh5joI76fJN4U7jpm/oU+tnUoBS36cyKtld3NFa/DoYZZyP98pDFVXxtqZZBqn+W
fBFKfxnOmfUAfak7kDHKuwWx+7mZ03PI2f7EEL7aJmMS3TLm9NKkTIi60kVAy4DBoIQlGGwyOqZn
3n2/r4G8HhfXIuowyeH5hjMLC9TeersaWzV0QHJsXdaqwciwTZq3A22bY0GP3MN0PfTXEWjh+jJZ
ffvSXU12Uba1c+E5hklaO2XM9aZnZ2mZqoYJUGsy54eN3frBycxyOfpVMBCXPE3IQv3mZDru6kBx
rgvR0+LpOhF8I8m7OXjMBDbNrMkNb3V3qbp4+NSjw9rEXr9ckko87rqxekNbIu+HPKDTx1xq26/I
IZy5L+77io8b8Rk80Xl34rTzY4z4dtd5aA4ECPNJJlQJXsDM214dgiaVY4hC1eZpnZDv7UrVn+ew
xiNhxIMXYO8k45f3JLPiq2rxvWcw1767aVDPpqPACIBdoyr3uhwVmpNAwmMuigzOv+MuwT7CMxq/
+nRqqxu4G4gsYhZfdkQBHcqUKWix7QLSOnB/xUxBFldLKPCUB2hNGy0eEDPVxzwv3W9e3men2pvc
S+SHzANwo5qDB68i2cSBu1zUKl8spO0JueRoSPRxztX00sMRvFMBjRzwQVF8r4ioPytxo/qxwwEM
lyw37kuJXP+pjKr5yHC3v1dM+y+RjLQCUM48XqILYRssJXqptTZzfR72+ns7FCLcLaAKs1T7dfZD
6SV5DgiBjtNQC2Uj9V34OZoPuNsI4SYVCMEdUl5Gixd8MAo1ZkH4T0bla9qZ/5u589qx3MjS9ROx
QW9uye1Neld1Q2RVVgUZdEEyaJ9+vi2dM9PSDHrQdwO0WoBUytyGDK7120Bbu6EbxKnCTBYrx+G5
NcolyrCId/mQuIMaLkvedd/HMC+erXJO0zhqh/XdcYTPA0WVcoeuPHLuQtKx+tgyK+K8y66RV6/g
tj+F4dK/apbRRw70ErzXLOV9N6flQQ8TkOwM0rwjSX/Kt0LeaqSNcoRhXEzKKqJqma+CMOr+IKNs
mvh8FwP2dy48g7YjWZ5t2ma2VkYKZzUG8INdbj2PQx8lowPjkBUe1uBu9vZdKhqkjFX+UtTlpwVy
fOANekCrfee889G23mZZFWLtJrfo71gjf2fY2bIXWV+fW/amveMPYtM6gYOEoCuz8S5iPnygAnd6
9cEva47jdHqlaEefQtkWl4J6tqvC9UBWlv45tTq9+mUb3ttjpnf0XngHt0nhaZ0poPYgFycMCBL8
o3DtJMJNdllNySXW2z07lakNuhWr7t5rVuMzZFGZkxKpy09uVrvamI5ff4NGU5+ei5/PHcIvu2bA
5O0MCI2N1XEHxpWJ5SqP5MHNWceqjlj9jZWLX20o/ZMxcV90sLJ72SP/AVHu2K/q/mrrsqP6W6Fd
KqYQlaRXbAxvtJ4hKuwN8pDsYCyD2taL98ubDTL9+uosgkHs2imNHklbN180O8DJZIpN7C6a7vSE
dnING9z+/qq3tFsFH16f9neGJGkvNFDnUBlgx4GrgqNnjmpPmJa3tarc3JShbhPDbS83ByTTT98m
7Twhj2jIcwkLvzw1cOPbpa2tb+4kzR09veaxrF0TMhIBzBj2hzT1yTYKRxU5O8djolp5Qbswr0h6
NYuf8JlQdYSLbMcR0FpaejncSkaRxQ6sowbi9SoSut3PljP9XCb3VbldcSp6X5wQOtLoFa1P8OvB
b3as5nlkj7yTbB6QtD5E/HYKjekJ9Vibb8J+UPd2b9bBFf1CCQdpi/CcVYTk53GAH4g4N097TkzQ
tv+Qk2UJFo6Cbh/CIckDyD6uShXq9DuzD9g4KmaK2/3q6Wac+VjInyDdXvk6DkXBUoYu5y2cSyQV
Xtltijr1nugIhEIuovJIb9S3YRrV05TNzFFtOj7Uqp1Oy4qGP+oC65z6C3UrzAnPqRmOCXRlTduI
xUjnOeF763dh0julcZ9L+436efvg04w1x2aZUSsXldfB5AxDrhCcWwTsG6i76idHGaKSzJjfG7pE
C6yOQXlEXkmlj2YKSmpaKrclnUJ3cxcsuCJoqXBGN7rMLdIjmRY/WI3lY8EaggiytR9rlzxFhyfU
Ya5tfydMwVDGdZIBQLTFsWpmuV3sMn+WkRrvXMZ/dUAKZicE91Tf3ZbyD9W27Z1rhk5iqao9lLgR
PgH1OMTXst5xRSO1vnWq7IBTVyy15Mf97iZXJyuGrq1yXbHFiuJue1gDn3KEjoaEpgh6tjxOxi16
EtoK8qxKcDy8Z7orHuyi7IhecgpkECOrorEQF1EbxTUitoqOyak/YNn4yt0Cpmhse7/Z93XuxCoo
0FgE0o1NOmQsyuVWi+sPhnPLNPzp8WPhLpfciqVpPVh905zS27PWbO2ewsI2vM6j7d4BeTmP/WhL
GJAqsA/IHs9VLVya5mDDE7aaDAZFWsiXcmMiHZMB8DmTYX0/OFb+GZWaGzBf0cQDaDDZp6yr0wxd
BQ6XPrumNu8af4SumpkJL7Vra+rN1IjszKr9E+2QwbZfo2kvXOM4mspCZWSYO4FYrUIRaa0u+lJT
/xrAcW/b5Lip57HZ04mzxnR4+N/7wrQ/V7CYPiacNSMbxecDC/tg1zGybvkAfpVu9K5EYSRF5UZP
7mqprTXR7LGkVXmwptaC2S76/UR/xFG4HaUigiCGmyh3uRilDWHPhOi9m5hvH2e8HkAinsdLCM6s
tN6r0S3zpw+zvwOdrFAXON3KFhWob5WYloewXbwxJikJ9i3q19XbAHIO8aJRU5drOfXfloW7nOko
GndWXfDGasjKn1FFgR0PS0hfvthLPxpy4zSRGWJQWdznwc1RTuPCbi4lrWucmPYwqoTwrol+tbHI
z0BGqbikfkhyM8Sy9cOcoLgODocdqaOZ770Trzm9loXTTZnF8hIZdRRLy9fthVagdNDvs2/hoaCB
wx1tp4U+pqFEVc5mzvtsnhkN5+lKtbn1jhorwurivnc8aa9mV1S/wEoYOZRAmfxQaKudG7hVKjYa
lfgOr+00/rHD0Fqh/Lu6wKK0y0ZdunsQGO0jFZ0jHg0BY9K5tXP+ra2Uqq9ICVE0w+XzT5Y+S2uD
udFbW+4wM+jovesaM7pbhyBfqSEd3fFFUC55LTU1u1c1dab/fagdu7iu07Sk2xS/c7AJclPX+7ok
LKeAFg35rxYqpAzaFNsiukQtX/jTYjszrEltVpLvhBfGjpArJ3P36o/1mYM7nZEQR4XWMVUFbfra
FX7v7CxA6n4XTiKsfuVRr9enYDVLQD1sA6yYlGItHXohmlJQuolVnhGJjcGDY2gkOJWT5aC/tPBk
/M212oUVyhT0dpS0cpiBoJIoH+SBgMTgDpUhe/yKjCf/vjaVA6SJpI5ve0G8BJdp90F40tKw53ub
RuniWuC5sc+tgi3mbC0zo7LxCzXAE3SY2Ky/ETGuD9NqKHPXBNTZPIwFs/SxHRAJnENDUEliRlPg
HgZOGnB3PFjzO2UzdYgZdKz7ZguETdJCaGlb7xlNAQtEMZvWkXIjFgYYC02KuOst1ckEXhg2Lkqb
4jrVcyN/G3mnWIJGJvSjIpPC2q2D6RPqDMasl9+rhX6siQOxor0kyR0JWDIPPdeTZWU3Oqdp+OAd
o+P/02j0xyd0vDZ7Ka2bsE5+6vb5pczMVp4ry+F3w5YL/4PDWNoPzEIS7QJdYo92U1qfFFn6HuH+
bGsdO7zTzcgrWI25cxTofXqbZUy6CykeHW/AbucNaYw+2f/d9oY1vkxF5PDVlWNo8rfA828Xi7e4
nk+outUwPFVByjaCoAKRDzVJ3ktvpQJ4eF5CFQfrJE92nwXujjYqDimro47ycRBr0+zaFMfyjjGZ
mCd3timbM4S/1g8Y6HifWd8UAIsrrWf1qcyF9XFLa8Mc1AscXsxxMDiJz6Vx4BE4RZeVUdfY3kgZ
91qvSIVjHvyr/Zi5vZHFU44JIUsrn2VwCaMdUZWV3rXmyrsG7IjOVjfMYeyW4w05I1m0uPqhjWY0
1UwEu9zxpwrihgZJRBNWQTtQq5itOPjm9lTjE+liNxiDkJkPPujUT+Eanrx0qLMjEw/1ods/GTv3
j68Vx1NnPdvlENE1PAZ+e0w7z6QzqjDG9WL01PPETaUwMC4kdNnbaKXP827q277cyHkwzlxcRnQ3
dG5zXPmN3ZMrrUJ9Rr1lGJuFuLc9QLZUJ1ZNeznDDw1kSHahXx9Ke6jMpwwJbY0/akKvHBnmKO/a
lSwSYAWrr68z7fEbr69UulsZ9plh68iPLixGLe07JoGQWwV+LE9kn+SAu27UvY/kBGLLQI8MumY5
OkqKeW36n5hriOyx3LH9sQze+CAqvqLDgjCq/4rIUSoYShu+7gFJ+LIhrM9+D8qK+61RimXKRuDw
RezB+glGVDgHHc1oKf05CimHzpuU5i0OhnR7u8M4okOW+kNZ3y4NLcvlx583p+4QifDCu6g9mHoN
yNnp7H5aD8hasHpnvg0wWA3N2p9sWZGRRO9k7e+IllMFpJCqbbo9e3m2RoEIPHccXW8y+tuWk7/Y
nbh3zLRpzxIDjhkzig4aLDVrJHslYXEh0pl6IkJR+k1A8zYXbrALNN1KiWgMecZA1YpjYFrqd9Cb
U/bbaTxrBXmm7B13GGaXet8athOcIEVunocOe94mt9u02xZdVQCciqYkgD5ZMfasD7Y98hUoAhsx
J603UZPd2VRrlqPGrViJAreRh8R4ObGxQ13GNieu/C3BdsgMjgq/uCLbl82yoSNx7nZQkyDrhqf8
eqdktLxRvLpgxy8gbCEiOs5P8tM5vWYku7zLbqJ9r4gCvzoh4THbHYI5A92pVg12pDzIvHYfGYSe
0OU3MGlzTlfpdF+6YGL30ZxnzS6kao8nJ1F7zn4uR/iszEMU0+PzLAzeg6oMKhWLvCnLU1+FRrCZ
zFAeVjvKvYOVlVoeWTeiV9dtyEvjDlaEP4cm0SfkiHcZBfN9+8Mcc9Zu3eeWt7OAxD66NkxJ/S1w
zCd/PiMMufAhz1VWym2TS+vZQz8urnxIXvPYuEsKZMGf0G+KFkD/7s8TEy9LYb2OndnI3WxRb5ks
bBbOip/GGbM9EXL8zD/CIw5uRs88J7BZZwck46s82nyVRzVmLv0Kg6P7L7/DkLtBVXujjW9FjfuF
Oey1cDtKr2k06r8pKzDH7biEaz0kyNgmWyPSHHwmZb5kk5mN3GvjUAeay8JaUmZig0p49TC50Bcg
n3o29pTCz9G9AfKZYksUQ/i99NCRXt258H8CM7TLpTfwXG8kj8XxhYnIG58Ek+/6kNqjM74EYiBh
m1FjPLrSoC+xrIW5PnWUlIwvPrKXARiEKyk/IjTPXFoO/MW0djlSaX121nVpf/E8wQS34SOrUC6C
X6/GXQ/XrPYTld7mwcOfBiBsDDalpnhz+nTGmjqK1v+ZVp1AWIouqrkQKljd/F1mQcG8YYbNmm2a
2Tbwelg44YbpXLfNQky2FzYTqeOVU41bH2eE/b2rRm/apBN9bggnyPyHIsgjNBKxBWzOPNwFGBWf
6UMc1SPLxJLv4WO98BKQ/kq4iLQrVOZpJb8h4bRQkhVD2N0w7BmW41BXbWjdgT9V7ZZNT1MYCmkK
2N5JaI//NyNhSnKYuhbhu4c+L6jLjVEMBJq7uKrWO2EW45eVL5wABqnLFLOFDJXqe+fZ2gULmMby
ijlIzc+hUrnY5DhS+M1hzZdm4pVsjkAXSh0opMMyVnrYe55Xk5nmYJZsPYdxDYw3iKb+ME0kQiau
lrW8pPhSlya5WQ5nZCWG+IX6WbefN7V//SEIrPkRGLZsf5oLKUs4Z7ByYqGgWHJmBoCzzEzc2ZUt
fkRjP2UfExaw9NNbUq6NFHgz+g3BMreHRWfpeOwWmSMnN4oVDDuDijg7deEU114wyG/T0e/N5wU8
S6G35YM9oBM39KWuQFCwuPmR2q2Vtot3D56fgx4PIokCdPL5fbkjcYQUGC0Yur6yLPdHyijTJvQT
vK1QiqXs2ah6KxN8rtWD0yLHgZ9co3G/8JIn6hmdQq6PKoWWPje59vsfVT2g101cMeXoSWChhjOy
WNUcOvRf1o1kydfL2mnbvlMg5XWMXH7EHtFMrGdpvBqNXj4aPDk56Ejt4V9ode0+jcRPky/cWZzN
LRt6cZXR5K+ncSxrtCrK1GEwE/O+9Pkx79MmepA4I4O7EMWmDdXCxILmFrnz7a7X5Hqd2RmGYUsg
yqLfA8rJoy0wcDVQLyEbs7eTYfI6sMJSVCn9pRropQM5bXxBxyuaCkPd497UVnTFSp1jz8uJQOqG
7cqvzet/LxmDnDX3pm+6NQKDOyB7+6tkp02FHwrXnk8FTjfG+j/lMVbmO2f8lUb1imDCXY+LbrgA
/rVg5qYZ+WdNCbeiS5K5ywh767n4e9qN4ePOiJh0Tr5hyXkf+oRj2yCH/n2DL2/e//lQaMXAEvGv
f/PfpTr8Zk5C3jkVdRZ5c3+LeTLMRQDu1upEFCBP1VZXfHd/Ss0yHzbnf9HP/E0FeINIiAEgXcVz
CRHiXf/1M/bYWzp/7OY9XjDfedbuEvXvtXRV8TnTJjzvI+K02cvQnnofdJTwiP/j/f5bUtJr/pN8
8ea3/rsk9C+i0v2v5ia77P/lH3ppKv739z/yf1Bair/0ny6M/yYtffmUeQET9PkXPeof/9Gf8tLA
+wc3CGk4nB/IRblM/7+61A/+gc7LJlfLJZ7nLz2LrvUPk2gbDCRcW0GEcuo/xaWOTwXjTUdFZBAi
E37iv1Wz+Nfryifhl1cQ3W4dRGek2P7t3nWqzFq4d6M9t+gk4qBY9BHjZnlpa+X8gFzyqNEWutnK
iTW4QCATh/QMb13Qd6T6vv3aDM28FUEvt9FcqWNvVsK/KF0Ac5Qqnz+WwZbv/JnpPjDEelj91vwm
SV36IWCYscwsqOlxJyY42LqtIzjA/un7+B/kqxxEtzfxX6cEbzJAH2pxqyLGvAV5/y1RLLVbM1jl
bO3tCWzVynv1yocbYIwNMGDviCxhdaS+dNnQYs4eV6qUCJi63s7rUv7su7DeMP2yCYfrtA8Bjd4i
2mmfQcr7IYY7d9hCvSyEvM/FY9ZE9gEtwPgYFqxZUK1eZ20wk2burl5n3JHh7P+gJlpuZAlMmYg5
vSieYPGQ1nwgdh+nVdb98BFXHuZKAO7Ybvg5l/gaY0NPlrWD+cLC7nue3mDlYWmPUglTaRAj4FsI
NWc3zH/rhvyYIzF3FgTQJLpm07NNPlLU1TEaReVFYYq/WkZHepAeWbWJfOCpgXpXQ+hhSYtuhsWi
Qai4Gaw2+9mwMny0UuDTYw6FXLDYIFwtPJ7tnjuI7YxP3doo1wtejWnsP9xysuWORjmFyd6QN2si
PdnJSqhGAZ9VVW/I1Dvs1hg+4yqYim2wVOEVCrs+Bn0qtyhmooMYrGzDZIr4v1uMA7Yn+YCvsNmn
g8h3KDHl71BNxrYesvQuBLfAVCPs4eINgQ295Bgb1rX5akWpeimD3NhNq9kdCkqxH6hEzjdFP+IS
bkhGiKdp/qa9nMVwmcfqay7m8mNNhXVmMneviIhY8RFbvblDZUHtjOJVp9Ig4nYVYFog/PFswQnl
iOGwOnWq/UKA6N2nbqfpfRNjogxBsMKaNWJTGoPbgJt3J+TbTBtD3+yXMp034QB+TUxK/6nDaKOG
7i4yocgIZ0nqamoOtQOB64PwPGplO/dUzs+bSojEK5X44iQyTmXQFEkLootV0dTn2qjcXaYc44jE
0HpDettTue1ouBuIcqb16nvh6uCxD5bld0V7HARpseTPas3qNenzZaApxtUbhUDiQg94OJzqxly+
BYVewZRDEcQ5G7IVo85Yt46TksdZC06CdTmurv1TO2N6obO62XAn/CASZsHXhCXTcQi/cceMVGVj
efB8I/zlhPqaQaMzuDRbb5yx/KfGlqSC9l6MxVaR7AhQNMiHKbSI5Z9r79zO1hZ7ebeHoz9pYT2p
3lVJXq1fPrXvw5xuVQPLLKO+2tVkRK3CiFFV4xle2vF9sq1TGtk/u1LiijTFL8N6xqd1twIO0VhS
A8tnjzRSvjH3vXR+d0pz5wVt4HORV0921h5wJCIIqTahnPb+kF8dvwCYnXsEXTjmyJ3BBFUHnGvd
C2btT0NOb10wA85xs8NP4u0U1r5MX5cI0L4Yf2SO+5IV9vclW/TVJ73i3uiiNMmR1Tz0tvxaMpGj
BJznO6WNS7H4pxGHmdVbB3cCf0PK45A8VLrGSTkWsN8Iq7z2iEzK/gVl0ZYTKXHSmosQN3XsqvAC
b5lS9d69uEt5aSI3dsx5m03QZqt3MBFRwnrHfKhZnnSZdrYUqP8sb+MqoLq+Dk6GZampitve8oJo
wDvBiKuDztgwnMyoWUJFwW7tbVAY31u6+TBkFv66CTEPfued5DS9TF7ubk1PN4gJx61dl+Ldnul/
6scooeAspkL+NFZr7EpimLTe+9awRWSyJgUHZlncSty/e+NNEOIIwp3kr9pun2TlKGztHO9s+wuI
6nbNgT296hVDx0sW3mV59iIdDIL0w3ylBT9/bu02Bsq56mCIXW0ZRFBOTwHqstqvEGWhSGndMMEB
dCpHG4LDBAI371EZXAMswUs4XnAiGNfRn8btkqtHvlxsYeEhGx0FKx9kQHH9k17nDTbHLO6bHnFt
tm0MAsqmdD0abn5tO2/rkfjj5WGbBOQlx9if7qAUN5NsHoklgrRtcO/bKSebn3+I3P+At7i6Ed9V
jt5A6nCbR/XjkFX3RWc9WkNEEm8oT51PCaRpRBdp9Fj5UhJIWkU+nyCeD8XLvXSMe27qZwMDWx7w
04Tv02oeHa2ixIpcB20cznXSr3a11aN3D9mNQV2p+2kcL8oYvilwT/xRiU7FJxF1ybTMM1pLgnwW
Mz+vIe6QNur3tuldgXE1l6v/JIbhXKbqrl6Jj5HGm+fUF2vCRpLBUmFRfMTKwVMNt7QZLNs+Q4WC
s/k4EaJJVtGNEbI3VlDGpIZt63nGEPtqQ8SgXwi6JMfau/UQh8aSrKqDttAyVt51Vr7cu+oX91e2
mW+lR6tDXEuqhzqBWCi2GQf8xRJlm0iAj41dzy+ZmtwNLPui4TjM+oGig/kFUsA40WH/VBJZGkeV
SyoG6rZ4JWiPCKFScNFPXD1GFXF9o2bGt8cJpMODXE2SSRqfsF8mi1OOVnA/znBk5HlttfNJbLXc
LNgEYw98P4lQRSbIIItzHhrXAKEKF04RN30u691YtOLZyDlj+kTRLDgGwxMa3jdL+/erUzlvc1DO
4WVJMco1fVKE5W6kCcjzg1Po8kmVHlyy3FWsOpQIzNfQuej2LVT48keXr6k38ocKHltnNtEsy52L
rmyqrbfACF7dpU3WsQgTvMvf7Iq0tjTNip1XKRkHc13d6xJ8Z3L674HfPawz3uEaqIJl5iRWnkir
dQgs/RaSlMCFKD9RwXJq2eFO9+qrtYgtCIJijHO0tTGKGg5OQsnI4HptSLVBmqzGTa/KH0FVJpE2
9IYA/Tbp9XxcjQ5BmGyZr0T5PAj7qKj1rdv8AaYSdjl7JYfunBoukAH7cVY/zIFX3tXd82D2h3Km
nYKAYHHTDWY1VB1qYquJGq6UaJ9N2QlfYMtzrD0RCUB1Zuq98oq/RQOfWdocbbIpClyHfDbmx5zN
G/DP01Lo3zJV10i35DBU+6iLvs0yf1KGwduCjZBwvqnQT05TqiSbWnJVVf49C8s+bpBxxj5OJREs
Z2tQiOkmziqiMGJES+m+AXNrs5TWHyRwysw26zyT/p1vooZUujmoL/2cdpvASNdEcaHG7nTM56zd
trK9yHDACs4J5t8oP59Rn2yQ7sF26x8dwsdkcet8L1R381pD1QL1O1s9P4uuthN7SklHNP1dOKhz
YZhJPvj2m/ACO5ZD/iRHPdKgONGDmQpedWMT2oQS1Z5GdBF04JkkkO3cqmFQXk22ANcXe3ppXmev
rTdgqLsBY9bkDVurN8t92KRIZgCpyM4i0cnskYHklUXmDMM2KQjZhwaCzICajbJ+dDNGsokTJR50
8B3Tr4w78uf9hRI8oUjzMhgvNqOftzvPYe5ucvGjSMlU8ktOSsuCy2lbM4EBf8Pf+Jiu65VE0mnT
BG2URPC6eB3SX7PyNka1PDY5SXCqC4x9achdvdh8wDNnotx4nE3ZUn+QT5afJocBnGvrbHlL/1Yx
uh2ECI9pnpvJiJrYVKEbk06VDGv224pkRqh691YYw4MK7DfXDQ8CYTbZp5wctGbp20XpFxWil6mK
JdrRuUTn3WTFkdLflqAO82qQP7tzKvUdoaFJpowZJWa3cHyA+6JKRCZGvPmN4YBNb9LucdU5Cpvs
YHJQY8VMPL9Ncl1x6AbvRIrdaqZGZ5/ZSE3Lxjz0c/EK3ZwnDiGMBQJzZiv9Rn7F1bWnuPXXQxmM
7+C0SVV5D/YQHfJ2fp1uDJ409o32vhb/LEQvdyPZ/fE4red1nM+5Y/5qe+rE6OC4zWY4wvQ3B0gy
jtYKKz85Yr1Hvkrb4iDqvR7jS7oNOl7D2No+2abL97pVE0nt6yev9RN2/MPtzbs2z0zuZdq0bXoI
0H2OPygUfSSJ79L13rwxODI30vcUEW6e0LCgDp9NYOdUbxMCE4qjpjstJ0qplu2+r+ZLjcQqcVvx
Ak6e7ekRJmSX7IQM6WiM9vcqBfiniqytuEX5kRmV+BWHqyBYwXkKRXfqAoS+mAR3gxwyd0voB7qm
zuegly8OVvxEFnKzes5vywTersaLpJDEt5cXctmgg0GcCQx965zuqSxa5nqOXPR0m4EYoNg19G4q
5nE/yCZ7KR1hwiXC4uuN70fNYYq4rwkqGFgYq/CDjOP+aGVDsUcKN+0aRBfH2hv9x5axe0vYTlcm
aWPNR0TP9dHMgopcslzsdb86v5SGEAybDAIJ9QuMXSMOAU4DzpCbwWmeyZyZzfRe9hiTmGLajjAG
Kr9PmRulPz1axT5Mb8zRk801dgdF7sEDG5Ulknpu2WJ7CISkrGnjSircjC8+TTQ7UHQ2SyKDnF8F
mwZnRm6RKCuL7vfkD7d9Ipuc235uHRvXoFEGncq889rOuCdnv/xC0NecR0zwB4OmjG0xyuk46XU4
tKs27oLBR3E+12h/ZoyJTzfr3g6HPGNj09b+R44/M/EKn+QxaPsGSMQMd3WENmgJwvbL46y/NCY1
0bGBPezV79rxp72my4k4DPUBrohthMyjAhnbMt8CyxCpZQGC8GCyalSkdfosdRPu8shwDoMpsi97
XjXpjUFHUpxjTFV4yM0bByMiZLotArTfusiMe8IB7Nimtxqd0bTFelbtF7ddcIv5nf+VDu6MfaYY
ooRQBPdOGGvO4jLT5jMXOaeVz3CsC9/BgOnrgyZV/21qDeuzcfjw57z6tSL4fl5rBJY2WXPUHc8C
Lb1zxCr8Fuamiludm6jtUVQnLWLMrdNkzZUUxnmPry5kw2pI9eoJbhssg9wxily4aBvfeNZCorZL
W8y5FsvlQqhX5J1SNdjZPg2c7pW0tezXtI7jd0ln2bHzqnEHH83IjLjgisrFuJrpwKMwnTQkqdXs
RLSSMcSSTy5bln2WnOgoDnyKQuKVXOfDSL/cQ9EH8mgh5zhHg5jp8Mi8Yzd5Oh4tAionQsWIkvOa
91ZUE2Is/U7mxV4301mwS+1rwjCWeBB+/sN0JOeq6qOMHI51yKvYNVM8Y0XnL9g0SpASd5A/XVjn
M6QnEnrlMDSaJHhvJG5ysitkSjDRsCYAD+o09mN7xe1YbEIWfl72/CL92t93lm53gQiR0vreXeuw
yzWkxU6VPd/pevC5rY0pOPRixNfqTw1Rqv36g/j+G8VvZR/NaM17njDlYzuK9Bv+LufoCyZ8/rKf
+tSqru1A/1McySB7xUaUHboFhS/aFmJakgX9ZewufcDuFXgwylO1xAR0VjvfBjHLvC5PGptuMJh0
+1eVe/IbK0T4NQi17BYiGS+NQvjRimx5L8jCeSEliNDnwgvuXT2FW6JS862CV926I7qk1e5Kg5OB
ZAbBSnmCX8/v8blxas9A75jP5bsb6ZqkYLO6J9hSEHEqzXvKIKbHAg34JSM763th8aTzs8F7zKxw
2UP/IrkYo+GegIv1O88HfCbo9/1N0bjDdsL4XvMMLfOrGqlhQTPW1F/ofxghmVkvKmrrBy8iMYb0
CPu1RdERZ7ZWZ2vplhcz6HnKsOn1N/uEMJJxNdA9APHvVmJCEpic8cy2kh+jQPn3kZ+pjY3welN5
bgapZdov+FHKA8HYEvmL12/RUkh0UCE1k7IdmkSjRPg0xqUgk5YUD6wTwUYE/GhNXl5SjlSWoG2s
3pcwJULDIhLK8oz0HNia8rbq2W+DfB+l48yMw1Bh56A43VC5z2uAG9D2MhBRWDU240bwK8SqP7J1
HeIIJ/qZ0H39qmbTPVkEZaOVqLPndaAXtyc2NW5DOhODaCVkiMveekmJ5mzjqIno4cNHETwYptE+
dpguaCYQxcctYGDYQfkHeBZdpGBZCyNa6cG4a3ICMQ92yyJYksbH3R0gkjNDW5yrouvN3TR3hr4u
TQmIqsmTIru0kG2/wR+kXyq8za95Si8HFr6I+D/kpZRV5rdd0OGGtIMaAJsQD8KrF5eNNER681Kp
1YtHOLpNJt3xTMSud18ynVCsw0tMOsfq+xgvLUqVDslDh0Y0x4GzEAadNuVJ2a36aa3KOjoZmZVA
nM09xBkPBaNDtGYXyBE9/VQtgfUeaj081AVOGMKzlX0lYNXbDb789h/MncmO3Mi2ZX+l8OZ8RZrR
2AzexHuPvg8pJkSEGvZ9z69/i1KhKt3lJUckUEAN7oWQ96bMSRqNZufsvXaYpKQ9o9b0HmOCSlDH
NvUXkWrymxbq1hYO0rg3tLL5GOLU+9aLQny0oS4eobhpF1ZoAV5k4QuSGX6bsbmnPkuwRRIOL7YL
CHfl0YG/puaBWk30hnPdmi1nyrDs4Z6Olqu9OYmfv9dRkHyQm1cVaxgv1Q6bSk7KdNh4nPVwuu2C
OHGfEmDzm2aAs3WX6ZAWEFj5llhVdsly140tJze4qN7edFOWKJ08ejb1NLzXnIHloyOGfttro7oL
IuGA4eSvX5Syba+yNhSb3mbjiNDLTWZxXBXtqs53X6wyttdNIlHsUSC3Fm5bDiwYKJkv5vw4NrUm
vikO1Lkn1h0Fm8t+cqrd0Ca4G0aMDKKW5pvXxOKriWlyy93OLmDnKbEsOg9CPStt+t032no/ZIZ3
C+bffNHYoNwq7EgG0gte0jQPQV3mEYu8URTyuS6pH2/ccgqfCgxkxK+GZb5Mp8haJpGGEQr2ZWn5
2tbIDHOflWA3FmOhKtLmkm5NC0knVSAYx9tqKrTrMLOGb74MxAzLzR9DjOPOKhl8cdMWWX8HlVAg
V7LreOmncP4KaE+ooH+JbNGfBk+l5mp7XU/aZzE22n4cWJFAevnlFydqv/uomcD3E5UFTCdak89s
XWmaWBpRt3K67M7zfcQHKEOA/0wcJ4yi3pbtzse7DLs112JK8J5+g7gU1C1Om4wqS1hdgTAUl15b
6zxRQ2C5rTlC4DhCAhNRAWIF+44jmJJ0bshrqYbqqS7K4jn3dUpHAdbQC7ricbrEy4z7Jqaa5ZBl
Yiya1pxue+B4FNmCTmyyHgZeJejzuyb7q6xSbGwnRClgrWJcM6V3iR4zv+SAWW0ESIvH3tWMiyHB
VEhhQ6p7ymf5hSzkuAQrMFxWbs2BpjHn81yQjUusJswKSW0yKEr7EbuWz55fC9unIpfWawUzYtty
TS+qhz/YkKgOabOVK0np990DOq9d5z2242sVpPa07LPoS4K5cR24ZbUKsCO6C9MM3XmD4ZQzQThW
a2xRYgsQxB9e2hbkLEcMI7sehRJyhc52iteoN4dN2rPq3Jphld9i2mzthYyzeDa35NXXGpbTt7IE
/bWwsiC4DIu6eYHb6dy3iU9tuC6yb8gNs5+pqIsNW5H2uU8L3onENb92dUuqlh3nyWMdWPlukKm9
L32DSqwRxdp1Jvzktk7aFvVGru3JXmiXSWgGt7kq5VXZ1sGi0juA/4leEIgBIG9sXPEe4orOtghq
2eShCGrW4Fm6Z8piAM6bEMOwj2oEJ2xurjkfpsAW2mAfsipdxux5npkf3+vMYmNAdYmoX7d50Bq3
eZrqjuLLYGrFfcpSgx5pkkyFJA2ye8el7aBTuSRpjg1zl1fdmiZA9p0uQrntszEd6JkYI3FeGu9O
XUIBXJhVn6KGomrv2e09kE36BKpPnpqg0NcILQUQhqyGzujIZG3XWf4cxKg1WeyqLcJNWA7mGNcr
1fj+h+qBAq/RPeKDApzfWlSNiPCovvFcJUeyovlh9yIB+Kbpd5Y7TDeNbouNEQgIZ5iBrrNe5/Bk
2jVJIzryn61B0ge7merO82LtDl/tExbRpyryhofULtK10qwG13ChK+zAvFQbP1fTc4KKBHOt3ffI
IVWKW9LDZV/B3HK0/TTREdVQAa+M3CkeKj5+y7wCa504fvaW4kR/Y5Hpr0wLMoAeefIy4FxzFWbm
9OwLWUABtoq3OKjEFyV0rLP0AD/QqBhPmVd/x8hElTYPvE1BSeVKmPTQFnopcRzwJMgf6dLu0jC9
9LaD7fk+tuRqSme4EBW/NYnztlr4XV3uqUgPdxaC7wZVIRXAJXU81ORBFaVXHiesyRqSu0ihZorM
tLhEs14AvCNaY81nDOZ2ZnXPrEIUOziibjlasbsilnI0EKbq8Aop/8nvwOoIJutSEdAdwbGQLitc
kjs4tM3GwsEf439J8hetMo0fFp70OxBpzQb7xLjheNtfV9PUrWcRIuqpOrsYKnGZgC1lmliv0qzs
HRx6uRljw7sLESSz8wXBv4VPjDAMEEB609a0H0Su3WAJsr75lv4ek6fw4ubUvYDf0brQQV1AMVhx
5KLHjm7zmhfuNY9boiMcn2ipXBvoPVk8bGrfI/WgiU2XU0h9hYnzxXcpa/qgy5dDQ6hD1+6lDgE4
7rPrPjFW1P+1hw5VyyXQXrw6DQERgTef31vjtqiLEcEJ/ZSBjReuEC4bk3K0isuMW91WW7vqrcdB
+PsCOBaeYTlxEp2WOTGEwk6ffa96JlLV2UfYL/dsMi5GObwhUpp/O96Jez9ybpOouOmjbE3N9krm
+puXZZcOjtxBJPvBcB+iIbuP+up6iqaUWyGTHbL4e7+t7BdDTskSxZ9HOI024zatfcTO01ro/aC/
su2ssK9isMuah94qi0WnMAFhYn3isMGxPsm3Vs+OOkEL+22i3HwxRaOEi2FVXY//1jY/AM06Pc1l
nM7aEOKRMlWaLHI2vsWGWth4MWiyWoV9XbziOLW3U6CK5RQ68tWFrE6U7OQt6cHNpaaif2h4pdNl
3Cq6oFKSXFTUBHwgeI+eZtF7TymepJvB6nGcD326Rz1FG9hx0jea3Jypk7oCbq1oArUWHfjBvNE5
W26bZCx2Luc2Qpql+BkVAxeB49xe4O1st9CEWSXrILlHoGHecCSl2FuRGrM1LG+66VgLt4OdXvDB
6l4jVNaLmlb8aoobSvmczPEqB96LXlrGxsJxCx0DtZuB7JGyy0K0vGKuA8EDYTofKa2ri3sfCG2/
0wUtq6rEyDhoOc21PsUK6kQTVibXbVfW3J9dGn6PLQe1XPUM7wVVeDfFl/hKxitOi+a6GKmKZhyV
ibIJ+vaLS//wOyh86mMjLMc3fVT5Q+LJgZ6R0S7llI6XlIIzfaVUrvbplKDvpeidXeuaZpRLNLb4
vQL8SVpdXdXQ3d5xW9XU+Nhl4Ck3kPSWRTNcDJEVvIKkqy8H4BQ0fMdQ7V2azdtMNzu5qNFi+EvC
XCRbMB1waIYoJiUQ2uF7S0ha0i51dh0UWMbeeKT21j2TLhBNHKwRc61r082uxoFkoLXfkP94UUIX
x4Y6mVW6oY+fRWysJgWStosunMk2r22nj2n6x9peG5Gmm/ZgPNA7LCknZNOWPSnBnJYAt9ubfnrh
6WEBuQUkxq0Xq4hT1SjCdUzgwYsK7HFOnalz3pgsyF+SyYrhjbMQd2WZ3RuDATGybwRHhMk1rtkw
mnsK1yhdsa8LbkWOtnENyb5yN2nSW2uqt3gQ+5njnLiiWllIHy/0wn5KEocCFejU6KbiXHoZKhJC
PM2gD8XpNiSFjw+srm8tDyqxqOIQMZvCGsDBQ97KlhdwCbekZT4SkWNnmN5jXLK3UcEKSNOt24Ra
oq2sGKoNX2yuj8Yi7X8uL+zN7r7zMjrJgV8CFLX78SlTbf5MpKe/G1FVLLBHNxtcFd6NbnjFzgvu
A5G/ySx8VeUcReUEDhxXvXuEO5zvdPauX8wpF3eJiBusrnH3Vgfg6xskkFdFVmMyj/XcglfpJndT
E4SPI17c+86ZPkRI1W5Nua+g+BQrHXOlMYJkIC6DbhcYsvwBzJH3AGvDuivJ58E6lpY2PlDb/YZs
NdmTfNDR/zYNmgysYVqpaz8NnuFSV1HwknIK3bAcSCgX2JJjPBwAKeQU0B41rGsXRBQSBLe7KHCr
7OuiMj4KzbNXdHTVlU7P4AJCTXYzIoDe0yr0CfHKPgKveEw8wgUXBedFqquMUc5zqTWgbsQtdLai
doIlSvd0XRnuzxpE/1MkApSqTghqp6wvkdIma07g4zWw3OiWqrHzROscfwtS1/uRrs51mAACCjxI
7ENLZ2yBFNl9lCROwO+1I/edAz7HJ1zxnPaa1LrHh0TNaZqqagkkiIOl7YzZLuhjBxOpo34w/VF8
FI35UvuZv+OQH1Bq0twN59GdG4XTrlUpwCnQgfam06ZgIwEUk6QEiWNRAhL9UE0VeAtnTIMbEpu8
FYVy617v5h4mB7tpa8PHWIaxjPpFUqrWXxqtoPiXGL7aU8Qy7tLMye9aMidu+jHJr6M+kOSWuDT5
4Rsae874dBhILFuGSVn/TPUweG3xbBFEFk8RrY5ec9Z5kj5PVL5eqcZROitz88rnSLnIJvDbeY88
CB1wAUq7s69CmTQwMbRuU1SgWh0A0d/wVhUrwIjgLEScXXVT7u0TN6EjKSpWWdduHshCyG7kLOYu
cXIsCe6FwBXXfD4lgj5zJdjI9RMUElyB9xgSgXq7iXzIi3i81orMXvaFU77YPXgg9vxe0dxZHrTy
FrWCXhT6Ejedt85bG/wAfinyyxRZKfP2xLvMJqos7agPIMLgc1zCGkoura4ZV60MI6QM85EZpOvS
k+ZwUZV19kptEYmMH9GJy+PLzA2qW8Muwi0n2/h5mmRzC0wMo96op18NTnlbP5/KL6jXnVcr1Kzv
OMDm/QQoNhRqUMgGhe0nMJLnqsif+zpdQeLNbmcL1YUO+uEGsAg2cb80iVdtBtAgbXk51rm2pSVP
KBmulztq/lyrIQejXVE20vfUlb0XO9KHbRzrBegFFFh8ncvitp1YHSuUj9oC5Fl7W5e2+w4a3t4Z
sgR9AwsCMJsdR4+y4nktaHVZ1/Qz+p3bGCmEX6fqr4QvQC4juAfwHLqh/I77vV1R7L92cQhTeTEx
V8EJKdYFhnLcwfDVLtqObWZTkyZAW7RoFxYNryfDQDZgatm6gyf6ASdzXlr1cPieI9+5w8mjOysj
AayxUADxITHoCxSRP5qUXUgwjU8dyalDZXQXjCMvAWfVay9oBMISKy/famQsgIb9iRKoKYIH0i+W
Lsdn/NG0wgfc2s6qSnP1XYUBHX1cSNMN1TXgKui/1pYD3As4NTBKmwQ7n+0PvXLTHDJWf5O+Pcl2
BBhqSqvPiNqPmJizaJR6O2gL1wRm4AhxxMRsQCqHLEzhrvVwGPRaleX7MBIsNQ1NsQ0alWqNyQXS
HKe2K8dpA6zxFcK8M0DMQ0gjv8NRpjR0CZqS7p6tHwnNwxDsVa731lYFg1zG0OxIJ6uj3/ry/wfy
7r/yhP8/FHDbqH3/5y/S8f9CDx+ggSmowEZ+/ycbeP4Xfmu3TfmfhrAUKdGOac067P9NBkaFbdLp
sxx8pY5FxgK66iyvmuC//gNksD6rs3VdkIKKB5J/ia3jr/9J/KfkswzA2zHRd5vGZ6Tbh/PCZkjD
MEA+ASyefbLiCKcZ0jBLAw2tQONolEh9w1rHg9ac8R0c4lj5a11UP5ZgHLYXJtKAQ99BAENCNL3i
Exkn5ZfGTYYd9fLuIkjbgDpR06erf9z+E3LtQ1/FrwGJyFAmsnjgWq46MjoMk11y9ogVYjxkaEDK
in0T0sdD6hedGeqPO+haEoU9l2dxAx3naKhxxHWakQ+DwC7O3ur5m+5rRfD09wsyDtXnv64Inb5p
M02YSVIcqc+x8PiBMaATlbFb3GVz3BX1dq16FBq7/CDJ8x9ek4KpN1sIcgM+rU3C+elLLdmUmAR3
vv39B524w8xdFpQZeIuD6mji1DLsc7fl90SmEt3cI9aWed3U7z5K/U9lzP++dsn6pRSwZuGqo7Go
6qVpFiGBqy2UKfBeqJ3asQKhkbDz//t1GSfmqunOZgkBjttR9tGKjWucaMEeHktQR/LCQDf7xLnM
WVOozbHJ8pGOQfleBHpDpAcu42BR6hgPQtSiC9AX1jLVO69F3hd1lxHn6I1ZeM2nVvNfNwSvFJNN
SDwOgGsO36eRB01ybGphZeSL60nC6QowSp+f2RZNVr4W2DqEqR+BfTGItjbhCtbC5vBCsWYyn2Lb
ipIzd/zQPPL7YmD5KhaH2djiHC0OoZtSLo0hdVlimmtkrb+P4CZ9y8eo2kPa1pxFYJhY15QQj2ce
9om3ysHKQd2ABdqRxjzL/wElFybCqsYPOD1VAeGoUWPZO9fXU/bxpMDeqsiH3ep3ED5by6FR7bv4
JCkhIx2jEpv/wHf9uTDvX7eDWWfj2OHe2yz/hz+JAJ/SgqPMWpkq7z4u4mHFoSg9s56cmOVo7NlC
AhfXBQvL4Sga54fMdGHyoE9Od306GSQ2hRVt69RS08bkff7293s9/43/xz7z+7ocgdyN7jGfHPdo
RK9M9BJpnFr4VRXBaqqpdZhKrT4/CsY2WlwOljoyaQ+vqxeg0SYf/Tmudh2pP/vaMdeczb8YxWUA
3gxW/mPk9ZR2whjSUi0wAWHFwQCyJhCyvP37KCeWWLo3Ftx3k0XasY/eck1MRgIREuajY5pbI+gV
idxavuo1gqf/PtSJh+PyEgjeBMIG/lj0KIQUFpBJYj1s0hWdISZikWziM2/6vGAcTQFXl2xdmHCu
rh8vW/pQpWmjN4xSWy3rZM+h14jXsFdXeSUegzEMl0R+3XWBe2bBPHErgfS6Nt8QYCBIEw+nhaMq
kqcK3Lrg1qBTA7rYtFNnLelaa2c+VvPH6PgikUNahqNwaRvznu6fS4qdxnYz8CmHUZhvktbqVi54
G9gRKO4zcVHW7Xjmtp56eHwLSDBgx8NX4WgBVW5O85+O40KOkp56ndYoAjnu/n2KnLqFJsuzwvGB
BfF4nyNQKU843zhcEcq8yz0z2LRNWt30Lc3Kvw91ap4onUUJV7/u6PLoJfbNtMf8QJl90MnOdIlJ
2qd62+NOFcZVJFNtKUi7fCLstUPoaupnhj91pdhkCYYlRcB0j/n5eQ4e1moEa0hKAJitmck1McXN
NeWY4sxNPTVZlHKxTGIsZDN/tNmgNzeBHEDrCtrqdvCyhzGkMYOK46dF2d4hve/MgH/OFZuYC74u
EjEDLsajW9tmrJBON5csvFRuotgTl6Q3q/XfH+CpURzFuYL9icOZRx6+A0Nsgrwg82gRGkW6ovUo
NnlCy/3vo/z5nGz+dqWExTqsg7o7HEURezwhLjAXdLGtx0gP3G9t3jffEyTW2zNDzX/X4Vtt66xd
7LtdfNrYbQ/HQgZRze5b1D95b+sIf5wCgh+pxnKF/03dkvveDsuA1JB8kapO1mvFH5HIkULdrDSz
g3Pl8bfQ0cIBuejrztSWyh2an6HeJdNm6EtChGk4wLWSMk2/xj0erQUNEZyk5ECF1xCLZLwSTYcO
NYw0XIFBlsglMmRkwTav7ECPVKgnjxo4vsGsjbFkkiafbMi8Vh+eZTQ/JR/FW2IOo9fc6S1zAQaI
OiUdt7bd15UaZgeDYk/fJG5Wb3x+8dcA9C/w/ixUVy7WW67RKv0Lz3aCeMW8xjnQuzWEFgopMzsX
JUa4gvBhOr9DiPB8c6C++32r/0fWpnd5mDX1f/3HiSllGKbNRk1npyjUPBn+sVPDSmFDotZJRa2V
uCY44c0ZDW9/5jH/+ZSJLmHZUS6HVXX8mYiLIK9tjNh06uLxMpIi2xEKFSCITepzM+rEUHNGiqsr
qA4cwA+vJ6L8XGGLNhfTkCZbEDxwkYlE8FdpNybqzBfixOmRMpQkeIcjOCcGefSJyBIR5H3CCSqz
C/tb36q5OpcU7l01oODDDZl09RI9l4dOHUj5InLE+F0GNTVP4hrvSxTIZ271r6310RvFncRKrfhG
giWYl8Z/PNC2kJiI55SLgug0+txJyKukyuaqMKf4G5wb55qoS+6KJO7WWfaIWW5KJ8Orhy8ZiJYf
KntYzCxbRCd24N2XpOqNZ5bLP9dnHrc5V25wcitKNYc/MndETg+SHYtXpuKjLg08OIWmfnLoFz/6
0bBuSK1uf3x+FrL55zQyp0YJ9+hh2UES0hoauTO5kldp1JIgqYfGbmpi7TeP4f/6Vp26PoeCgk5d
inRpcbQvio0o4nyF2AX4bbDQHWxTrj3cV2H+Y1TRjY046swdPbFoG47tUm0yOYBYxwspvl6VkipK
uaTty11dKPGS8A+XUzsgg/z8jaTcRBQOmwlX/SrO/mOKZVmbswmr2aYbRbun1mrR1JPFlVaiPv0X
QzGTQVBTnONVO5woyLozaOpsWSbCpHZ2qjM7gKXTNDq32zt1A+e5iAGe14e68uFIoLPGaOw4RyGA
kJuc7yrqIsOJNjmH0/jMZZ1adV2YbAxI4ZgLOxwssIkayjzWo94u4uuRLLsNB2br4+8378Qogg+r
YApS3JHHBx0DukBn1KxOQWnMbtM43016nf6LixGC63DBD0OrcI9WHFfvUQ72TAcstM4+C4S8IpxA
333+YtiVsClxOejqxtH+v7BqKmA6rUzV1N394ApAZKUrzry488JztHoCchEmjQ2OoNQEDx+M6vVc
YRLGEBJIvolm+tMz2jsjtK9yiIpnZsGJKccqJOcPL3geaR8tSEQnjt4gGYzvi/xi5LazcfWg31aI
1M8c1E5NBXZYnEOpbiso9YfXhQjPsaIeR7sNOvSqngZn4wTkJv39GZ24e9CVYaNQcBLzm3Q4yqy8
zSMkEEiGCIp1yMHeD+lgPpYksNIi78WZYulRG2gufvAfqv/zzBOcRI++IwNWnpG7RZ2pyLxwaWex
eFWG2VwgKovuUXhP38N4Mh6NEVQGwe9tt+v5fdvPX7ac3y/mpelw2j+87Eki3vbY4aEZK6ZdGYli
bYNSfGnw2S9Hr+nPvAqnbjMrBxp6XgcJnuZwvJR3hHBRrtqv9GxfOaCuXRDuz83kYcN3lXb/9+s7
MU/piNBts/RfPKWjRbjqYL7BRqBOrNUtVlLXQDPpW2tKbV/+xUhUz1hOLIz+UhxeWRjhxcEOzU5Z
R5zQK0MtXRRcl0nb9WfeiFMXJWy6kXyef63Dh0P5bq6RrsM7XermXS0z+0XzywlU6XCuSzM//qM1
hQ+XS3qfctllHy/2KhBuJMBwLSrRxXd8FR4dm9ztxKxo0gQo2ladXlm7HuP0mQXmxFtPiYsa11zl
t6lpH14jgWuILWzWTDgezjPfIkKqk2A6Mz1OTEdzbnLxy9l48KfDUShpuI4GG3fh2Ii/yDT5Ap4A
nIwR/Ki9/vMLNPULFksKCI4hj2sYJVIZHW4eLmA/KvgWuDqqJQQaY6T3NNOt9Mw0OXUL6bTMnURa
XrTzDi8umSZtPtKBAqnK4SHx7WTbt8G5N/rUKDYfrxkqRTXt+OPGZisB4Mu8T6bgOfYsvE3IqM8c
DU4OgswXhgztO5rWh5eSeh4RoR7H0DwJxmuraAnLIwlw/flXmKo/1VWuBpHM0ZzLconPqnQUdHXb
2ZohcaNDSfQytnHtX0xvaiEEMbH2zt+cwwsKzMZib8aGHtV9xEl5AJ6B2uBMuXj+wcevL7t4ajt0
46ixHq22VeXE7GuZAahKw51fKX8NXT7fdLA2932ZK3z7c+ZNzyTMrbMVkhOjs3tje8B3i/Xj6Br9
EAJYq3e8wmmsvyRF7b+HrStuM1d6nz5CgGwks+rXUm//cWgho8MPx1qxXeyccQlXonsM8jbZDrLz
z3wx/1wSGYr2u0EVbl5/j74ofSmCKVSYuFChEnZOdFRG4FOp3kNtsLFczMVy+I5zy3Dz9+l5YmTO
LWyIWUCYpL/idP9xdqnKaYJlVMsFyg5vG3MIhqKlHKxBhhPg7Jfhmt0eUXyjoIvz97H//ORwIGQD
RpuGLjo9osP5irg4GlNOF5gq4ErOB7MdkkR/P+b2dGaoP991F0mK6ZAZi/6I/zocitz1SmFeRaik
tfZdnPXN3mu6z39fOFzQcqJTilBLHS9bFFmLCGgBTK/RR5I7Km3JbzknOjhxLSTg0iplUzCHrh29
ArNlnYWZ7Tjuy2ZnlbCAJAKgT69bLlOfVYS+O8f24yYKOtcU9rIj4btN+lo2yOCgOvpLTNDTmYV4
/iAerigMRUYj7Rpym/+oGo2B6NOeOjlCRJW9J21GFRKd9LvpheMt1hMIMAFxv3+ffCfuIicNFKtK
0KhhcT6aET5UOb8aKHL6nv9GEB9C6E7zP/7FKLMkBb8k2QX20bMyRoTOtpiYERyjN/U0mjP9fFz9
m1FYkjk+ceY7HoUMs1iLoN8vqizy1jw2tqZpMp0Z5cTrygI1H83mziq9mcM7VnN7MBgLuaBtMq2p
WpKf6MK1IlK6P7P0nqjasRpyEARaSu3Oco++mj1dszkFRC5KG3IB7kU9W2s21hFsrK6xH/gCfEUp
ba3B0lerHoTxd46qeNRw7lUgTYJkjd6+f4jqTKx6NZqfLhPPqzWgTMQArJzHkMbKykdzYL9MZFWb
kl5lz3bm8Nyq9edOklF4Hyj40C7lZh7ecb/yvNCNeQd9/Kmv0rYzkpWmCt+HTmIOH8jwzCM+8VKY
NLNREM43n6Lx4YAjoUk+mmnCdDD0YLOR0yZQ0XimoXJqFDZDc0GBUxs0xMNRhIaHeAotuYjtVD7z
M7604BHPvHknatHzQqzcWWVDDcs42oYjQySGq5m7GDj3r0mftPZEQBSPddVk8cIO/ew1JaVyWaVZ
fh3rfvIdO2Ybr4hyra+VHaRnVrkTrw+VhlkpRu2JEu/RznkkwSo2+RJCUtHNBzPFzJ6TDv5oNpM4
81E/MRQfH2p383IAi/foMZqJ7euIcc1FlDbBbUpyx5U1JvUGhHR15kU4NRRlKKQoqAQ5Uh0NJXM7
+92CI2m1/CAGot6OEZRnYNIYs/++zJ14HdS8T6cYyKaMMsfhvGnxXHsIYWYPgldBPBmim0Cz3VXY
WdqmHklE+/t4J+YpPVMKrax587Hw6Ilh1B3YvKQmVXlivaM8DHcW3pEza93xHeSeAbqkXSopXlBn
PbqqvqEZYVeMAns22xEXb8G/88MnUtc+qyGUiHJndQLlfh6VOJ6CFpEfmPEQLg907SB869F6gHx/
5jEZx/dtHoZSsM42y6DjbB8t3vTdgKx1DOPEPj5AtY3baAGpE8yXhHRkrycX43cMdE1FxsY1vedJ
9xeTX61SkX/67vJb+MRTlVe8V8cVFJGM3YTBcpYTJPlS+mRnZl3jbHMXptDnpsuskZuJvYJnaVgs
n4fTs7eyJk7D2aABT+4CPkZ9WQvYaJ8fhV4DjdZfHXbzaEchk6SEToJnsayt4c0Ay/VamtmXTw/C
lLRMpKbsMZmZh5cylm0A4xW3T+rawFFiAQxQkUP3yVHm+cH0MDh9U3iyjj5vVtE32dBzw2JJaq/F
vvYSdHh8bhTzeN2gJAiKgA8NpGvaM7/m6z/OOKLu0p6mtlyQQ6O+5Sga37rUTt4mK7dTXCZ28bMp
3OE5Ljz3XfZG+S7DPKIv1gOFWwTI17oFfBmoFPhFxjsWPEXaS5/YgDWBFDzF6ViAfcwKu9qGXqrt
ySAq/J0dYixpjQ6YfljTD9qzB86usixKac8Pnfw2JmSOzKFJZGh0uTRW2jRC78p4VWqKY7qoSQip
yJeFG1BeBQofLoCyAK4YiUceyNcB51vRw8Jb8g1xdklVa+916ybxouvSyFwOwgrVJtPJcsZV5Yyj
v3NAm5B1zabUvx3cNr5JRnt86Uwjb7EY5uo24MWtN0mcRWJD1vcEr1Ufp2qvm0npgVZJ09e8aYNH
UraKceniNb5Oq1I+6U5jAIIUJrlzCTGU4IeMNN0ObF28taOG5poNQfzWk1k5bPxgwBBWwcFyr8vI
Y90LQpFH+ygOiEip2Nn5cyKxWRCrACGCEFcxwZM2yBBdNQPe6lURqaDbCuRW/nNQ9kOzrKwitVFO
4sdJhxmJmDVh+ovAm5OPpWkVMBur7N8LvTBe5NgDW4yJlSI7LcvcJ1MNVr3HWjh9C6SF5K52IdYB
kzOqexUk8Z3ZVUWyIBkk/cK2Bf5UH1W5BxtSmTAg48IugaBWPcBPJymvhSbNF4EJM18MyopfdP7M
PAddvau1GFMaUdZlu5maqANy5Xos/xGqZvz16RSzMZiQYWPM7Pt6AZ6q1ACdCDjcUSZeSLusckDT
Gf+PjrxZgkZsVX7PfLxfMOzUFC9TqcknX49h4wqMua82mBlvZ2O7e8BH7dwVXiwx5rXuPgzM6kIf
u2opkc3hwJTybdQ864USfk2oLUm9KUHcTV8tvUlGtIAgrpRLGXVavkCWlg7bmsrGd3CxRKwWaQ9D
NXRAurAIVtoH3zZgOfCk8Hu1Jc5SB8XHACA06B8q1U3FqiQOGtKiXZbpBdUzH9wy2FqS/YSKIVv7
nf1CUnpEqBj//reuG5J0O3kOGDvXqWq4XSCGoDfg7WXqzRiUCEPfgtjm4XszJPYHHl3FtxuQW7WR
RRS8DhQbsjmJJb+zENpAKMFVDozXGIAKYbjGXLQYo6IN1rQrpquKdMDhFhmF9R5U+BlXvZspkodi
q2nWeWMhcDDLzLGuQMFEPbCVSsonSA1TsLTIWuFlKBPcYJkZwelLLBfqombFdnaPTKL+Gswtqi3W
iRC7p1QdXCtZ6+k1cRA9GctaFX+pTIekE38oFUjtMhxfAfuApSYfLI+ct3KCZGO44ZBfQf2N+12B
8hBjJr2sr1UAu5vJgelq2TQEUi1jhfFyUQ9d9aXFf/3gGworrcu92GcyckiArGsnvChUK6ZVQ+CV
RSJSYvYL3WT7jFwnGdh8YfboV07lh4Axs6qxwWp3XnelAj01dlHYZlew8kgt65qIhzcl5luaWvoj
63/9VjQp3RJ8UmqHvq+Y5UtF8bXoxtrdSA2i5xp+DJGOsq/iCiBQjz1wjIhKGfQapyLS0TnvEWPH
CymA/l03WrB3xkZM7RxV5WEcjpyxWWikzf1MXFhqpk3GcWj6d7FXKrEIUz0ft7DxuCc+pDsXNlCO
37jwApPMcYJ4/WU6Z8isG0i7t01awrdokqnPl+4oCMqewtHtVw1iX39HXkgywkdrilbsqYsCLFlO
btY/jZXX3ftGi5MNoqBjvpRmNzqLSDXGmwfN7K1qWQouWkPBkbCsjKPwvvMkrc4CQgDxt1LrIbBU
4qtmYG9l/Q+FvUTxCXOlHlV8Rz2NuVlKMrE3BEBb3GzDIXIJImp9TxBWVCOyiFsHahCnG5DUrhuv
eyMabyoC36aV6tiO4sfTy2FdYmu7IXO+eAonmzQdhHC2ugA61v1AwjWVSz2U/WM8Eiidv7ZZUgZ7
uCDmc5quiqKyLiACpz9HvwLO7AVquohjXNWLzCW9aTE3msSaV6Nuly3nedzbhsZ51iU0l/xhacQX
MkCetiwz4ewVbBGsjXqpv/UTq8CKhBbngwDJeTIZQ/KjMD3RwO8fxLCpKXZPrDImyl7yPcd3zc3B
5Kq8SRe9dBITfqWiTjwlCdj+aSoiJnCahBbcfs9+IMm9u7dbQ/orJPnehdR03Lyl7vDbTT8aITFb
VvERQllotw5aHPiuJl5WQmFbYnEap8d+W6Y1xVkz6CjNupMRLAbNTYdFD7tqW/ZxeN8YYT+t+YRB
rWwccq47t3QfCZBKfR6kNWigUgISUDHgJsbaZMm7L4bQyInr/m/2zqQ5bqPbtv/lm8OBvhm8CVCo
lkUWW5GaIEhKQg8k+gR+/V2Q/V5IlJ8U3/xGOBy2wxRYKCDz5Dl770XoEDEwBnnpRDgsY2CqmnLK
pRgVMJnNUOyxT3u3C3FoZqDmTXNNUlR7PfQOOU8m4Q2hig7eC5q6sy886IsMSBix6neNDPRotT7n
4zXggMk4k4haRzdLpE1yIbcocr6ZhaUo20EKV73RkMWSkobFxPwsC0K5dzzWTn8DZIDkUE/jKT0T
C57pqOBBbNylZsfal9r2MG+TFGrSc6fncg7NQSF4kFi8nrewW6zsDEp21u48b7L0nZJHiX7gyFMP
h2RxCkGyTDpZ2yiDyRgoXjG9tqKfhps5G4w7sURRRDphmRAwWxdy1MLIiXhUORFb1QuhQMa335eq
vxzStPWIhlaAIT7HtY9jLyPPO5bzGR/DPNUhEVdWkJtxfuPYU3z5/aXW09GP3VCq1XW4sh5aEP6j
yP+59lYMDd2IAefXQWXKvkTopt0aPOsmhMJta0fDkQwiHTP8vIRdN1Th76//rx8V0QINvlUH+VFD
MOVqkiclAXRuunjbpreMx4aYio1btM0fxh6/HBT5qEzjOdITIwhd+sMxI8mrWieH3iTHlwGwopnz
7nuExX/9gVy6TSrmH8YriN0+3FBbrSJnYufS4X6GmUP1NQwrIqInV/P3l/qX7w4559ovQMbEtOFD
N2RR3WIBbktwS05ap14aiGOtNAVDk9jGNQtZus0WkZyHzBHHyYrc999f/99u6PdhDpIHnQbQh+tD
43MqSjgk5W7U7Gb4bQTXMUb9/VX+7QnB9rKCgvCTWh/VfEQxkD3hTeh621qEplQIvSQ20p/B7PzX
TwjNeYYZTCCQUv1yRGx7c8hbopT8GGd9uDAVONud5X79/Qf69batV8HXwM5Gd+m7V++HA6LmaFQw
dJx8PUVXTdSU3Ewy6/9w237ti2irJQQxPH9hgV2tuz9KUdPURX0QcxkwrNMN528nzIiDDRBAC4VU
RuFey04OVBog3u1SU8J6zgnOtRCbHNxuHGk0xynjVa/6wzBkfQV+XnOY5K/mcUrsVQ764RUBcNeZ
NQW0by4EOcWkDW1VNuDtEFGiu3jUet8ekj8JQf7ttmvIg1apEJ1a88P5P/LmoWZLXVc6DVJDWVPE
y8T4w3r2r1fBc8dIjlm//XGQBYdw6lk5CeWoSndLEv0nVQXv+Psn6NcWA95UjGB4qHEd8XE+fLUd
yUkxEb2kfBmen/Ta8Fyt8bZalzu3danJvz/U/zrg/8Mw+Idb/wvCDH/A69fiRwf89x/42wJvWH/Z
6yDdY6H4zhvjDZu+dv3/+Y9h/qUjAvZc1KV4s0ydreYfC7xh/MXYjDeTbZ3gBGuVFPxjgde9v0DZ
ccBi7rUKsFCM/l9v/uXv16f78O8/WgvYbH5+zXSGvUgXkIHRgF3NOB+WZ5NtFU563wa1lNmakV4s
zy2E0VtX6stzVJOksTWisfs6O4Z4qnRlLrbxhBvq1kkSENdGDZkznEm9MDZLaafbJlGI07QRO19r
vYcjAojXw5itidZxZy0ilEVWPak5eWeTHVfE5iDe31hmpBb+aPSdHka10tSEX7mgEkxnHjjbGLVU
r+LMmBYUpQNncUK2FYCqrluc6BN1B4Li9PNStUO1J+UNptRkliT/jxGAgbAlKf2r2RlUxlYpRXXq
TZMAplJvTW/H5KfWN6hvzfpeNyLi16Y6EUXI8a8/qzCx6kPUeZW21/R+4MBuDIQhsvQPuGMrze2D
vsIcgtZJJQu/zkHr7A1Kxvwgh8x1N9DFmjdpUwn7KbilBHJUoclAYHZVNyOR7cecqBYCjOcuBxKA
uE4lby7t6iAqie2EsG3RJTREMd42bRMBM5DptMvsAmTxUkXeQNLP0KXgWGGa+upUaecm6qonQiqd
cidmb/6sVtUa9W+wjI/poi6YKkvrykB5ViFmnYz6HBnDa5YQRrBXo4y4HllarQvC13WAPWQprZJO
rbwM3DFAUATRRsE5otKLL57iLHekyJGlk4osAsTQkGmVGal7VWvAX0OzrqMRHQU8ZN8AoHIaGXWt
p54YdAXx9F67aTga0khL7RkMSA1F3Jc5sKKNPvHcBTqB+fAQVHQmXJ6P6gu07UqwtKn3dandemWh
xMx9V2n9Fzzqlhv2kMU/M5lusg0or5lgPVSePqHl+bn0wBIHRqUp716fdG2YdAM0Mw+ih7njCOA+
i9GkDsrGDOEf2DcMMQ6k0guh29l1h4KNJ3MguzcwlAykihppyjeK8Ppq6KU278wmAdreD3070ioy
vLHdk21ZjPumQlxG563SenKNa286ITOBbuZXEZGmNKSawWVbMxrSy7x8IYOQvrO6E4sT2bsqnwaQ
R3YC91cnFRkHabzI42ilanaXwSFmmEEEncJL0yczx9+qSPa6TmcYCpUwq2yvKUQsBS2BapJ3h7om
yKzUuysbo8IDXekz+Nlh0UV1ZeRu3H3p1CVdu5UWqAm9eqXPC3JN7WdX39ii0UgVy7TmoeYhuAam
nF4RVt+jzXGmlsmK8LZLY+gBKdflH5Revy5XOiWXtkqDVCbQHwf+JTMSTRkNGdReRyuadGC6ojMY
NSX6R43xv/vZf1YD+v8/0WX3tS1fq/nH/Wz9gb+3M836CzGHil2B0YVFehBVx9/bmfXXOnPFEr5O
XDE6q/zMP9uZxQ8R3mHzhK+TfNzI/287M52/KHCRZRtUW0zmoHt+2L5+t519qBmZ8aECxTxLuYw0
mYnTzyUP70opjH5JMYtHNPkJzahgcvbsLYT2mdJqcbNa8l2TVXf44Rb9s7H+uJGudeEP1ep6Ze4K
JnJCBWwcpmzYP9bRztQRXAdnBS1SSdPLSVT1rbH7yKHlI2D60tBELDoArfhKKDIzgN9f/qPKnusz
qkVbYKCEQSPx8ZTVm53ogHLREoR9QS5eVpjEAdswEetOeo/9rBVfTX1GeQJpWgNGI7R61zNO2/3+
F/nwfq6/hwNAdLWlogPjIfn5PoxqXTTNrLBVZIt1Uo08eTaNYToOiVT+5HH6UOCu11obAhiBOKob
nC5/vpaYxLSMSpcFpLeb44MbzdQROdme597QuefsBfIPjZBfHzA+HisQZfX3sIAPD1gnmeqQWA01
aCnIzRadtPIDPlWP3Hx0kbtWUudcO0unvv339xV1AZ/ZQnlEKNLPn3XNbp51oeWBwn5hX9uSbNOj
IRVCHpSYDOjfX+3XpxlT8WqxclfBDcrxn682zmk5yBxSTQ7b7ISr/ktmDj2zIWLDjFHLtwrjN8BH
U1X94T36lxvMCsKby/SVD2p9uLIYesOdc4NcV2lbJ0KN8zAeNXVDH/sLeHDvAJDc+sNJc/3Sfn53
6W6tEGpsecx8nQ8lsFzUwS5onELhstQ3i2D21M9Yqf5wmV9fjVWNQqsORzJL58ejdmV0aJyELPBM
sDyQJ0d7IqqG5ctSJXSTf/8NfpQa8aBw+7iMhcSAQIaPC4KjaHnFoKAOxszMnpwRP39QaurAZCeF
gg7Bz8yZIiRJDmYMYLrPibR3YblJhQjCylJ9MsAhpP3+1/r1HhDrskZtaLy8RKJ8eH9yV43haszU
GkljzCc1Kueggn06ndM0+VOj5t8utnYuWYtMCoaPF1tm1UxkjMTCE5N16hs13VmwAMBGmpN4+f0H
+/UZWjc38u4wpvHCWOxwP67/NitQxjtSg6IfvB1pljxDpRB/TE349c1cTdiE6qF2RM7yMd2rjzSJ
izyuKeWq8YyDtdgt02RtCvrv9SomiN9VRZYPZaSMf8qi+nW9dehX0BPhnMjK+9GH3ldd3EvBZ0wc
nd1tSBfgH4udxoGtZ3p+HghiUv/wwPzLfXVWqx/ZcXQwfnlpUHzHdhXZZZDoi7woTE6eWHndze+/
vV9WHQIocOayk7Ds6fzjz98e0aikJq4OkqrVlItrZtE5alzzCGkMvqTpinuNl/cPpex3gfdP6w5r
q4MrHVcOLjGM8D9ftW6VkURzTmVMoIl9IcsKvQTnU2JDk8XdKwUT9x1oyGIKyUPmgZoLO/6SAuHd
d+q4eAcYqLmxR8lEPf77G/KxL6iuXzRhGbSmVvPeL/WMUedeP48K1CBL1Dv65BmwKcLAEl+jF+k7
lZOdelkll6hEVj5nS3XosjHmNV7yr6njoWSgydvUoWsM6e73v9z3TeCnG0f4BWYSeiPrGock6Ocb
N8p0cclCIXlVy9xPbT+Wnxf0sLjdZg6mS1YpKkm4Cg8mdSJloLa0Ug9nVDV+RYH4yXIm0GCDMzob
8vX1o+NE0xSa7eDEkN0Ird+IRbAk55iOZNhmw9j4A81lxGHcLLmZRZV/qVsepgASzbhsZ7my3qaq
1EE5KiYFoCmYW4NpkUhWbel+HWGjyH0X2Vm2lXVTTFvBKRyv14x6P9TBLBzj2RtSwoJ5t1o1I/ha
JEhtoLL0d6SDphcV7PBWR+aBW32SxbujFXOgThPkTpexEyhx7knkp8ooL3VOVrlP3qV70mPEAP4o
YMhs+qV085fMzuR1qhqyD3//xXxcnFjVqeMJWqClhYLK/biRFrkEOFtXAQn8IwzrAMaDuantPznO
192Cr/iHRwCbOX8+qU001RBsMQP7+RHI5ND2XkumtI59KXlVdMVrfU3O4Fl1de2YLy0kjZGU63BR
M9Fvst64oFKJQQTRzfK7vsUCLWPr2ga1XW1i20suS7egMkquDMyUvglaDkXNhGaJPS26WwAcN2AU
R4Kgk5KE5aUivQKbgO47UbS026kn6EQfAViVNM+DbmKuW4upCKHOqK9TN+9rmMzPapvHre9G+XSf
miMCAgoeF6uLC902EQyou1lbso3dNLfrkkhDjcChfRQ54kIKEYTkNM2zQJC43O6yXgV02LsJa39M
p+7IegBwqTJbAE1IsxfQIvmkhtHkOreTaK1zXiSBnqO32g6JorabyFMawahT2PC/Z7lFpwnPXhu0
5ZMRpwdhCmN55UvXArNj7EKzRpIHojDPMf2OnafdkqI5PrCeeD6oti7oRO7ATpyzW20UBGf3/BZz
qDWggvfe4irkAS/1JrMQBUTqLO4A+OT3up6UNOiGlUOYNJ3ja4XVaQEtF7lS6m8GTzTGri1ccnfV
rvO+tUJDco6CynqOxkrO6AbgqPupIZ2gNzpj8FtHDhc1jZpbzRqLA8ax9KpCM3tUemNrt567bQ1p
nLj56nU1m22AyCbbEVjbGYGiWX0LUaUx+z1Kzq9JNH8Guj1zlBwm77nlibpLFEv49UDyJdRT8s+L
STNemN5pACFdtAZF9GSROHTBvtf546J/0bK4CjM6lpPvLgqhu/U8zluvLaCmIAnRkVjY2QlOk3Un
PA1NDmmANqP8DPwAF2u/rdH5sEXIWdR3ozto6OQi8e4k9n2ada4/oMhbEcjlgrNjKQj7pYX8JKa8
QrcW6/pWZEK9xTEFxENdKZ2xQPedLu8taT3BQN5f0NEe9EVuDHdMu/uwyD2Shz3UX5C6Zb0zUffQ
2HV4m1i1OsbNA3cwUxQsDzA4jhoR8GVYRTnQtDRtnQcN+mYCdDQ+cmgpDnmrGsmmrFII1p6wmJ2B
s/nUyR5BH9S6YqXex2wjpE4FsqiHS7ko6q6Qk0pKurmc48GWR47ZNi93+jIapL3XWXsfEdiNDghQ
6mBsE3V5ajPrKePkSPOYZmSrVHCbIhlO7OP+xMLl68kkNrZS5tuiQfASLqNnfdEzj2l9WfdascFr
LG9E3UGPXhL0XzIHxh0Tph+mBez5JZdtOJqxeTsCHbjR2+RSF2B+aR4bwWglj5VlaQfHi+9F0ze3
w9ykX5LRLg8rrC3rO6gzpN3Ypc5jar2uxOmcLie49jUGn2rni2eyuUllfGvxZT5n8+LwPJvmQRI/
HqCjvJNefKPMdXVSG1P5lEXLjSXp8eZx+oKfvq3SRzf2viQTnebFnY+zGp9ZpEj0GsbQ6aFQoWXZ
eHZTIbY2X2IUikFh6TeaQie5t8QWccaj4RAvQ4jzKbbluYoRMml2/RgrmrGz5vwb2pmNcPUXzxJv
apI+ekCcfNsms78c4BSQWfOK7pvGZC7md+q7O2ksD8hMyNtnrEYbU0HXI0QV1FXZoDSMrwTPWEH3
eWy1uyaK3QC9D/DPEg+RJnpmoBIkZZ3Fm8TWbgpz5htaIO8lWYzSDZpNVNS0eQTUtKmeleuyRyU2
lBMgYsbiXEGFzWkn6gatGIahEuFMQgQerIj6utKgMjoNRLbeECCPe2OvVIw5kaA9xJO9o9RZKBCs
JpS8J0MKBbgQMfMC3iG3qm/yWQWfPZVUwulXmDPmgeqNsUbbrOLTTAOzQeFBymapIAIsrP7Z6oGl
YaQXV2a9iMCs8q0mUn519Dp7RYw3OTYi5Ha6vDeVloj7snpEFHlanLYNW289ZMRwcHWr8aVYDlQT
56UbcyCdtOsw/W2KyTPDQi9Po9Y9V3l07Noi2jGDQIoHmLFHmRjQzMETiOJrE7dpEgqA9NeFUzw6
QIvLgKExX0zpPGDIVDZVNzxmvbZVrPgWCg0NZ8OA7W3BhsxcYDszvXozjUmYgU4llOS90xkMjzor
IvOH2XfauAwqpbM2np7H50yIdz1pj02Su0ePAY8vi+qbC7YKc0yZfuN4iGgIZEII1Cr50kdLdWoB
vmyxshf3Jgkgj0vU8KXoiUd1g2iZfAloSoOWbPI43y65uqNq3iH/nX2eia966TH50GhqDPgyzilc
gQMCsTsCVvfaBJeiElf9IO6qTmbPUja3KTFLgQLfI9CF+05OfBzWSWEclrHV6WcBfLMBwPpa04YR
OicmrOn1wup81zbjnWqBEF5ZrbY9B2Ytz0bTMPsR5mOdc7hwvRgQQHxBXHxsFOtqkeOtnjQsdMN4
rZv5de6Ih2gZqTjpWuzzafxWLz3wKjFfJbHGulGBIdAxik8wCEEUq9/szkPutib7AX5GYGfp0ylH
aeXXpQ5lvJiu4Nbt4NsieNNHh6GWvDUqnv6txo30i/ULL/sXJx67jSPNncKCA2O4SvJrNSYrAD2E
r3tV9Qg44p2TDXHLbTehg9ZJ32XaUfMsLiaaR2e+brr52CM/C43Be2EBtwKRLp+jMU07X0OWR0J/
Rp2ixFeoTNWzKQuBc9QKancZbqeSh5LWRenPEKV8BFukuaHm9FuAShvSoaKgikBde2nYqPkugZph
mDP/T5/e5brHTk5ETNCK8nVSIA3lS/VFTZXepxvgkYzR+65ZMfwz4TJ1o3FTUUcH00TUcdVc2UVG
U0a3SbLzxGsMPg1QorzJAf3urdhcEU9ds1Fm5dMo7PRcwJ8MBhFd13UZhRoNhqLMD2rxEDnxPprm
zTwiRmm0E6lWZySQoYpGdQeTaYDzpah+kzf1po8M6IrNl3RM3m0nPcTrvU3s5cECv+nPwB0Ok9Xm
iBFafgKg57bVgU3liXD9ZrF3Ikl3ylRkW6vVLy6KP0u9b5inbmXT7WxDeQJTiTJ8CDTdvFBpbFX0
lr6Ziw0djS96MR4he50WVdm1qp74ypB7fofaIs5nooDdC13lR7WMvmSVubV6K6RzhHIuDevauZ+s
8mbprAIJYv7itMumMabHGh1lMrDDdjUCwtE0tz04GmTzxYX+abGVw1gjAsehCcjMpgeWRlScfB0Y
JTZ1lXXXWTZRsNsdJEfWdyMC3CB5CtIKaLo1kkU8tfdN0zHYVcTWpZ/mI9xecy3qJ7VHFewwLS4U
9U6PnWuzpN2ErPEEaCULCzXvj9/59RUiSWIW4hN22GoH540b1CsV0nLb+5zS7QmjfEZ+3hvWRnrz
ZZ6z0+JWVzk+ieuxqt+d1UvtTFl2VbtU5FTTn9yyuYAWqiBU2Mne0lPeGpetGzt0qysrCi1SHlNO
JQ+x673Zg6Bd5BxGtblzbeXBIke872gQStv8ljqA2wUUDQT1zmfVy6BU4CZg+Npo/mAs59TVAc6y
CVBijy+011+H3nX8qHVEiBvhwZ7INU404ierYtlJnGlHtzQe8ti9T7Co0dZobpnf3DrQEa7JJEKQ
Wi+fzUk5tr3QyTockk1hOHeyADkHwgpzRywuSp4WAY6Dgg6pc6BIw1oHPNiTLblFCVp0lA43aTQ6
AVzSZsu45bZusre8HWwf6NENwmbqLWTwsBa75pupFbdlp7H400fyVVs8dapeBs0svtTGdKsJzzwI
dzYeFQ0NrY4xLSiieA4GrWP8OS03vWORMQlcZWvFGbFZzYzhwk2a16wcrnA6nVM2sCOS9GiDnNbe
sF+lqk8vMD/z3C0nmY4vfVXYARwc1jnKkYUl9Mrx0jralJpdQTKq35U+l0cUO3DmkvSm6aObqkuP
0zgMvigzbyfqnl0HNm2omFMeaK0A4O4Sj1MTM+er+tLiTbajTdaC+oJZ9dQs3d5xJcsZK4uvNk44
E2d+VVgwreh7bJaheqxL5Stx6+4F2GtyVt1mPtZOo29hCjqYXpBiFSg9z8bYbNU8OiSTvmMwpLyA
EdYDu1B2HmJwbAdTtKsKaIdutXW7+QmY9VPtpV0wzfHBwR7EasZk12OQKo2ruu9u60EvfF00VwaS
Xc+a+yCf15w8QZGTl8nd4DkPdYbG11raS6Naz3Pl3XgDePVS1cg64jYpLnq1YpjCLO4ezUV51NJG
PYExv2UCfddo9V05gOjJl/RFHZudUfHeoVG8Goua0W6nH1vLOy6LJFsaxonacizhBMNWvU16yRpV
E+wPMQ9rR0gf44DCUWNj6apr16p1DZtDNV/puDnCZsRQUka3mlkRuu3InI5JdPBEuTXK6aksSncT
I3OWGodaCfUomjSMV3J9d4UGPslBm104wiMHgMGa30a6ypm1Hg2XM6qe15smmyZ7i7i/HfAyTN4j
B8b+3lOjpEC6reTlRpEiYVXJsgizDqCS5doqKKDv7BQiCkYB9PF7Kx+Tc4MN51bGdfOtq0cWP6Xt
KBkbolav9aLFBaClvakcI0nPJyBHUP9CJ8d6UsZS7hVCycDH23G/Q6srn0hbETcidVWIeRpgr21q
DfoFTV/EZq2NkX2ose2FvaXn2E0otpuN2k1DKAbtoR6TQbsarN55sEWfXEANxZshnm8WPXrw3PkW
s7b6JiVA2sZ9Zb3DSTO/Ge0Kl8W2gmAgO9rxjGFMS7Ks2JLo0L9IbhBPWLcK7cn5gj0z3lp6OWwB
kCM+5LCQJedIiR9wYWF/4veWsriLODwXy3DRY++WRnCF1mNC/OBZNzIpaH3MdXbWJUrtII666M1K
svwmyURYZ04eZLWKQyhzN3NjvjWt64SlHk2HgiExa3s9mfzQYgWqwrMbWMDu9+0UH7EUxSHY4Pqm
rtrTOIyfctQ4fteow0Pr6C+VK54cAlmRyVe0wkXivGUSiuBUR5rPmGo5QaSl0neST0luNXQfW3Xc
l6wlkGOtp2J2i/tSxM96yQvLs0EeJOqOwFRqY+MUveFT9TWLHwEHB6a5aBw84yYxNsnYTpsyrvZO
Nx4Uo7lLB8wgS51uEpB3J8brb3We1TsCYuR9IpRyvBrkUL1yLovfmqp1L4XImy1MnuIuFjqd3RRf
FFRji1nCdEeDcjPH7jGZ7OUiR/RHShvPuxqiNeBajZNUlmRXahVb97zgr10rLynV/E3ltVicXKJ9
w6ySyiMHYTquEYOd+7lvlwPbYuu3bKwPouSMR1hTdnGcYT46i/dpUSvliEjyEhvZJ5Pv4VSbFVp2
sOdPCmpTf6Fo61CUu+pjUXOiH9CBw5Tvy0cPuT4FeGnda3HMR0CFhhzdcA+yb7wNBrfpIhYveXdd
x37HdDE+DXADfbLCnxpNdU9JWhY3WYxyCyNgdi7caKSUYIpOwrDqZ43ESDDrJ7cdUVgJEnfcqQvV
RGOI38n3zOnOfC1M0Kb2lcl2sWktcYtIBi9fQveJN2ZbSq+h12YmJ8YjVdg2ojyMVT8cXHBk+3SE
klcLa3w05BwhzfHsZ13r9bChiA4opbQtqG8oao4+hEjo8pAApDClNYS5a9b3RmW7wShnG3UVc291
Xu7tMU2CWjfyIxGS45YXEBi5RaStY1HItG73PM3Tt8yotrNrRGFBrQgPXtfDlCDFDYIyoEjzCILh
Pm7VUsH5bLfnXix0rAxjVB9NK2Jf0EW6+j+yF5okMw0VW5UBA3rtpBMouUNbT/9MmYcg6YfLbFBJ
F5ZdHMY8QupH7HDhN60ct6Mquj3cbmcjy0lrWd4L5VDPNmzD0ha4CUzYqbhv6y14c1Kb3Di+xwlk
natsuFJKvdygqSxeij5NXqousySy1mlm5Oaor3qSt9vVRP8VzInGkMCQo09wUvvqeVliXmUdLEzm
6KCUs7bT3sXaaea8hFysjgYKFd6deHWqkm97IozWcwnKymfKRTkLyMNiGUYaSK7T43nryG1ETqum
ODZ9/CeltZ/blk6FQtea93uyhiDuQe8tKs4wDidLAjqwc2MRHfGTtDUuqz6p6FLT2z1quHPMr30/
jby9yA0j3y5RNX7O+DOnZ4MwbOMaorcRv3nkUssrdent9DCVQxeHKmOFpw7KwDqVwEUd4pauFB+n
k1ADNglmkTNVP5Gpg6rtGgwU1oG9wq45Atlxeq+Wpv0Wl7F9aTjw4xX+Pk5om7zLDpSns0lBUXX7
ARime1uMFHlH0xsdYxv1HS4/TE79p9oueKgAL/If5CgNBOuzZMpPI8RRsmOiS7IKknkwjCTodAmO
bmrnorw2GlNeYH9nCCwxb+2TcbS9oCWal/MVfUf62S16ubeyKdWgLFW3/trrSmfezKNtlqtk3bQY
lVlqvGniScGTgiau2dOWR8suE1tVQoaXJdg8V1Xo9IzCw+aVRqA3M7qqm1bRoYOPO21RbklRoSPr
Nm+l4+wMnez9SdyR0jc91xntZ097V0DjlXV3Ax9wO7YdSfm9YLnxtAboZ2TdLrRbN26XaCe+7ZeE
qjYZh69uDwg+d6blpSvSzXcL5dy5NUUQvTtOXPQbwnni5IMw097MGQ2X9RCfbM1aOBw1P7fJRNiR
aiuMjeJO23KKj0o0s7hr4/ZL6rn7UZk+a3FvX9c28sMcb048xs0NP2Le0zLPHwxvsJ5UIqHgNso3
tzfZuvE27Ruq7ZAjVAI1utGdY83v6me54/IV06YMsZBW9OvyEfzkzlT72sYsWrjOJvNGVgPZ2jOm
25F4rkrMkleECCjjanDU6i02p7hBLpiOJgSIqTToNazjVgBwejbtsy7lQI/NrHUhCPacC2oHYGXA
uXEY6O4U3q6u3dm8ShuwnWEjXMsLklakVWhMje2cqhTrgl9XkCy3PDButzWw5Konp+zImYuG0bH3
ep0qTojm1+PwvVj5mWxM1T5NAknmga8XjqU26hhMI9nzeztOg2wMzQhTWNQc8bStm17Pb6mYZfwA
2KgwrnIADQwSRoW/z6xCrq8S9tNvDNGtwRFVdNWaXgTeGq5hQmKNKVRWFzd2/ZqQX7KtNYz19zmm
Uu3k9VZX7NUUT+ceaW4uYBp9XyZGNxsIBsAjnl7QL2flOW8Y62zUaeiIqjBEjHLWs0tVOXu20NM9
f3JEA6NNipPWu2R0Gm1zE5stJyzggvPRqku2RDPvbniGQQ61KK6V0ECoMD0NXoXVlVT01Pcw6+5L
hWMg6F0RXeAvtnt0ZDjol+mp6TvN9SPReZt2YnoZU3deL3GVHpjFfcMZ+IktlUMWBfipaY35hsW7
P6WmfapGt9iXiWfvkCusyo+JXo5h9TtCNpZw9QaTadeagUZq8E6pzAn3O0Ltdh2+z3CHOXLYg/Fl
cDNly8w8eoZJ2wHAFWbyjI49mbYdHuaKUz6gnT0taGpLBMfzVdUK8K12yrNgdUYDV9ygEZRgfr4u
5Sz3kCE6Dl0eCQsLqc9I0PMZt76YqdxhkXcP61hlOxDr8yzb3OMxN9zqvYEJGQ6tdRVHef4mY22+
Vch6vh27dEp3k4td2FGW+LCo6j1BKmh+LDXdIs+waeQUDhSzosOu33jdVokH/ZiyRDTwnWdlpw/F
1yImbSX3ouZeb3VONTTkTD7JvEwc/9rPHl/afcL45HOeVhPkAa/b9JVZEQmPc9NXgXYtIYkIVLO4
oB6WVjX3C/CyY6VF8gLbY7o4PHcBuYafzGoh7o5Jrf5W0EVgcOb0+oYJx/yYM2h9SnKjvs0155ls
KbGZtNINSzlGt1E0CBnm7nwp20hlZaiLwNErcXbb1qFZ37s3uTdMEa08vieVdAmmk10+HloP16Zr
597bNBT9ToxTfaVNVXdtRCqATjqUnL4xR9vJuto1yZOmRsbJEcNbm+tFiNTv4KSRhPrc2Bt2jP7a
6x3jiLxIMGFqxauT5mkEg0KfQ9xaa480M8Z6yzTRCAuridINkUjm26Ak8YCZs2q0sMtLnrB8sufX
BngodNVI0Tn2Z+kF1K37nJhz/zwBkd6R93ur8CedDW2xbwaDyRAFRrUcVSbH3mZmZHY9UYpsO6Ua
/4e6M9uNHEu386sYvmeBw+YE2L4IMkIxKDQrJeUNISmVHDY3p8356f1FdfZxV9nuOnV5gEYDhVQq
FSHGHta/1rd+CLfV99Wa6Ttoy8cCAJXBKGWiXTTERrhxOwehyCpcUrKyXp23jMw3oU74I069VDda
pOaewuGLcom5ErjZUMgrhd9/62HUSVl41ux7lnjBzshqk0bxS2XZ0DcN62owYORqiNtNAKvxnNmn
NUMzBCNmI5Mom0x345qo+1Nq8VEhsEAzjP/omBXXARyVVwwkQ4Z6WWJfwcHgzu4bpRmlU7XuVmG2
59QYuw9/KZybQo5fOM+hV+h2PXCnSSO/Tvo8prXGPFSqng+tx0HUlaF7snK0rGQ1XRzzE2gGuMji
frb96a3RjR3GydguZzIy7kOVTpw8AF1s17UKbhBwgg3h4P3ornvub/lOm4PcNOb8gCfEeFpA3tx3
TMU4vub1jucfe0RoFruWloUXbdGSimnfpdzZ5UnczHPtPyQ5DoCgLspD2I3hvimGZE8cEoUuD+Mi
MOsjH9mDrLL1DTcdqnaK9mgWXndviETHGcd+brS6kI8DqJbXybXTG1fmI3uznaHjePatPYffaCBB
X4VAUlxdWihis8ZbgB0vi0IO+NzttL2X+epcJUSt73D5lxwzyoTnPwu/nCnRP5SsvkjPTFHXDsP7
WNj+DWG1lkzEgAPV1wP/DjM9ht1zZDISj4LJzjjYFOVx8fUuKC16bC13J1pjT+XOeHAvgXV/do82
OJeI8uCGbtnlTdsFvcHGSKBefrrkXVhM1MZafmcWmde1G7aC4wJ+wcQmDW62HrEQy1b9zlCX841h
lHG1VE2ErjJfQ4VAiFrn7AEpvDrNZvlAP8xmpMWa9ivNdcIYGEeSxguP5Hx4WN2FK3OqjCU76Y6W
83Ac0xM+j55fBGtiCDrnGq6RjspxfVzJZMSSRXQ78hBHMCywUpnhNh3Ek28WH7SqBzugWWnMQHDL
2ct67i25R2ovjop4TKMtvSVIZH0ZNfsRZIFcRJ6zPK9BM1mbJofbzSawLooET5AdjVWFL4lKFIKl
T2kRRV4Fa+WodBEHCReDYWIn27RuZZxKg2t1PU7G06yb/mgP03JK2Z43HVi3fYiahgg/61vdBghK
PgQIxsTZKYDGEWUYNW+CskFDR3ZexIXKwWiRCAk9m1Xg4PwLRzMqWgUmwTSwK7GobqtSubtL4clO
rITkF0P5cYP2ck4tDy3YVEiCOYXFlvbDUw8rY5O5qfsA03u5XpehfXYTLrEKpfLV8IzDshjHehlM
O6ZOor5GxY7MvvueU/t9NwxuePIKlR9tmEr7tjP0cxII69S1JvmftG1/IB6bp9xo05NlVRCLnJwq
sLQwb3F4GTB4YOVcdYzJGPpQNO72hdo3CybCMLicGWsAmPPsyO1SVuHOBindM7dw+7vBq4ybIGds
kXLxf2qMJrhLcJxu4fuwmZONWaNxKesH027eA0dX17pkOwTINtZ7HzblNhdLEfXz0n+EPVP+ElP1
hssdy7OyT97M1eu8IHM/pBOsJaYbaWtF8IvCozEiNV6OjEyAaJFPWkvGienPV2gm1tGfSmNDZMzE
SYgBq5hQNney1ProzXNI39CyBMda9vllyF1/hxyQzHs+1eFjV8syjYpGzXHma70wyTTq/TJbrAF5
2W8X7GrQPZZ+izeBT1vudt1LQkXnhTIUEKMazVHqDcqdeZo7QxxTNBU7cobWfxapbf7MgiXc9x1n
snHJhPncuJ6+n4Qwnim7tM9d5XdHguIvRRuo88wV694p3O6oEq9+MBT97QAYlXPw/HbokNHtVUUT
w7HYqaCB9Oa8nJH2y63LxdDcjMj49aGEP6U23ghm/Gym3Shio087kEe9OUS121Sfi1Nlwza01wRi
Ui9paUpCZioGewHEnhJGjMljo8Ox4JGHuBlSDJMXT3azEGjHFUf3dV63LmdgS596reUVCxpnttKl
kuTiDpmw/PoWZI7VR09YMXJ6KMySlO+dkXFbeAIP5DIQwhkXJYYT3LYIegUGGquzvgk8FRyeCi89
0r6TRNzIPWdvVwgNZqOgvMxZzchDzKNbQ2RurCWyxJB+mSCUmIv62LSaTB5t4mYfjp7aYx+urA8u
8aUycdbrJmQGSDisOteTkbzAk/rI5ipgIs/sW7qsY1OeX0vpzzfObMqd3xhTw2jwcksW9Q8RTIfe
bC6IleJc+8NbzkOOmjjndpTXgOvrnDAc9FHJxaZpFHjOUle3Lo6pdIsJjVWP0/beSox2A+0YZWlw
ijZK7aS+opikzTfeompek2f4WJACev08/xMZL991bXUFhnraZkOlzyXEqKgrpcn4iogClmxvQ3qL
579zw122dOpgc2mInDn4DP0UkwNmyivVWv1LAeH/ENZJquOyb7s9clTLBwgjBJddqEftnN7xfuMj
wo8Ha6SY8Z5O9bhbCeLsZLYgHq/8koysb+KVKYZxCs2VwCn4U/AoMHwt/rA6r/QA3wVh46DKL6mx
HllXmdHShpJxgkL0Yj4qGAZtFA9fsJ3zvjjotOKMzp8BUmWRZoCsWhPFDIsKF5J0P3qO08WuOY3b
FGPJDvnPAJU2iYeJMSMxwZn5kC8wYc3ud1KursHmf3n6oCjvuWH1r2uVT3uLcCcHh6AiC6iN5tUZ
XAaqTS3818418Ar63aLOfeIWp8mc+Tk49CXMvLgvX7DjsTGad7zbLM6/Q6mGql4POQLsXzixf+eJ
/NFyiUvHo2zOd2BJ4AH/o+WypqIb4Fj9y06/Bt1CC7DyvGKDMI+pR3BEYM263Dp7PzksYNXeGdb7
DIJ73RGQCbkF76ckAYwF4AeDK6vhfBcykeQ0VswQUNfeGey4KfvM+FL9wnBGDrWa/uEf/lvBvqda
8b//8Ye69d+DZ59YKLo8zfr/dc4/u1rXP/t/+1VXX/XNu/rSf/6iP3xnMmy/frpLePwP/7HFltAv
98NXtzx8ae46/4y/Xb7yP/uHvxrZn5bm63/+9896qPrLd8OkU/1riu9ia/83sb/3j//7y3+F/sRv
EDXw9PKM+nCcbAzX/wj9Bb9d8hwQbHBi+8R2LqWzv0J/VLVbZIdMk0cGvsclsfQrwm44v9FDJHyM
wj6olQuZ/O+E/v4UEXAoovU9kzUFMowNS+VPkSFkp1KFpU+aOKwf3VIG57G227/otPhjliQguEOq
EW8gCrUNHyL8k+W8byA0qQWzFyatyG8rMtKYOrdNlnR/YaL+48v59S8RSPJ4VZS4/xkzHeRZq2Ym
FdiBkhi7Zr/BkD7/ReDh//FyLpXtmLSxUFMQ9ienduoGXcuVEhCM3+7pWUlv9dL1u4CuvL8i5FIJ
w8LwfxYOXhHBNZDwAckREmW+/6d0ReI02ZC6l7Jbqg02Q923yTmEGCrZm8qgiVnZUFTSVXvbMh2d
4RSKABWr5SqEbk/4g6H8OKNHNFWq202Q9m0ZIZzhuQplX6+P+OYvdo3FQewtUAJtqum0vJWTY3dX
vemkn62VhOnWdeFHXYbH9UvoJgtD1GmurBujnfhDO229n3m1IgFpUNbjzqlH92e+ohzik0tFcb+o
ln+Yaar1Qxhznm5Bu9YSsNsEDA4kfBgck8L3moga+m66MWXlPQ9kA9OtY66yAUylRlxM4Ok+/bDy
S2T6BHvALMMyjNjll7eZXMdrpgUnh7D4/ZpQjkjoHD5mLK6+o45j5rbTLvFN/UUoHNNRycnrY0yS
+WWelPoJTcw9t7UknGg42fAwz8Fa7GSKQ4IXLjIjCnXuvga4Hxsc7LXxoS8nxEQo+Zz0nCk3uUhQ
9+wBHRkTFBV8rwFDXNuMrUz1ryoAeAWSjne6CmTzHYtt9WB3aZlu7H4qrpVhBTKahM/RvYegwBZW
yg/cEvkHn5rhPVtCt9gUK1OdKKntZrzYHfS7b+m1jFaL34xppDkScapUGgfOIie+cTu9XVqP3CsF
8EpHKzvUW+pUzMUdHd53XUrWabSdnh+iHeXLbAcL5Ylyvl2bCU1xHXr5WGGQbhlNKPHNGmeDvRhf
7kcehv3LnJSomtJIAjw2S/7pOlI/akKu5c5e+uncyQmk5Tx72D7lms7XQTh7aWyx8HDibmbzixhG
8TmC+ysim34hd2OOXXpvp3Y7xINgW990bjBK1OfCOras24zBCYxelzYOxwj9rrGiOewTGq6VW933
ZjgMUbl2bPRDtzCdsuqUg3Cwrmq9n1cAX5Wyxu9y8rOPtANo+hCwqb0OKJzcPJknVUgEAc64xQA1
s2kHk5ssGjaK4NhKBhZj3yXdZi6s5lO32oFyk/vDq9WoekApnpxPSbYfg5aXlevGS2bMi71fczKG
rSFvDIZZELJwaDHem1f1gByaXSfMOgn9w0yC9RBA+aNLUy7fYX8Aqy2Jcjl0VroYdZuk5FNW8i+W
W7DZzQ8rw5yL3wF+3KYajEnEYBnq564Y12fJio/QbHrZj0Fgat1kOvPfGCN493bnWCKqS59qGX4Y
ie2+C7t7ExiufYLLTcCyl5ZstuVs8vybDbihi6cKEiwOa/dNayP/DLSn7pZmKOp44WzQbkKdGkzG
L+Eq5riO4hLlJbjT1noeX1c11T0mLFN/zjxAD9yxXuuQqWEkyQbcaCIoXwFXIPz4LRGPiM4xqnBD
mQScuOtqiBnGVSUCFi04cZvM4htRBP97l1BhtHGRj9qYBYcDc+gl1XuuOKtutOckPFHp0hW7tNaE
/5zEqaAAZ02BiMZ5hixG6SznWrU9L5PR6S1/Tz2DqOALLLOY1WVNm1WcppnzE09B+jqHTOc2Ye3h
Z5xzrj5EFkJm7TnTjXsbDEy5teEvPaS8ALkbpYmY1NDo7XXYXmKRpK2/055A2k1Rzuad4+Yud7QF
ntTVqN1iJnhqO9PGg4R+gjw/vVmV28z4mHFkbVxiEBAum95mMStreecmliH2tomNIMwbM4hFiRNm
Y7qdOsL4NDH/1diqYmKi8EHaWfbUpbM+42qPgWYcliHosFFaXA42epq5KFpL6951o6pzdMYu/xQ8
raiX9gCTpsyCUsWFHJwxqtNpUNybw+wNS3e+HKG0pF90+rjgGt1ivBOlKsY4Lah/igKznx8HT5T4
awPm8NsLw1/sucCH8wYOR5ijHy09tzdr1J/JmAwZ/eeDo2KnbFh8tdFb+7BK7XCTT1XexvCZxQui
fcok2ffHOMsN82tI6hb2OmlTxnuMLAipZN6G848i08AZeW+sdnuQogowylpedj12Ga2iTiJOy+CW
T6TJwg982N13KyCugz1Yc7+auj49uwqLd++YjUOleIqAgVmzxf2SZXkeK5ponw2/MT+mOp8fBCkU
xdTBMyQUgT6/UxT41ZFY7O6zkZP1kmbjBXbC3bWIEGyLYtNyE5TRgEjwYbK2bcshcKp44Eb5UaFJ
3ddEQGJBkPuObcG/0U1nglKc7Z1t+JTz8v0XBvnZSLGchwazl8HE5GdCZNokaccm0xYuLu/JZyST
aLxooXLnBUOs4/+QkDi9COqMZ8V+Z69suz7r10ZYTXc0coyJUQqiAjPBZLL7dHYfzJgDsu5Aqtb4
aHk3euDR1kWadPx179s5nkSFMz5mhofjyEKB4MKrTTixFp/IMQvbxxR75nveElrCazRO50Z4TO0N
YeOUddCzDuy9+kpRXlZBLS3WF55N671GQDWQRC02kGJYZH/lWCjeW5NMWQP/p+jf1gUbe7wsOStA
3o0oQlUo5ltf9EJd40pY2VPsBQW5acP2DU2Bj6m/1uX9QpbsZ2Y6zc3ARsFzxKcvhcWS5t9t0liM
NSAyeLGFIuNHJECrFwhs+Xev0BkLO5y1vWhSd5cTJtSx0Tn4pDAN4V2jHZndgVYc7zmdtOgjs/IH
uIKLALirunlodtCa8G0XdChpvvBize9h6F8vHbMXiqRgmLMSeabFe0rhRi+3Y7+GmYWh1xzvK0ip
8h7GWzmetNW2AKHb1BX3NuNYeL82g9UIyCzcF9dNyT6ywrcfIzz/0iBQRYSus9il13JEDh4z3E0T
ngrJ0NGZvAMjUZs4n19bzraf8vGuYEhfXw2BdozTvITk4OfJN/oIWz4DNtx+3RNz4XHeFPwVAL84
J+5IeFTZNlBBt28qGzYBcwFinotbADjuBsFvXlhy/qiMyWaET2z2SF15CzIpQ66OhBwy59Yp+MSx
kRj2va3tPt3R1MtYRM8grO562+NMpNuFvcsk7nfdNaY/7vLeK7y4YGgtbjK/KXGWz5qD3TBbXnmj
Wm9+x4bV2huXfbGMpeFAbiqKYPzR2QJSXoBtMtiI3oF0mkHGIgPlX37mActXy4M1eoClVvi/Yq71
j2EdGfRQtwReXhL4UThaBRtOqjvN7CE0xyYytOfpaO5Zg8EXmwfsALTeqMkvA1DPbtPer2gV+gze
qwi3oU6cECwwsn45KkQX9KRmlHGJfQMineU5H/6EJL3FKisFeYrQZrLdubpwbvO+tBm9GvZ6UMso
+WBkHjvQmvfV0QmL2ei2cjB7tUP0yC2WHHskL4kTMmlinYZ47X1QpSquOVN471bG8R9/GpcQ9mUz
rbwP3fgOhubMD9gOxlSG4kz4G2nOSsrm1UqK1Noupi7Mb8lUz817nhdheyeFbv27xhbMFs0mZQ/m
XOfJr9/v4H9Lq/jPCRG3zVf12HdfX/35vfkvoEYI27xQEv6NIFGX79V/exw+fuS6Z4Pu/1XL+PW3
/4OxR4kC13PXsQAI/ZOv5/4GdAgRAmkg5Jrrcmf/pU3A10OQgBTKdR42ogi4hP8SJxwbXp/NbfX3
Hri/o0vYpv2Hiy9ihAlRxGFIyf97Qvy5kSkHkg/pJDSjNiF71CpPRCVG/gij7QEnxA5r1vXqWy9u
r+468VX16bClaO7s8d22da9PrvL2quY+tapbYpbHehQ3luufgkl+y5vsxszWZ1Jx7MEtxQ/DdIUb
aW+B+A4r+4PQ37ET5kMtLg5bGVbke9wfipOEGiHoO9ZPj04XawN+8qosy+aqLooPX0rvqxlHXYB2
sK1n7CvDleu21Y1r1O5xxPQWTYXlHEh6J1hgveFbLxHgHbucv5tLYsezo1gdQGrfZ3y2pH5PZVPf
pl3hcFXyPhszZ8JRkPRYOq2O4NTHXQUQ5dax/Gwv6AXaNHyouB70aXDwnKKMur7zHuZFPqakqgi8
1qTh0p5qCtsUN30xMO8qHY7WXetTVIhsgvheBe6e7emFvBPr8xAGEUrKGKmA/PNCUCbiCHTXpf7B
uRyOk6KVV/7QPTYgUlG5dfbplnADa75G+9NRYl29D1Vz6Nu63ahyuOzI3F/lVTiqLc7JAxlaxkDZ
cXHzvS9PepKnoKgOgYMwrr7pvj/UXH8SE6GUfHXgrjc5t1z8JUlUJNk3SgX4gvomE0Efh10Pra7R
H4wudpU93PGrfyPkt50aPODBa8NOv4Zo9qI6rOWV5vxm+I++CoEDhXR+VDQ5KBZ7HRWhd21lxohD
a7ir2qV6AznOO+yMhEBZ3lJufw6sb4or1q0lGn2w7Ep+Y5fo47JKblQjD91adriYzO8zmfznZGke
dbqYjI+L4raVZ1iHRzcpvgR7dlbs+LDtfK6IG5ZruelxC4/YyHiAPzupyzvbbdy9HvJjMSKZYByM
VDvinR5ITTjEobmt0V9mVT94DmD8+TM1xqKRO9tMmpMqy9sy8dXZJ1Mc6da9njtbHQh/iSg3xYou
R3Q86NNbgVVgk0oCwiKcXpMs8P/Bx/hby/J/tQXXusBi/v/L7bkGG1Pm7/+6yv7+V35pwFb4G8kX
Fm37IoSy0v5znQ3833x+9T5/+mvZ/I911rV/Q1yECGF5jA6CS5vmr2VWWL+5IDxYgUGWISsL/28t
tRCB/7jW8q+bHlxUVnmXn8I2/ywy9gbBD5OHI7uIECnH5MCMLs/HJYYh9XTG3VPkzoVeqKbh24ye
NMcrMA3aJnSAi+G5AMpofnkZ4Ilbj6suKSNvmT7s1lL+Ozas2tzLAo/su2w0akrdOpA/yLes61Ez
kh/uEDUk095QdLG2OW9ujJ7ErdkW5pRtaI9UKUtbZ1l3AK4aQjXOejlBjUb+RDDAiQqUPfWk9cVL
6vXYGa+NUGCV6EfPPPjZWuYgCaS+pzFAfJMUlRrHi5hWv4gVpy5i2TzovWEkrii2Eh+GJvwc+o61
qSat8jO5S3cP0kL0u4Q824ADjZ3DRF0eivRxRXS8xAT7NvjhNUZwbReoZBF1ewPLFimIU5lkk9om
o8XqR/q0r866VEN9ugw/nY5boLnI/To5vndSGSkXuCn1RTCcGISix4Z5drApPNX71Gps/UOGuBcP
mVEgE6FRld/TtUG8AOs63Vq1k5sRpaJ+/rz6RCQVkloTYWRePpEc9NXg6vnKUv2EMlzY4mkye7/d
BSolySTK8tBmKNxRkLpNnkJBkZXNKjsZZLTcJDW+8rwhRFhy7Z7jSva4ClL8HVQ6rhMETCSLwA14
KLoWjqUu1puUBoJ1ozCVwAwZYYPmeIqt3Nw22l1mYkyLR+EcYQqv4Oq3dmNH6G4lQDZrftJ75XiY
vdl+yhGfim3s/bkIts6E84gnmbIUJv9t/2STThLtdoFNOjwqQC0LtxOfssWNNy11d+cGTVrf9C5W
Zx6WfmxgCGSOGsjLhKlaUUt0oKf+pgyUJV9aR1Qul5kETyotR3awh/eeheY+EUMQ/BixLIrDxPF5
cXcok0SHx2lxyh1Zj2TYAUfAmj+GqJ8Pqg/669UaJ/Fm8SQ4L9hmSWGMVacGezfOA9cP1uzcrbbV
KG3nWUyDKY8oBsqLQ6RqtJKxStQhnY0pu/Mt5UBPkbIzpm09KpcGqSq15u/CudwL1maehseeKBnu
hyoY9Tb0aEPFECaMnBvdOvv7MAGBsqlmsZTbmaQWMp9Z0YSX4IqdCEUAIpIbZ+0M67ULGFBvkqEO
MZRYvPIlRhFpQn7ldimKs0nSYlZbY06DRcXMSprs6Jngu2DUNoUos1i4Yu78OK0aVOuolIMWSBgA
+OhHymrthi+4cLCwcH2U+fLlQ8pwP3pfYOy94GylaTEGp0IYBa8dicbnBamPb02w0kMQGUsYIFsK
CVbjnJGEMQKOiIld7xolyr4/Ys2QdX0cDN/DbwRFWLmP9FsF+E2WqXO+N84yd3sn1HixECUd7ylR
FlNqZusefCRF9dTz2PjE90IAdPm2pFWGO+7aJw+J6eJGFjba/56gGEC/xBGqPhHPp+o54yQjjy1W
7PAuJRrCe18EzY901sEWDqww9lCqDEX6GV5HpKtVtvibhXgix4iXSVd5Ue3yHNLIZvF17rx6Qb2w
MFJI1V6RWDH91yn0jMtV3SRnPiFjvnq5ASyqhaHYPrX1svixlDTQIF/X4lXVYxm3szUfOM+G3SmR
JDwJlBXnxdFyvZ5cfqld0cJ7qNI8da+8erR6yYXcxN8QWvlIwcpYv7Zput44QNQ2FsUnJ7cU460O
a05loKvMW6HyNY2w1dZRTsLCi+hjwf3QNPWOrJXxlq5G/yY5cx3yHKMDCeLOd/ZkAIMfproEhrlm
zjhdgyIWoa6OxHDHQ9BcxHurSW5bQFWXJtwx/RYs4KY4FFnePll0CyZoxWJuTepLBgnobSsnSKRc
sTQ7xuqzexjAWKXbhIfYwTBmN1Aj4Nsh8CBoBZEawPuIIqs/JC2Kr3KGwA3qoE3PBHPk8mgbgzqj
BKEr9ORrD0tVtOQhSmEu50QPEr4HlsWgPxB0yih1bRLDI5BnDvWt1+fDY42zuTzUkzb5Vq7zsDht
tkvsCQc0eZt5G+D1qa4WaAPE3I3SuzPX8knKgbdkMfwnkxM7xs1EmTx+WVqhq7i2O2HlxzWW2kaH
17fNi/5loaXmW+qOHbGnmeFIEjIoIAMnmnOLw+ZNVUt7mHyJr51OyjhJwY4oHEYPc18axzIf0uu2
tll/xFifqCHskkchRuO0pCufSA8v2jl1qXOLWjWWhymxkOe0UciWS4O7nsyFCC2ju+56GESIq2zw
jhpP9HmasuXYybJiAFEWt8rimQwwOmAQX9ruFEBM5hVo/Qxoa9543WKc4fxAW8IOevJE/6hFZ/OQ
2RJr8xJw/ykv6Y+WTWybD53Js4zXYwLw9cMzmn1eYKxcdSrvO19TgD4VJnGxoj8IxyCrO3SACjD7
Bq/pMJdv9tJ6wAUEz46u8yOn9PTNxOy9bNAAb+y5XPASodooQAEHqnScaILxcQx8PBs5Q5R1s9hm
GZt+OTAGoTOOppXRf/DWdRBR67VjPPmrt9HdYDJ8HFg3pJiLd1EEotkIEt4bk241RO1m4AktzfDR
rNfi1pxJKbQzFDLSBu1+wEt1pfpVPuMtvQDOE28n/SK88SZUanOwrfcEcWwzhXb7mOBFmTZylOGr
nRb+hj3duvHtQh5apLiIilonDmsnvEnaLHhPveULWCkMk6T37/sUmveAf/LUKNvaZ6B77zszlDh9
3SxahXthzdOHdzs6tbop8zZjtlzetbgCkdlDJ14sDOIJh6lNY43Vcaj8cD9yn4CoURuxky7Z1Uge
cUd9IU1xCS2RBdhGBl6qDU6UPuX7Gbrck8ZGFUlTe9cz5br3RpGoF5sk3DHksWS57DDWrvT4VVaz
bZS77rxaiBeEuOryhqYQmYaWsiubTG69Uo3EUITZqVNCSQgqWMYcSaktvmKKR/C+FW9uP34CqzKv
UkZGO78sCEGgp27abrA20kw/ewrQntBJURTZVveFKkrW28Xe6sbhQ5a1RxJ15nXTdyhuDnOxdcoP
2gel1uTFDQPoft+iLcZrkDRX3IzrazFUK5HfDDwhkm1KTqUInHrn5g5JIT9B2burC9ndiCFJv/CE
FN+deqgffOW3W133NS6qbLkukrmhVITdYmaxC5h/qzpTPypseN/Qg9srE3Mwb755VyFZ8opn/RjY
uQFQpvQuqYedF6wZ9HrMxFKVVazWiXayKlTfnRX5N64JPk9gj0VxlwZJZm/mXvT3DWfCayeBNFuv
dEOxWae7oiOt77Zld4G/ZGMQNVkXnhw6sQ5VONWbiak+597irte0+8pxALXuwJciP9+K5aSawd7a
/VifxbIyBC94YiNq5DiHJ+3o3PT9DOGIiRvlcJh80yn7yfW+v1qJEqT85+I+9ijxTeSOBkgHYVqn
pNTDTUetcR21uMJ37K/cdT1Zf5Kkk3j8TRWVbYd11yyDqJsDjxMp7sRqscKYtmXC0T5q6jT79o1G
5t/CgmCcy3ztXLuc3VyOQ4g/Iv2yM+4AuQyLlNmCB+OeW8sVnBF+/d7IqdClSSzNGMNgX8bvluXB
STcSK6yeJk7YYXJJa1bnmc9cN9sipvlHHwwiHLswBUVvXCJMyNrQxzTRH24gXCxQCjz3e0pwbjfZ
cjgtgjVmHkf7LSjt8UDHHnuHR8lmavvVz6w3b2Qhlh1dXt1ZVWWPXbZbTrYYQAO1ej5Za3vbC8t6
aNyh2AvGTAfIP8Er3bfPVdYGuyAZUOOyMps3K/n4uAW8UHP0OuAouITVQ2ggYVdF5OzEIyDO7Cr0
9PhoifZ1kIqAkM3JftAMYw1FJWMzV+RGq66KNbzFDXet7iFlWrh326yLCLtwWYAqc9O2eCeiYkqW
uAtdQLFzWB1sCjlwnlwSoY0iBZGo+ZWB/fc2JMFFhMA7ZikaYD9Ub/2cZ5wKVzK2JTFL6G7TOsUA
78y4d1aQXd4YXPezsog25w/9iOEaEyFBf/TAIALQ+ijDoHmqUI0unQDyleX3e+W7LYlxdYnwcrbB
vBG3bTdFXh8Qd/L0Ow/Ysjc5HW5pkqkfmJD7cV3yXmNNqHazl8g7K1RZNIyVOoshY3Ivu46RXvMI
ShC4AurMEX1zjMzucv9VQvwsnRRCuTVnO8BmOjIXakgV7mncg2zj/my8jpyHsRCwgG3SFt9jxXBh
3xfOul9Wets0wWGuHCTosd2o5GaChYsxh1rRXbC6w9EiFoC7cGWSUlJWBo8QvBru8vQdozbZJKB4
h0p709YpmeBxywc1yDHj8lhPiqvRBUaVLfifm/Q+rQPjsa8dcbUaIY55k8RUyvgdHztrKT7e7pmI
WvhOyqm5BxrCIUBMXJHDVdUR9XrGW38BzRX0nzOD77PHxk9kNKMhPv5v5s5kuXElzdLvkutGGuCA
O4A2qw3nQZREiZpiA9MQwjzP/kb9Dr2rF+uP96Zl3bjVlVllVotahkUoKJKA4x/O+Y7Tzp+t44co
XKp0YJRQs14rY5WvJP4aPqzGTO8AP6Rn/tH0kOnK3XG4JnsUzsUTze7wNoMvvA+CWh5TSI0oXcP8
rkUgfJhLipCsJ0qQ0yHftsXU30I9LY/MO18c+oIXv4yjH54gmNeaLBeFa+IuWeey9GZCCAVBO2ck
n5fS6s4WO5kFGfQT2tqpfiewRB94zPQ7y6ycN9I1cdwREnIXDiXkCW6Wl2ogMH3hN1R1UdT3R4qD
57q0rHWM44zge47dhj76nZC+q6YnAcJh1KfBdYYtJvDwqPRU7gqTRrvwUFCTDjVDSJHnfEqcDUKZ
dDPlYt4ApZOb1i7VKx3KdCJ0D785+EdUX5zDB3QE86mLmov2yTvVUnB2hq25jKcrKL+LjhPG2Jsu
aMJ9n6JNGMveWyFP7VdViPKG0JfbwWoDeAT6qYKVte7Y3HNKMU6Im+6OA3v8qRvV0UpAjtnGIfgB
u4LKVsEoWzgEgO/dqUNA0FtbKMfDcwx1YG1V14eK8gn0YAC6BjkJZZFIzEvpq3Nid9YyKkihAdY/
LaKm9ZYwellu4YpaV2lgnXyrqRflSF9vmGZ/3+BWheFNnAct2uxDSrYaVTN6rZu912fZdvbtW7eE
nNbYzJCVZb7XZhDuQo9dO7D8aCESIoCTJm52Gn7oKqshjgF8LPY8zzHAT+181r4bnwMMjcfa0PSe
lt1QaEQo57uiOOQtKCppVzWFp7jIqrXXvkkkoAUKtC3N/uKD2MGLFBsXTT7Cg2lOCGFIOl7IsHZ+
jOlMjmyVIX0pAgMek7iOcU0V72qco3dtFgxbqEZfDXGWx8AowIlKIH2CdvdninBzFVhA1RaKAeGB
eGj0TjFF26p0o3DN0NLfoFAqj45uR6rN3nkVnq7eAWa74MCEZa2Y27RgjFR93zSEvFydW8OicFOM
4pyWiMTDNFtD5VIfpgsvJJsMuS5koShvOgQxCDnyRT03w8GkiF52SCjBMWBfp3UtDpnZ9i/Yaaql
TR1y30a1tc1IqNyargyeeSQHa8NW6XuCcXcdaEBrpeua1PJlcjS9ydoNZqBXBtbQRY2Wgl1jjweI
CpiGkfz4myg2h6MDhWHLNMtC6qaNA6mqp2p2hnXRqeDOb9hnFwKNGRqiTP+UKjWRqQR8vq2+Mlz6
8I1ZSrhhoTxcHTQjdrrOz+/JdUGe2Ec9YcVtM1+JC+9NVFk33uiDpcUoDIBT297a8rlv46QuXufE
mk9mhbdJNCb4wqTu7uVUxKcZgtCmnZCUaYxhG6eK0CwFcvgBVmFGrFO6aA47b76bXC1eOjse2XxE
5cWJaRMXjZk1pwwL5DJA33hXz/a85QEi0PAN+ZfKbIHrMSfNuG51CqHFmB7axPsKXKFvcuRyexEx
lllUnui3bh56G1RO1Vp4MaoZ2vuTQiy3mn1/2AAAG9cqNDzEceMIONkJChgBtmGcmZkyBxNqPMtk
jh+jgZkPU2e5NTtH36K5U6Qw5aZeVcrWi6kNzfMIsu7Imsp7iHo93fgp4lCsx8Sx1i5PZ39AGGeE
qbshdD7a+AkkHUXfvpmqwV/mivA5P0nUj6abulWbuM1GpJj9+6CGncakDZqxKsirbbMBvJWw+m0K
hxrWEszXRWjbhlgEXh+sGiwLZ2XQqhMPxFqm9K9jzlSiAFq0tuF9lUDfYOIMFrMJBjpqbwa9E63G
gKkrVpn+GsVtX+OqgKWqiUcXY/ip3rXexDKP2zdbe9hRtyKkrdXYAJHzRyHNUdSsQfzEALLdof1Q
ubrWz1NvvRttF13UnILU5kkzPkUt7awjSm+r5ik71pZJ5Qd5HCdOM1FF14rhTzCxcAXcWSXLsJ7f
xzATtz0Oq5OYCUpuDW96xO6arXPwtz9Loxvg/rGOYo5k/QjjDlQhE+azoyofztSEYiSfGwsTciSf
w5JOHTaIfWfW7nDCZhLulTIYj/cOA2PLbA3WVVgzEzh1m7Al3ZgsvbOXXUFUXJ30qRIBmAL6qALx
I1dBDPKQogPOQPHSDtBkYhSNbLsmb9nV+iZ1TPoTO84YM9pfKcC7HaXtTy+GbpK0cOGs4dNr+tuY
Lxy6nttY99rGfpkoq16IdNQbUEcmAFPgvEydBSliutkorscFdQHOm7lXSyLVGC14+Jg40CcertQs
1dmJy0MVXx8UmXEWlcu8rCkugyqwbE4fYWi8tSXCa0g98i1P6q8wStEhQYuhAkmqjXBEfjdbEM4A
6k6PlBE1ojSbmcRsd49G6weAL0sPpmKQitNoJOHGQEt68FVKX6Xy6rvLrOxFJ/FOSA5NZTMWj9Di
7hGGxEujjGPa/sJuXHQ11vvM1nJDYy63HNuPk8M8wlZNsmKYdtJdTR1otqaxn9r0jNIQRMUM0yMY
zNemCKdnwEndVTuqrgNz4s8bJh2NoeP7Zoyqm1DK4ESIjVrXlvPADP2pDi1rA1b6Sc5S3gZefZJj
pVfcT/GKRHPv3ki8Ywny5paxjceVRi8KzvCUErv92QESpNTEEO8mTBQk8XC7JiCauQrpSMWMosSZ
MAt1U5ZjVk69H5Y1UVgJn8qtJMRuSqf2hz2ArYNBKWi1WQDvcS8+2mmjjgjC2r3ZIP92aPZgm5CC
hidBbFiZ+PcqtLKjclnKW1Hq3hWEoa6osNoHU/YGItFkRAjATTlqD66ZE3bPQZKmC1qh7GVMr4es
k7KEza2R6ZrMLeTZcZjG4OS5iWsh2p0554jVq4D0uaqdr4Z3wIBx5PzwLAasKNJ4QRKZF3h8UZUz
EjgrF0nQmHMB9z5jtBLmDwDKXG/ZICcnL5DjJbR8Y4t/X92iEIqZos3wNAxd/3aeR7sQa9v96OER
zDsQFAnt8YVFVLmtGNgdOgzLmOgJUWOBJve5xTCYpfzNqCCdTh4Tadi6iJegV9402agP/UAxWfC2
fmrP/WZ5AwGIjTIi7ivQC4uwv0YZnjxMZcS5lvSA3eIxeMrngkltUrd8B1GG+kA348UVs1uD7cID
i/gWWyZInHoxzCCX28riPA4ceRogvZk86MYe2YBO5lU6WeaSClkB6U4qRW2HcVewrDmxBGPoApX2
NksxkK/JAFRQ3to3t4O9wIMEtvTkZQoQVQP2Fvv2wRwmxtxtD6/B9jgcFGRTdJI+5IqiOhUNUKDA
7G8dkT4GsgzuZUtIGgOJgNwDcD27NC3jW+a6EZvzPr501QwRJHMxLysDd4bt1dCie6brC+TGl3jo
Hvsgy+9KAGe3vBHqoxb59rYj7Rr0tGS6mWO65ak/l9shRhoI5KE8DRU7/1SQzR6ypzp5Q17c+53n
wGm6utsYeUwPiRNrNOlo0RAoDjuDxG+W+25OBdgDjIG48QFT6r1I6xQQtB01zwymIDH7toruQCAN
Kyna4VBVPAoXsMXZyYFO2KWaAAX6Jn8FXsleNUKCk2P4C81vTM5NMGDfCKmEdl4tzmVljZ91Xoy3
8+AbTM+aV1/QjCxMWdeM3dsPHbnjnvZuZhhJkeT62blW7H0rWZ5wJll7nbrDPZd61i9pVudpLXQ0
jmfgtdfhTdPkDXEEyaj9FQMNgUpC20FVnVkq5w9JHVL/+6ljX2jsFaSPvFQvc+IGTQykGuLosuWx
aS3reJLxElpN131Cg2WiYoiRHYwnE5SC2oUm81rUPdq9DmV4vUvirKLBAgKDcLKPxaeVpz5L2k4E
w70zWNSF0B0eGtw7zarP3TEkocIaq80kockvYZV3GLLbYkTdkZGHQvqn/dDiwcFPbXTlU9nwhGdS
WSIkn+bink1csSkxSIDad51wH9dF3C2jqVWoFqPI+9HjFPQX7Nb5c9GPXDCKYvr6Rb/0KEZOjTa8
A9Ox/syRyXzBwkS2gPlVAzWos0djRp7jSv88VNr9mFkOrUU0Wksyme8bLqQFOl0Phju7joc4V4CN
iHyYbyzcv+zCrda+GEIU7UYHLDuqrHH6G8Q+5c8S3szZHCR3/UDHNu6NwJVn0hqcV8gytrnvkyo5
JzSwKUOfEZmwyrzIW2u/HG6dcYjAfzBg8i+p4zVMdSLOhnfbMZCqj32AatXxCyCzKmGtwPlL+5pN
Nh9izwQt4tHtpNVtG3WQSmvgpY9uraXaJK5jDk+R3zbGHnZdGH120Ltp0gyuHmg+qIKhE34LgGXJ
Tjl8rtoWw90wh/E2DSjNABu1xdvMw2uj0hQgQN7JbCvB7MYIA/oY/lQcD0xOjeESK0Nu+MDEsQPb
B2F4ZOaXiS9n5EC/HokSr/6Gvq/eecjLbyWtAry9sf+g5E2X2m6uW+YWR/SYdivBs4GmGxZby3Zv
W+rR3BGpoE84uB3k106+NAd7/vZ5EDzmwkeUhaxAPXnSdc4pRfWnqbRz0ePovZh1UK59A37PYkzZ
5AaFE930QuWHin31ZymrbgMxa+DkwkOxnWtWtazeZb5gwVbfKNP3mHrVTH5J3mAE5A6j/TW0dQ6w
i+VUOrYvztBzmNo1jKQaszuhZ/WFuKMKLnk1fTP1NFdtey2vRiHeynJ6D6u2BEphWd9GIrt9lHrD
/RxEzHnikGqXExpnT0SxKRKwfqIZ1YHoEW9bF9yy40DVm3MVLSEMlmeMsGIXGao81eHEJWxMswXH
psPCbCFbQGo8nWLuyn2OXDCbIvGjVsL6uMbAblKjjC4TcLlbv3Ggl/jsUjAoqtXgzMHO1Ul6cQmp
2bObeaTsFuFiztxxiyaBrzjW3gnwIlusfpi9ox3bUMSy3n3si858wkyfnj0YkC9lMfOYjQu7XPVG
BTkPy5W3jmsSKTiizFtUM2D62dG+eFWbXsImmk6mmIYVsofyZCv7iRNJXLq6iA59zn52OXf0rAKe
FTtDG++vn/iCpUw3IthgPK2VLJ9gBx3M0XUfjayXy3nQD0Ftfk1zCJ6rA0O3sJi2HgpT97Ro0me9
iABYYjpeIa1H4p+GMG8h/S9rtm4LEzRCy1h0leJL3bU4ivZpJvFYlIimybYjRmTi0H1Ox0BvcDt9
wnHjyOBwBBI5KPEQdxYoaQiVl9m13U2IBbS/ljbXmy7NQLEgBlAqqvYm7AXk0jbFfjjaiv1LFJ0a
YERrBksfjR0qylB05UsSTaZliIh6388Oa51ctjtuL7FjVS2X+bWIx2NW3/VCew+zF/jrqGrPoaPs
MzEd/XOUZfF3V06WB0t7aL78YRKnrqrLj6nW9uPIEYAP0LcugCeHb3QK03ftly5srwT+DytxrAD1
sSJF5gZD+Yvph+IhFNZ94vbyKfaRQLJdoPyzSe8I/I+wJGbIE3V1BNCo4m1hNNUdqyiQ6BL9iW2Q
VRKMWjzgAGjugTx/zmn0DiOQoVsm/GKns/RCnlO5Gey2vmduORCE1FBcBK11E3qapa9TqeDoT7gJ
FrVTEj7NFHZhuKxYY56fu0YASIgGt2UbPLELmMhNdzEgU4HYZXRMw+QVSEpExGWadM9pmTF5dlJ5
4dKYeW47qb/wlNqlISdGPdT8SoN2b/oAtDyuB7HxCg0cMpf+GqxS2SyG3IZBW+NSX+NW9E8+6dz3
NQgfD1P7arZNYCklEkZNhfaYlEO67nwUJ9HIz3oRTFlZUn5Yfee8T+wMdspuqa/IDSE2iJX5Y0gO
4COrovEimdHv4zaYHxpMoytVQ3Nd4KUDRDXEhXgpWSXsksx/NYmROriB7xwbBMFIe8PoJ9MP5rFR
bqTWkocQ/uS6HGX0VTo5XqUghiJ54w1OsO3SZl9a3LM3mg/jbjLw3d6gwlEb7ORzumljQiSKNAZo
zp51xVXGuqrV9SNXS/BGVrbBm+uwMTS96hjnOYLFPVZTReeT9UT8CHdvYaFYpIajdobSQDDspLtR
Ku7jZ0z90cHUYbZyvUZuUwB265Z0tJPddc2psAYZwINR7byCF11YhxQ6sEOoagVDEB6hA6qFhWni
rAZBzN1B1yg3NmxIip1SrsZOmQDfs4ypGTadVnb8lphMsyPOrInU7A7yTfdNrLaCOm+hblqMc1Yn
ZwglojvhhJMXt0SVt3IiTY7EYqCpMZ+d0Qu8s+XOoX1jKB6Ku4jl7hCv/dxMeaOi8+fpUIZAgC+j
DXLj1Keojo5OTn71yjYy4a2bFPPsRzcLx7hDS5aFZ1a5ZI51teN0nzMczRQZWGwY+as26iAhy8rz
CwRPzDgTEwY8SQBu9O5XppV+RwaOqzVLX/awWap3kgr20Mtak5hQMdZwhho8qtHqWzwqeml6mPFi
hsuPzGP0sETimx+zpphvTe75HcTEJtrjbvfrVWehnoFTE66tOneBpcl0NcSmD2HNCR47IXaFGpkp
osORVnqTsCr/ZpbU/HBB6r9LQ2YuwzOBPaNI5uknE4r5CwuudeiIun4fLLtzD2MOA/6+nGm2NgUh
hc5hKjHtLuZWiq8qxiRXlb65dlFGsbIJOsScQWqY21yO87eKaJcmh3AD9kA5sGlKa19iw8FyuJg8
aW0wdWETDvsKhHc3Tuu8bCSPwp51wwNpWeLbmxT4OSul/Zl8pD1J3MwBIwqEmKSGOYzZzrLSU0fs
DVG7RKa7jpzvZFwRgN3lSSLETTSNsXjtaytLDRBXAFdI7GkipmkCNks/XIxUldldPuCxQhRnz25f
QyOG60cuboafkAbEq3v3tosnNz14vp/6m7AaY0psz+v6B0dUpp0gLzQlPid0IiEj/6gPUMWtIdCX
2zmcshdMbq236qp+IrGDCLtbRtojVmOXkDtyTWxSY1QQ/mCRMLwBBXGT1RhiQF5gmlHWvLKwzbbR
upydPHzhcMzSl7al+QLnAI3Sh9SarzraxnI3Dj4gYtr6q2rczMqQZyYRYGG3HryyGe6SMWvSCxoi
DG+LpAoG4/4vVyXyf5/c+nP63/8JcMf19f7+z/5nMDnIxPrto+A3C3+WV+bH31geV6jIv/zl4V//
T4+r8BeMx28/8rsoW8q/0vuAVMCH7PuO5fxdlM3fCAvZNUEsJvGNrvo38wvz5r96JHlyWaHnxgFz
BTL8TZZtCOuv2KmVNAlw8xwPgs1/RZdtX1XXf0A/CH4lojUVHhzHFK4tUKD/MRaVkR3GtZZCk3VK
ZLCBTK8VL/HbxmoAoOpu7NngtnFg4gErHPyhY/I1G+MRwxlBZVOhNBTEwE/0FsUQ8AZigHxcCpMw
EHrWHWA71zKYRYquo9y2/VE/kF2euasWvXgFWzES90XjGphQIx/jtWNdnXVW7jZfdEy+zUS2tx8C
Vh/pynYmUjBaOJpqFY+IqR2KNw4Au3pte1V+hvQfHwjKyq//5qv7f+B1K648l//YTHD51//bXNWu
fzQT/PYjv1+3jvNXz3IVjZxrkqTyB9OWwLRF7Uw/hprf++W6dTATmPwAaEopnN8v9r9dtjb3gSVd
4DSSC44L1/mvXLVXlsu/XbQsYm2luPB5dTaGvOSf4CismVpVOTYo0Cp566ORbYF/zJEp069hn/j7
p3L/+3/6x9h4pf4UZPnbi3n8Z7wftPjwUX69Q5ATi66gDl5SWeX6MU8qq8JPABUShGfJAkpUyGlO
kfSTb5RJhbfNI5shstX23s5scwR8Ua6kw/SyD6qzwXNF4jkOk/Ze1NIrdhwvXbSROi2Mfd3majqK
Ouhq+Ieje2IBUZNeFnXiRrZxF94WURLP8LmaqT5Gcg7rjYbBHK2G3Avnleg0YS+WgdgPYCljSOTs
ulhN+Mb5ISkQQTmwNdMt3t7uPu7I86XSZ5h/6Ku8TpdZUef5zhkdxKYVY4o57PmfuqmA36GqvHrz
U4/dNemlNsFsrYt0rcHJy5S2b+37pAw9qsmUuhZ9pQanB8qLJCUijMKNX2rTWg1mYg6LzjMj40Q4
iLknZPwaT9WNY5wvNZ1AvS1UaeU3Q8X61FllvcnmkfDfoNvToHAKUUfTSQL4Q1rltZbfbCOEv1DT
RwPSfRvyJbKcTnyI8W0fPo9zr7FhUYjDMksciq/Q+CCKZm1ZxrkaqD1AK6ERpPJdpm1lrMeYnAjc
rTBO8OUvbAjKmIuh41cs4ZYY7LacPbCqC7pDq+04t6C5qk7e+pX7ENJdrqyge/avrVY3qWhtROI1
6onqmJMHENDIzq7nnki/pIHMCf3OsAcEuWKRlGy44vf17Mk9tvmAMQVqplb74TLlpSmE6kMMAdGf
WQ/TR25s0voW1GxbuBI5PHvWm65xN0zjbmB6wRHp7ODJMURIxzPJpkRI5YRRgGYm3w8I7MSZG0/I
KISLqojvecRFx7bm5xX8vR5NLBhTAGZa54IMD/ngFBi0ZxG+R60AVxqeKi+jAWmBTtQ6yLcWMzun
lvceq0DyX6tVYhnoM0il95oHysnbFMX/LrPEQZPUyeKTFwOJukiT5qSYjtlmlKyAZ27dcd7puUC/
wasDg7yBln4vRfQThTMayKa5UMM9wqFfS4pkTBHgP/vgye6GI2XwznASve59BhWtDvbEhYDHz4js
Em7M8nNOF4ytrr8TPGWM5kvRzYsm1E+579yByPMJSMOKXXS6wcuHzcCBOrwkrazGcRe9OA12f4Iw
7gZi75ZuR7nLE37ls/MvDP/LMnwmUP5064JD30ay/dlOhPUwVyK0cI4eeeCvmkxvArbjJHm2p8rK
LygFCQVD6z6yDi9YfpUinHFsoPfR5i2LhJC5vYSJYqbOJi+SYhlU5bQJ0MYuEEg8C0ZKKwQIJGLo
dushbpIKsE9o3AiPt+J35qdvAHMyo/Jex9G3DvvHfiRS3vIRbtRgv7P+VdnTjrU+u0JYfdAr2w9k
lQM2A9wmdg93eS4DA0+ofTJ8cXRn3rSmDGdHajvriAXpdayhV1hs7m3YeFu/qu610Qpi6usv7IPQ
EBLi8oZa764QuoUduT8tW21ybJVHUAoPldWRJTah+mJUj+WipkHvm4ZE1ULfOCFGzSuEHJVG+j2A
peR/8j90Oi+HzuC9BqcUp8w+8Afg4Bhrmqz6yR4EcgHkCnjpciMJVSRJxGBiEJNWALMmQ+6zaF1x
N2hW/k0X45A0q21sqI2dQ/2dXYSVI6QpaPho4vNDNNt7mp2jeTVFEcC9NkFstymLFF1zqwo3PyfX
3rCJEc4Pkk1UarO79qyUv2O92bGRXZramVf5pB6D0sVvmUJGdYW77gAWrJPSvThW49P02RvXmJ7b
eoSBEbIkYMvnsfqbEXwv7IbQQpHSeBuRpR9SHtMLHban3tP+NqZpx09K9vHYFd+QWZ9L5X7BaNwW
lhmxaIlsUrJ6G0hNZDAXij81aXVV4bFh9CcQMWnfrUNyrBz+eGPSdC/R5yf7YjAOE56IdRd1bcuG
PzWf8RhHu97tNzhV1w7+FTKugzNSuluVN581gukAVwiauUiufXjZOfYSxipUguYcX3IaV9GOLv4p
iCyNbFrO3fAW1u56nhs61Tya1jwkilsu+nJtmVh2TlOm/aVFG3Vn2nm78vuIhOYsASeFm3sxDGTG
qvbg+gbB4AEQEAIQjgRvHOrKbkEjuN82s2/4EWnKcxGPEfouq/P4WOq9R9hNnRTmUXpEOcLZSnd9
OUUAReNzmDVvjrBB+FiXDubQIi/dbUMNi2BGuy9Qte2fbZIbtPQW48YxO7ms1oCnEp1rX0VJct4Q
qPbhV9FFjKXzc84ZWEtV39HDzue0nrPtZMcbHn4f2i3fuooj2s/reZ8YeMJExnCfQJqIIe0iKSom
FmO5LxQr68ANPuYp3I21/B5KvlwxVN4ucaLqHiAulbpCeJgy/uURWeQXhJTNtncdZ4n2zOaD4ksq
zOmJwHgEnkMECgLdTKaqByFnjFSxdQJa8p0XmhS5/jpun21UD9xUudP2SxkX9RLiMpquQvKYbfq7
HkCTWEBDIrU7L14KajVIQq132zAgWhCN+owQGfluelU2REA3izwgbqipjn3oN2zQUeT6ecwitEUX
FZqoKNzkjVl7v69M+erNFbM/ovDCKj8bnFOBYyHrBSx1EjkJ2HacOjemneqlmHrwoE4NapzHi2a1
7JXxWZbNyXOLR+nF9tqaQzxwALXWMhLOg/ZndK25iYRUm9mjp/SbnHqxmAdnG5AKxHdpxjsjNOqV
NeT9uSbl4egI41RhWVt5ynwLuSOQt5n9jfIT1tdSuWt/zI2v0c4++2kqb60pfpAxxqfApeTxPcN6
lh4+8lHGW6dCM1Bq9UZ2ebUxHYnyKGJta+V87bUxAydpui2qMMTjOiURxAz2aWdDPIn2jujvLN9/
H53pxBXu4ITMUb8F2aYH1rZgD37b44RZ2LNXAsPiKZGnSGwmDPVdGrJ/1EcLCAFJHcNXiTDFt60j
Yq6GcUT6rlL7Tjf+XdLFlwpOsGVmpyYykf9W2Scx1AsjCDMU88pcxdpkOi7vlbDPUHu3zNRegb7w
dikxKOQ4Br3aY2tjvnce662yl8+8W0z39fQxjOLJdDsod+6IKNW6EJvxkAuzOTg9SUpeNhoA18L4
LkdmxCQMl3/Z1rjmjQknTSBuS36ZaZ80BIEsnGrO+i0T/Co6x16CiDryDBfwlRqLn/Eo3HQfRTUs
IwRS+UNoCpY4HMysKuNUQv5utJTHKs5NtTWsgKieMkHougN3aRbvaaPTFyQI5VAv0ETwqHRC3z61
OAIoCW1yjcgu4j9x3KJo70zk2P4/Ab7+2rtf2yCfpp0m3CRZyuPPv3YmYYE+rswic1mydOJUGES5
KrnoblizBexvYpyHmJaD9u4f90RXYsef+i/XN2E8MmiSwgPh8esLV4y/e9dm9OZYJbYSUZHQuRiT
rkY853mpvTBqH4dIMgOdXCYq53vHyov0Mp2JwLDhtj2C3Ri2Rp3Zr2kgcCo4Fukbbt6FK512LIe9
2YDRnSZaHiOAFHh78SEtjLmwxcJspHnpydurlkippt9HWb/Pb/4/Hd+//1TpbHF7eOaVDOLJKzPk
8/0hRnj8L3+x/ldduJGbDW6PN7Mhrkn62fNgZjvW2zyFmRC6rwz+2bn848/UYhD0p8/0ikGR5G0K
i7mO/Sd+aWpoQqPMEe1JMlzTh4rKfrJRPbUkJU2IhhoxzED0ZMydlOcTXcY0ewYkfgWnkmveN/7J
1XXta39tsn1HXBt2weCKJemffiHI4ZJw68Zc9lzNx9wtvOOUtsaJlLn43qgqA4qlGwxLZt3/jEj6
7/r734YOV/m1DZmFucGvXwFADA9zEx4y1qDhxxB6LBLJ9yZbyRYJ33qD1c1b/eMv4M/XtOSVGLdJ
JgqQan4buf3xax8FahY3cMhRzPQhd3dF0K/78vWfvMifLy6pbFewvASv6wkbtsKv70yOtm5zt8xX
1qO/yVZ6f4cFe9suPn4MBzQZr87COvPQIGzBFMult+PQ3/zjX0FwNf/pm5UMOZTnEbDmcgYD5P31
l4CREBN/XAYooeujn5aXiIAz2vaeZQiBII9TNAKQNwhjj9I7XG/7quPozb2YQLis0uj3EQAWcAfx
RnLMla7fHiY3+lZGvw/CPkOk1iXXLGw7PYtGRysLPyY1a/QCpTflmHeqraPYMKFrgim7aRkayLl8
LDN5cGN1jxSOrXrDhqS87Rqx60CtsMJiLVZj/MBiiboAXUU3eDyvbRsLFyXiDVk1Yq2N6Vqxj/ew
9l4b85qOmj/CkP7Udn70iL9a0cXcEsv60sjpIDM+ZTkPL1jP3kQ7vcHNeglscSCCD1WwF5NxnKzd
6zZ9sq7yR2R0pL8TOC8IA+E7Ckx2QmpbOtPetOo7f3DcY+t5n4kwNrpDXcpW7GoSvcYJZMkjgNbb
ylGbmVVX63qH3PZWahpXvm/+GEkRijoFqS64QUGxm0f7gZ3Qsh9iEllU+5ZbFId288Kncimvwbao
ljcohLdonQ+5IV+p0E6tEd5GObIdwT82QvzWVf8yIGVOE9xGNGgbcvu2MjI+yTk7CisGQ1MNP0un
vHBOs5/v9JYtxyGAmQQmXq6MMngqvBCuctWtSchZprHL5kK8yjRCNZM/I65BL+CgtTGRu1ZTu3G9
ehlVinCedF825FJUPvJ1uQ81x0hS38LEexnD+Fob71LWy+TUvecjKYi9XT7Y8fiYAWkgnWxtttYP
Q7k7r/WpX/lih0zftW12wWh6yJ06W3UDrFlnGHk8eCV7Rl3QyyTFGz51tvbJNeKaMo31c/RIQfk0
drA0mcjVy8zkKmLIbp17g/HC2N11dnEJ+3nc1PVExGTQZJ9FiYagMa2bgNROLYqjyvt1aY7FlTSR
4z6NbxztHiZfE5yR8x17BHcTD9lSanpbo7lGngMOrDJ9g1ffXiLUOxs9SUjEcFL5dsmt7bVHGuI7
o2655MGpExDkHBJVHWlPD77mPutnN9lUPkJriz34tm8ye22EImaVnM53aVndwO/ZEvOE+9dJGM+b
Y7LLhmjj9u11CaTnvdMYTw7Tsb1T98aZKc13gv/q2je/dFn3o3Q6d8nui0VkjjK8525bx2X8/0g6
r+a2kTWI/iJUIYdXgmAURSpa8gtKkm2kQZoBBuHX38O9L1u7W7ZEQcBgpr/u05+UH736tKjEdFji
3uZakK7Ysx4M8bK03n3ITClz+2A0fjyk1ZXrur27ZDc544aYgJDe2EurmXMT0i8k+z7TxmtJECNx
RXEJVHoQ7Wq/LzMj6GUhhNLxhuvxhtSebrGp8DIEwtgQRIrSmKgTL7tuEFsxTFhZrGE8q7n/l9re
qRkZPje4bLAJ454PpHuJ8uh5IthhqOl5IuZHQzORzNQpYc2hlQE4occudT/whvcno88P6x3v7+Re
bNfRpSuJsDjhqwm1WjDG2QbtipeXT+9rj7Y+/ejN2aeqbNIJ/V7a88GqvX2XspNWHjMQtMa1XR6L
0bqmkQc7s3iQbfHV0jAjpJGQ9N9qNAqjn3ddiB9gqa7jUnzXjZXkRIYL4d5m34xluJ7VApjCEuQe
o3bfh9bnuILIs36Na1eeonJw5R4HgZH/UtLU+2HCK0t+AQKubLcKVG/SThIQQUfTOo6cPhmDCDCL
/5e0wT0CxcB6J6wloFS1WI+pB4Mi8cfO+Aoau6SnLiNqKMvmhTI073mcSokkzEWPWBvx3pwtQzdP
PU4fRtXFTJKJ9EOvqneXsyE3/1K9RwF8iE7Ncwz2u3y1oqqnUSD8Mxi4MTX57Sqytt5k/DNG30MU
xDFLjqUYJryaVJpPcrjRBxPG1uyY/+YVkeSUDyNKZ0r7GhNl8wJL+wyMBdJD4WUEljRRp3xdL11h
vnm2tkgzMeHa1EXwNsKvICrj0kskJuZOpQXY2+aHPIeyZTvrBMN3BuPlVJbdcjGojWEQnFFe3ASL
vc3C4Yofodn3Qh39qABcabqxwQh80wJ+jteU0xUs1AvxpD6ZhEEOJwRJabs0l0BIAeWpYmJ5eLPG
EpezRVYC3CXqB1tbUpnvg3I+6LUlciBxfnuBsqmO6Y0TPt9HNU9Pix4e3KUxKK0IhvYH9PUfB8bO
3kp9ym96vJibGm8C5GyKMz+hQLbxHFAt/i3AluE9GBBBNRUym6XtP82p6066oEhlk4ccz58pPMTx
D9+0uKJVuX8tpg47Zak+T8repZhK+Y2HtFhRf0YImLTnVlFI1G7BXYh3u0ivJPhd48jSmmvUGGjq
WyVCqjKAy8y0JKfu/BvL4c8IJq4+RMFkPZJiGndzmDdbQAfpDiYy735M8bnaFSZ0yk1VdfkF/YRu
Zv65WQvnaenwYbcpPNuNnLpWJTzLBaCaFRFVhHZ7XVY1fmS96B9rIOl4IUJDbUH5Ubs6tyE89TpI
Ki2655ls6jErygcPCvTGITQQ5rowjtpzdE9Oe46eNfuL1wEb9Ena9FwTSizqJ5gZ3MiltZ3RrbZh
l1YP3IwDedB556r8tug52IdG+65RtufQMTYhzdxbGwZOUqJSEuPs9mFuVDHAkulX7slnKyJ8kk8s
gIWe/Ke+B4uldBB9EAii/4QmVPdfg9L6imHaJWrprLShALmwU0D0NGd2vQnPiSrotg8JcuKKM7gd
qSmm46uXc3mgjjZAgqUR94WtiNjgXg2P+eQJCL1N/mYu47K8Rq0LhjvU2dELzPkyFT3s4zHvYw6i
6c4mTZFEKF37powqWnLIIYc2VYW0T2MVWqPp4EZjNRxAokAv9gAOIwdqFnTLLQpw7ymlcFGHVXtA
I50z/dCE8/TBXMzfzuv4wixxPcvBQIIw0xR9hDw0XIXxKgOqeUBFdvmmZYOHbbCf3B1bbExeoPaE
Y54rr/vi0nzOefRYjvYdEgAYr9uXhCFBqgRbnBdUzI0VyWbHksGhYLr5V1Mx95BmUMICTNbsecz5
KEeZ7jPuy/vbU6/uzrG1OM82iygNqzSHMhE7MyPC76HAmhclYEEXt+gxDL2ntLrXwq/Cj/vA625t
sOzDtKBc0JMJjEjrEOgoafF7H5mNmAR0RHsep/XCE7LEkTXKhK6DAYxH9cXbv6bLd0qWnEx80VZf
Q8YvZ4iEt+3t6abqbpuTiGA0EOB5Hf9mvvfs24bi6CJPdlM+TDahf1TvWxVGP30ZkVIsx82CNkNQ
DBQ/45iFGZN1KClWlg7SL3WZHLKz6WI2UlCOFUHHvZv78gHganjLcNMUq6oOGAF6wGjkTN1CJ3PG
SI+hBm9DIqrUjN774tb1LbRSmq18iPMN31c2E8kQMrqOB5jFbURjMX9gD0E4ERyRGu3fE5swLPfs
KB1wJIfWzxgQloU1JR22ZK515BW38R76UzA22A1ghqo8TOWUNV2C0aDOWXvmB3LlcEqJgbtNHWyI
5QpsXOxfAQXTaYMWTDYcebiPg1V6wZGrAJDR7RcgScFhoo+BCqHV/JF4QgnQMEj6U5RK7A3kiuvQ
OE9CuPMjAEvnxZwweZMYu3Wg1nZe7Ta//UldcOXrDcTi/eQY61PfsFOlXuONqMz74BXLBhwjlZar
ew1SEwKB1ZOncpZTJtF/s0n+Dn1ix3B4iGzNYaCu7bjof0Qrui0ry2dZ6uBUhvfaLVN/NBVR4WWt
igc8VT6Iy345UODY73pJCx0I7jGZMgZfyi4AHqVtuKudEVaazvBCR4w1jOCxNVvxB77B/GTbVYDv
qEuc/9SGtD2u8Acq1jx22YyhKRBsSuN9bYKnVksud7fLCH362WKh/xKFLierey4UceFBJMqcB9id
AK32szGG3wNGGlRMGsTa9r4pyRb/mFOgQdUnb70iFr6bvTiOFi+L603vvh6aDviBm4437bdEQbqh
MbZghNKEYqa3aVzQCu/MVpR0FnoGprws7Sl9JDySjDras7/uDqtTPDHHvLPArrhVrrO84/e659Fl
Vo2sszdbZ9xJHHKxVNE/WYXduBma4Reueg0FIoiR8cyznFNjt1CLSYNJZ8RQTsROlZSO2S1Zzfze
NZNN9T4bjOLgMy9iacFQB6a1Mu1La7tna2xPKEs/jDLchAUxKYAgJqHP+3pCnIRr05H/m3rQF7O8
ObZzHhV3APDpF9G0Dw5jzzq0qRNuibZICGDYXWnKzuRjP9iYeeGvRIGsnl0BQPQegZdpQK97P92E
D1TqfvTqGUX0m7Gax7juTDxlA6tkBitWmxRfplSKStv+6oX95oEpfGbyzobKHabPwFqwwxa0fA9N
RQveVFOwaFNaugyfJDMpG7aFC3BrfQWY1j5FWc5G3yV5PHkglIalwcBn9EcPN2hc2FmHaRhJgNaG
nmHsbG7RGWEHsbiT8cw/zJbtYqQBWgde+eBgfUxGjz32NIISY5nhnsRggIP+bPva2dkMxTdRYT9l
Knomfv6l++CftOlQBF30FBB0wQcP0IPG8Yw8GEd0r3mMmsXeixDCuYBwvzTDLV+BjfltfSzY22zy
iANRCZeaIrJiSUqdlSeeXeCDcqDsszBuNTvxccWQ5FnNl6P8M6ZjeatatAEdvA+8gjlSOEfJSPoo
lHOyGsZLlpOFPLzyvV/sDpxIkD67YXmjRWu+6KwOEZExYDnT+KAN4g4ZrI7NhIxqxwQBg3M/SfTu
vDstgD02kMdW3soUrijZiAMNxcsh1dkL0w1jA3/JJAVCo27nwzCnFuSpkNjYKZr/iOCzb+iL1NSP
wElzGyLIJJBx8VIKY+qXoackIMzUo8Da+Kq9kik5vSpbfBlF0gkTYt60gsZy1fusxvkw4tg9RRXA
llaR6pIe3vi8SQ92W3y7azP/aScqRyYyj6e5Wr9NaYeniOI6kZeffe8iAwUdjSHytppdkwwZvZZB
PYmkmnK1ravuFdfNX5iCpA5YY5OmxstKhjruQuJWMzNylU8BEWccDbPq47UrTjkAto1NOZ0omjIG
jIBX1TB2eNsfg+Ueh0N5sF39ApTzyhUqttqvD7MeD2pk3pN7dGLY+RJ7KeDhnuUY4fla6pQEXd9F
V4Ta3+ay0jnihm/LaP1j3ghwpG2Ppu3ecktTlVEVHwIdcM/517gDxHqmYX4Tz57t76dJ3JasZOoi
1vAAn4X3VMEg1DH7706hmg8DA3O2+pQLuzeUaopxugqoXAe8H+TQBivvtxeUfIvAzY+rD5qo77rn
SjthjGVIYGg3z02t95WgjyNnB3jKJ7C9QjT2fuCvaL/8GG0ezmwKHloe1QspmpcqR2vvQ07tkBrB
krl8kvXOg7a7t74335YouGUwhuaidfggEFpTzyB87tqvFPdex44H2jAF2Qfvt0efxwb+6blzCG5M
To/NYizO1jxA4fErAaqitvPYm62r11W4/XhyCs+AT+N03D1sEWnzw3xUEB0wdASmUN6POSHlzMuk
CSjNabKsvFEWCWrD5f/REro8wJ55y0mhYadt4r40XpUWv0jWHriKIB49/mURt7lrPtj8HqOeEy5n
D+REOZOixs/BPQL6o3fGOkZGY8ZBAbvXdy96km+CJnkoSf0TmT22qZ08kwq8kDGgjljLA7U59Eya
I8QXC0xjeAkj9dxQTLKRynt38RjF0sjruDTrX43pobSKa7nmbwF1VdwAeudCqqbs6Ivg9ltZmns/
wpRF0cMHrS7lO0ZO4lXa3OVcmAemBXA1KQTa+Ly1N9lQPswA3ID151jOpFsS0Hd/oECUcT6UO2do
bsUY8H31h8cGlTZkjhi0VMNhbmO799vYsF00NBQlHNqMza9+hgdiVHhpMjoc3PlLS5ifBvANVYJb
nESk+U/E2bYzX3SXk+Ze//Jwu2eXoqUtUyiwHGmfgLxLUcjCp0rol4A7NwJiStUDlLNQDwfqsq/+
zI7S8Ohn8GaDcyAzBfZfzPM52O9yWdw4GBIzwKjBjiW8YYnukZgIVzExJXrsVx9RaQOiJK+3nViC
8pkpfCgNJ3H8GmbrnReBieBLZOoB857ec8zddTZ+CPKk+baZ9a33e3pJFam5TD9PoffRR3j5hAve
laVvaMio+jWRQPS9tuAvlhESHYVpbJ396NDCsTpMrpS/vVn+iDzy9pywVlbF2YhdOqkGTrA2+PW8
8YbTxFK8tZ25Yqtv3uDBoqqnHoe2NL0unnhYTP3AyOuS9chTjiSQtTHn8DnwlrdpniRZ5vGzrsyK
OZmzN/30hKcPIt3Ki7C12NCnYwCfLswf81VHmPP8r3Ck/LRVfNs67Sj2HacnyyNUPgAL3HiiH2L8
Cqcqmt7NNnttFYdWKuAI5jnFtjCrVxjeKTdEcxC1Twq1TL2Y6Suy6HTJzP6xm8LHjgJ4szWcbS4K
gSlP/wyKJSAfxUvemHvhMgdc76gr4gTHyV1PPdm/ncIuT0pA0VPSqma7tub74PJWz0ObHbtNMnVa
eqRyW2w1HVgbI6yMbUYF+AabocMpGBcyCo0ZqcNs4DXBBUI9UjsnggnSxXSaF4CVHi/LLIRszIHA
oUOOS2V7SRrO74bRxGU1f0UFqR+bRmEAE6hnbluzqjm3LIKDsqjGfFYur7tNZRdQnef0j5Y4IGwi
Hd8QvYxLMFBjPlJqbU3pGV+egwraLM9WuqJlR0B6CM3gWGpp3FZmdM4B4u+bzoAjIYurKk00stRD
fCxYbEgjvKoUPUEIOqistLN2hjRihrzdNeWW3biFT3mJCjT7zhB/n6Kr4x27rHr101bdFmGmt8mw
2oTk1jg/pD4+CsuqRofN1jhB1sPrfc5M3pgsn/sBVZTD+Z04WLAAsZdr+2/Pv3McGPo9OHkU7SR8
rQ1zV1o6Ai3vfTH5czFTOdXX7pcow+WgIQ4e2Pdx1jc/mjn9IYrpH3vPe1vhxW6wZfUbKxR/KrKF
MTEXcIf+9LlW2D/W3L9Vs0ngwR7f8Tb8An2o79W0GlPT/bnpOlLZqv5TZ3RtW2N/7Xx2JPCD7YPT
udmePFGwHdSMHrjYv0VmGTyy/Pj+MBymfH6WlAsdwfnYie/Yf6OKymZtWxyzYbgZemURD/FekYZE
WLP6X31esfML2sTMwvPi2OupM7I3Kg+LHSbEpK/WJmFcSNW1xbZ9tOdyTyodnwvimEpxIacB0UZG
pc1Ky/cKGSV2NQYZEREPzflNVQErJAHEZETWwbPHpk76VGoR4sFFGHjf4GAeXXfKKDkrQAGERHkH
a+guJtAILgzEVuXlXDPr1IV9/mighcG8BOuWORSwbJaqqew48CQvCId2xIbZNpaNrr/2U/Pmtx50
9HsdTLnls4lqJ4lpIbqCN4tJgTHksQbLrvc0RddNIhVm5Y0l79Mkn7N5zZ7HA7nqBUDZrB7r113G
zi3FsbXqDmBvH5sVEIWX+m2y9hInn2D4McCZ7DvGVqw6R90Euy5nF+5okpxREwK61QUELAdsFGwG
bIL3NvKAUyHJsAVGzXRiBvlLG/433DBu16Dt7zGkN7snLBBGZM4hsWVviBDXaKzF44LbdjsuUX9g
oafsIHIPNElCtZvIbJH8bu8/TJWDdiBwxXAMFPhq2KAI+uMQdUga9aeXRnv0cDQnT1waAPkbOLfe
JjCGY71iVYvSGdf3tJdt9CrvdW/Van8ak36PpuaifU4WPmclVIuFTP7C9QJpvWS/0lx/6GnlLIf+
PtehubPW6I0E5svEfRt047JFf0fCBXXR8HTm7Ckz9bvOqZJf3YbuHcq1tgNGwtINF5pL2nccK8mg
m+NSppdRmz+zYz/L2XroKPREZ1BYfBf4avSxPTaYjKJg3U6uk4wdTGUanZ5JsFLRM2C15BP/wz77
aJa52oP1eqqmidQ3QKrtWs+CbymSPnIO2RqeU4lDzSvZolWV/nIIMFKxbQE8bI5p7zB1I/jpdfrm
5L9rh94PBJoT/RdJaIgtn+wXQ2dSpX+nhVMvB6c7q9qVP1k58OqC6xAbRX5oA/djavPnFhhpS2h3
yzv6nKGgKludOFVCzaFDbV2TVq1JR9hXqYHJa/g89kSUg2G4VD54D9pLZuQB7poj55Y91Pnfwaq6
jY2h5Cjm4DB4FlbN+ZhbLgnuHKJkHryspE02ym7PQ3pH3ODB4gi54s0oyr8izf51Xv3P6NcbQP8r
m/JfVSHOVpfdtWznPTMFBtMgHbGSUZBxXQ2cK0FlTQ9h4GPl9djxufb0VtbLE5swoBm5tePEcY5q
4vk9UqcZtC18AcDVXBikXzi169V2i/FiDQsaW631Z0+U78qJpX/2sg6OcnivCq+moooXl3BmJxnP
DzDCCqert25poPXPIWEf497sKIzB/6eEnb1Fmcx21dqj0pHTiZvRrKcjXSjxSnVAQj7tzS5W+B+1
hVeOma8cMUdMJs3Rzr16rwnhmNrQd/fa78zt/QhfEK2N0zT4Af/cvwAzoF5szO/EUuFNqE5WMCZ6
9RLCA/y4ZefEPvzWQWoAVHQcF02MRWaOgwxVRkyd3juu+Ru1FHw3O/iQd+t1DYAgBQQu92zsfhT0
sWtIEmh1GenAmQX4pYCtGIPCnxaWO3MYkyx3zecis72ts/gPK14DrBA0+mD2cQMc153sXoreB1+V
1zx57rQxK8zQTmf8sbuCPm8/ZVqv8KrNsK8eQa3BvQijPUbpvTmvwFjgieCr9X6INXWPOnNfgzR/
SgN2cnL9Qcn0EqvtjWR184CfOEP9u5+BnCD7M2Js3xoqyI5Lbl/9MnsPFvcoIupcOu80dRRYeu19
mTTrr+YO9GSdXgvbYYjKiEVmY3WqZffBUXzZUeyFEoAuu3fK0fguV9ZxGof6Xdc7IYplbxR46Xw6
4DBSI/aFirgr8HfW+OY8VflBmEa1ZVL1QPqh32SYoo0Wi22Z+hUYLCImLafBeCzDDwMW0+p3V3MJ
pni2GfPVgC0n6XuxR+ydCxUkAGskk4BIbbqpopDd5oixRk/sELaMVujqyZ2XWkRYpuERZEbzK2vU
T08ANLNaZoPBQ726YHO8MrYqnld3uIE8s5NABEQZxJiIlTc6yvu4yUrAXyFUpg0b0XPZEfOABR3Q
TFHzOnflaaXTIF+bnTWkc0KHB/uuNVp3qh+PS+jUCb/zU7n0/VG2KORlajxKXZ4M1/lVNzhFlRGZ
u0JlsL6AShlL+SmL4a2dguU4qDBFkIB5A49v2XTe8BzQNhIJ+m0F5Nl4bCqeEtPdya4KEg+5hKGf
y+s0xXAw6v5sWuMHTnNuM74MmXB+vG1oCUlbb01zKtXF53Iwdt3Y+Bt8q+mLFQbjPWjzgZuGNtpC
3Eph7SbYrNh63PmPORq/FjXyiUcPDylzls2S3mH5ssj3XA1ZbsKw/Jhd828uYYO5d4YNzY0syJW9
MpPHHrLMbO4brq/Z1Wev5FTl1EYUL9V6K/LMebZJAwxAPDzeNMyvY4l5P87vyECWuLdJ5g/eet+B
QIx02vAdHMTInIzzahVVjNF73oo9EgZDp2XconceRZsDf276k2+s/nEp2KXMZv3KsfepqkGvFpGw
92phYBc0nmHFmIvGMpYj5YQbU93rvkfdmfjoDMvlD46uraGwKZ2d+d2vEZzOAEtzin2z+bQEE0BY
f9aynDX9KgirIb1kZ5HfhS5zrMatg9mdYFBVS/tqC9OrLgvYP5k09FyEPDCujjvae4vX2UabTGYi
tvrEoD8KEstrhriA6eDwuDiMxyuSUIDMx3H5CuxgaZOhtTo/oSCU6hgPfiv3weKPyRpmbXXVdMT8
1SM7GqPvWLT7gS/6UHjBopLAY0tH2KbiUVQRmwtOUGX51wec2rw3M883sQtsRQTGi3H8WwvFq97C
DHZYLHeVvyRKq2AW+I4uynXPxuH+z2zAc0kaulqQnj12S01vGc5hriOjjZH9/gC2sRnglOzHW3hC
dH60df0w56GWJ2ZCOIysbIk+M9nwuWYotHxRbO7fvTWUy89kax3+zPhO3vMpNQt4O7T7bDgw+Ic1
Y2v6rCeg/Vt7rasLdZvBElulaPczKQuglWMk3G3IJr3Z+1Pm9AlmYGIgGLFwa4A7t6rYkgR4XjxL
D3sbCr7c6TEPYUwX48x1X80p3QFqW4JbFNLrfq5WMxw/2etRmqqwdkK8F7UZbqYonIyPUtFzu5l9
xoo8qAMc6HrI0d/I7UO9oHWLn67AXJ+4WMYqzBpdyp5MOus+W+jo3adqsl5dMBBFQrbDWvdaNMYA
gYx6rUvnB0Z+hElM5W1IArD+gxyTz3s4ixUGo9If2diC9+nA9oRVo9MTU/WqhFQ99fLqkZ2qX5Th
+2ypGBXPT23NUPqkXAz3dz6s7Z4yNy3A+wVE5JBFmHWAmMN2XUnHMKk1MWdS+dakfxCwmomNFr3H
F7Ad7OVNsyqRrM3KNp8tf/E+hkyCpnQAOVmY/5j9PtnSEA0+unLahRlwzk2eKwsnRW/Z2/FuGz2Z
o8olVhixwNO2xg5ycuhqOyDiwQnDvlqY2fWzL1bfPagMiNuOSTEP49iFbfAQcIiDohyw+HEpbU79
c7forYH5LWS8RbXStWjYsT9UIAD4WjJYzq3ZrPbRg9ETPK6+4PXBgo4vOrJaPUEaUzhHTa3QVY0c
IwB9xSkLBw5C8B7VigJjVn731sgs95iWiRXUj9mF9AZQymcs3cgbE4bKgZnC9IBZ/1JSw0KVpmFg
ONGwpp/qrlZ53M5NxyjRW4a31WhpA+0qvGyofAZe/kytpDCQrU+6qzXhuDQrd7Vq6ORU94klvE5e
hwLRGcD1wFgWa0TDNsjLykJzL1r1N2YR67soeaXQEvefE5MdlbF1ncFz3ztPm3LH+SzqLnZVUrFq
LlrAcOu4OreapeyuQHb/nIY6pT0YLhbKyaSseQ/GTDvHUPn2L1Ax/CKKNSDekU8zHp1MhWN5xFDK
sb2ksQtTXwkT59CFBaGGEQ7ns+fnr1Ux48udbaJlBL7Tye5OjV9P/zK+b/XYIJagtOWC04p0W51y
GGZSRTDTfQVT1/WYtCr6d+xuMVZyEQX0CBRMUGJzDzEfHla0GRsr/IJX2N1mHambB6iM15ldMpBD
vkJemrPlLShnHuVIVYN9nUs+TsyMSxy9cgqpaC3hebS2jd1czqOwLxqXHxT6mozOCqOEEJxXDyc2
DBXDGGWyeJpzVp3AitIW7gQO3i22zIaKscgzenULm+uLd4Sl08JSRcThP8O7X+DDX2oLi4JqUsYe
8u5nX1LAyuhR/SOxZpZIpipvwwA3Bmez8ulb6Kv+UCwWv5aog4iyacLBePXIC2Xb0nGcQ+rU+cOA
3ntrTdJPLoeDILbwH/S7IaitV3uJRs2HNamutgxxhGy4vIx5S6eZY6OVQx7CnyupMd6GoqDgi+5c
Hk2NAOiiT6Gw7X0KI0byoJm+4slqP/DZsoSgJ4EZjOBvLAQ113zY0l3M+sjpKaW2pF6cvwRPnHzr
yMKNh4J+bfDZixEhTODkHgsmeag9jdx1pt8+SLhWwyaKlvZYW77+gI2Pg93yLN5DckZXbtuWF24b
8nuaW3/6Lf22rGE71WHLGcTzpo2rLHXJF9/8xuLEnr8zWpQLEJpXrDX8NZdVgqDLbLb4MCO60zcU
T5r/aizHMPNIlcfpZBHSDcsidDfZipyZsLzMcldQ/pFuaAfm5CTGSPtJ17APOZlhbeAe4WnYVLky
QFSX+lOVMy7ecJpvpJzDcMv+XrwzLRRLMlkKo6dp4BRlxJu5j9Xos4Zb5uym20614T9TdcOjjkiL
sfXtsEMpXpyOtUAsn8o6/LwjFV5xP42XIiC2LHtuhJhwAvdSbQuCqwWo2xfV+Hg98f6R4HOX8Ctd
C/cDcx1/trHZQdxCTln51mRhZ+iSGvlzJLsWH4IKxGuaqwd3EGpIOIGzT1fD/NpAAfqIVI/GZQa1
i8mkykXzpUy7eZqBmn9TDl48UA5Rf8NX6xHrPBLboI04RA1rh+ZDA8EzgxOMdqbROVtMTbSMVZ2r
j2qU/r+i69hILSa7kqGe7B3am3jHlZoTQfJAWMGowpVTm5o28smavZdR9Irea6Ysj2gvOrGnDoKr
6eTTM6fc10HAjo/ZvONhHrylfF1k2vwdtfgaaYFNfPS3NVn1Mxv+7GbzNnoKGRlW5zKQ+MLnIiLB
nUeEcaUv456hKOaStEwc+kpvfd6OD07bRttKBPTc4FAaHtdCjDjNcyv/KbIoxTLiqvatEAXHyhVb
T8yUryIErEPeK+BIn3BIhH/4sbMn1wETA/69NR4gsZtvcgyKnxaziUGijiLUnWYizIQv8AZ3S8Z3
PBYhijm7AaPYUcw0zjgJTW5tSDW80mznnssVcvHre8uXfCw5UMhkxQI97wWiBg/Uf3mJNRz1uHcc
tuauVVs321+5L9ntcd9bcCF9vKF1CfBUMG1YVJTZ8CEb7x+zeeNqZaJEzzeJMf//7+kiYm5LFqTf
YqRYzxi7ot8jALYfcyWNtkWU656pFogk2XiHtg4Gv/IIJ4g1o5hrVhgBq470IgbRvZM6OG1UgJdf
lT0vn5Y3NHYjjz9m3p8nkTUtVkybhK9tMtifFOnfOxwfy1XPMSajMTFIcpWNfHUUAgzvreXhQinL
6lvip9l6Vumdzd5n1dWugCyVI4edmt4I2bVi1vqZF+2o3TB6oolr4gJ/OVikl5bw8TYoqLA3s6Da
ltAbYrYNTAGDFaFxM5tVSCDHmLmUHXvmHnW0oTIhsrXaKHK5TUIkU3xPDWd2+Ko5kaIlVcHOahdj
SCKk7n94lG3aMjLLfweMW7OUWaKfSOsGbhdzUMjnF2UHNtM7p5FYSXviIdFkavvP8N/FGoY1X9/R
UMQ7DzBliR1HkWwTiGFGck3JY1HTAwevYf/sy7Ahnyi4IoOFpMW/hukFmzjFjFNIm0MUzTdpFksJ
+DtsCCDw2UANVHVLpKwusyZ684H+70mauy92y8x0HmfvPQfMGFK8W9Xmhlbz5cO15oZMoxtiWvKH
/ClX8/qIucp+mlY/k1tzaO5mdYKjxZOPRZZids/sXRiStCttJBzSp2CMLOfkDPW6G3ukDcG46D2P
qD2E3P0mWwzKMuyrPxTKAJolUPyNrutfUP7ZsRcmdlUCY9Lmb/ukdHsy9WLXwFVAITM1t0uzCJ6f
lZ46VKWWYSDosnZ8tqCOnzrpFo8MOH8soB9jbGZAf5JMA9x4p7ts8RPyGvxCRV3xHqnkYLsHM8pp
Ov//238qRmzWpDF5tCA30VfhLvNtpRmgi8NUcodrFBZ6ATLuUtqAPU6UwX+Rt+j+qrnA31HOruZO
AY/b5IjL/30B9G+eiJZgLm6DslXzze8ztlxOdD+5+aPHS2qyW/6POwPoA/wAkpPJlwPTeIZ9bgwx
lizzu7rfKxjsSTd6prnsBihw9sUPIre6DEs4Q++yXO/sjbCbScloLlCV9nwREp+8oKZhmauDI0Uf
JcBD7r2SKySyiz1Mujp0+cyf//8qwCgG9BkYf5VxQKoAxGJfrYh6/reAkTAIFg8NShdhnA4TZjkK
alLEEVHYfDPcsXhh6GhUOz/wKloSgpXBzRiHzdi65gH7JlZ6rArGgP9sQk+rTvBMOUtonHUQDZG4
qB4m+IumH4f/bQgVi4/5du84686IA1RoYU2LyngYMSPGRGPtapfBxYkOUe4Pcm/5/6PuzHrbSNJ0
/VcGc5+FyIxcL2aAw50UKVESJUu+SciWHblvkfuvP0+6Ct1dNXMa03dzgEahXSXZMpmM+Jb3fd5F
CkmeQrCfw4LDi9Aov0DknKWvRh7Xes3EF6y5RtjDU41E8weUz5bRPjIO4CB963rrrqWQWk11OAvg
f/RV69iNeScnUWXFuZpGMzl0GX827PO0iDaGUTZfeIZcxpkEC6otpMaOmVTYIECRLkOktUXkzDOE
w5Bipm3ViayHGFeEqwUW6zjFyFFb1pSxKEISvSJu2TH2RKJiQ1+hCbTaF4cOxN9SFuEf7GoXkRS8
AZ6cxOuz19/fw4bxu95lZNx1h75IhQNWmTJ7Tb8afGc32cs9MyDWwUJqfbViJ+s4VXySLkUkBPqV
bsQTlEWh4+8S8mY2g8C6/ki/EHp7lxRJfAlDnn8nXoP5VBlNU7625olBqzO04qYK6MjPI8Kc8ERn
z+NnNyPbF/RQ6auWAY98zOSFLDEvDY/cXYP1gMQizOgTI+AcjBUzzV4wxcIfdASlHzTQ0a9U+f5b
WgPo84l2RRYJpJSNk6HUk1Hx7A2qeFWxNXKFZPf9YC8JFLQ9jCJWwZSrJ5WwwMZk1iJUan9aTfCO
c5ATEVY9uWqtGL/8cuwtzCiIYtffPZfAzvj197KamlgxUvrzL//zVub87xeP7W9f85cvucTfG5xs
P9t/+lX7H+UCLtN//aLlp/nb7/y/g7z2z9Ow0SqAYnuKvwN0+lG0cTsdP//j35fv+Z1gZfjWb45r
W6brEhCCrfbvedgGgdhskFwHvIjHjBQraFE2bYS91wTKBt5KmKbnBZ6/mH9RnS//yfnNDnzIa54l
Ar7E9v8VgNVf3L4sMOhkPNsJbBvgi7D9xY36DybjGZK4TeqXt51G37xF2kcn6OpgE5lkSxd4/tik
xMGZk5507EmEXwrLE49F3My3f24HNRc7899tvg72YAvdEyHfDqAv5794bZfbTWRTkO6GEpkhFra+
3YLObqj9ciJWg3wqN3VEkEdjgckkCY9Lr7Rpg/Kk/JY2unr/5z+Qay629T/9RJjZ8cli/fWgbUmx
2Ff/4bVxqfcI4YHI3AbYTSgmyR0ce2AXkzLvLDP4jJpsJDmcrFV2GJO5B6qg73BueEx+Q3GencK8
cssX62mW8s0KDaQ4zZjv5tjkSCJCrotafGRxjtOr9dS4A3zONGAWT7XTfg9BkGyh0nZnO038C5d1
dI+qUZwCNrhrLWXur8ombq4IH40nLyqLeyv3nDvYGLDxzMXDlkFI+ylH290zlQvvMlLHL8xkvHXZ
ZXeYDfWemGTOJ+LpkIjb35czaw3q/is/iDwYTjR99u1MyawZhFTaluQDKnS92BACZb9mrVvvEIWN
Hynt7m6MkGn67boW8rtnpO9uIu4Jz3gZ+tbb4RgDCEK+D4ih7M1PKgZqlRk9Krav7Nd5gQNtOueG
3Sp9Sk3Pqht9mSG3bOQQjrsUhNFLMRRMIYNCH3VaQqTKTHlEHktkyojTg+iiCgwVgAjSF+3vfgt5
1alG1BBT8p24TaCAONXFQ9gZA/G5icHrB3oGLquYfhQz4oIhF4Sxg+ZFbUip0IGncRt0JUMdZyc+
S2di5+Lw0AQsaYcZUm150P0yxewZeIk3FxjRqlI0BAyUWMi5+TfqvpPUWJIt92tZR+02zVjkY5cT
B9VmYtVXJaoPSsTD1PmIRt3sO5TzZBOYDtSVcjhyJ0/sJJz2UjBZ23fgRVf9RBoOkwfwP0HERtRP
16kNljiZCTnsZ2LBSvktIWORa0YcI8thWdGyjx3QLt28ICb1MarP5BpWB6OaPpNcMVgYAASPg9Hs
LQO/Iy7JH2ZSHchGeEs10zayINoDzTIsK3DJhzB1nhU6ZoYb9cEzuJFnj/VwNngPci4BTRm+Xx9F
KwTZvNVT2DWI4oQEvFg24lplYMx3HZTqnZKufSW2e8I70AUvpmPxltIMnecKJ9+q1iEhtbEwH0o3
Ha8x4sGcsDwPx1+j3SvmDcw77dAsT3Iz2Ft83ax9OmYwi2ADZQXjtyG6KzneNrHlD0veBXwQi81H
zBTi0ahBajjLMzinKLIvWpXS3BIazOrKDZASPpS9OyRr4gEMl6YQ298MuHpCBcq2SvrkPdej+ShK
Z5wPTdlM5c5Dd6f39lAhLO/89IEqkMopfSPnndFffhNx5WAYRn3UhosgAxcBio2BJaozk2fpIKqW
9uA8TQnh5wph1M6qLeB9Bq3HGm3qBwtm84MTOL02TrQwm3Ngbb1gebVW6eR8ze3Q+CEiUhECvxM3
o1fFReIL7nBAePUnTup5TXVZ7+B9oyVp0D00WJourTk0mEjgywOHXaoSUR7DMI42NHDzXg5ZDmVn
jOKDD2Xzy5TzwRpGoV+m2A32PqMylO7DwUIb9zNtObQ3AjrSOxQXDOUF1vN10+fu3dAQELsiYWG4
D5KedNzAI7g+wf2N6BbVaCGQgo0wyjHE86A14PAFZfqYPhU8YZxpPK7XfHTa1wgKBIlHbO6L3dJx
IDMlMfEV+5fr3xJp5j7xc36DzdCPnKb6Mfs1iaokC5vhfWzbyS4IGAevsNa7W8mzmXE+Vc6lKgSR
WiD13VevFOYt9IqzNYX2QxqHxdV3BpTwjUoIRE9t822yZkT9pc1st2i670NGV2Cbnjxi3V9ydUh8
QrhLWGEVoC2op8VWODrDFk6hufZFbB+RGpHAUHRIuGo9lrsaPc+pCyUylqHsTLxKJW1a3esJR5en
qJsFjsCrctRX0mQDkHCTP3NOFOG5hmT04vs9mVJd3FlyXZRJ8n3ynOcY2Z+H6Mgfr1jAxiuPzHj1
2ig4F2UVwUcslp5Rk0dzC3wqAQOLBcupzCH3WjOJ6jkwBJIYeri0e478Bly5CPJnBT3q2XKNK5/3
4Rjx+l86u8OdMOMoIj7bw/KgDXOrOHPJhc+yQ7wY2vDGqw+n7OI9AG4e8H7On1y3h/vAhoitU+b5
5yCRx2oAc7RoAqsb2jD5PlmmxDIyBmb7HBs18132zzuFNYWAohr1LUef3+Csa+zq4kW2+6XiHBrp
SMvk0vMSrw2VIYVC26ZvdctoeUOeTfjE/6v37IhzotzT4DyUVfooC4LAvEIwzwuQETwWbsTwIkOY
jZigJtMJpML8ULg1g//eljRohsy28ImyJ6NQW8uv0hdyNxx1gCnBMdCP7Q2LHAHPvdzxEAp2ysje
07nPt0FmhnxeEJ0sHJOuY2yYpFeFefCxYC/AuFvCtWZJdc7NynjVFa5MwxJ7gmeR8zWhczKJgtkq
qJXvSMeIqAtL+W615bAWXYIomGENh0NU3CDL1++oed1LlIvqOvlZf58YTbBzld3tOZYDXlM+d0yQ
Fz4EJiKIcSRNre3F3jeZ3YX9v+TUipO3xg3SJ8Q00QYYQbMlNj28mwmWewZglMHp7AQa0SrD2cHk
UhL/npCsTJ+nFwWmDcNTj/45HOqbKJLqI7ZBlNWjB/yh6PyPFM07/r2kjK59Smm4CW1d70YRZyAp
IvXiIsyDHV9Y7qNsatSkczblX7BZmqR3ZblzciIDdnAow/XceyV3v9vSGLt65tPk91FzgmNatBup
pf5sR0VuU0u8F8alnU389rWZbX83VA6jfFMWj4HIkD0y/fqMmGWIza/PoDVnPCzRr7bbdjAAEJqH
5jkWdwif2ZmpSRwsTBBrADojkTZ9dmLEW73/OiBUTIQb2u3wHXWmD00gCO8rE94EFRzWZVynRXyc
TEAMSAhkSTYNHGTgSrZQp3mQnX3BLWfdmjb3N7qPrVvWadxcbDerMdgE5L+2z2GdYRokIhlZk8tK
hTeH6c/Y6fglqgizpBKJPPvAOIfPmlQMknK/4YEfUaXsdR5S1bmg4a+/ruXawlzI1rgOfhaRCs5k
t+nPAhVxxyxA2eYtxU4QsnwqsWEGTYNmRiKtJ5qwbsGszcBXxh1Z5dO10YDuAA4M5CY5NOm9Cq+w
aZmZd0u34ci2epflrC9hwAp9jeB5vP76l1QaPJCJI/mnG1ZS8mkZqndE7k2/AczA4JCIFf4C5TLm
8oKaaiEaK/d75OTpT1em9nFk3Ita283to58D59oOozleheFW7346VW96wFaxAhs1mxuzdflPbl+9
T3Mvrj2V/776JWpgWlkzqqnhOrIo18Zz3ufDkrIwk97D+BBLIdOgZ9/u1DVIGv37y098c/BgO/Xv
vdO/1Jj/z7ru/759/1/Yc5sCLtXf+Mibv9LO99RnxZ8a7l/f8EfH7bi/2b5J62zR0Ep6SbhOww/d
/se/G+5CLbdgmpsglgjsc2jq/ui5/d8cNghAl6QQVmAFC67oj57b/I1voLEVpuU7mBFgL/8aevx1
bPL3X/8jytnx/4y0clxTSGAdCAfRI3q2XGDs/9hZOraFRBk4Gs8mUsYVFnAC3mlpGLM3JGUHQI2S
+SuVvP0yV5EJo4WSK147Mx0ENVfbPw/xOMJ4oNn5qiM/vgqrwVlaR4VxQxElP4e5CqyNVsWJCN/q
aeDSgwJsjHiTSmTSd7JaOGeKbccT9BHLWxtg/B67rnXOJoNP5vpj47yOaYwRppqLcliB2B2ctYf9
Iltlqan5gWclngclAvSrYaLe2FG395BMY3gMQ2i2KB3VsjgIU/1mCmIHgIlJPDDWKLyPhk/GI0sB
PDwgQNMfCxclWsFSIxF1YEkNHmNonZXRaP3RiAjJLykD2M4hEPnYq4sCD6IVOmpDOhqwtgo3CNN6
VC7p1mRba27cwVTvLYuYS98qsqtDP5jYLCtkrhG5X/bejQZ9QmXDHj3Pe+OhYVmJC8RrybS36gDZ
d+p1qDHyDoLAppDZUjzCawZDRUbcQSl8svcDSs55pZzRezfJoMDW6anK2ISaILqjgdEQXb7XJw6v
/RLUrWLU5Wv2mTraM1Ugg8mlYTnKwXlOESI8wYVWtOJadj4XZ2s+sQklAqX2fO9i8/MpghM9p0Ne
780vCl8tUX4i8o+C0aSxSrzaxzBqhNO0MmzUCPhjUfysMoRy39yGpThp0k77jT0mbgaZmhU1u8id
Z6eNJy4OI+tvA7vFHimUnnaV6khXHKMEp0znnKiM5u0AcGCClIisgwPPcRYIDs/xaHjmT9+QtCnh
5I2EW9Ym0IxeZbhDxRDgopozy+bITJA9bQhFkdWaxZN4SDp7+pS6LH/0swtYBTj3g9tMM0nXhSVx
pkIsBpMzZBH2rTSj7yIZpeUtq5c1iztAUGWzQshk5uv+az+G1VevWMKHpo7IaKp9ez5kLqf9anaG
yyzYj22FLrCx4HVm82/NOKUQZCDswDGPJcjq451pp629rRFInxwmNMHGm0JvxgQCmnML4pqMFRe3
dfNtMsLsPpwDtJ+IhPSxw0rNC9lnub2dHNQBpHkDi1rsLta8sbRzZyYyD7eqqqqbLaBFMcOGX4SY
xWVONMZ9IdaTSkm+LJukf2wY9CZHzxbBhCQ+k7QMxux/q9ijuWs2Q4uqqDdL9340rA7BTjIPD6ZZ
YyoQ8M8+mYHr5g7WbHSuyD5G6C2g2FKpVhNaMAnlfF3NvBdgRcvqp4C/8SO1svCNoLj5g6CTKFlb
aLvewTIL3jtBzZZh8YE/qRKSjMQwMVxnE0NbVs8BEFFSzcabb2HUXQ+pha6oiiAbK7Z+uNES+TGk
9oSxEnRfu8oZ5jwU8wzip2MuuKFXCz49rbAzzWWob/Gce+1RcvxFLFTb+hkkvPnIMyaBsFlVhUym
LcmpC3UCJMWfAkxMo3TjV6i+yLbbnAd31dTCUrvOi3JFcqpVdXetXQXmqRPVMN73NrEqi16BuiEc
+649uWXAy2HXDUVb7pgR8mbLyGgbsrlxb0xwUsY3bVW7wkEtnnDIsUMvx41tm93dIESZ3rNLj71t
E2mBl7dNvemSUK/aD2auxDcjYa6LGC0K/X2G5sxCOi3MZAMnexwfakzqyaGWlUjPpdOUBSvLyrl2
mTG1j9RD+JxsXcQhimjX9p5sikPr1LBiEKjvIKifMOg5bgidxjUxD9t9DTELmiWbPAoyMyZCaerE
izcP7EqmeTKMdWF7jHsiXnXs/pEsunuLsrV59RzRZj/SjJ0FTApkJTtAgj3LK/gb0z5VHYwAc8rs
L+Co/avmWaSYtPj+TT5a5jfllMY35Jpsb5uQ9wquRDwAR/Dz9kafpedNZtdFsEtq7Y07sJ0L2Ytd
670j0oFUg3B+i5M8hOgwBwmbVAFfDiYT4v2EGV69HmjRvqtWzd8dnTYPyJWSr0xivLsI6NeXkA/0
dybYoLaGNsDlu2gtCZhNZ+/TG4buRSKgQ88T44ZaSwiLTGr6MEpWlcASv2l06CMPTG3/i+zHoLxz
8dhpDMh5O27rtoH046Mh45bgyIGaEskVHiNOmwBU6rxJMAPjDw4Q4nNfusk59uKOJrmwp8OAhv61
xHU9rCHTTy9WlfHs9WnG9FHXiHjB/A/LYrxlXs+yu8lnmiufFxADk6pPZqzwarrsiqOd2VvoojG7
I3gn6bt7hWDAiNYAqYx71ewYs2DqNqsV0dfJS8xQhwg+auJ61coAo0fiJfypzAnT8xwA119xHrtb
RHcgpIh+tr5anV3BfeBAgcWT4ZndJXngfHUVfhMPsUmxLsEzNztYcmCRSTp8JZmMSW4VCvdbC+jk
BjyCeVlujzQOmaUDbvERH4RXGsGxR2T06cdTeg0QdHJgoMosNg1ohnyLJyt7nIo4Kcc9t20AChsy
b/iK3XPBo6gWh8jcGsHPlGDLn71QwU/TrgSnU27fx3JmyZmzE3hwCiM/VOFUXnQ+tm/4u5AfSbMt
b7F20DbOUyLgUNgmeWoxMVlwCnrprIvQb85ZK1XMCrMgshfOrtVtTOarB2ZostuahJfLdQQdFtVG
JMWnO4zztAHwa+NMZg7VbGSisqNAHkgobmJZN5+W7cZAhjQryINw9FhCwh83VEXNNSb+rdUhBLs4
QBmLnQSMHPiFXLyJAllaIAroyqw4CVoumP2TXSqd+d6Eu4havev0kUWub69ipo73na3o6knKGSCa
MS574UYR6RG9rPnqeTB71nLU4Y4ZNbJHZFTIeyZcrgqZUTeBsRjRsW2LonFf4OAIvQdGbb81XgT6
W8oovc0Jk4OEfhIJmDCEBqGUZmcO9eijDez+M4du9Ek1O31DEV9+9eeUEb3XLm+djGeLn9LjrWb1
PHqkg4D84mNOrMY1xqPyokeEIGvVUY7hzIbuj9AkTW9D0oUpgErTfZ86ZD7kbDv1zsEWEpwqr8X/
0gxhax51TCQBd5IyX+u8L/HNTmV+IEhs/DQtE4qD5O64MwFtglW2MWCjyUSWSHZj7R1bZF04kTGF
n4Z5TjKGA4l7mgsCvxmoAYRZAQTzFO2xRswyWajCCLeuwr0ve87G2aI8mAVMCzK6RqRzCuPJGzUC
KaFdSZG4wV+ov0DXhOeiww6HZKUWC4IGP0YofIy27xCEeonUs0PL2xTNHDxNxUxKhe17w81O6uhL
KQOQNXgcQtQihRV9KVC5/vC9JFObIqV0IrrW6YJ1WhrxHb6O6BEJN9N/NQzeLScFtVxxx6v7uPEb
CK+CRRFgJMa+KyMb+W6/Al01eyZQ8oSPWSE7401i1JKHBHkOPq5uKE7GkOKkQ4ZChAxaphcSFSoO
2GbiN0AmET700uJnGIoQ3VVP5obF9mFAQw4mn+C9f30x/T/rfx/6H03bNT/+7fJR6X/bdcXnx8L6
+f9gCQ0b9//dDv8fUmU/iO9tP/6U/8X3/N4Re/ZvPphdhy2vuYxqbFadvzfErviNBbATeMiGlhAv
i1b1j35Y+myahSvELyDxspz+oxu2gt+gi1s+c+ClgZb8p3+hGzYduSxS/75odQPfQkPoc4V7ROIs
vfmf2+GuUkI7BkmFJtHRZwMe2oSjZyPm4WzHEcGmznCq2yQ6keFAVnQfvad2IkA2OGtIntbWbJry
UrokTSBed50diTgUwx1ONDadoWCg3PlNcO2cLlRbRmWU6EOrIJ+QZo+Es44YyQh+lxoQO7LpMS0t
yorKbj4dZuV3y7zM+EI/XaovVdLmb+wz+0tre9/oD7vHrMgFkutAA+KgGBoQB4uUgbcbHGs3IFsX
JulGGMp/jCh+XXNVjqKoLkPJDaoZ8TcBQ2V/aM8ozf35EJN23HFebQhq77BVYz7XaE5OPbTJtVMv
KRxGfPVmYEUQ1cmqjcELGvzVjVreRWH3dUKhvIGEa1UrCP+LHyY/AxqKWZUoCKLZWJL6bjXu3qXl
x4xVUF3LOzPqElSaokaWWKO2BEIXQgI0gsLMtz2h8K96hqQJfVJrsm1NmDFAMeypQmAl87Ppwkeo
y5ysizzYUMlk7kPe+v5K5OZPnNOXJNfDs6rz+6abiNao8mHKV0gBmtemsVcOpKOL5rfERja7qXkM
/ZQ/dxJR9GCBOgA1wNX+Q0+97axr4kaHXWNFDN8wJ0Rwjsh1R3WrnVejaXxUmUot9keBwXMkqAng
5+DvGA9Ow+s0mdEzUO/2romG1zoeWBm7nZ3vTGq/Hcb36s7hZbuKpDp2xMioHnpe0bXbyawtBPce
+M3GpfbSH3TsrGFNLfYOLHTXClK9i7KuYaU1AG7KsKgxTjIfCq/rnG1qlYO7qnhk+hOTjeiq/AVO
ZaQUfMcqyrALaODnGxy193i0D7AJiQqluNyh6bGZaM4ZuAyABRmywY4SkfoO9E3iD5cwzI5Nm7YY
dexyqB6znFnKicFRjLhe+lAqHRaz+B0T6eN/NATRjPjG7QSnWu3OEbgHzQ5KG+rYjUP4Fc0ojv9I
9+u+6Xp3Mzvjlo81ph9bzM9j5iCrY5REvEDW3SBLeHTxvYJ361nlJ9PWGCGDv9yjhf0gffIQwqJY
YzC7Q0yNMKvCal7YjK+aePpKCQ5PMt5XZnlCn49oOQG0xLgCwfAu5WaH/RqcuY3C1yGirQ8Gsp/I
EnDIqWqRjWJtI7xoKOMKSDaGODKo+hG/GrvelgpHErjapUk1ruc5PblOUeyitCie7Rl5F7qDrrvM
YxXQ+3D+pKeyrxkbiyWT2UgIVqJyY8uwjhWb7lERqAAiWJ/YvORPBWKrZ9WLM/WEhb+3MqZT1/R3
+IyTO3KqGSKXdcB6NupcLvcYYK9E22J7WPBlne1mCMV7P8Yuv449ZAf7MZmbD1Ebrb2XdqAJIdP4
5wG0jc6ps7r0UXQo4DCWN9VFlWVsgd2bCkTkVM/wrqvI2DMbMr/1ylTpzmuGkZrbKz1n7TI9sBXr
jMTI1c+ZOAQOu6ll7MVIYMam+WhMiiamNrKfwWAn4KK6Ltz3MfjULuoAdhtNMngEoqfj1iii+Gnw
svvEas2zBbvgUqeAKgwl5Q3r2HDyjF7vhbbkPo8R2CamP5AlUjM/2tLHNkdoOYE41EH11SaXiRSx
2rrzqomkKS9VzHPoFpJ9C4aEeUVTS0jYDnRch8aL4Q/cCl5rxjfZMHwAZLfWUkMV4zXlMYuzbQkO
EGnkWPZ3RgVCc4cZoGCTitR3XjmZOZ/KzsvvEyTNb4mnidhoAr1PcdVsYIE3B7f0b9iQu2gzOjfD
DRFVK62IR0HL/qJs6yGrHDR6vQ9br0ayjY197wXyjfO1OdH49+eAyCVb9Kk+qIklJJF7tBiZED6k
6or5E/SpVoU+E6ykJVPBhdWLaXXTuk53jmavuTOM4cEJohoDcQIRAQe9Fcfr3KINP1Rx7D7ix0Qj
wPbqvU+T6GXu6M9XqCzfZVDDEUcmWkQVLPKmeuEBxxTWe490ppgnTPvRbUxUKnNUs1xxfiRT+ml5
YGlgTwH+SKJQ3GdJAt4pUMXIQZGXM9J+zLLOeqhlcUh8+4krymccSHZmo8h4wZ2W37CPFw1VKj5n
Q9TnymRytZ4zgjTnkNYB9I81fzAyYySSb0pN10J2bgLsipJ1Fef6NJTYNq0Y5Q/yr3zVpGyDq6YB
OIZ9hGFshQt3k4VkbucsVFaYGlGlyYtY1CWtObe7QdsFJ2zshuGXmh2+vWGCwGFRuAFokGKfzU6A
+NpQhywmmmplxEylZrMvbm3sG8cYE/bDXFvk3lDndhN+5phkNvTT2bx2mwIdQIzzPItmTs2gACX1
aJj0NQkJP3IdqlpDNuMa+5hAYeXrvJURROzYm54tyKHo2xFkM1Swuu+9x2cWz2wAOpEQQ/E6d358
kgUS/clJqDR6U9anto3vweNxscDNQHCMKc8iDeU8xgo/yBCdR98zAgjTrASShEYXbqNu31PPIdJc
oEf0dzoI86s7deSihZnILi2+5RZ3NxDslR6rc1Bb/bsH2s86j9q6N5s0uWp8rgkO8U2SFRAiSdFh
PpitwygFAGYVNUnecSrYqJvBGcgP+z5YMDLdglabVy66/H3KXOFkIYu9yW4cHfB9ObNVKyt2CVdl
UfVjfK4j+RSHlo/qayKWbatwG1wjwZsDhZ9ylQnZkH1TZpvi1nTNxMIFWDWYmG24NmsMrlGJ/zrn
75FadpNuFu1ltSflsIOg4Au7xdsUFeqm2sn7gUboMYRsgaaXWOnpaFdUVrRKuoXgOE1V+WpXXgVM
ctRlswty3/uwGFZdqm70iCWgKA3vI1BKDR1rgi2SwTxjaL8jy3w1WEHoHpImNhjyQvUediP6yXrf
28bwMzE9MLIgk17jvGQnz6N0MPAu7bANq3GFqQUlgHZK96G3+ND6Mt1EY6LOU1n6J8hmLbTd/guG
HLxqTHrRkvEB7eDU1oBU4gK9Fk/aJh1RfWcgBviguPBceW2qL+idl+QdV4wms0lxxdeI0sNiqF86
4R3IzH5nhL6BDdKHwrmfq46dNrAJEsTHPGqhg8dTRfKug1iKydN8dP0yPg0JOnd8A/Wh7axh50Dn
hQ+T/chim810Kq37WDTeJZz6AfjhpHS5MorKguJS9FACTXhhc6YvAjEeHT8sbK9KHlHps2RHQKlO
rMrunNTELR+ytuhkbsPZdICgdMZzw+pfbXov1ifU+OM2SZoXi4HImio2+j5H00GQj7hZYN2v3lAs
KQ2swL912D8PnV+aP3ljqwPuIXcfDMYjLccYgIqNC2zWZfiFRJARGqsMvta1KfpdNOr4pPrBH144
uf3u1EYhYZOgjLZlPvgvEVc0QHFREQGcpGr4hg4wfpH4tr+ixOjXbolaL+wz+JaqksYxKGX2Eck0
ZYwOtArCl1l9R9xlJlvbdH46kgJmWyT1KTU6EJWTauJqD/hlys4dyx7SsjFYzNhtkuyNRIP8M5Ne
P536GRLOvhi6OTj6TOa3ZmjgyqlmHFCM0bv0ZroLeW3CPZftfSvvCmanJi49L4NHeoHj6jjQg9jG
bUsEB/LQYK3Z9oEEmjMVtV3cEzSJXSKZOK5gieFhDAeftFG+rpfPblJxaHggaVBQZsBrBhUgM1zh
la5ByQWtNe0t260Yx9fBmpnWInAJh2RDIKT7LSEY7JpFk7J3mOD4I7eKjxgiMMXicX4OekIMvjaZ
R3nNSP7IQTCQdxjUVfcxFy18OfYtU3rWM+S2Lk8MxC7QyrzGSevHjLSmz9SLLOxadUAVioTLubW2
E1NXdkCxYTlj1tugr7zktQ2zjGskR+Aj2Kvhv8yeTRy15alV0dzvXGtkargiHGEat2HT6s86Qviw
Q32A2rTaezLKX0Qz6TfU3iXiHLayX4D+c7An2FOAZQndPFRemd4hqXNIWMDtu+qD1n7HBVbgeRx6
5TDwrYt2h3ub6JqmueJ74EMM+OwjzuiOiBn2Hse5xgSAmKXdstwkb7Nn0QUMo0ihd1AYY7KIAvDT
2zxLIHtUZRUbBGbEYIhMwVu/F6S6MFOz1TJlThN1KOdQuvgdMIjs6iFJMPt2gUukFduaXUvT6H4d
UX3YaFdrclZF1dqvoZGDRquzSafbCVY/Hk7XdR7ztORqixTu8TOOjHTtsnx1F87H8kElKu0nWiU3
25EOZr5QwEAK03a/VEkqPRR9X9yHuSq/jRPZLSvTiMUX4iEAM6/6qAjOhPKW1zSonGwfJ2FBEYfP
AZiW7Hdh4qDwcmjUgiOCPpN7X1eueAvAntSrCtHUJYuVe+jZst43iEiwpcH7eyE9aIp3k2r7x4yV
9beG3T07MRn+1EXd71JzcldeEImCp2WkmM2aSj5kYoA3TRJPqfinByIJxw+sqlHWw5OzmC4VbirJ
4twR/SYsRetvW8SDyaULphjdJZc0G7NIl+MqRPZbrGVvToSX+qGvtqhR7RCj2dR9GauqeQrmsAPZ
Nw/xgXW9O7+VQSjCU0Fjp6nofUCTkaXtJWHNunjQvJ9Q9J8yJdK9WVHUrNx6tK59UOFshIHQ6T1Q
2QlR9MRy51LgHV+Zs2xZzrBaQkDVjvkpIH0gPWrs39S80TTjOEUfffaDgPZnYJOcM0JxTX/azCBc
nv1sKhl+A4Gi4bNj8mZqc3CHo4EqdYT4D4bkEs20Z1etkiDZGDAyG3ZwMvmOt2YoUXeD9afMXfxL
Q0VkBJGXxqrtDPeOyThxpDytVOoYqUmlIkoYHLnhchFOT25DW9UhpEQfhoc6SWL73vIS98ggRgNk
T2v22kW5ygy3eGNyr85UIP4Rd598bkyQYJkakRH6mQ9Sgh6dq1SGSDH7qK/Vyi8Rka9hfQyb1Mot
sqCBkWCrB+lnFfrEWnZ+iG3eh2hcOE8CKJOBEokVAf0DKP3o3pP4/FHGGub0nFWZ/TOSLELv0pod
8SFIjPSg4tqD1oASgthLHnOoWK5yUZq28RyQhF3+X/bObEdu5Iq2v+IfoMAIBsng4805s4asUarS
C1GSSpznmV9/F6V2WyXZLfQF/GDgAn4wLEuZySHixDl7r83IPgCPOebeJ2OZCDBPgMb6sR+y8rKu
eO/ObmkQZDFEhud1KzPvDsrXWxPdPHa/+h5E6r2pubUe/IjONz8Mqcs7KaqHsSjp3xg1mlD+KXC5
gxkcMo3NGg36dO4o9+5LKm10p/aVX2YHpC4M3/zgfZuw7eX2qeqzT9SsL0Zc3cKjuoN2/Qpr4FJ2
pgvOLgPPMr7I0ABWxjA38Oc7L06xRjfpC6jCaQMM8YNh8Tb2dnFTa+zQAuBdre4j0zgPqbIvi8BH
0GciOXTC4pyNzZnGzcVAW39VixkRafGMo8DcaDeydxnDhNXIUr0KM/tzRRLXl1SkHApaXPdtHbwA
OtgWeXJpeCUdGo82SkoOo90x6WEcVdEzkssDg6E94TCNISsl59uKD1kZPZhZXdGGoejkaX9lppat
GMHdhXHxvm44ENkNgSYOzPbGxMYVRElTH42SY86BrPGCvFldpIP96OXlXG1hc3R8BRd/QfCIYqfa
mnN9yf587ZNXuvKsCSrBPJ7tigze2QGNF14VIj8O2KN1TMcjtVm3BEcK1KUbf8buWJnNEVK8tfFl
vEPfe2E0gA0p4f0kJpbX6Q3Epg7iyPBycIzsKi9jXIRucTZ7UAyt0z6nozUDpom6XVJF3lHCscYT
Wp6ptxoSfpHq2PmwzTrtbM22ffQA2NTCK85IBy8LDlII+ZwVCs6xeqxa+6tMHeuShU2fhp5TLgOI
6sJIKsZWznhNqSVXhcvIrYZuYLcmAY3+a5Arm9Cr+cVyxLNwkpD4GtK7IoKLmiK4AZeyH0Z53beT
urOIT+P0AYSyhMlzynmaj01h5AfFxGzllDSo3E5bhIpm5YVsquio4ukJc+yuLPmC7P4r6laylPth
7c/ok0Xl7sc0va6FPR6dML5jkuEiMILqOjlVdFkQ8grHd7nnPkfUOes/+SO4Cqk4B04RV7NI53KT
xSj6ZTq2CDdymDDx/ZylC9uinM5e0k+fGqWPTsA005o/RkV3yrCH7a1kOtNMqFZWYYFrDdbmXEaH
iVCCPVi5LYIt+xALJS5BA4JLy2xrbTaABpEUzWd7lOVhcImMLkh8YBvicWL1Xqcya+75mBLCKq/H
cp4+uLWArE/xi7uMvIcS0iVTUvPgNALKYC2vcjl0Z00vbdWVyUPtZHd27D93mqhHjx2caoO+gOm/
kiBF4KN55WQUpn4UtVzXiG2o824bXeenIlQ51Uga1sx9I/DNgzsFMGIt+wlhLFLQKj63of5o+dUF
JvmPhdsPW3xysOU8et2pF6A6y63nxsgAikbztXYbHljRXAZO0n70wj7ZKhUdq1SdzBbXdzjhrz1n
AWGNO47b0keZr0Lj0HRBah9o89MnzW3YwZ8tGHTpF3w8wx5TrncZlWIm9gVNAMBDeVuH2nrAijxf
9nlAfkFpfvA4ZW2ZShfA5gq4v5MRkzvXTMMBgGnzYbS5+3k/wZiLaneHr3W6a/AWnazSJ6FthiUN
UUus0Om5n7qMfkbe0VcvKYvCuGSn6cfqPvZFtqvVYifLwguECskxgHy1c+N4ycyL7vw4OhXkJOps
vrVc6yGgzF9VXeVe9HU2HeKpO6QUpFLJPdXcVW6N9drktdogykM6503OzomJweLs8CCStlrTZspX
eSTFRUWRctBZyag7vODFxSNEY25lzdWH2pzjY9JE2SFDcMHJJZ5xvrsZjvL5YGXtFcxQ1DJJdO5i
83GqnIPZlOVG0T27SPDHvBozVUDQjfOq5ey00bW6JKMDv3U4HnOvOw7ueGqyzL8Pym66DIKYzEU3
sY6BwwHSt5APlnZOx3COryWMnDhcsFzp0G7JIk0uI5zNz1GVflZ6JrjLQ1/japhHYggfmASZm7Aq
cRXq+gSDp94HYfNQuyA0wxrtDL1NcOcVbXLAuTJysfV0xafACKDf55vB50CfIZbbeOnwFaTAoUiY
sDEoLbJdpFhpZw6NnCYxVuWcSPlXUT3xKnVNsEsDRWTCgESPQ/GXeDA+ulN7k9Zib7OOEHaQfuGA
wwZvmHtZZYdWh08jo2/QM49BVnGADrpHR5XOczAHYKjtlC+vkXSSSJFcadP9NOvB/jLY8x4JyEc/
yj90XFCEsXznqpL7cSqPKnGOUKmvwNu+ShOlXlYN6MWHCMXpRo5dcGQeBq8DuMzKpF2udlGV4EEZ
J7JQirwINgzX/FPHMvXeMrunuAWMhAbovevHz5xOvlpzd07GaN5Vsr2mLpzWCCho6HTWWtAbAbNE
w4Z/8x72BQcen1tX1/OLUixAXVy5N5Wb7PDPXPWWJm1ZCIXBKdbM830Te8suwMan6KQHFH19H4FZ
61xwQzXHWyBPLQtLUnhLu809DyEj91JzWpBNaF96LrEfY2vsacC4EDe94glnu3PlcZe/2KbfvAjC
Ks25GRpvBbdL81ancXO2GUMRv97afrRhtOddU3Hl1mHufV8efYWBE7Mcl2DtJ379fqwCWhhxvCum
YDhhtUKqM2vUmdoycWAi9BGAwwPMY6jq09LL2PjSvjgTH6ADrjEkax8rUVG08V0/V8DQOlF3sLiS
YgjvMkNivLWRHK0mu9eLviv/mtC8h0I3xK/SaaFWtoOIxkcbfQ5W9dnND7qymhNcQVKJOjGMdnLF
rwM9G1Yqsk8pDdodadvAVeARWHuaZhNPISn0JZqKtR/pj1OWXcFtpNPqIDAtiR31QHmsi8XNVNvF
TuYJ3gjIFtaqr8hnMLR9lZFL/TniWbsRzUQvi/ZOLad+5w0+nWbkpig7Tzkal50IjC8sN9CZCTV0
WyBnGk4mHelxQ2w84hs/BnWeesk27lv5xZZINXh11GYsquKp4mSDe3Y4EzCHbqMICk1Sk96XVlZS
f/OEteUOfXcA6oEva9Be+ho65mzEly1HZ+lw2LQwVhaRBWqW9D6SYMsec4K9CGsSkJMpWATbTcB1
0BUNdrCC/KdyTpJPsZEj0GLsDE40zAs4NQ6kNBBK/zU5Q/ma37f162uLnuF/QMQgmfz/ZxXD6jV9
qbvmRxv98he+Sxgs+c51pG1qykL4YqgV/ilhkBbqfG0t4w/XdS1l/UvCgBEAEwCnVBN/vaWxmP8p
YrBx2GO6RcKrLWHaCrX/3xAxuNp8o2FwTQg6mPyJbuaTFMrtRePwg1m8Hy16Vv4C9PXMwNlPNBdq
3poZYHNtR/0rtJDkY5ZFXbiLdBve9RTpXysKVwgsNpLpFe3JBJhWO0bjKqgt/KmYUCmaQy968RHF
OeBJJUWOjPuIiLZQJnrltdq6xzdvMFqahXpwOp09gJ3panJb+n7ahoY3RCT5JTEQoEJWH7t2hopb
IDtCljePkGs8/Ifltiqh6YEPKmJBqw1KyapjvamuRz/Or/H1YKedk6p4YLEYniPLsZ5oWCWo6KzO
v43AVrDy9iX6VGF21oVBEw+dGl0gC614bROY2nfUJYNDww1KjvNsqmL5Btj5HvDTDVyEzoa/pDrG
sqCZoZohVTTdPTi4MdrHNKhu07aBgeFlJLbsMwRzHBo6hbAVLqJ1iSJflQzvQK/Rnw2zJ7vNCcxK
x8z9NAZeeZ92AWtZXXc0/V1AW589qFO3LmA8/IWiJZmliSUz8QaaOKoCs7kHzO19dejkXGMuasjj
tijnV0FuMuS1m1oEW1/hF98g1B7gsM0MEg4dp9yEXW7KSHmi6gFUbrXDeMwInL3KPKwBKwwTsjrb
TKQ+9GIM9OIiIv7CTAtIIROBMRfMOIuXPm3lqc16hASRrDB+JRTOX3FrxcFz4VuslXCa2ptSJV5/
LJdvjc0N/yVUfoKfkRWkGTrmOouohpwo+TCBtfFR0Fc50j4Lvf6W8Yd9gP3j4DIuYug/HdB1oCwM
HqqV3xbyfe44NCLrzmOrkDNlG1Mjk1wIJy+XOOqAVi/hI+gc1gSUDkDrjSB7BMNDbLLXZ/gi6rih
kGRQtQRXcxXPgQjhniTYp7dw/KxbyjZH43kRNP5y7eMmseunrpOo/jrI3BBRyoQpfCJcszz0Y8bz
NCMYpAXRTRltTasZr6dvnlg7T8e9TkC3HelV8YaAXLEAdEscmAwLke1wQ5IUHKQWhkRwAphz27q5
/1xmdThv6lSn+47dOzvCxqvtldWI+AEygLq0vbYGiZaXxTMy/vQpydz0KUJDvQfKguMhDBrxUudL
gxYglLgh0gO0U2suhAcPjzfkDMcGV4DP3GFw6dQLlZxDE21Rz2ZjHMDbrX2EPtBLseXIXW4M9iU0
XYyV84yL1Awyo+RU32cwnWPJIVoUSY0hcPBQw8xVyzwef/rKSTr4RTV9NFq7dZu/QNgr3XVlxMkd
rjyb8D2goCnRjpb9ZWbEctPS5Fx00FqcPPitAqeh35fbuXbp04segs7WYr4+L11WGD4JpYDmYzir
6MWhZAD2sVdBYKPE6vBtqx3GCbJwkKcnzh5d8vDUeNX0NWPwyBVxs/a27SbiA7HgLQFSoZEeMKVe
Ygewb3uIYbeOJ5GdNJxxCVxCyUZyYCHqB5nnJKoQzeEwxO/H8T1YDGDpaaNwlA465/kSvaiJvs3m
+VNUT+YFjROL1UfZC5VNhi3gc3/iVnTlCCbQUeHtEHPSDjg5kwen7O6mrTsGFUMk8Tp0RTETLtMX
uD70jCcVuW30larZxdoZ6HCtQm1m+xmZ/Ljmk8MD+0PcbEeZRWID/iF/tpvOeMCCzCJS0KRj9IUX
BO8PJ50N/ZT0vmmz5dmQpl0fe4RlkmesmKhmishBjN0bhO6JcjTsQwiM9t6ntX5NVmsI89jTrtyG
UAbtFSk0FkKjvK4+a0o941QbPCirsa/UJ+we6es4OLrfU9+kPCFFGL8fpnHodq6VsrY0luulpxrP
ONEopLUyMPBrxhVlwsATM7R0L1qPtPc13isd7VUO/m5bcZh6bRSjrzVBZAXooZT9wWtMlEWOR7As
+tup73cZ55Ia75qTLta0qWKuVJnFyQaAxng9mfhnq1B07gqxLRqNkFN9B0B5Yv3RdsNGwOXPLsiU
XBjwgBlqlrKUtNvOp1jnYNgkWGUZoJNDnlY96U4zAeIM9zk1lpzwv2IEkY+JL/JHhmoU+aHw6s+s
lOx6/lzzW0fcBtfMhahVAyflrZk0kib8Ki5h1FXtxdumNOj0BOPAo0OzagYN72B5JXg9bWnQ9ch+
SGGeR0z2BSt/Q6TLQxzUSEDQ/3ryop3MYtf0Nf12Ck13kfp3otqWtUmEWAJ+xjkZAuXHNgu8/DmA
0cuxrJACi0uUuOa20a5aEqsn0mbxjs1737JxMM26rGnb+ASVrhw019dkeJRqB85gvPJ1HHdECkX6
mck3GaWZZQSvQEU9valkHX0ya2W/x1CTckYFWFxsktwwBVlgSl3mdLfITYpiJBtzFlG3Q5cmrpKR
jrUzmK3Oq9gKrOGOwOr5Ycg7TmTBSAeG7EsuwKak7a/Y+XNJ6EdPfkBDo+S6RWCfbrDOyNdynDq8
V3RCH6ZqQquXh4P1tWsoOlBe4gXLI06CzCzq+My5l0wojAR0Dhi+oBv21eA727lborISP+sEti/d
X5eWCqG8snZ2u3ZI2xunD4JnSsn50IQOYNogqJHTVFKI4MCJtWJ07oT1s+kihDvaSHo+cCqsTtGE
gA3lEtGOYjZ0uc8Yw2hkXXl96ZSuN+xCGtsNQmhi0FYR0ShIfXzRoyHVImSOAsj41pRWd1kH+No5
Vfa63IVEHkM+phDgbUfndmMlxtSvO8cS7poRMaxGepAJZ/NBU4RRPsbkUTBA5HSFcaxi3SscVnQI
1v56DKgqNu2iSyOivU0/p4EH9tpv+CUc0HIOzozcreV83smbhNwX8jSxRw/rGeLuE05Og5wqEz0q
vTV3rKBoRjTtKAxoI9bWEgIx2ZNOdmMx2NFRm1YIaGcM2jvR4e7YkFGRXthUPta6yeroBtRK8EgZ
WuKrGFu0/VM0kkWryKNEQ1goBok6M6tXtDTehU7S6Is2He6k00tCyfo2DLo9JLzAO8gqr+HAWTCe
eNRtk4RcSpabVsig3Yx12z7IyNM3bh2r5NIKBn9GhBjIZk0tO7ALWS3VAYNcaO2K8zayznwCHWKX
lriBdG+xd9KDIPTSn2KmJGilHzK37D77KKBDspJNkkqrrBpvrRoq1NYSTUBZmmdzQJu4ieR1l6HP
ZIyAGna0VpYOodI6fcP/RESfQwxd2Vn20Uk8KtFaQvda5YVbP9LRjMkHCRSxELM7cM9tS8ePOWV6
vI/wRqACbjOsA6fIMaRD0aemfo8zthh3oKbnYuekgigunPfQxLcp0uq7CitUCYujkSeZ5EN/nhX+
qg2dVOKd+qxML5tYiWjDMCr6apOCFe97VGCfgZwGWGNqF0bRqJsWbZipZ+Q2egIP40VAFLFTpvNB
sFcr9gIwyMyCelZnNyn13aKEuMc2FgTbfojzh7QeAmJaElcDTETvFZAHQHwaHidgdxIu7siWX2Hy
0ywbGg2MlQzJx5YxFYSvOWteWy2Hkrqi907M+glArWuTlbrJUtvZpazM8UE2bXmb49eydyIbxke8
0BZgviqmzOSJsxEXYTbdM9/Q3ZodsUQwbkCQQBFgY6s2Hck4xAxSo3yayJ8EwaQQOm6G3EPmkXtW
wGiKQydil6H0tlzNcd5B0J+MNVVj6WFftZaa3mtwJqNCj7OjSMrmCo4bTtF28nLEajV34gC30bUP
BccNQDxVyCQq9xwAMxbyvYXt4hXGIUv6zLuIHAnrok676EXVLu0yFSEFYrYD5WpN38p8wnNMYSFZ
Bg8ChmJ5EUcthMX220YkeiPZdV5UEKYrEpa0zgCnfXKbCQu1TxGI3DL0xUvjxnxMz6P0vsqnvtuE
ExxNYI8d0nQUl+Gm9fA0bYdO8x0GPBznHt2UYJxNVNy6q4GRwgeW6gPWN0SDeAIcsPoah85LWruq
PkyKHKcVMZ4C/gpde+YAnWZL9DBwXSJ7ZgRDhojDyljShduEtF4wHxmGfJY4gM8pOoVgz6EmIvS8
HfW4NaGU4vEblfY4Oqnqlv5aJRnblwzLiMOkUo94eyC84rRDIOmApV/BlKzuKujd+LudpII2Y3vy
bkLsYCBAqKeB9mCQDAeTE3W55SXOL3IXROQMN/HC5T0p1qbGA3CKMts+JKBXsjV0tOxheeb9PZtm
woZBUyJa+Szg7bHsFVRUNkNR7o1YapKd0gg+VtcAh1+lY1g9UvDSzh1U88Ub4QCyzi/jjAwLgrUv
bbf2wS2RT7SGpOncG/Sgh28KjPAIXz/ApuMQc5TVFmHyyjQejUk59xg5NNBpYtFXfT3yYHlEDFBI
ecGEjiAHl06nsPQ/MWUBGmVCSyUkjPQExmClGca7yRo5ApdW3N4ZaDzRZQcm52e3Mtpn/FDGJbwr
6yVF34HpLxo02dJJb13KVhVPGcayS6eJEGsCikkcvvdgkoiUK2yPTpCWfI8iSl6TJoC5lfThiBEx
D8ytyYA2PIm4SPcBkmr8tGOavEbYNrKdh18Ak5PqUJLSgoMHXbexQkoSm1NxLprE/YreYRGWZz2u
ViIq4un/wTp0/h/roiFo+as22uElaqMfm2jf/v9/oDFc8Y71Dh8qIkiaX5h6/gBjYBGiheVS7rsO
qDApaGD9YQSS5jsT+5BicoLwXFAk/dlFE/od5QyCTK2Ex2RO/S0r0NIj+5cPCLCGZ3mKro5gG+FL
iJ9hlJpIkEGHAJH7fhjgZ0fFPkq0dywmstc5xXnFldv3xusIQZekVihc31uvbwinb9Ac//YbILhT
fBlPavdtF0/GDD+oFBkX5AVxhNVCiglzsWUEfP7hntx8/1U/fhLtyl9+K/m9gDyl5LO+9RN/6Bfa
VY0t0BycLUVFhaZqtglkTbPf/J5fryjX1AatCATFUq69QDd/+JRQp2YhO6W2Rp+Y57qYzAaXThGg
FDOx8+9o+rWHip7QtTN29gfG6zLa/fUPXS7Z25uKu0yBU1ESs6+3WM9+/Aqem1fMLzFGTnXVbEun
ca4oZL3NmDYZswc00JbpG4e//lDp8Ur89LE41yR2Mi1M7qf30530ZAb7yKztLV4rgB5FGIXm0VCp
1YJhlmz03ijqgKA3wFnrEFCQy8DJxhPilUlxDlpDPZbk9EwrvNk2miGHRofZO9VLgpaEEOIiQDIS
1551UQk0UKsypq21GuecMHrPmjFpR6GP2mKactR5fFPR7msdqgdTs+rtIyb2EPwJzlZfiDhEVMO2
mQ87n17oY2gtcK1iiu/c1FKfwFUTijqZ1BeHLBbIy5zKc+4IOIo+0mO0nVvsRGn2qJIxBRVmT1V8
QJ3M3NDmbHttgVbuHgEvpHtVxGgZdY7Edo0uFJACquj+gzuA0NuKUXnlNe0qeQ/aJKcBG7kxkWpz
J/aeShWToCEkKrKolTNvc+l3L04Vi89WYIPDcrLBuih6sDQrEPhOv2bfap11ZfYCaiEZSle6m5tp
a6MCRnuH0QCeMW0fDOg6TQnu4KGwdnlslMUGzKRRYRQYu2xDDCBGtqwYSFlo6Vsf8cTqaosGCz+S
7RLVGWkUDRvVTTODbb+zrwmZGB+CMhjo2tAOotLFBn/pDhnnHCAI+jM5RRgeYAfVSMIjoTYzOdB7
M6JVgIBnnsY1HNYGDktavho4rO/nBA0/I/p4gIlP/+Zr5UVEhbHvkijL5exv8rr/VMQRE3OStxXx
hZr0iJXSY/XZb30qY6MRh9oYYMOCbItoZsPk8BrHe6qDPnwdaiwQKwZzHLhdPVtPZAJU+7JJ2z2R
3PoiSya3v4hJD32uQFveyMqiNIsaDg1oNUE3uFiFrsYRdiiIbeHd9iTIADtjREquFaekHdnauMEK
6TZbv2VGjzXXVDMp5mq4BpnWVWuVjTmxikD5ohVJC+H7km38tsT3T2o80IzugGvFiWi6pQESJD3G
77Oei0YDYBlVnDo8NEgtZzTDp1HF/nzpJWOcbZgseHeRi8l/zTiCYAc29nnfjDUmaDlRedLPga6z
mTtjnpGHFFBVFcCiT6qHcrEkpsQLYIgyct32HEoqr4g/L0pagpHb2WQaa/ctweF0QK1zbA0tap28
Q1KLILa4jlXejuA7UZ5N3VQ863aWgCOKyAbiZ/i3UxHrM4FWKOKEzVG26miIrXDON68uoS833wNa
AuS3t1Mk2mCLZz+tN5AX4manmeS/x0+XfawxzX/1IAYylKnS/mNDCvEnEZhjxeIiKKlthFsYfdQi
IiiVY+OQTmlTrqRnEkprugHOBTLGmCyylqcw0cxxYH5ZJLwnwo09Who2WTeyz8FbZIgi1iInqXEV
ZDAG10hpUdm3MQpIR7eYa5Ju4tDiVIY5og7tuDEWJGi5i8yiJNhskK5ak5wxP1dEWSGVT+kWw8RA
70WrtIiJJ+hGPECWIcmM66XBPAgyhtxE2gpDivx6EpTdDVE5tTGnwdkqm7hZW0nWLxk05ZDtOwp8
jtWDmVdkR7ARYTIY6Zq0vDvo5ATyVxKx8pBlwIzoG3B8G1/Gjln9JikoWLc4e/hlrWthraBu4MhZ
EWo2bEYiXMIToWKJvS4HMJtwPXT+ogOV3aB4p4vnV6HkgF4X89kB0CDg7/f+Zw+9ndrxunXPaWCY
D5Vhpz5vhHbpgNtuA6nElKBemX+IYCOVSQytzCeL3OO6JjFxaHL7ISuIhT0g3o4Xmabui9PQtTyZ
EKucx0546HpLM4eE6zv0An+zq4Ete7OnOaZAM+Fh4nOUUvi1326lGmcj1pzUpoHf2bdpc1sIyI9Q
f8s75XKt/noP/XefBvYULjlCXpuq8O2nzQUJtU5DKypKC+NmkJBIhsEgFcZK1RUd+9e//jj5doIK
ANykfoTXxvDQRPb57c9/qFXqmswYlhC17Wn73QI1Q5wZ2h3yTLP2ELrZ8dKHHtBaQE8lN44s2FYb
PihdHnwY3VUDKAurwbRpq0YhkFgkRvDEAn9tQO4briwvKJxNlRrkKKopiNrXnJ3P/X6i+I8lpPj1
d5iOQ1cBLCRVMSb5t9dNOBrvBXbvbcqZCiBYA673E/1J2hpMoDznglpplMcqzswG6BG+APyK0rB3
EHyc7nsB+F9AA/7vohEoav+zqOD/gOQPupd/vORf/rF6qT91X15+PBvxd/84GUEGXI4/lmO7EiQ/
WoM/z0b8kWfals0fLvoDvdSwf5yNhPuOxQskLrwl5ZCgyTv5ByZBOO8AyFPyCv4tTlVQCP+GwuCX
10OjLyA/wOGRMl1YDj+V8vRZc13G9bThXO/eRzAJTiSkMDN2EdZ8ssAT8Ir0ib8bTAGkFVz9hDJo
otXNNu4e5Yg3FDK1D3V2htqkrYbw1HahlEStOX9KpE9S5Gx0dPrGXF//cM1vfj3tWD8vJlojwwD0
wLETfCJsxrcvhWHCA57Ie9+EuPBfBqqV+8Sx2f9GGpwYVrz6vWBcgICWdR11q6R26ah5B2Y1tmeq
I7Ir2i8G5X4BKYhQmFWHdf4RW8CWLdW95lA53XStNTxZtSDLpZotA7kwwjQX3vXWIcGRpJrMyJ9m
MCnmOUhzXFgs1dOtE8fhpY+mCZZ8nUb0EBVlXTsl1b6JTIAwf30tllPsjwei5VIIlnLJXZSKQfPb
SyE61WepszDDhE1Qb8sK1I2mQc6e6fxmCf/57LV8lOS5FR7RpUtexNuPQgysRJsl4wYyfb1NSY05
NYTAraVHVKTbEH4SdPntt5/3/1ecH9I9xLI4/Oc15/SSA5ghM+DHlebb3/lnF+YdvQXeA/rKNFy4
S6waf/RhvHem6wrH4zW36LawpPy51tC74bnhL9KKoUvC1vznWuOa77R0nX/GiPyNdcb96eCsTJo8
cEmhp9omnSPzp4MzjMmyqQxjBqoxg6Nq0DUe414wXARVeQhT39WroMeYuq2NuruuAruLLszZ3OCZ
AQqCw9WIIhx8vuUKij0b23nYDuRGQ6QEJuq6XvShtw2UcwVIso8piQruLoQ3zIwvhu68YktMORXK
JULNorQHnTQTqyBL68bB0/cVrTL14ygYKlugnrxuYVfMxKlAe1Rl/hLPLUHPWDC6+9amGCDOKlon
UWM+DopAUbAGXnYxsCKB6AqNaddg+q4YmiWDtc0Ac55QKcWf5TAfGc+CYYjlSKrRqMYeF0DZvXcA
2GSbMKiW5WEYd1QyAnpDqO6hdAL0iilfHgIngyNn+/nHdIozUkKcArVAaIgXiWNiQsVK/PlUNfJl
ZPL/Mdc9WQuDqlZ2m2Xfy8b/xhv5v9YJtdiJ//N7eL8k5vzjoqhfX968icvf+v4mCsvkVTSpcMWf
O/v3F1FI9Q6II1U2ZAZXA0L68z0EjASCwFqifFyLskDwR3/s+Zb1Dm2SZVKjQ/V1F4bw33gXxVLQ
/2urWESNbPV8u2UAtYgffyrBsUI7wcy07SamZr0JbfRk/QJfsaks6dTMxWEMeEFqjQwgCgZGJEbZ
pocMzAbNelB3Pn0bzUioHq7wNVSbRZ7DtG+JOgRigqH1h8v7b7b5n2rfb19Yo7SjiWsjuWSPe7vh
1GXouKilgptIoq6zArNd47jqdmktA3jw2VMFofBBEe4XAgxxij2mZuPir7/E201v+Q5AlSVXjP9w
+34+R7RVEbbKTdMbA5XPGTqNfMl6UR1VlHgF3qwE+XjVhh/++lO/Naff3ituEKUNv3z5Lz/3Oek5
QT2STXGD9idyzkBFkQBljrxGU4Bwxp1dIk3K4CFKMo6oZl8I2K3ljFZvSU2IUGTn+lYy8SbkLcGC
Lelq/aYK+/Vxopsg2ChMOs82/fy3d4euAfjPMk9vWm/KLwe1CM68hvOHI/FnHczKFcehHe1rlBtj
+rtnY/nXf7pAyJJcPKC8ay6t77ef3ph1zGbY5DdhRDYogSMPKkmAFXLovcI+GJ0cJ4U7hQbeX4dK
1MemsuDYp1F8SqZQfD8Y/edjGu/826/D1kZVZKMZdqRFWfr268yxi5GYPtCNgh0No660hs+z6sS1
6Y1NtguNwH6ZtdE8FmAygOl5FtpBu8SfYhR5cEXwALT8rp/aRyBWv7tTv75IllAO1YGJRJkD+KJ2
/rFrTpoJPnU6C2ckwsXRAYt8rQfZPAtBJFcOzQz+hCfRsqj2glmecSqQBP7mEr2t2XmRLD5eIo9m
PEEM1s+rTyYzVh0YY+eAgOXnyUPktSqXrxN1XfmsOF7/5s39dgp484hY1vJ7We7kMq7QyzjjhxZA
y8YK69YezixmvCRJ6NUnqtZkHYlGrrH2ORs7iuAxmTCqO6Urzs/TDifW+JvC+afsr2+/HcAqTRaG
quzfP48P/GrUgVHq8RyaYXDZ6sbblV1londbQEm1bUZXeEX87ZBkyWWbg2NfRUSoYmBwt7iUe7qw
cf+ko+A3Y6NfXmGKQvRgHsuaudye5c9/uEJQ04BkVYV5dpc4BzH28N2kFTKgKpxnUSBXUB6tuaCY
o8PfXeD4aAdpCosbTQ358yMJUzLQhWrVWTel+1j2CDKLNifKuyaI/nMvK3Gtmt69sQCmrgM/hbht
kIG5IlUWK3Bokr+aD8NhBFd8wPDRjr9ZYN7Our7dMh4cRFMW7ReOWD8VrhW6kXCopDpjfG4fOQq6
67zquo+tCOvL0I7aswspBOMdDzzw49T59JsL9MsCt2TX8b64QvE1qBve3hsTRbEziYg9p/CMD82U
VetIN80GAdO4I/cv2ruViNChGjCxq3gKSOcmSwVcpzc8ekVt/ub9/XWFe/t9fjr9dRoAajKE6pxl
zlMQRifhxV9/85vfHma/XfTFk8HLapJU+MtDoUUf1zrQ8uzWU2Su9dx2O98fCcmr/egS32VwGSeu
sSPVqXwek9I+BHNfHV1SPI8ETafQbDiifimAW26F13l//6FVrPOagTIzUGqon+4Jeh2Nrr4V58pt
0wf2pi8YYYtTg9Rm1Qs7P9XQlfcDnOU7aGcfEEmBRJSGtuDw5v7r92W/4n3fYzb2b/766v36Mi9t
XJMiUsEnokP09oHpxrqjd5vMZ45P8RqN9FMSYYZfKRXKbMnhiy86SH9AbcrK9y7/+sO/1WJvF1vE
e8xGWdw1b7W1PM4/LCV+aufO4FbqTBQZIsEZo/ezCCf7Qs0TNMwoqa5IT30/5NjxeNM5fnHcAhCP
U+EqdbPfzYn/3ZP0fzk7k+a2sTZL/5WK2uMLDBfTomrBUSQlDpIoS94gZNnGPFzMwK/vB3R2t0W7
pf4qIheZllMEgYs7vO85z2FWUVn3WJFV62pmqyJjJOA+Mg7MZ/W57Eq5HgS1LlQwvW0sP/nyf5ks
TEp5Oht5qtuUYd5/ecWse51Dlzhgq2NZC4uqfYIKGeyctOrfUiT/c6tyKEWhnY1vWObbpbCr9pbl
+OyEAeAq04c/jB8zWwRWVTFq/DLZDKqPEi1Nkxt1CNrskxluOlhc7VkMTipCM6gp/mVXMJqw5UzI
QQdU7HSHIlhv89Ly5W3e91wScrOe/kMJ3JLGcvMICPy7W7DPbEiO/Vkjzd3qeaPi4qZpZxGe9thq
VX3+5Na+LyBcpgTOKuilcF3BYxZX0w5yeW2K/NAOFc1fsN5GpO0zO85WQkuaNVIhdzOQevSYoHzd
kwzQPWZxuEjzpJqbbfjDVAWJ5Z9c099uHKU29jCmDS/scmN/G+t85igUqSFHBne0g2Ban3vALbjW
c/shYrHcEZjVbxI9AtmOu/drC/eD7lXrrB01Mh4UtKW3UQ7zwIQI9SaArv1PbtvlwGkQt8KVXo1/
s1cNFLCJxsmh0/ZEiyVHjDRfgAv1u6aqCKyOiuTGrtJ8p7rqfVEWLLqj5Wy0YqwPih/cfXzP/jhG
0YiZCt7cb3ZlSIbevyG+1YF7dDvt4BbEc4ssLF5Qu7NTTgIIJIOtlw90/j/dAk4T8vtZiY+lb2Ky
N6cKdn2MchutgSuQ6QcC3v1vYC8tTrttMmfFr5aKPnanCLkfmRagkAydSMXgcp76+Lv/ZfttTOFA
lsvFCKpwV9ODG3e9r/SRdogdCP24JBCqo6gISFUHjpJgEVfl6L0aGewYxODBEvBQtf63L4ISAl0k
MZUhCPycBvVvg9ZuysY2en08UPkjwpJM+DttdMRbHAptT5xOflv0yR6Xb7joEFe9jnAlPrmGy37y
/ePgGlDu0HvgQjCrXF1DB0LIzoR6wCruGMveUouXdHpxQTIyb3ppyFYriWNrlSE+3YtAag99JvMf
UyN2XFjCLF48f0INVF1Zn2MDUr3SCv1ky4Jc9+kMAcAi35QEhp/TrMs3ZIOKDqiJn4SrSdxDT6BG
9z2jTZtvLidjXBjMaZ/cbLYDf4w8wdfkiWsMPSjwV1uFyStBrMUU3T3NEdjx2M/aRbgORtM+DRRt
d2WmmAtyHl6jxk7uMTk4Jyq15q5RGk4nvinWITzq2zJDQRNaYtkrYNdxp/fLBJ/3wq9E96OsOmOf
1+ZzabTmLujHbtNUqX0MlYlbZyOcsWh/z38dSntEpwc5dnCWYArjsbRC2VJGnARdej/cD0wZCwDI
+LwjhDozbTq/9rFJDUHJDaKAhzDetzr2BMyOO7yEcttUIEbcuAZIrHbZs4SWcSycAPSklueb3C3j
kwmBgoGvMbZiK/1eo/y7Z93LNwqPamPZIWaxYpCPg1s0P8da6stihJyRtrpPXzhs1m6ij6uqV/In
u1WUb0VakwMYTEc4g//m2KCXzCOQCNuFTbzCJACGRpo4/ZqNM0OFrbFzarss3zhUck4w84NdWgwr
Ik+9rfDtL8hWT0D0xNpXfYhNStGEb7kVERqbER7RjrW2j7TC2Royj7alXYVrkzN8n0bBKrZrezvo
AaDqUZdr3WsBfHc6YBD2JaeoaTvM7pLavh3E+xCvLfQVr1/EadLtpCGrTR8K5YuTdfDuYnffDTrq
FIXcm03pOfo8MNJXspbdLRtjkB81fnIn0oKDA8LwFhEK7TY8M8ONyM2jlkTtwirG2zBWXEjgjUZA
7LSypNJo79OoZgWi/vdka4ncEW+k9fMSqXRwYX6ehZpkt0VQmg+lFm+9CSeCnMzKZoJchl3Zu8mv
tcoqeh0cXc2cWY/aXsl4g4NImpt04nHFfqiuDTPmlZOm3Z8CMyaeE9gtp/xAzzdpI8wdhBFuw+Wh
GYAl5niQtG9RHIs7jsT2OqtwfKH+znS4dL4knlGbj121qws/B+7S3iWtZu94pvXcNDNvzgJnrURF
NJYXJdUigVS5NsVQPxawleaBNM3b0ASoVMbEa9cFftxYl+AfEHjEu8tq5EsLRX0h0UhnSmY8Ik4r
7rQhbjaENirbIsmTpd0JokB0tN0DpftvHeyAY+Yq+cY3FaJm+4x0nkwbybjsCgKp/HqtA0smDcht
laWRVu4d+TT3beuMt5kr+5uyE/EiVHoVjV6FX1f323xeoHx/oZmGAFClmg92vQAAVDdNNBdCDc40
nDngDSGgTc0i7FcvSvEFElH/0+4U4FDC26ix6+wCq4B/RpDCPOjSJ62ydaZS7zUluOy+7m37tWuC
Z6/ytaWTiXTtw949AuOz5kWZQaCZ6oUBr9mZZWhF4YoLC0ni6YhdmfMyAkscxr1ELzmrSKwxykDH
lZvl7Ruw9HjD3J8DzVN5J2E8lQaKCpKazK46s+2tz6JUeTG6lBcXoxeDEOvMuCGOPXiNMS/scJfi
trUjymOt7awR9sTzkdTz1TCU/q3nSaLWwI+cZZJmSxfM86pPWw/kiFodSUYaVoOo/YOCRH/T2lmx
b80sxeFKcRlpnYIbwBEji67NsWSpGWm08ktHfnEi1dt7hRVwcgZZA14XSLldD/ee7sptp1rFSxFI
JkKiPZlSCsb1cuwsSp6GySpziUENpMF3vhxXL3cvGSzrODblNojG9M2Tk4U/NYNonYJ1mqlOEN8p
WgtoRujms2FW3XcCJPM7IsWcg5XmygNc34GzpW7Cda6MjWpX3UYTBPnaXl0txzAtoNCjNIMeFM9S
LyrmbQ1TzIqS+mw7A+DFZGTLPAYcli9T2dDr9bkoXNz0Ikz0myCtKBJHmc0JACw4S47+ZKXM6q6R
Y49SgZmzyo5Eg+DHV8jP08MEqlyOYQpY8TYdZL6O5YTMdGJGsw9eCoWqViBiayimZSOsNwSqQP6b
Gstb7z5jAyp+FLVH9dNGyTfDiKu+5FZ4n3WgPZUuBb0YtDsHnc0NznwEVogt72rDMTaY/swbJ56c
Da2Fwd3paPkV9cOAygpNlWMudTKa73DrHy0ytnct6YMntGOsW43Nk7uUGXFVIyBlR2ivdabbLm0f
kKnP6Om7Szal448Q+eNdOyRgzKa6D4JaJv9QISMwiGyAwbq5TlqcwJkB0HIe2ATouKQTzJC9qbfU
IcgJjyGAtyrgZ11GPmubEjw7TnFrKWa0gtRLznrnN7O0y9XHlMr42qnlABtZsRagyn2b3PUSje/o
1NWZvFqK/Y0rwwXmqe8YcKsvIi9w25WYGnaGp+lznNbUR6po2CKXRhRZ2jQlhxJoqieh44TKMh3b
fla6It5rPaY2L4slZH6/W0vydhZd2v0g7aK/05CjbGPLMJeGNLV9YovwQY9Va5sPDROb3norR9e9
+0Tp651u1/khyQbqLMKT+Iantz5l+j9boUgO/RQvhQ9Ra79q+HUfL/Wqy3ZPYuw4SaR9P+CE0kAh
GGieVTEkeqLhFrmJMh/fvbbXOi4HPEUPBnyQ9gFYF+ZfkWjz2u2GpwTb2HYssmqZmXq5h19P4gB5
1xtbzQQacOkIvOxIshvJVnOhG1W+cXnBvxCSHs8cWm137WWFlNG4qXohCaw18FU2aM+LWYWWGGJS
47Ka5SMGQqPoDlE7vctIqxa+xOqNUNY+4fqiZGrmyzzCJArXkjvVOA51ymjKTOY1c9yHweisXVNg
ZGIbpJ0Jh93QHgaRkHumQ403xNsXtpEz2dKmXfE0/3a+ZX1Vk17h68eBc+phW3QzN1H1l4JtBYeI
smTtlnnHO1dzjitpAo38CVQ8TpTTPjIbW0KRy+mQ1XvED8Eyd5r7qOJPkc+wU7bhy0KjZwS6Dvpf
EBZiS6Mn2IaRZr25el/vSzduuF0VkeBEVVc7zNAIg5Sxkt+EkHxc4lF9TMhWeaxpaqKTdpQDbGdr
JVGtt3NHG7NN7g3MvrpiNzCgDZ3r0VprEEfAopayHGSvNPsI8/EckHp/32XhIQZJgZq4nbzXoWm3
D1T5q+9qo7TPtW6CzqPpjjJUsptwyEWzN5cqzxSnQYKwpzyr7HqJbQJcdDIakGF5qXcZaUtBsiEa
nvM4kPqGnO0pRt7y9XCT1YhZM3O8LbmcF2YezJitZVJVxGd4J6FVzJyyUL+GxG6Sg57CjOxH/Vw5
hbin6HYcIvNsJ5Z7xhXl4P/XiSxuOi5eU7HJ+4hKQXbzvAMkumw0loMVKQvGOrmn7Fd8jGWpVs6L
XFcWxNQlM8Mu7k2PlC2K58NSVhAkQI6aL4FddLda7EA4NtpuZdietRtxRAmQ7WwiwvAZMtMrHTN2
boQC9geM5MZc18nw9oFtzGPE2mvUg8MsCQfU45EwyrfeKTLCETBHoW/IlBJYWSSBdie1t8/MDkls
3RviO2PPczc91xfd5UFM9gd+sf4GE57/nBEsuPeDoPiZuYXVrZQhDL7I1BXRlwTPOiuA0yNx13qj
fCYtu1Ju425s/WUf6am8tftU+RqELb4trcIO0ffDGl04TCwlB3ht+4fUMbZDlzZbgjj6PazYaKVH
ibxDPv1DEr5GTF4UJoTnOCzerAPxKzOiAeoj7MF5WSGT2dLCcXw7OClBKlgz7Vd89MTwJVYVgLfK
MvGU+LURAoJv+kNbVW5z9Fo/wNpKDUHGa5Ro6hMZhWRAW05fn2nzswMyjTFcd3aeLRPJ4aIdoDvK
1hO0bBJOAKNqZCZcvFbb/9o/JJasULxUlncoQqM5pCU/ooCTb5CPp8sGEMVGWpxj8eiziyaHlfdb
T1teHT3NeXUufy2ajI2LXNb5RvUjtlJGoNH6vew9ANuDuEk5pVz+agVM5ZQQX7rzW9ANC1ek7UqU
ZOMFllEf45GhURKrs2fRpAUECPoMV0i+hFHZvTGfd4irOcqxDPOJ3nRq9tOCTYGTu1/UvPbURWcJ
Cu9o7ouXJh4SOEV9aP1swg4f9GUvmWTTgSDzm2hnAK/YWVYTLxKJVGWWpWH+VE8HXj/tqMumgdm9
wQxjrhMDtWZMxHZAOE3v8NXJBdT2dUyIE6h6qy54qQq3XrJHie0FFJ4TRMbqoADNORt4yldYGXkN
gWv+uoy8qPiFBORdZknBXUP9my3HYjDzme/Gzhbch7ZS4yLcg0EBWEmtgroosZhTBY1vHvjQCAJH
ylUFTPWGrIGfTYuvvgFwt2E5OHYyVSZ+R7ZJA9e7YXawz36HWz4IGxYpvuLkFPfh5HjJVmnd6Bac
JXkoTuI/VHmq3/HOEr/oui2IdFFr93nd1GceO/eP3Wa8LPvAX9bxiJfc19NTKjzSFY3RUMnnUVZd
Y8q7FBruHg8W/+JDyJoqIVpnchiv1HamqzGw/5FThKORqucqzng3OJIQN9dXg29ZqHJzKi8EItdO
N8d2piGWVe2RWrCx66HNrZIhDOlUskjBn+WX9xqlQywbNykrOqeTpF1QgzLvYwi/l0dLwB8NCUGG
QLLMBGf7DlbJN5uN90ObEUUfdukXJQk4rsJZSOddRFaT0CLrEVSetuH8p8/KUaX4EZOvniNE2UdT
6tvIDuFBATreMV16jA/fC/VVj3t8nWJB4rjNCI5iinp+TDnbBqnKLDe1A36tqAbg+Lmk/bmRU8UC
uki/oVI+bPsuP8MY/mYbwjxEcqwDVkAxLBDe6fOu1ZvbDrHjbJLcnZqhLN/gSzv3VSBJ7sAvkW8I
41B+YJcuEnJlRkPAtNDsUyfiYu9DTloqpCQNszEKjTcTPsyN01f1TMG6QUccZMA3WEUxdS1Cd0HT
ecmKHGYSZf12vBGwiSHz27isnT4+jGWE/UlVwq+XAg2udF4WiCeWXI7SHp5YnHmeyIBxELSJcaaM
9UUkA7jtWJrxV6WKnUVFtMiwuLRqEt/JvhNM7R0vw10SKXbK2Vv4bHd5u4lvdedUQ4xT3SeP8VS/
VuG64m7QpKXPPIWCgOVTLZEI+x0CCBl60lJgeiiGq9z9mo6wJMxMeyRph/exBtYClxqq61ifralu
vFZhec97KOerGmM8FZCsPIViYANvKl2JBjCBMgIawFTShVHXBDWWfm7yf0g2OypEiFUdKNNIh6n7
tSfSDK63ERwus5ugpX2Df/IBfISzbyu2fKtLlfByRKLSIaGb2Yl29IzCPJfTdvJyvGM9olhYd7yF
OuKFkwO3s5ixSnq3uRo7J9AWzIiXiRgSS3XOvGAX1bkaksje+7OGluxWKH27I0qk2Pe6gEDRx/zR
KLcyl4RZlJa3NEKpHlW1DFZ5osQvZjiUm7AXy9IyzT3FMeU+ayoOL1OlrzDG7q3WssjGwAR8uTOL
8iURJRTzAlIG6uT+/lLZdj2z3uGm41DTp6tOmmJTg5w54DDT9s1U2roUJFGm5F8SEfRbq/JzDmLw
CsqCfDsln0pEVZtX93EFvA08F6uc2/prtW/afUPLfu3Y08Ra2OarodvJTp0WvsAPmn3gRnJGM7L7
SesG33gLk1wte7EyDZVtYwvycpF07KD7VE2Pqkzym7QeAnoQhvtmjwM1G9Q8LYln34ZUbTawqfca
oZELuwHARd/CY1dEMo1SKfbJjsCJz0zJrpyorQL4mjAJACbp5UVg3TLntZ/r80rETPykcIdLk0lq
WFAhm6KM3KT5ronIF9tmiPg2De68t8YczV18qVVc1nnbb1mj7HEqBNhSZawhBOc5TA2g3A29ee6a
2I2xEJwKpvA11SOb4oU63F/GEnotjawCZJkGeOut0bjlOqMGuwEU5oDZNIuN9AjodmW3LDJPvdVA
rD62cfE6APqDwYESIjCj+Fatx5uYfNtvVSHqM6bc4sUpbLFRwdWu3BK2t8bpYKYRwPkY627/6AnI
RK7LxsAC9L82o1ps07bVV7lw9jaH6ltoEvp3xlP4Atrf3F1G/Mc18T+bZogPHYoZeMJBC1wLtsLS
7drGUxxiK1jkZ7DVw7U6nUNU4CDnWDAjfPyBf2lJo4bGLuGqhuuqun0l4WAPR4xo6iuHQWFCTChU
xcDJVPe7pg/qAcCeuAdF3q6Z9ty7INR6dtBc3KwjG2xrhZb79PEFXWr+79sfk9VCsPtGEI19+UqG
pYeChaYeFfgqFF6Ip3XfypGioVp63aquqp9J27pr33CGjT32I+urfxoAFv10RZdPejG1mUTDcgFh
KVr2VentVLK5YPqFzlkwim6argk/adpMVv2rHho2Cw0DveEghET7/75po7auTqKkbhzqrImXY1XU
N4oMKEbEmbqQBPyhOq2PfgYJZyastF2Sz6fc2rBQ4Z7RSMzcEdYJUR7YC0NNO5ZqXd50vh3vLpMQ
kCLn9PGN1v7UqnDJqK1Ul84xtpmrPlMu4iwI2EsegGQltzZk2VUbiHgdokxcUaU0d2AUhw3R5OZL
35fVisidF83ROGpNu2cKFc4qHobgM5HENOLeDwCui2lIQw1PUNt1FxStaWFxwBLAhavoKc9tbx2J
sDlXdpwswsTXT2kfLaIS23PuWe4Wm+vFA1wrd1ozWltnWl0NtGALEJbVG/SPCkQtsOhP7t/UVL++
To4zZKyohonh46pXOMnmgAyH+iG+tA0uhRWitYsXPJ7QziyK2nOdU4FRJq/EaseLTh8p301Noo+v
5M9JA34TTlKkywJNy7UIioWcmQzbzuHSJVSDdvzumpLtuuGne29qQ3z8eX8b65YDQQH5EYrfa7dd
p0uUxm2iH4ycjC+qU2/U+LN1jtfzWHaOuesSt9x0ZdFS2Wel+fjT/1T9gsGjN8vowF4DgfbqVQvl
0BJyx6vWkx6z72qLMulgOXuCeaiM1u2WsnV866QinPd9XcxjU2LDCtyU6OZUeevz4tHpUv+ExOWz
O/OXJwH51uQhTLo9S72au8o8yE21q6xDCCr9fFFQhn2E+kF0xUtleNUnCoa/PAnmHBulwLReoBl4
P+sM7KawkMfmwWUDcWMaHBta0DoPZB/QGwBCR7OiEUuAbe7WFOanvss/dSeTawU12jSLGDyX958P
RlZ1rcIxD7FiNhsMVv5N5hBiJ72hmmmRudCGSRxI3/CpHZ3sDu/5YzW50qO4s278sm0/kVv/bXBw
QVTuLAw9Oqbd91cEKV4tjIJ8FgpB1rmMclKwXSMCKY1KhdOxZf8UgiI1vnk494Ny08i4XmtBAFKq
1ydUUR2E38hk6d5wjlLf/Hjw/uWBcZe41cglmTSuF7dCGCkpOLZzEFo8FVJLQV+kSTmCTZ2/WIv7
t8sO7DJf9f1IvfvjC/iLzILFFZ0vdBJeIQq1729Q3cOHC3EEHoC2D/eVP5ClEcXzfBjiXW7W9S4l
eX2lwYG/ASyRrGOLWuAnnf+/rPGo0jVmEKEL/JrXwhu0zDlRDyI8uiYpb1qQ0eTp63U7evTYQBI8
Oz18X1lSS6DDJfqVHp5iUKs7Iyf1iUSoWC4rvXptfC1b9E0Wfo8QsRwsIK0z6Y1wbGKbutPHt+4v
6xI7skmwwOuCMONqaJGIzfEECu+xmuY4yiD2qQE0sxOFNW11p15SY366TF9+7dUyQ6XdooY56fiR
zr1/YLi+OzFWenDsObSsLbMpzpqkp9op7OerTOPkgXTOOflxwHBlPSdqrGqpobLhyI9DEBCEqUSJ
Xc1iP3kahHjweFFnhRlUEk8U1eFLpzrLK4pKoPJO1PnBhzDxroa4f5Q92fPsxYEX4MRobrxI7rC7
FqBatVQlksrP0idil6g/QAitzqrKKVWOw7jjqFvPaAQ298Ho5i+/jtm/mppFNGjArUP9psxDElr8
rHv7+GH95UVz2VJZtomOXhXXMzHwqrgUPQ9LhJ11S5QFPjp60s8BGCbAJ3G7D/JAW0GQJm6yqrJP
RLB/+3j2BKiE0PHwol/tDXwCTA3RdeGxUgJlq0ot/lU8wLdQ3hRdTi6QHyRyhS7/De6rfvz424s/
P9+dpIA4poiXVw3nStk2tJ7b5p2fHJl7GRWXMhXhpzwk1+RQrDmigGpCta6HcbMnLDb7qYHKobcv
Ew52+STMKFA5rnMgyd2C0N8A9UhTafvWGqkiDfrACVF4ASd3UeVyo4Q9ZUephthbQ34EaZF4cANR
A/Rg0y0fPKUfvoyczYEbNiR/LfBcUlIBysNFKWlGBzEP+Ghk/bz02ViXUx7fdP4uPbB8E13kfCkR
K0i33+KpVhtIP30O1FaeawLbtsTWDbtf0jRr6p/neoVwKpzEmB/f3T9vLr0enXs0AQf+PKS1JBJl
HYGHRwXTVzPD6YKeRzP8DV0X7YZw7uFbRvgX6+8QEL/si08G1/Tw3s8InBEnTxHoP/Rh2rQq/yZS
87t8QgMl+dHvPf1WxNRLZkGYAtcdMEkkdJpch2DnjBAoNgfGJ7u/P/c41PdUtn86imFXvzbFk/8h
xwTzEFs9i0JaEliU+RNH3dsVFWq7NvDAfXy/9T+2GVQhkEY6rFcupIZrnXIQ63qSOk10MkOIq03g
C2NWRbmxcnJ6CpdtFvYyuNWNVqOTrst5Is36WGaNsrSL9J/Gvl6CGI4rcD+0kLljNuK+y/6UibPf
dR7SVBKPni4mMA5i6uPH38K5FrshhrVt3HFs1ZnK/5jIbd2zC7MZmoNfhQQBl0DFTSFLZDniYaBi
N6PyEd8SJlVjy03H+K2J5bnUKM2g8PGLGbphUKehiBbVRbKee32woF1x7AY3vYND+xzFAIfZAcbj
VwpP+bqfNF+clOWjExjdj9jVhuPl9aERS6fXCsf7nkn8u5t4cpWqFoT7uDf7r+mo618I7ITrTvd1
l4Vhf6M6gGQKRxo3+iAVCJlgD2RHUn3addkqbW33AEgrn5t5Zy3qwXSW9C0LjYHppmtQUtnKQRr3
SgcCzHgyJLWYI+4I15f9MaHH3dGxoxgPT/Gk4CO5jWqlXLZm0zykgllrNA9EfkUrVC3uxDpWXlOT
BbhCoASYigqUU8PgWcelGlgLYib3hV7HP0nlzM6XxpFfF3p85/dtftbx5EMUT/EYIeF7cwJdewFW
ZG/QV8uV6zHTZcQDhJ+M4uv3hiOtgAqAIpq4iokO8P6tNd0uG0hZUg8yQzig9A0rrTlNe8JMl24b
9b9WwH/LgvyYp/xznVKCYe8tL4Yy9IP6v+/CtzKv8p/1h39r/SPfv6Y/quu/NF3N//ld1X9ffuz/
yBev9eu7/5jqefVwan6Uw/2Pqknq/23Rnf7m/+8P/6EBPA7Fj//6z7ecGX/6bX6YvzP9OxyC/t/+
5FX5I3sL/uPIfJr9qMLX303K0//5Dy0A4e2/pld1elyciy6+/39oAcik/4XzBsPxdNxWLxrhf8gk
iv0vVgbEyw7HWov6lcFM9o9NWdFtiCY4dvA14zFk7+38Oz5l/f1uFG+NqTMbUiGDuTe50qZF6rdF
oI56rQ6jbrjrwoY3sYgR/3VRw7beyWZx2bV3TV93kFcBDhPhMm4bfGNLWltgeBFzEVtbkGeRVISJ
i0BdKZYIZ1hj0q20VPDX9OIeQ/BeJE6OT2XfnCUvbxf1zSOwW7FWp/qComTB/LeHMd10MKi/Ixqv
jid8LXZsJm8HVgvuHsW091+ro52SF3bW3yX4dDfSbdWvBQKyrhyV9eVCVVp/TKDBUVjhsIXB+5kP
8XJo/r/LK5fAFUCWwYFpu6bF7PD+EqaaZmQUGsKuoF09O3LIjpnso/ymjcnxcMp+pfUeISS+0P1n
DSkWkjLHq7+opMAg2stQieQoNzqS14ChpzFBmpwO7Oy5yYEccDBKQabFzbYzKnANmWpGm94gykMh
rnVjmZW4LTmc0u7JXUSPzFE9KP8qIZhDT1zyMWuF82vsjJ/saq7qgZfv7VgULkC7GIyIa3JJKYMG
RFjZ32HFMe7p88N8YEJTGraDlfzJQQMJY5skHcnMuqC93Hli25vaAZc7/f9urKrZOKTRi419o/3s
6qa7/v6p8D7xOrqmDvXXUq+OQVEcEntCl/MuMg33lfQJFky7ij1kxoN4gXFtDsu4NPxD5Bf9NmlR
fM2FrvSYboo+n9NrSzgbduSyfTxip1Pf++vCrXBxjwjKvtQC34+WKiQmKEZhjogs+lrHrstg6ONP
XovL4nD1Key2dL4/TncO78xUv7/t4M/90lTkeKdmbIbLsqsZfgrvrhk8xFLWW05B4w8N4dUyGFWr
naU0AIlmBahMLchHwAO3HgEexX56TYPXoqshr9mjRLSG6Nc+1kZGIiIG/2gPgCxcGNpQLzkWOKdU
U8psTs3lFQnApDsJBpUQC0yXDwLFwVc7Lb+GJgCxJXvQuAaLHyxEnZULTBImSE6vjlC22B0fTLjS
dwZevFAF4X2f3KO/jF+mDabeCf3k4teantRvM2I5dnqOLVm9M5q8ftbjAQyDOWQmCZsalTAlD6uV
Z6HrgDZnze2xsR+AbqfxvMJZB2vuESxqGSXfPx4f2jQw3z86+lkcQS0H/vxke39/WVVV0Xwv3IHs
15ZEV2/U7+LBIqBSNxoSk8lvUpSu24x52z2NYy5XyKTsG4Ki0+dPruTPV4hOj0kCl8nBGI/JtEH9
7QZpo/CjrFDUO4VUt0WNGxEO+4gSfRYR6kKYiGGtInKJwrmWq8NXyOMIJPOKG8iuMC+WscW7NGuG
/rOi1PutkelQRNdtKug2bQh2+hc+zm8XxpEBFUbttScsa6+Fzm0C5RnPVTIB5jDtN5/ch/cb8cvH
YfPn83iZ+B0TZuT3+6A0TumzW2tPqS6fWQXUdVnioigH+I5tvIigJS6CuEFKR6qAoT5L9xuZqPUk
Y6I3VgKVSxXH/2T4Xs8j3AMQGvCcmdzwv7tXD0dh342AxVJPVW9ImrFJsEqj8rO6xB/rqw7EiLqo
Sg2LYylT19V3J9wwbqSvnQb6PbO2AjRaSZJPacA6C6TJ4GlT42uBm3BWucBuo7TL1v/2/edBA2GG
twTKRUz8tt/v/+iyTaiyhu1i7/Zru8qKVSfUamnrvBsBwPXWte+cihwC29NRjxH5ckf/lVBIm1hK
SCpyRv78OPeEV3y2zFy/rboKJwPrMmdr16Ypdn1tUWWSN+UlJzfTOpSAnoOhnPSimDgKpFBwQ2vP
jpdFUKPd0Rp/zgGZ4Cj2UctP7tI0L/w+b1yuhLEAhI51j9/y/i4JP+vp+BvJSUu1ZG365EAafUXd
ZIFcP5pU8kW0M+GmkW3hqZ89o7/eh98+/eodEXrWGDrZk6e+4wxpFJW6xC0ZzUgQl2dPAmkOM053
IeF1SxJbsd0bnPAi17/55Db8MTfoFMwBhuDt57Wg2fb+NvSxJvqsV4KTXQCP89isL4o+q2+8xshP
WZTlC9Jl43mmeBlFohdK2C9AQ1d9SVmiq0b7GDWhcWfRKV51ARTZTy7vj6fE5RE+6LAy46E0L7P/
b1NXo7gGAyIKAe805M97dnnqjPHG7C1/p0XdlO6sItyNandntQ1xGkCSP7mGaUi+GyhcAuwDjpU2
hwsOBO/vENDOKCBdMzypwttLSkD3wh9ysuhtb1PVmjbLGy/YO9Iujh9/+b89GotmBb8JsBpnofcf
rPPH9Ao8Plia1cpAeUgEfBwitrcDAlTgkn38eVd1ICbu6ZtiYWAbolv0Da4OB0MSYY0oI+pALs7l
1os6ZKAeOTQytTYhDgHkRqVOWDows87q63mJIHPdqRlBe4pUtr3afSXDBMhhSTCWid0NTLYPCh5+
9KIrvOFrFaTwTvr6ySoLbeVbhv9Jg+qv94xdrIPbEWjSHxu5MJzQ5U140psmXIJTJFwjiZ7JUVJm
WirEJ6vKdEf+GBsUzlheKRjCh3r/iJxe9UA8J9FJBvajV8WE3KROsFLHAHS2ewth5zMkyFUHbnpI
vKqgO9Ha85xgHbz/SDMOR+zKbniKzLJH+q4/q2XlbSa4jGww7Y+hXa/KOL93nb1r5vuwC+tbJJzr
kprZErsUVaPVxwPnz5uOvZSjCm4ri39zp5//9pJmvt0GSs4colW9Mxe5/aTr7QnJIk0ID8PRx592
hQz4dQccjS0WLVngVNeuVhwFhKoNEMczZSRKuOwQkM8V0yclu+zH8rvItCP8jNWoADuIEh1xaxgo
2J3VKhhh5SlqjYzlpkV4cXY8M3nldpvDJyPjqgd3uUp4mAZjkF7+1Cp4f1M4D6Qy7MbopHMKOLS9
Np5rnJgbePOQycmzGumM4OpDuQtJOuK4F8ZL4qdliq8uMh46s232mpskb44vQZh2YJJIzLQaWNdV
ZtxltSlJjVeGE/hk/fnjeyymA8//ouw8dtvmujV8RQTYyT1VlyybspM4ZUKksvfOq/8f+gyORRki
PiBAAmSwxV1Xecv1xubCM8E9wFcXyHjMltSy3YwUJPVAsw8j6tPo08eTiRI4GpgojaJtyDDUddIE
6saLor07oJU/VMPwzXQVAV8S+Ws4WoeymPy4mhDfJDq/6xztbtOHkqhCTzmp08PWS/Ua9QIUkLhP
BbjPDQhCscpaQ8duO/5L70o6GeULbILok2sIXNh15D/RPP7kpWn9OJRRiUp3nx+6IrF3RYoMI55A
6lGNw3pv4ym9sP9uIklV5+BROqE4pBDgzkO8IZI9i9bxZcjBxqpJhfejMQan+yvw9qzMV4A8C7EC
cGME7rOEXHiVkim4iD1XVjFsIJ1bRzXNJsu5rNuUDfTBPCrqbQUJ7lNICWsNB7Nxsrz77Lvp+IgK
VnaK6ZPBoM5/qlbyBU4Yut+G/tkc+u9ul/jb0Uu2clXAwVJrd++q1Jz0liUpyqRYeEQ/mDSurSmF
B8sA8GP2NbYMRpkdJV1wOJRWI4ZcFzH64e/7k3YbfpMDKvTkDJrwBsIrs8vRlXKKXxg3XIKAg+WC
CH+Cz0jSrqWOXtVO6PrWrnPTfGMn8qNRGsnC+/MmyXS9bPwCPhBVY7yZCXGvj70MSE3vByO5FK31
Ocj3lvEkgUmzfoW6vy1qPGrBnCnjFv7Yrhz6s1aIfdc3aBn+gwO07kOxUECZQeemi4hfBORLs3Ui
KTBf179oLGJX8nAtu4xerR00l6KYMgBSByAQr7sIZipcKflzWxQJl06V7tPaHGEEtdlGtuthq/VR
u+myMfwDn989YVKLe6SHvyOa8iEBF/Dt+6t4u1emx4TsRcXGmtLr7Oa0LERDlQjpe3wbje3QVR3K
Rbg03R9lCmznC0WFmXIcw0ziX9fTEiMERBtFSy6231b7qOlALCtA2dwBn7X7Q92+j6jGTOG1mNQ3
xHxPYKpmylknwgt0WYDqA4Bxz00SYN4qGkmavLTiH3za/48HXm0eOOphWLaYbV7C2D4GdssdgH5O
FQl69Mo214BD2vkpxolWwrI3kA5Fm+47mEp2W5wQ9rr/9dOOv55o6vvTK0KV36aANz0176IDL6lr
rL3K+JJHLl6suOOAcfb3NOn9g2pGxIi4h68I8w10R/rFPO+j4fWpDkH5Q+O2nu0mo4QPWxh9eAng
eO+xEKFXDpfz0dK6ky8hz7vCEOIR7An+fbqCXJc2dE9JKnnntMXVYwV1YDgNUakcPJnSROqq/UHK
B+9R1GFwrhX38/3puk03EEKeVK5loaPvNa9nZaBdNI3a3qUaB43wBeMFswXqhZiDvEbiGxkKS3Iy
4P/r+wN/cHlSu6ByMwk4UzyYJGXfL5QVY0GqK65/oa447PCWecFKZfzStuof2fbGr6hm5CutlLV1
CM58RX1ryZ/hduPyC6adgkgMSlbzqEMtetAe7ehfkPB8SfNSvZQVVjldmqYLs/zWxJ/vSqphHEfq
YbRFZvf0gOVCkTcZQ/XZIYTRSAk70h4b3NYfrKR6ylGeevIxGMwlGje5u/FKEa/pIzw1A2Im96f+
gzWHDjkJY3Lx0bueHRG1s8yx0YbggmAYLsB1VD3ZZmQ84yf6LSirQ2mmySc5icMf98e9vWkJYqh/
TIGewYM1exoQHiwKS63CC6Ybxl4CabMWais290e5vf5Yzam8QFnMQItmVmLIKghikZb6FzDF7VGE
Xrem/Iglt6l/qpRhAd/8wR7iwZsQgJRhqTDNRkNxIuoghIQXqRCfUcSPdgNwcZhNWne8/123yR9p
MpYlxPe0KQnUrs8LAIOur6I4vLSd8ierB22ruGr56tk42A61/AfYkrW9P+RHH8eggGDBONBGm4VR
WREkKA1IwUUJNelsatWrJ0zpEJvy3/sDfbBmFPrps05OD2inz3aGDyVhrHibnQK4+i6Pa/OA89Lf
Ru3yh0GWlu6eD7KlqWbO3iBEYUat2XFU8til1qQqzuin1qOhKuUOz6vxiaYXBQ9s3qGftQc/smBH
F5l9wi1M/ob9zaYMCutYwq88lJ6Br61WWt7vpq77fZP3/zS/j17CIq/WAD6CBeHSD9afq2raZIQQ
k+7e9fqrfmG7pp5pTlla+iZv8/BZyvRzbRFspqWEE4rIqoWb4sOJsijO0AqjKIRJx/Wggxvkad0U
qmNE6R5tvlNdfY6af7ga/SWgOuDgCvrDXekJ3CTcS1chnm5WhrfQvgKCGxntF3uU0MvGyAyb50PY
NQt3yu2scJlQEQEAyzFU5+j1xIWRGPJ8XtRMvjSNeKk6WXsqVPuM/VACs77wF8Kr21tsylM5DlNy
QU11tnfyvBqlonC9C4U0HJZFik9NDFjl/om4aTSRMb0fZl52SIn4u8y0vItZ7NSy3kDXOrWGwLLN
Vr6Z8fgNtYw9TJ9zqfe/AJUvdXEWf8Bsv+Hk52lBK7wLu2MndRoycoGQcWSOd02u7lqBlkssviXu
yTW9bYLB0MLmu70UCEvY7fZUEAGjNvsBHVoeequhL60UcKO7kLGG5p/i6dkmqb7en+63YuP1Az2V
ushcAKYJ7aavF9daGMBL9S5aEb7ICkEYnubeakgTFZM1LdvpQ1j+I3PxHqZi9HdFLuyHWjfTg15x
FUdgzleEOeJcDZ78L6yxO0SLRjJRk7SLv3nlUmNvxuKV+kJXIXfl7SUrglGr6z1aPcL3o40bo6do
UX7eBp5qrpM+Hh5D2xc71RiiJwzA8p3bJuYvTSpiVJ0G91s9KO7ZZpEWrpqP1p4TBSCR/qIKSnm2
x5GiaASc8MmcXIgTiKy/Nv3qk6tKOw0y8MmwWgrwY0BlCzvsLf1s5QtA/cP9RbmNU2iyklaTYkOJ
MOYdzhp7PTsoFf9isA3hSEf/xIiOVlt20Zksp9godfMH/035338elwBi8iCABUFiON0571II1ehH
D/63d/Fyc1iFBPrPWWN7L+6gXmSCOAQhzOqQ4mO2AMb8oNpKH0+HD6Oh6ze1dq9HzqSmKQAHcreo
9O5gVf3D+jDcJJqKwWPhBQFvY+dOAjuvcl+LZ4C76l7hMnLC2ve3RhUAD8p1J7QXeToaQ88OCL8I
oCq5MirR86AxkFIsupVMOKFQf+bUQtb5VxV0wDeTSj193eiTWUfnxiTbxOns1FjRX/zbisch8sz/
fgNPFRdKnerkEDHvOGZl5UEQDoUTlFH/U2T0cWWUqRd2wW3wQ+OQp4Xgh9o3xJjZWqAWAk/btZ0k
a7Aa9HvYqLBXu7Y0g4UP+uARg+RCtkoJdwLjTnP/fsOlI8RxtXOdhHLbNgI+uAMjmq4Ky2w3BczZ
dZyrysKgH9SOOODMHnLbRMpIVF6PmhZqYJahLxw5iUA56aVurKvMjAAIBd+jobQQJDT9fdwg5rMK
sSvddKP7rI22fxB6UUSrurTEuqpz6QStqVnbuS3/qxr99f5p/OgyArlHbYaTiFLi5OfzfnbGTira
UU5sVPTN5JCpWG9Gw4gEUKk2X7lAfqaKlp/7epBP/Cr7aBdyuQ4b//fC75jGuT4BaPFyOkEkIegG
bPr6d4hIkpS6cPNLM6b5V9OI4yMJZEgoVnabgQbvxiRZO6im+0XShw64q6xsWrxQc6lPN0k+bFXY
Y+dOGsJVPcKk7nM/W6VDLz3EsS/919eT6gPRIvoBtkYLfF7QVQyq5hmXCRzzvlnLfUnlvw6/COxc
1/2IE9j92bnZwgwHqJt7mmCMwHo2ORGpgtu5mkcKjVZOF4zJDtf2YmOXabzDY77a8OjGC/flTSg2
DYrBE5cAVB60TK9XpGQLW2ire5eOSsya2nSM/3kyLDxDb735q4XX5OlUToUCExrKmzXbu+NJ3mpm
spwLBzmAPWUSytrpCm3xVdMcEWvZIN22Sbx91/yN24dMOvY4RbftF9ii9FnyB6mPNt6q+N0H3T4r
wp2Rf3FFhE5Wy99LbIIb3BShC2eaqJfLC4vaOZ+yTC15LJDSc2oaB1sraV8sJDP2Ux70GRhddIiD
RtoMpXhBC8s4tUk0BSqTZ5zcyymlftk6oBZrHu/vj9vbBl4Yy8VqkS/DfJqlr2TkSAIPg3dp6Kaj
QOgGCNlHwbFskfHyzeig53SDSRm8JwSjw71QOFV65zf7GhiVt6ptBE1EyaTVQ/DXoxv5DBps3N//
mdM2vVpqnfeNK3/CTU501GnHvVtqrLtKCGyK+jLQmkco45dXP1ca+oMxii0LhYrbohA5FYEGB5Tm
l04tajZYNEZEi+RxuWSbeIvrjhX0yIiGqLivvNw6oYuuPkzxrp7Z4YPpK/KKRsIvrUG7U6LfuLv/
8bfZnkHyMPWZeIhAzM4hAPbYoIlAyHdp9ErsMUgc/Q1JH0VKwEMvzdgFj2UrvtugZPadbZdbKyuQ
7zIMjTUs+mRfGChCuEZRfUbWvfmdFxLVYNlFonGrNQj4DML+B2hZqRdun5tl44dTQqQHQxSP7NPs
9kFlBs9m2dUvo99txz6w1pKaPdOg47mgAXR/mj4aDOQmtSyCkGnA62UDj+XpcWnolySKhjP+6+na
Tek21iZHBwuNJYLSzS3Hx1F80WGgcUrZK9fj1SkbMOkaPi7161WuihhZEXnplvtwFHbhZIGHhsAc
jYHDRV7YpalfoC726zYvAOAIbYkx+1alujpg3ABUAHlGIVYTeMyuAeDSIWo2vXVJFLU9y8jCf8lQ
Itg0VWe82FoqU/VMyDBCa5QwrzWVrRI2o7Gx1Mz2Vwm42Z+6CxJoXflK9AK9xkQVyR/cfyiXWt/s
oXI/dch+BysvlU0Uhoha17FPDYdUDrnmVduX9hadWu/JwnjmC6BvgD44T1XlKnTzapdOTtprnDbR
HSYqSY64c/QrHIuidg2SM/8p/PaQ43CUrYVbotszeqqfrwqzVaR1CI1+Q4PE5QEEghnlJidEkept
HvXKDisxsO+5ByVu1Vo4J0s8W97uP25OXipsEUEEkpZjJTDlVO8uMLKW0W9yIcOUTIMt1LZiVeeV
zq+Ko41Go2HhMGg3URG4epjZE/ySYPnGrLdOjKit4350lFY+2dZ3pdV+1I19DvwYmDKEpfBU2D8y
f3jpYjwewHkXYXzQ+gATtTUF0y3qVAe1a9aSBdXkX6z/pSlMr1ilLxys8iLe1XSVA1faxOqzRo8i
Cv2HnEZSStEukb7YGEit2SfPTSl2mZJu5Vja1N1Cf/wmGZi+kv6fDVSdwuGcn9EQvHdyl49OM7Rk
+mpZnXuviP8EY/v5/gJ+OBJUif9rjNDavV7AztP81vb10WlDa/hKk/uBTZ0eR/R7tvdHus02+SgK
yiS5kE9gaMwuMhCBCroWxehkRv8SVPrvKo6fbRMgYNZWB0TlEfMc6n9B6e59o1rFYXzpeJQjv9ug
ErCX5GJhM91ibaZfxKNIHDm5dFqz3QszMJAH2R8dv7JQbmxU/ZipLXJete56SJgq+bZUexM5YcU+
h1ib4Al/qhJYC1ovpRtLoVrSmjkCP1qubrIuLhca7je3pE09wgLnKlMVnfr+16uTySR/VmYpjjSK
8GjYBRFgVF0WFuam8MEoxLXTytAn0Scm0/tD3HaihoShyk5E3rdT1K7DL0LExrEjFl3VKOZ9bzJx
0TIMzMw46NfuiDhcB0FlbwY+VjR13liPre/+6fwJEYUiGkuJHsGqRWFiYRu9IVCurnSiTdaKx5f7
nHh7FsZEyIsqui81OGrxCqLwh02THhi7RBnVgsyjipFYlYbHwMNwNNcreU8GDwEe++BX19PKSwy9
bp9opcktBZZO6VO0cctSIJpaNsPazytxHJUGQx8a7Cu0Y71921iStdK8yYQo0ymbybG8anQsQoU2
7kSaVL8jtdLZM3LjHgsDxba0Hup9KmL03ZUOOtBgBTvKCOqRfd5t/Ro/+n5QgxPNx78J6lN7DO3q
T8HQIbYV+M822oxsxFwJfnS9LJw6zzJEvbAmcFv8/jTzXGmh2DdS0i2cijcZidkET4LYNLOn5JMI
7Xo75FEZyJFW946JEi3iy0btPXt1BFnfHQH+F/Kmr4bXSgndJ7rvlhPo+vAAfDC4lGNhO1pO1tkk
eLwWfo+5jiayhxqf+E2HEO5TDr4E75bI+qsriYafSy4juJlXB0H1dWFj374VNBII/vkD8odyx/WH
tCbiJkgYdE5pdMrW70hE2L7tvkwV+S+763dRB26yqhFN30V9qSwhFaZzM59IUPmKjjuKAcZ2tlMT
eKCikpPWUcPQelUw5wMU0duoHxKREoAMeyUMii+N4VU/0GbeeRhMbSrF7VZeYy8xSN9a67NfAzEL
yJU1Eft5Oq9nY/A0tW0wB3Fg8YVH+LrgXO3RsFANH15Gu5Fbfl0dbKKw1Si1h9XPpMma30izDi80
HKrPWuua0NLH5DEsZfFcREX2MGip9SRVSeL4uogQa9OSlZ3LyYbedLir0VHamr1HaiMmScS88umq
J3ppHNWgNn8MVuF/SnP00hf28E3MPKE1wcATnVNLu2n9ZppHybO0G0dDrG+HVGvogLlBF77WlXVZ
dOVCZeA2DRZTj5kyJBhjcDcTdfP9FdoBsEcqILUdxZWqnZWn4w8SCO8xEHnlNBFWcWGpNDt2f7vX
+7FYl7He/ml8K/sJCq/ccqOqa7jRS7y8mweEAgINcPrS4IBuM5Wh1UI99ahd5gVNzjbKzGOOwOLC
dE/P0NXWomsyJdv0iklTEPi8/noNVTuUkUfhCLV+bJFYfq3V7gSXUfl1/6n6eCAyRQqIICnmjdQQ
gZK49U2BWFWTPppWka3ReKv2eaWGC6n5bXbKRwHmm7rtb0XyaWrfhbYmLLHBVmPbkdoh+ZOmofZM
Dip/N8ukckQ4+mdkWr9pUowOf5FNAWIiPnkyVvZiTKofkiShGufnJiK2Q8LTIoXfzExqDx1JeLvS
KCnCBDLE3/szdPOWvxGEaW2rgo2PaPf1rx5QxwizFh9SOc3TVS8rFR40mjoRLtvuHNmDeJSMdPgy
FpG/8DLf1OQYeoJssxGoZ3AUroduM2SyDC0Sjt2M4VbuXqzeQrvYdqmSmZiDDu5S9emjj0XykJoG
dddJWed6xNLwAi2KEDzkdEabsUXwqM1T74llbSiBJZF/tukt1SvT75cqTLepJZ9LDR0GNSgblDBn
qWWPi6YfZZXt1MGgfJLTskMjuqk3Y4meeYT0/S6oXLEb7BKFDc+2x40RKxkqzpW3C/qCsMEr2nNn
lLTqikH+MYYTTSYwx2I1jE1CBln4TN0II7KJavk8GhJG0ng3bJSYV8tHf6rcGOSs2xEi56GufeuN
keBt2QQ1dKMh3rVVOThS3a89ijnVugqlul1leJBs20TSV3kgxIh0cxocSjkITj4CCmtjEovVbffo
pkV+DL22fgwFmttZ0aGcQYEjWCd2P+AOLWuf72/emX82aE6ONph32I4IFsGImbbYuzMXlr4SxE2k
OZmkGai5tHAZi6R6DNBL0lZGrUZrHHqaB2L6L0WNU0FYmxg3GCBviBU/BbUabn14ePBYG3ACbtJV
j5arB1tZUZfACrd3Eb8VjALYRwprij77rQjsN1IVxHS/4kr56drpVhvhdHtj8HJ/Vm4fM5oQClXC
qT3EP2e7vB+DHNxPrTnKeCFYBaTaWdahVvPPg6kshEy37wUDTMBR3kzAavML1sr6zNdiQ3NAy7VP
k2jIOml7afOfv4jHmUWilA4EZw70MdHnpYsgYZU14FBSt428jRP/l6+3Oc4rIA/uD/fBR4Flp7XP
VQ4CZ64JWWBSXKBZpDuj1NHntBqXlprbNQvrdAsxpEjLdyHvhSQm6JBZvDlkZdeY5AeO7Hk/DJRm
EJd2lWBVyXW4ks38IRj6cDf2cbkNq0R/Vv3o0/0vfYszrl9ienoTTIQIHlyTPNuUcV+PnVKMKImO
UbTVMME6jGlgX2rDfQZOMXyHkceTYJRZ/KrkJlY2VO17AfO7CQftsVT9r4ExdI8wGJqHYuj6nVTj
t6rZUbYTuVtdPAW/AH/U26MbdxTu2uphwDm49kp42pWar+02eQgjqDkxgO1si9aetSphMG9KL/BP
YapkS7HXdNHOvhnBRPoQvNNky/MkufSHohSi0Z0gaczVaFn9Oc4IsbQIlUnPsouvpSQuVKS48egU
AGtQrPb7/Ym/STWIBuDvEWqRRMNOnc274XsUpRPM32zIScfGMBrq0on+kKE8tEnS+mdt1OkOtLJj
FoO2vz/4BzeRZuBjzAMIjICe+fWtiTF9GHRWrjmxb5zVtsZeLkuVx0YvgSTfH+qDo0TmjYoSzGa0
LubFaMUKhgHLHNvJuiH45Yn0R4Fa3MIu/uggsYzEkTywFCasWQlaMnNZkjRG0QYTgk3cSSAcef3o
iE4tpCo8W1KbtYiHWnsjcf8WEbyd+x96G1ooFIXgU+DuSahpzHK3KJQ0u9ES4SCje1b14UkdkuTZ
pGq9xpMpOYuQJzHJ24UY6oP5hcQw1XuIpyeBmOulHOsq0Kk2CidLImWXCwzEvMmM6P7HfTiKoYC0
JF8RYISvR0kUXJHKxhWOBPH0EgfyWVP6+Pn+IB/kRNDDON8TPX/ql8ymEPtxUTW9iRx1rF3oEuLz
AIHnpPl5fs5NvXjRMn141K32NfR6GZHVxNi5lVXtYj3tjpHl1acGIa77v+r2oKqUVCfZXVToLWQk
rz+9UAZ6RuCynFYffkhtVT+EBfRBV2S4gIRyHa01s4MeHnIFnSQXFbT749/uK15XwfAa9Hnmf7a1
S1tGp0shq9Ddejh1GGhiD4AovhY9Y0eHbVa6oWi5BG2aFvT6ioQjQGA19VsQSZi/TLEfyPZQKHg8
jdk39AuBm6FnkXXhC63bn5rUtgtX0kwZfIrkSL2JyVHZhdrMLrue56iNFK8qpdEhNmv2Q2kEezx9
MTIa3PJRMb0dgqrKgx4G2QauQrK1G0PZdOAY1jTum6VKzAffDz2FPIF7C8rZPCuSpbwjQeV6bvLU
2Mohj9TKDsLkR0Rn5aFKhxzpbVv5IwtPQr8ADfAx2oi+B2oEgVx71RFIxu9gTLYFLoGXXNMoJWm8
6//5YKKhDr+X7pvCxTcn+IZBUsqFSkyp6IF5MUX6GDeNv3AEbhEuQiWQ5AKfHi3wz7O1AXTchGgT
Ko6XJWO88v3KX4dB3e+SoZ40ENONUePdlzYyWvda86ka0V3E+lD8u38Wbpv0CPIhPwXcbtKURZrn
epO40tAQxkqK0w1KdPRCjERy3SABooQUYiyD3+IP1x8w3UQXHb8ia7gEGmL+0Ae/VxhhPYocIRty
vpK0ZkiL5IhlS3ISzVJWfXtrEFqghElhByi8No/1TRq+lYRllzOq0vjXw6yLnoWySV19NWjWwe/D
L7FSjT8ypK8WtsRb8eT67DI29UOO1NRwniNrpGbUwk70piNEuKImcq4LLcdOAUUt/NnG32Xyp2j7
3xmm7wDUjqnZnGwKEqhgEudBZxH2sQ8frbpatfZDaCIqUGM3YbR/JWEc7y/obSDC3kVsAQgtGlzU
Ta7X0/czsIGerz/5tv4vbYP8KYm9fCP01l8Y6TYnmrIHGPBTuAPvUr0eCUumSkpynHlzZdB32EJq
uy62sm0F4GI7Je4L4cBt84qxULYCe0OUKWAOXA9oyDUNkTrWnsoO5x5bTvArjAM4vUFs/lZTYZzM
IsXYYIr3jQj9TsP1t5RE9M+x6Us/PDu0dmVbBOvJxm4haLgRHeMUQRSnFsEGmSBDs0dN4nbPBq02
Hc99AhSA1fg2G/zfvv5NShTstmgAR+ZDm6bnzMCiFT0eHFp/1cb4bHrVQyUdTBvJo88SpGMp71dC
firVx8B+NlsQtz4uToG2wVxiPalA9aBw++pQZ/tWspY2+weRH19CFG1plkrIMJe4JrkfU5M/FNj8
V7xyo400luWqDpv82XPtaFOh1fGtMZUK/2YIqFUuLTBsbp8KMglksmgYvOWKs52FCJgqvNBUHcy6
lHMeS8+JJrZNpz8qbQHaL+i+3D80b7nB/ICzqwA+029BX2AWEnhKbZZI4ZING8lJNxCupFHhG9km
qqpt1LzYoP11CUi6HCA5nCJhCjQSCc6kyF492cSE8QV/ubVsnHzccnB3DKXcGXpMrPy1XauHWFv3
UY08Uf1y/5d/8JAwV5NCMVb3YCXFlJm9K9cUcmalPgLEDml1/+QnWfTitX3oWHmlrHnLeOAx6t0a
uiTvq0o3tthHBZsKoe6FS3ImWTyFG3Q2wE+D2pxy3/mT1qtBiuldoiMnN4I70B9CG/n6RL1EQbcV
0YsSPidNuLEl/1AM9ZFDBFJg2EpGsaVmdBH+TvWlS5u/9rgRD1ujfA2lfWkgWWf/DuQnA1m9/KJF
2WdkjQ+FSA+dpb4G6dHEfLC1PccKq22Hv22LtBrmNOgzA4Soo98ubqYYHjzDqf8UpwUFvJo+yChZ
r2kjHiflAFKXJQ6/Nl1Gsx1FHvym6UKFBbLx9bqY2ZSs5q3sYFTzoEtc+6O7MqOvUt+tG0KfwMJO
8TMFv4pmYyrjI+W0ytnv/43a115T1l7rUE3rO3+HIzScgXidpfKxsbUfSPSZiAPHz+g5OGO6q7Hl
QVtINg4LW+s2RUFcAmYEKSZXG74U15+AbgyicmUzOrqPZ6QvqUgekC1ektxNdsGoxvuwyrrHBhOJ
vSyVLmD0KBlW8KmbjWTI8YPVxg12cq29RFb44JfhlUE0iXrEmyTI9S/r2kgbchDBTl8HpxB/S1w/
O+OgIGO8GjVLorib1D8IRIcdQVz7u07HYGfg0LYSIvucuUn/rS2XvBw+ujhp+sKtBcVA4+LtgLw7
il2vunqIf6RDLKScKl3FXjDxjyFd+uc28bElMktssksVjBqV5pPla0sqi7evP6UPXD0mJjJTY85e
/1YSoZHhKup4WnRQkAkAIwBj62H0/aVA45b2P5VZKOqR09iQA+aMEcM1MtHW7uBU9tCekNs6j3oR
nwxoa49ehEBe0UGTKVPZ/+4Bpq1BASVs2NYfH3iFk00axryKuRY0j6JVlZ9C8qyDWnrmszyM1qMW
4A11f0ffttUpJbClwS5xzato+V3vm0aJAnwNRe80cnKCVtE7QU3je+XLKvXAAPtRbuiV2Vv6cyUP
/oMc0Dh3RdCf6jbyTugjBivV9oenqkx6R0lC+6nDC6vJrfpcRn6xJYPae16FfkFaRJemln55JsIs
C1ftR5EXVuiINoEPAIkxe62SZtTBrzXaU1gmG0QS3A0wHqcdtWYtcn1hsNuzRtRFnkwfC8iTNQ9s
gO7ZvlEU2hMGtsq6kDRrg1Pr3/src7tvYf3QLuZOIevhQbtemCgcwhwoauy4up86hV29DIEwHsco
/8+5/zQQLVLqWgaP5qxOB/PdbXW1ih3Lk9KDKNo/ZSxOYReE6w7x7pTYf1VGyX+WcQKubtAMhLwC
VJbdd/19beZGIpSTzAks4b1qo/FdHfzPeh4BZhF2c4j8zN3dn9LbdZuGhAegwZohH5g9QC6sbCsZ
8a+WPNs8I/ujnmtjCRx1G6lNCEDyV7IN+KKWev1dcqe1CSofxDpAP7ZhPeBma2Th1jITddWrar+S
4jZaOMa3maBJlRWFHOhqJINzwKNlp3hgjlbupIPR7XmCpZcq15unMrR/ilI/0x5XqEFrwzlzJ8+Y
+/N6yw1gLd8PP/28d9d8YIXSGEZV7oxyuWqTZzd+lEBlda3Yal2zoaj42U3agw7cPWt+ZXZLMQ3t
oDL9VIQ1jbIvBbE7njVjcW4tCTMx7YedlxeBTva6UV58saTX+NFOIN9CzY2mPQSq6f/f/WAhpzjv
DUFBwRgF6Rr7vK0tsmhhXj7aCnRcyH94ArlcZydLlqFIG76cI4MTecc4QIW9jdJXrIjT1RA25cUa
9aU44IMxkS6CPc51bvNxs6VQi8GsRtNInKm9b4J+1Y3qZfLMDLRhGxbuukTbuWl/IS7xFOafEmG/
4Nyx5vE+qV1y0TV/jxHEAmDw9nYGlzChjdiaAPnmld1+xEk+j5TUCbPua21aOLOSOB5HPUFVo8gX
0+LbSQCBx+1MOEQPhovtenlztSwCvrlx4lZPv0Zx7O3Kwh5fg0EFcqUGcNNjPeyeokp1j7UuXlIO
9JcUH05KGegMli4YM3zRPe0lqdPgGObW+DMRhv/5/sH5IFWZAPRcvMRHiCeZs8siCwyAYGWOxDnB
y6HCT+Fcdzi8rXUz+tbjruem1a7MKPHhRmymmNAYxToj31h4A24XiMSWl5OIFkwatcjrCQttxevi
CvSiXKJOqkmdtGswtcL/zKBbqGRLSm239WbGI+iYrkp61PPGFIjDIsygZDlB60XoeRX51qjt8BHD
411t98o569AVaDBS2CzM+BTPXCchYFBoiILBmzoo+uxMqtaoSXZrNU4UyMY2SCt13w6GdHIrGB5J
3Uk4mOI2bOU1EmlQer8H/C8YicBwRqDxWE+LJbmcD3Yr+eFk4wV+3LDf8qZ3l1Gklb2c0LRxklo1
D0Sy7skwinRDly77DthWbNu4/35/Hm4vQN4KMDFT4dlAMmv2+taD1xVZ0LcUwklJ8YTGr1RB8+z+
KLcxDEilN5IIcqf0H6f/f/dlYWFIYRmXhYNYRgV+MKn2tpLLz6MvgoV+60cfNPGHYOcCEGCNr4fK
sXAZbNvNnT4gbnDBtFATKseFd/atJXG9fSbqL/AKLlfmba5gBR+UdCaV3aewogtt4gp/JIA6p4lh
rtUqKLZ5ZvzKB71/wHbX+ytqKO2aRYaNv1e6begibKU4qdamMf7siYx2neoGKyj0GFWKGJXq3Ey2
g9Tqv//rSrCvSEsgDIP9pGZ4PT2lWVsDAAr3qfUb6jQRvL0MO+B9V1K+vT/UB0kfQcgUUMqsPVf+
bCmqBElf4DCFA9XjZ02W9xKUrTs5h3u7JLDFKubmPmiyRPPeHictxrpa2HjTEO+XSVOmPho+Emgn
UFSYf27dN1aZGnX9RL0Te3Q78LaBGOzX1o6DQxdlwaE1qsppfe2ctdjALk3B/EhrKDlNNwwix5wt
fY7CCobACnK7s54aNJ8fOlstjkHh7bClRuoNC9c05FT7mj6Sm0ffg8Z0sf2G/leTb7zkUquuo7jw
d4OvfuvdtDtkgdJs7y/TzU9kakj8KIezjXmUpwP17mwKz4MzMuBX14rij991BjUXuzzKRpQ5Wglg
VgvS5tv9MW/6byioTjwZYlQCTv6aDYpXrJdlcRBeEk33PnWegF9khCjIxLQ8/8fZeS3HzaRp+lY2
+hy98GZjeg4AlGHRFCnKnyAoBw8kgIS9+n3Ant1RVSlYqz344w8FJSaQSPOZ12CjYwXIqSZ7xdBl
MHVKdYeEehnk9iIseFDiWkJwfu29Po6+QuXW6IRs63QOeqAEQPLc9HFUvG+ZLj+XhrUrXHZk1dTD
lTW5vtvJmlzf/bfBzrYgOXNKud5JH80+dW8jdLhBCqCV+/YUX74SxMW1lUtwS1B+cbNqQ6zP05A+
6tIr37tFRA7CVw6wlrX3WNz1V5b6+RFPmUMDuEgYw05DmefsiNep56RRxVuNsfVtscz8xsqxrUpm
5do1+ceR1v4NKSo31/kJX5sK+Vs/pY+Yh7gWzvQzfdtpMBaf5DEL3p7Gi4P+9b2IeoH+rVeKevZe
Yw6TkyMe9oAmA2FkWyyn6F6lSAiOmFji7t2/EzmoI8rhMHGcjRXPexWbSVHm9/OCI7JGUbwggSGw
8ZFV2WJde4eazCGN8ytB/3k0tT7rSjg3V0Ae9/nZsyKj50SZ7aWPiZh1CCCV+26RerURAzoUuNGP
YT1b0cYU07W880/fhEaXhZQj2Sx9wNMNVOVu21YjI6elZfpanxm3aRFFfqya1ZUc4nL7rAcWErCc
6ijsn5t6K4s9W22KDFeSOmUw4tgQKN44XvnufxwFQ4GVaEqUeN7WjJJckdkQZ48CXiPNgpwwDCbh
9u3V9adNytVAesbSQsBk/flvZ6+NyCEURawUIy96KOJoOLbUZA+NMk4PKTpqN/8/w608XZQuMHY5
u5AB7mB6Itij0DwQIrV/EWI2G09xv+mFPm3eHuzyXuE7UR+nT4blAJHY6bsht6qLbFI55qbB8qcs
+dmoDVJdfTbucLx7zPTu+9sjXi5CA6kFJvK1wgzq9XTEYdFF0psjbXDTBldcTO0W6c/eH4xmvHK6
XlQ6CNA0iDsUOzhgV5j16Vj5YEGoqnQLyIax1btoO1EFDSe3g448yoMySiV0E/ebVT/rsb6f0vvC
fKynD0n52LVADs2DBoZZTyiHFss2VSY9aJ3qA64LEXZDcusWBkpS9ZXHvsgzeWzqe9QqV5k+AD7r
sv9twY0itSeP9PKYY5TjZ6UxhuiUE7smmRvmjSU+ZSgG+raU9oOmDsNh0FB5ybBbvbLy//CtSHKg
5ZJ6WIQCZ9/KamVrZzni3Hirabdra34/4Tf+ZADevvLS6zud3rfO6iAATIHDiTTkrNqHjL/VeKUy
HaskRrEJ1cDtpLbVp7cX3+VWPh3l7IXqWAi7jeKZMqYLNt3QMXBwtV1u0NSKYrF7e7TXjuH5S602
bFDTHcQSXmPv3z6kpiC847bdfIwrbat00Xvh6lGQd5AKEzwBDs34Rcniu167q7JHezxkzbs0+zhn
Ryu606fvsXu0skc9r/xyDvpmCIT9CEzuWIiXLv/WtYdy/BHLOFhUBHi2uv7DXb4tPVL2eAx4G0ou
fh99GZEXn72D56LnIhH//iwFtp13qfdt9AxMCloY1/tMyQJPezasJ2V5r6obMltlfJIeemHZzmp+
ecPNqH1ENn+gHIn5hu8kvxQvqK3SH7K9veoMfaviT6OS+1X2nX56nkBh6V6c9GdV/SphyLuRSZhx
mLuDpn8S3oPbg4DSwwopYQX8tlPc4Hvivz3/F7kNwTKoMfYRPS2Ka+dVa8QQ0ikhlwI92NOi7D3t
IzL81nfpTfFtoycx8vCldgNdwryrgfX56O461xxdXsPks1VAWrGiBYncUfhed9lvq6DMJxcyVzQe
ZSswH1APmdjPlnzBQoJCUVL8pAlYhEthfdfcLFC1l2ym0lf5PUCcBis94zCky13R4Un9Y9F+etq+
cOFzKA+9+aKArKgXcZ/Xt5PcZrXzyaz1J6t8cSa6xyhjBJTtrpwKlwEMEGFyU5odXLkXVF9LTRJn
tAvjqKfwr43kvULlNEgh6WzNyqpu0ez3Da+xrgx7gQXFSHiNnVahh1U+/JwbpDUVEmfWNB97k4+U
OV2zmxbELwsrkjszA5GH9vCgfU6NaCfLqnjOe8O6T+tCPOb1YN7Lvo8CzMTLv76wKctgF4jeKJjm
C2BknedWUmSxeuwQpK0Rr96aQ+UG1Mz8ZgWivb2oLw9KTF44Syj7Gd6KAD1dTapbxuqc1oyG5O12
Fn0FAXa6Boa4aI4y2dzSHP2rhCaCx2dXpwM9V9eEDq29VG4iTmR5A5TZL4rnoSxZg0NCK80KYk2J
gywGnblo37Ko+m7XwvCrtntGa3TX5kUwTHDujcVp/zpyWZl13OrULUiczrPBNOPHckbeoLPk+AQT
NsW/1bODwXXeRZgaPdNmMX69PfeX9yG/lOlHzhQ0MtDu07lHd6OxKY+rR12BnS29pNsOcT1tDPta
/PyHPQZTn8vKopm4UlxOR1pKc0mUGOiCg+RZGKdAG6H+9n6ULHdxsqOwFn0frf7D2+93AaZcvzpx
B0giANeAwNb787ejyihr8EVJsRxHGOIfS4CKt7S/akT3tflYUdQ+JlUzYnxDnm8qyvda4rTdprMI
pBEDpyDX2w2wUm9sWPC+WrQDvlFj/vXtx7wMWl3uVE4D6iErtv8sVkhx+Mjmzka/w4hqyF2d9lQ1
nf0gzCUNxtTKNsbQX+uA/uHbUwgBhQz2mozmHC1QIefW4k7PFyFrXibNpeKNJwRwgOHKKrvACfIV
YJuDgoR+Qwp1LuY4KzNQLdcDt6JndqgNqv1YtMuHQuQLqEtPmj/nDp0uTxRPdAF8G8vML8Kzpp2J
tuKXdsrfG/HQbgdpGH8dpcFNscnneDwqFuc0Mkyw26SbRHukvRGjj2QpvpgwsH/7+/5pGa7dvtf7
Zf3OZ8uwaATgGatpj2m3gCwqkvnWRcTP1xogdNJQzG02NRtVl+mWYMQOU2dEDrxqj+hFGBuAWdUW
++wvUM+WoFhdWOZ8mq495FoBOr3WUcEif6djyExQmzvdK67swWHbfX2U/ecU0a+DHrXtwSys8XNV
AZupYg8iZDRbdwuGPI8SB5aNWorkc6+Oh7H8a/dJY5XNA99AZYEuGhn+6fM4Ukcu3GrFMYGa9sG0
RvGwuNnnckq9z0qXOc/DDHZfSd07pU2Ko2sn9ouOZigmhOOnLG3pmzRq8ffX1SrqAyyRngk5+vl1
1UsMcPqOrmoRJ+J92tXJdqjyZfP2irm8FGmNcAWDSUf7Aczn6bv34LhlA9T+6LhlctcvKcq/9uxe
Wf3rsjv/4njAAhagCoB8yNm5UxQgHdSmbiDjkxNBqGw2jWstoa0kAO2n7C+bJOsHZSzq0QSPBmDW
05caLVcsk9DrIw5j8lbtVYLA0bnSS7w81jhnaPQSu6x2LOdbTZdqTPZtC4Q64hhyefdUT1rx3UOF
8e1PdCEdx+tQelrbWFzbq/TZ6evo2pI4heJ1Ry4yhDx6LdrrTrazs27e1ehC/BCtvk+lnL8O05wG
QF37oNeNHLVo433mVNc0yi4ws+sDrQWqNcRBDMo9C3GEBIeR4S177JJx35uW72ZC82AM9BGE5jJX
g7ocjeeEjRzWnrpR5eiFi9r3nzBfXNmfplfTsK9H30vQrvFQ4L3j37p+Xsphk42I4nI3WsNXt8x6
H3nJ+f0gPfWmq9M2UAvZLn5ipEDoitL49vZkr+HByUqlo0N4skK66ZvycU/nWvTTguLnrB7VDgiL
mSwpcoC1d+g1tELK0k1vBhCZ72tNpDepqixX6nKX35oWKZJpNMvNlfx2Xphzi6T1lqzQjsVU5u8j
19uLbJn2UWFsQVuCeB+6aIfk19dKZHlg1YMdOlg66AuWefMyVlcagReLnMdZWUu02rEjuHCyiTVb
0mAqtSMN/OJQ6HFyN0MBfGnK6FrOeXESrUPRc4R4x/pCAud05qM+kbPl1RoVhnp5VCynCyadPvnb
3/ciPGQUF6tW6jKwJWCTnI4CvaBIkLhXjytBOCh0We6NWhvRHJunI1urfW4sa9g0iK5fufYueAI0
gyjsksVSW4MqcF6+BjDeDK4nuyOuzljLlXn3WcEpJJzKUb9tpDbvncT6VKmAEbM6Bj+J3d9x7hP3
eXbwlaWhPGAfEkfPBYLjezFg+Vu3zVdw649k6qqv5Z48zN5UHpWk4x6nNPPLLFbOCSKJ+l4gnbU1
JqxZR6FsBSiJsKgs5QutE30749t6ZSlfxJq8LpVYCKv8R8PkLBAv6tQbML6m+9i0SKNSwwqdBc/P
bNYwCzC8Hm0rJ79WOFqP9tP9y6hrmwY4Ic5AF46azuLm5WB2R0T+diA7nO6jRRVQEQMw6U1PbN2Y
eaDXu7J9jzaOP44HCSFDqT7HGfjw8inuunA9ZoVpUu98ikZEI3SxaqDtlQw/K+9FjPo2l1lY1A8y
UXBB2CLhnPR0QLRyLyIDO0vEdlIZuGa+iXWmP0H78B7eeZxbgSLrMBnGbeZkW9h4e6cYN3BxQxTx
SiAKSYvsZ5XsJ7PadFkRroFikY9BwT+LrE0+7aUZA/oEsgLG2N0YVrutXDyx+X88qjhBu1uzSMNI
uQHBvSscLcjjbypPM5m7Xtd3XTTvSuokiEi1Q5JxMUKPf3uPXabAFDnokTnklmvt+LwtXdmdSr+q
VY9Rv/hCWfDgxWgQ/TbvTjHm+DgzW7uJWCzU7aKF/4LEI86LzWG2nV+K0dQ3hVU5YUSbIsCzOt4o
sA7CrnWNe9K3a8LCF7oXSOIh/UW5izXD0X9utuHlbqQphU6ZyZL1vhJpc4dSq0bhcFRuzSXWHhK1
SP0EWLc2uuZGbWW06QpDu8X++gswh2Pl0CZfBWWaYMmzcRsZXvVolMu1m/fyjARnQJufUi+dB3qR
p6eXvZjS6GbwUoKKQTiXU7yddad5evv7/WmUlbhAw4bAk/b16SieUK0BcmAP3c/FTqxGDNdWUWl7
e5Q/XHVEM6DWkEday2LnQWHbV0mkGl3/iBWSc6Ab9kXHD8FvS/3npMLpM8wS78dhR20uyNsOERsn
WzDwjvP0lvnVrsSol80DklNQArSVSZ/gZ59FNXXZWm2s5OKx9SojMOp8PLoVyt1VGlvbtEle8Cke
NiMgv6CqCb0U5JeDNJfPb8/L5eyvUA7mg5oLFPTzabHSeMrwfqkeF8958UxMmkWs1leuwYtBTODw
OGAg5USf+aJRUnldjOFHphwXhDfv4CRSAeym+sppfBFMraMgbcjih6REAnC6kLKUZWpos3JUzHrZ
yGIQm96uh70nwEK4bpJt+3S0b5TZdXZgBJUrEfqrHsLJZYBvGeDQVaKc8gy1z9PxDX2pjMwarQdr
TBFkx6LV1yYca5o6iUMyTxOWFrVC30up4rszCmpp+WP2BsNP8wI7SeTKOj2fA0RxPmXDAJgoVgYs
FltHf5y8zNm7tJ5v824Y/RnX983bC+HiAiX7g9eFuBe+M6sW8OnT11NZSimt/JiXjRZSfargVGUU
jEa5a7X0xk579dqevLg+EZ3hrl71ZPlkfLnTMVtzaplG2jwlTkqBxNLkccyQD3Gm2vzupEZ6M9XU
p7Vlse7xxMDrMrLFTbek7m5G4jF4ewYuok/qk2wCHoaokB7yWTXDQ2c/Euki4FugB4xVk/GpQVT4
lzIr5pXdf7khaJ5Bm4cNzV1ykaEmk2VGuQJkoVGqfOsMK2QJKcUro1xEn8waSF2YKOtXpbVyOr09
HIeZWkF2jJy+2mYJXqg5EmZbpM7jj005pp/yOkq2La2vKyNfnm6IgmEeivMWXMc1izwdOp/GyOxt
KY79KK1wStT+HheGDA/CbFubU76N4Xb6bZHUNw4+BwOCjUFWmcO3tz/p5ZGwChxx4QKioRB/jhiL
nNGkX9OVR8sCK4KsiNxJywm0bB6fRDbPSKHT5KnNEZnlqNOvzMLlliKpQiYfAOWr0MdZTDrqOEUs
6lgeodckfgVpamf21hCyA99lQ+5uKi275qt2WZMDAMH546pkNdRYzivSSKIuCH25+gMXl7khQBUb
Ij1RhjI34y+xopb7RF0g+dfInvqUfRK/nnok2WM7v69Erge1XAQNSEP9aomeTZ+L3Lg1CtX72/22
squRxYBhTdMVaPnpGsmWanDFNKkPpqJ/oFM+UHEy0e+JhivXz8V3AKNBEgTEhTItvO51N/5WLVdK
MBOiZqBFOTpl+cXBerKqkZ9o2/xjVEbX+snr7zu5CNbx6DysBahVgf9s8S+tWbW0+9UH6KfST5wp
Dey4KK681cVxtY6CbDS5DuVnqq+nb1XlRYRg3Kg+KEqJFjb+cDc6J7ZPmX25UuG6DJ4Yy4TO8spn
4yA5OxrFlGpluXTqQ2Lrz8YKrsXgJQ9MUFE/zX4adkOn3kdCf07tztfB2jd+3sbeLi7pmFaT++Pt
bf2qVH0+w7gIrGhYmguEjqfvbvRum05eoz64sZjDyk6iDXIg2UGrjd4v1MjbZWqS75dIzX4JG3dM
H15y8tXTFwPhdll6G0y1ul0bO9LHfrzaRrQqdrZbNHvUJn9MdpHsgVAqOzW3fkZ5LsKm1WeOKcW4
tca8fEiXOnlp7Gj+3KLfvi9q3brtU9M+NpXUAs5zLFjNobnjIvPea1V/1WFnPbtPZ4BGJgAd4g1Y
bHjIn86A49RZ1usChqHW26E9Qh8fB+0pz/TAq0crZEw77MYW7T7DjYOmVZorAcNlv5yyAn5NRF2g
g9Zy6+kjRLaT6XEFH0SvlINhKXe9EXebpnWm2xK9vkOXFC/jMmS3lYqOICaTAu5BZuC3kZfpXVEw
oUa8aDvcaYdftizMMOpaTJoLKPiZiPctQc4u48reNEQ/m1Gb1LvOLcWhSQ0ZqArK+8Eyw6pcZsO+
r6LU9N26VO40Q2vwXKw46x10m9Lq8e3V94cjFnEQ6uSrpg/C7efnSTMpIuubHJbNbChbEzX6yDY6
xDZSreG4TGV/VypeG7b5si/G5Vk2RVgY2N+qQ2fdlBl9WIJAGT3T//RCihrH3h2NK6fr5aHHQ8ID
Ia0ixuAiOP06bgyWqnU7Bby42Ry6OUE2sYC9lLngVNI2m/xuMNQrN97lyUellqYTJS+Pi+9cfS8T
yiRWTsaxiePlGd2w9l5NsmstvnVtn6z9lYBkgMtcNUEQQTu7V9FwbngJRBRU1r8+m+OmnsZ8I8es
AVR61Yfg8vSjqIBIF2EU9X1gDetb/3Z/uDYnrVXM2jHLBRrforOpifRT97keTWXTRC3uBEb6MHea
fpMZiRXkNdrxujJ1oZ4V0zPQt2uh3cXXXR8JQS9iCw42Giqnj1R16IA4M2o6SNB95r8yKEpRfi9r
oCqxqaYf5uiaGPvFt30dElQ7Aj7kOa8aur/NAibRkz3XkXacUysOJNKnYTbV49+WgFFCome5Cr3S
JKIofvpiqop0dU5D9Gi2Wrx1l8L93CPfvi+V2nh+ex9fBIdEZgxDJ4oJhC12tkMyMWZIDyOlp7Z5
/5Dmt73XYgboeUoRIDBkqAEt9o2O4vsBovCVwS9RMhh9vQpIUg2i3XKOi1hyV7ipLcvjiATeDvnF
aJ9bTktBQtMgb2JxpW7GRn2vuonYDF2h4VRQD5uSorgvRisK4tierxzpl2H7+lAr/ALqMrHFOW/d
zQeFiz0pj6lhdjcUtdWwrmtvl2OO4uc0jW4GVX+XWFOQqxnKTWm+j/TiWln1Eg/GY1AdWSVuSCNI
JE4XgQGsEpOfsThWjXY/q2l8j96msSHKBsykNXVYwOsIvV7Nw6nC4LvIqyvB1eX+IqogdSB5oJpw
YZVRLnHO1TLAE+/NZ9NU4huZoZylJEKG6HltCqO5tqX/8NZgtQBJw9NRMcox14Dvtw1WINkpu7Iu
jrOoWqRYhfe1TRQc6WRO6XJ0VeAdVA4yKmYs0q7ZdJNHkeDtTXG5y08f4iyuKKkR5W3bF0clT5Vt
YyvZpqiz+MNfjwLBnx4PDVqI+OcQsVJ6mpKXWXLUxwScnaop4VhBZHp7lFdG6ulFQRmGliHUbYQA
qbmezmg6q2Yj5yo5xt4Ycpn7Zf6xMNIQvtJ2sj57+mNmHaTx0RyrwMlMHyCt7xV9OCvYDfcPTjSj
yZziVaj6Mn3Rl/zBqA6W+bOPTUzjn/XkQzThLJEDv+zHwO2AmjTFnsh861bjB8hQd248fBTt1xqf
tE0rvqF4/PffCxIgdyDYBi6Cc2YyxJ8+7lM9PuKrcuuWio5fRHc14lkzlvOJdAESIie4EgXO4210
ZicilCY55ojX74U1O0EES28/e/U2UZx4g01HG4xu5gUOeLp9VeiaD+6iu/JF/7A6V+YXGGfwsyRz
Z7dDh7CH16MxchyHzKC5geGgulZI3143l5sffhnrZj0BkKw9PwVF7w1x6lTxsVra96O6eM9N58j3
CgcVTiipQ4rDAn7314MSToNSIa4HvHUe0CcdIKrERV5oUbviZsEs4hZwOR4s0bQtcmUIiUSvuZ1e
vigpMRNJqoqlNgT30/3RmVNCV1hWKKuAEbTszPqouosM3WrSQpZRfJs2ZbF7+0VfrThOFxOjAk4C
aAJiDqWK01G9kj5aM7fVUXrHpY4CLcHj0CpQHSv9GpbBMm57eNrV+wkcrjq+LxSyOXMTjTci2gtq
VXb+IPsbxFt8x30a0q9m4wX2PO/zea8ZONRAAYOfVdZbY0z8zHjWynsjeXA8ysCx1T3Zi7adVXDr
XYHOY+enXKteWm4jWe465DIHTYYSyUyny19KwM+buQA367ZKGiQSx6CxHfdvT8maKf0+I5QkqNDh
OOusyBtAkqcz4izsbXVMx3cVl8O+UfFGazCE3Cu1atCbQ0dBOoOzKXvz2hH5GrWdDI3eLWAkgvbV
04FSwunQrlcmC5dS8Q6xTN2XiNA+94X12OoyvsHDhRZazFxHbhltjIztbfejuc8kaPLSnpHMGkod
Z147PdSABoIqL71tw5HpYOD6vJRYb03Rx7cn66Lfh7wEmb+7Sg+yii7sHqcpzhOztZUnUu89Qiri
UAOXOoqk6DaKsNq90ndhYakiVEYCmHlS3U1kKtpj5qbefpK4HPeU1O1Zx3J80Izn2R3aUNZx/ljq
mX5luV8EeitiB1I+BiWcoDQ/zjZZrXhN7wyt8RRpMYmCbnZbyAT1Z1DmX5WoR4kMIYNA1aP6Pl5c
y29srw9QII62DVZVAfcVZYhpMq+0K86PUmB7dPbWNHZlcVApPv3web0otVdP+lNUx8kms5Uu7OMk
ulI5+uMo0GSwOIOHT5f2dJRJFEk1LqudxpyKLRZ8bLumkTdvL4lXJZbfVzFFNoBXwLuN18zh/F4Y
Sq3QZKFYT5nmNVu7NedAoPYKJ1p9QR3gMOZGvsnd4r296nTMXb+phkxs5gnhX8+V7aYup3zvVZ52
QHDlU4uTj98nz0mSJsglux8yS53CwajqA3V2m9OBDAh1lSbQYy3ZVKbT3HlRae2TRFSBtij5luKs
FZhq6aDeKVF+w6s6qBrTfO/mdhGYudNsMtUtrtxcF9uZiWAW6ChwuBKHvi7G32LIVIyLJ7EKfCLW
2VhbNN+DORhu0g1l/tspqO+TEJrfUXyVP9Pn6MoVti6Zs6+wIuwB7qzlSLLE04+N2LLUk1bqTwA+
9zA5zdYJbXOnkS68/b0vCGOvrwnqAlEqyOggvU9HwnnRLdn9+pO4c3f2Ln+YtuJG28K29uON5qvb
MjB24uOwcZ6snXNQw2oXh4mvbN9+jvP78/wx9NPHmOy+Twe10Z9QCvYt5OAK66shdq1ugyq9ssbP
dxKxMriWNfYiMkFO5OyVTWOtpiQork1aZd07bvyxqzzvSvb950HATlPW42I+174loGraqCgBT6c4
KtZplm5AsaZXXmW94E/WCdokQCDo9a/ydVw/p9NmjQlyrouojnYf4+AM3xpJ6Dpe2flRiGDGV1oD
5WMDZi5Q8uXa4rl8xxVL+O9qDmXtc9YexeEZLiqjN2puw6Cc6zXDumZeeTYKYK8VZYAH79pep4Rn
nL5jWVD5KRGfOFLBLXt/Aea7L0ion95ega/SGL/N5b/HoQaODgi1MPb86ThOizwG2L4SgUbwR4V0
+91Yiye9sn6oi6WhTGmns5/MCEbBp4vCebSHe0ukYoOhkr1Hr7ALGy0ZfXXQUo5IGSIjCKBzNJKt
qRY7kr9tmaWhisdy4MXOe83J7zM190KvkdvZoNRee4p1Jas5C4j+/Vb0huhjreDscxmFGfZ4JCve
qvHip9mk5NvyrSwIoT5qPqlvxmhVCk11/25Dv45r0iXiFCeqokV7OpszYEgHLXOKMp1mfSjKIj2I
nrROmmXsF43zqRPXbKH/sFBApYBSpqjG656jFnKTy2Rs0uIoHTPZR/PicuVDkXpdJ//z+/S/4p/1
479XRPef/8Gfv9dipoGbyLM//udR/KyeZfvzp7x/Ef+x/tP/+1f/8/SP/Mv/+s3hi3w5+cOmgkM6
P/U/2/ndzw5zodcxeYb1b/6//vB//Hz9Le9n8fNf//he95Vcfxu6Y9U//utHNz/+9Q8oZL9thvX3
/9cPH15K/t1z/+Pl8u//fOnkv/5huP9ESgbA/5pIcVyuLJDx5/oTXfsnbZO1HQtBgpPUYulVdSsT
fqT/ExQugYoOoQOA0Kpi1NX9+iPvn/SYYFkhA/oqdQ/G+/+898nc//e3+B9VXz7WaSW7f/0DRiHr
6L93rQNxmNo80faqeuxRezy7KU23yeUi7c9du/T2+6QZGscN4ibL1PbOrcrY+RmrY4tiLIKiHfUD
Ewklfd7EUYUF/Wykmhq0pE5bW6UERHMKqLCWoL7lJYu36+h5p0EkDENSDUDXvtK3UerS6M0SCxG9
AFkdHWW4sumXoE7HrAqVSNpdhsKqGdM1iiZDf8iwp+JX90parRahNfq/OfWgUkt2MfQh+1sMzRkQ
C2rUVSdRgzGs3Nk7eWsMYdMVjusXtpHYGyVuPDOocDZqfBzyPLXeubVdj4Ga6VMab3trLuLV65gS
fu4reeYcchtKVYGA3KzTRImbpkvDYv2WB6URlvUjqygc3tdWa/XbeZ5TTcC3Mqt06+igTn1tcYE1
Nv0EeqWuWk3366wCkbmYfYmHXI32RAgNR5VB7Ap539TxqkJvjTMkTvxGcvHLqOuyDhHAKJPaV43Y
ab7hFJ00DzbnTlv5oJxw5l7mNidcn4qhb3GEww7NLxu4AL5jTq57IztaLb/mGmI7DRc99vpbtSv7
fKOMCQoXM3XTweeeqj9FmpwSnwRzuEmiakFzO1YnATqiaB6hE4OKmzyzf+ZzWf2HzkmlcdsoJg7h
flb1xv2E70wa4ouCIbPeTNFt1scdUtF9peB1iSICj6cXy+D4dacuoDSrSv9hSccrAoHSRLHJWcAi
LPokJ3lGv6Y6lGoX16u7lv4jjrB9DJqoNtzAmfFw8KscJ5GDZY/qJ1cdVNc3M51/mSJDLA30ekvn
qU4i/MTb0SsLv6rtfBoCVbpMZjVOc+V7cuGFUcbiLZ2hWrxPWlGaTqh00hEbNzfQOCgWRbemsCLA
BuwaTQ2gsbKIAHY29avbdSL03j3aIodIFuiuYkxhXtbpjzEykhHmXYUbwc1A8Gm8QG1rjM+qqOPa
8QcsSGNo1Pga6TdA65Dc3w35GI3hJNsapY9iAYU7xWT+ZEQp9lje1ESbdnEJUbQs5qGWtBboJJtW
5dEIj4o2mEtPzLucMgpylEmWPPaa1f0w+xbjzSVzZ+nHnhvRVzCE2vvjbKOsrsVDjBr1Mn1k1TKN
o0rFxU/nzAK3647y2CY5v1pPaCP42RAhblQPc+dtvd4QXzxjbLpN3evRblSG0gxBFMuvVWmrz060
mF8BnjgfRdOCDRgmA82fNq61vesU8XjXJxAh/E7oqYs7gEpxNOntyWSHZCy2QhTmSC1Ud2zfKyVi
Og31x/TgSBWte3eVIzetop58qU7DO7f02s+FJRIMeOdk1AKBJlYbVFHOUnESe/jSmBwxvqPOGFQJ
1Zzru3ZRlq0zWoX7FWiQrAu/Mw1EciUBgQx0EROvACMomwQtGjoBB4IYu99yVM1GmNFrl881Ba3i
voplPfs5KMnSC4jpLGXwdTsz4XHQE8vGLkAs1Vk+AbxTkneK9CRYDKVBkDdjA87L1PvtZDbmfWyw
TTW/09uoCY1IR7x/WIQV73B1TRx6L0OuqkNojqrW3lBQ8MpwHGoj3aSl1ti3SqyY8iavraa7XzH0
yi37NnEOo1lXbhOOXjO1uJDXKLgrutq6SyDdoaJWVeAhFn8njEyGrxOu7wAVxqgXQQc1QfmEznmG
fmtYiDYdbJ+OIprXIIOxCv622iQuMM8zBR8McLNGq2Z7b8zs+AMVROuYxmXb4dXlmB9GFU/4u7iL
TWOn20Pb7uDZT6pdftYbjAICb1DQ/SmDRFvmRH22Y+4J17zFEDhacMrOJToWWC/eDQAO+ndVamvi
BvgE1XGbDZM8l8lgtFxIRVWGk4HfoY99NG7CTiJ7b1vQ0Us2VExV4x1adaoTuF4kn1yts0AF9FFP
Fa5UsmnnzSKKwiYbS7TVG90NKwD/Ly4UCtzYo36qfF1NyoeOyiKZvQ30mU21Lkk4DDWwB4jmTdCN
dlXcW82YgZXH+A64R2PkqF0lRf4wGNrCZQoTOYWOSXf5KLsChHqDety4o0cePUZ1ihNjBoZivqnN
Vq0D1ZbNz862xWe7WpZ5izUHBtjNLO5j7qZ1aajqoYypYOKdoHrZfqFI3vrJCCfyBjwMt2fNvauH
kcahsnWUGkecpC/sAka2GOZku8xyeFHqUvyIvcnN7xWwEvY26yvR+FHmIVxJ7VbT/MEeKWgWcRcZ
FC5N9TDONdbS6Wo8hstD2UWN3xn/m73z2pEbSfP9q+wDHPahN5eHZNoyKqNSSboh5IreBT2f/vxY
PbOjZCUqob5bYDGDARqaVmQYRnzmb0AUunVdOjbVvBz6Uzggr4DRUKhcxVqNvBN+28NXcmpzdEfh
RNk2KCrh4GRhtbUbIdwme9HS2vMmNUiPuhXqIy6Vc527BscVRVmnGbZhUhlfxwoRkATGgFXVG9tS
kKgaS0nMe0rY7fxg1k1keqh7a7u+i83yyIEaOx9dbHP2hBjMR1uuq3iDsE300wyy2vakDqckNQsK
24dmZlPCrape3HZFII6hFjxk9VzyV+ZDdus4vT25tjQV3/KuqT4OUmPam7E3gzp1TUwCtJvaCDlj
Maoe09NkRlLkV00cSHugfuoHgJNj4zZ1oiSYqaX40SArzM1P8BHdc5NoX7SyS+M90NX4l8Eus6B5
oqmf+1bVuycKj063A7JaFh6ec5F6tHu9l3eF1df1vmitmTuI6ioehHpNx7A10eOU7kcD6++fcUG7
avDQD1TRg5ad+SYQsfo9qsfwsdaAL7sSJp4/gjGCwI1LZsdrU9Z5Ryk6tR7UXqtSTA2FtTx8EdSS
QZF/Cr3reldEocW+ytr8Ixs57lvLyHPgxg3kI6BohfUtHcn/XeI4BZArFY4rGdQvO9xMRe9KRDHD
ZqHxH4ychUDsVo8BjcR6fxOFCi1QISr5SYByQlwEXXYLb4WWOFGasS93hzqcQmprTcx13GJd6iXK
XH/PX4FWgRwhpqGU7dEUWvQs9UX5oESUYTfWhGEzt1zZIwMB18PFDNRmE425bzZQDevWL3hhD00i
5y+9YUTX9GOCl2bs5c8doV+1m3o05sxM7lJPxPNQu6UdCvXQSr38a+h6U3FHow4+odrVvETwvoJn
aEJaystWYbPu9GmkfhkzNe8/lqaZYq4aRh2Gc2osFNmXMnKFS/ic02LZkgKgeaJQ2KcqjKShuko1
nb42YolJuVGtljk7UWXZpsS59T620jbnYPZCuVA3ezMmRUeyDspz0NHAbq2KEmgIGr3dxJZrKWl+
pWuVvZtTadxMwThv0ozF/i0h+1fi83uic1roYY6MR88QdOIyIE3903TakMaER0FBLm0K703eW481
7jYKxIpNKLWD344Kja2uQNGaGPGCgNtpZv06Os1CCqGc4ledztPR5xT4ZaSkRM+lKYMPRHt2VIuf
709xqa+cZHLUWtHFJNGUkUEn6TwdBFB6EY1c5i7qoqZX4WGocwfLKuyrvvz2T8ZCTh0kDtDxtepD
oCRNKGLspzuCLr8Npfy5Hhz5uhNJ1/xdMDipF/y+dcrbs7KIbCP7T85LXWkt1Scp9TBnoLnIabh9
zMkqiFtzed4L6vceAL9hUxF1+/WY1Ecr1+zvEpVL5DeRZe2rkHsB8tIzXO/2G6Cp6ThLlZgu/Mi3
O7xAh1FuAgpJ0r5WwO5hlcCbYfFxqSw3XR9ne11K/qVn+Ue1k5v4hyib8qU9LZScFlz+51VYlsLa
//13JeNNhQVt7vbXz//6f+Lb9//a5LH41v5qTgo0y7/+d8HFMP8CY0ELhl2A0UBU/e+Ci6H8ZYAk
guW0VEEpe/AF/bvgYv6FSOgrWYY+MHRV/rrm74ILtRhwgnSlEbCg1Q+L/08KLutzwi1Ed5UeHLVm
eADWqslpOnleU5BVfX5Lv011pzggr3mpm76+7ZZRgCXyuXAlvKXL2RrWWZXoVB9UAdF+OWhfpa4r
91Erx9f0fiW37k3hz22kfcqGpLwAS13fRK8NvVe0FDz5twS3bI7zMjAn3R8Qb9tIOaFrtbTWNVFd
UuI9Lc9a7CG9Q/pmryq3Swfm9NLTsixSSUag9NbOVs/nj8hMYR6N+Dh2CE3skk/At1XjL7+dvjPP
yZltXMDGfPGoebDUq+dE9EIyMrzM/SFKAjcPHIjFQXDJznJ98S2Tg5LEBEFWI1+1mlyK9sJsB4bh
y1IUX8O0Kr5KjOsqca5fy2na/Xh/VivQ3etq8r3gU7cAogCdrE6nU9VQMQZL8+ncjZ6Ca9RBSgwF
vbhALWlMZ3SJPTPNrW1HT+VlmPOvsVwW26pQqqcLv2VZwt+fMybPb6GpTiiwAN9Wk2/iCYxCFOp+
3vcVqbRF+zz+EOSmj55m4GkkQF4ZNCRYpXLg0QXRXZpfQ0QUfEnuau/9n3PmSJ/8mlWMZJMtxg7e
4b6B9pw/G803OaCHLlPHiv7wKXmd+MKUgk5AgLR+x1s9bYdwFMvX0ziHsU4fs6pRL3TDz86HVSFZ
40qkMH363WTWpHQU39hpvtQj3Xnc2qwk2qeI4O/+wdL9NtTqUOE4a0O+hwUvW1HkhVbkuFZX3bRh
k27eH+nMVwmOB/Y7KgeEs2sEmiaHs95wI/nVCHy/tOT6aoCg8cdHgVYQXwd1ebB8RLGnS5cmfatX
ll36RkBZr8jn6dCnWX4Iuq75B0O9ckjRNgK5sYZ7R2xTQEu/8vMhbz/lSSjtZztXP5F3iwtmtW/X
bhGoQQcIuO1C5Fl9bm1XJrVwQKpMg1XtolKg3J2JPxOPXS4YtgaqIQAjngbehtO1m0yHfLBUoE+i
Yv/LbLTkGjcTMCdmI+8G+KyodPfB/v1j8fasnw663DS/IRG60apzKxgq3wwU+5MtIYtpJjJ8GyVz
zAuH/e0yLlu1KHTzPKg0cU7HKut6RFHJbNgxaqwtzKBjrbfBheb424cBXDqdBU4fjSAg26ejgAPJ
cuTWGh+BNWWvNZW1pxCou1gas4yKZFzQZl5ug9O7eJGAJkGkBYow9/pw4N6JcZtQOn9uSBHxeKVp
ElhjBS6QeLpOzG7jBPRB/3jfaOkviwh5hMRtdXFYkJU1yhadD1fZ8BDrwsCM/plvJ4q4MMEzC4oQ
o8PBxP6B0u5qQSP6XmM49kxQ7voP9HO6Rxlur19WYw2txrEvaoEt39NqSUnSiDTJFlQ2cjW5Jkyb
kdqu8IGvU0Nr2qLkkauN2s0GzXKDuMag0SyF8a1CPi73RNu1944y1PexU9v9hYtmGW31a4h7l1AN
aaeFJHp6oOK2SK0cfSGMUDTkiEZIU8VGwUqShn0R1g9NMoEfQpNbwaOcMtUlx7UzB4x7mcOMRicL
YqzuhR6bFmWIGL9z2mALcYYm0NC0ftYo37rEiQ417N0Lc35zLeAescAcl3tv0etYzXmwkeZrW4wb
VaVINk2P4FFaokQylcWv9w/y27iKobAroi/I3LjIV0PRjMKQjI4b0HJFZH4OcmBnA/84CLOF+TQg
UreD0JJs5qnRLU8NIutgD3p3RCSljv33f82ZecNUghENI4vZr4FZQ5HNCNEBsmsRfnAtyaofjEyJ
Pta4mF14VN58ViC04V6rJE7LMV/Dl+fCngLJyGlyymW0EXFieZUUjk9BBJQ4nDr78/tTe3P7Mh54
L0RzUeyj5776jE2pTywRcGOIyHF+pCPwWqcV0uH9UVY4Sl4xhoHuCu4TWBuEw9V20gDDjM0YmFaV
BldK46SxW6Zl5rdIXSvHSRcCwRoKIckIdmWqQ9zh0jE+DmjO3eVSSudwBLh/PdttvHn/t51bAUok
DmcNOU7cWE8/ZFPNeoQWNT5k6GrHXtPG7Vxm0YXocZngyXVBNWbB4L8OYcLyPh0l7gIpzIy58ac0
riIv6uf0Op5TXBmrulN3miQnN1QNR18tqXEbMUSmC4d4xYR73QOqhhZ8GKrbFPVWNwbtjlQpg77x
wyhVNxSq6NcERekNr/zXrG7duKmSxJXzIPq86APcNUOX09FtUl+dhUL/z0guPMtnlwWZGhZ+id3X
N0qolqqVFkB+W3o31UavZHKFaZBbi14/JGA5lgNv6OXsOBWUrwYcsS8REt9cpOyMyVNNXorILQS5
050RmU2pE6V6v0qU+kPFauDAO6W46MrOyywhwt5Ks3LhM1/RUJfNWNyYKTmCVwJdsDYlMTt5lMIy
G/zA0p51cVuU7Y0dSH4h6a6pSR507oNmht4YTZgCL3KOB8362TcOvODINUKqeOF8oeb6diW0BdRH
u5pSEHn06kuIHIWGrjAn3xBad50OjXrbVEp9N+uEEFIyiw/WZFXf3//83l54C8BYp5hOtC4D3jld
fnAbQ2ebJSjPxkquppe02ehjlW942i5Jnp6ZH0/mQj3R8MXisjsdKh90lNDndPYNlDjR10+6jVYU
xSONegPZPEQ7ZxgVF6Dab084zwa4Xoouy/ux1n5UdFAhtc2ixjarGKlFcgznptlnU2UAWSls0LZQ
2TQ3c7rptlWr+fD+Ar99vBj3FbyOBRNVitUChxVc+DaNZ1+mXwsJYgivAqtsvgwiUy8M9fYq1YgI
TToizBNg+iojQo5jicfmyR+RC/+Zw+rGPVv78v583g5CuZ7qzmI4AWDaWe1iFUx2MrXy5KOGrfyS
ykj7QUfuklHl22PJKCQAQEypuBHgnZ6VYYrEqICR8hVgIAez0SvFlZSY6xo1Ly+KJ8f+43doeRxl
2DXLM4Grz2pEe57Q020nP0CnaK+JWrpRh964EMKdWz3unCXTWpjAa2XBQQ4FAJSMb1xKR19JFhky
iFnbP98jwnSUDRSqUYC8T+cyU83HKKiZ/EwhbAGXZV51STheOG5n9gicM7wEgH3UY9YtlbSTewpr
NjGiOqoHeqzmIZeC+kHXowjGoHKp6/f2S8LgmFI0xUW6KvC8Tmc1ph3OTgbjoe2JaEIiSQ72JVlh
ufk4XnoZz00ONP6iroK22huCMz14Cs4oTy/wvshPIhkeVfgiy8kdp6e4kDeeORWkVCQRyyW1PEun
M1NCW5j1BH64FrVDutTqXhvV3f79U3Fm/ZZvabGPwisazajTUcqupzopGZ2f6OGvHMkH4hztS8tt
tPsnA9F8IDWlNrs+5FInhKZUWuf3XV081LBT6dOH83Uwdxcuo3NTgjGBXDdP+AJMP52SZOd9bAdy
58OFru600sDM0JKqx7EatQt7tPLfWkKGpaz9n7FW8dusR2poW2TcdWWF172oQGpp1hyPHvdfcK+1
TW9uc4iOjdc7YoYVSy7e7mpADY2voWYOvzPQcnBFaMHO3jSoNFXlzoqv2hHAx1gIaHuDVFS/hNGr
qjul+WT5+Vymlv/+/qzY0n9PBQltPiGUdiBGrJdNgLLrJfzkjCmUN1GkNTfd2LafJ8DGG8NB4sUK
AsApKPRL15hIBvvJwh75/V9xbu+WBYUlDi/jDcq/m8hnAan2fqkr9S5UCXMr2ex2VI+MC0Od+ZiX
MI9AB0EPIqvVyZ9aPDDBjACuzWqEmjRND7wplKproeaDW9F3NS/c82dHpKOABRlIfGQrTw8mmpim
3qctqDeqJodYM7s9+gh65oZdoNxoaRXdvb+aZ64QCPcIMiDvcUZQRpmBFevqBBrRKUvfdqbSDUHz
XTg5Z6YFdZAG0mIET/9x+fPfCpPozCDzOOgDSLNKhu2Qdcc6TcR+lmP08pu5uzDeuZO6uNrjBkIB
ltVcndQ8wR1ALdvRD6ehd8Op7rZzqBbouCblx6nOpG84RyU4XNFBvI+F43y3O2KgS9/+ckBO00ey
x6VEz2tA1clYVv+3eYNcxgsmnEYfQJuyEWlaHCRK6qGn6VF3PepZ9EEDcHg1ATj1QGibLoofsjdI
Mx50WVfdAY+RKUBO4ETtMt8CcIu8CV8NPwv4FDF3pE2F8Fh34Yk+840t7SgUKYimUPFaH3zSFzkt
pcFfvMVhbJrSuAcAptwVxTD8+PMTyInnk3Y0qJr26sg7A/pouAazRpEINlEJAK8ejUuk23PnnO9p
oa8tAi7rpxJbTBt3tQJwswKjOWuS8lg5fXTp3L3NVdhwDDAIBGmhA4U53XB0D0Crqhx0JQ/Nn0NW
N52XYxK8UdPAdA5yDiQd/FiiLGIxwEAXK8TbvpGzA9SJF+DD+d4gKtlOVhreGXpf9u5EkWM/4mX2
6f11P/tTifaJU0C24Gpy+lPH2NDHDA6mT41jPkxVnF9DCki8cA6AN2dq43ZKpX9/f9CzB8ui74ri
jAyqZvnz3z6IGmflfqHA4reVPovOVj1ZrgcwpfOfSee8vlULq/u/R1pNr6HAmcglIxV9IYCyJdlN
NGd/Jp3z71EwoqNrjdTt+kXsWjMMqMSNfomMgCvCDhJr3CKHXKhOcim5OXuGoStR+aBRDGnmdPGS
NOgwVuRSS4cUOn0pw1fAPuJCbefcKEvZlFLHUq1fS/TU1siDYTQjwOsB3BhKzqgRjpf0Hs4dhN9H
WYWuKaC7WtEqDgK53GNXItHYjuX0Sa+C4RJk6UxVmgraUqHl0CHpsG56DIo+yUkI9q2YusEPdSDe
6IE3w7EPc/t5EFCQAWiKz2MlZ09qiqxa0HbxlZ5PtnnphlhenvWTQOOM878ouQGjOt3EHm64I+nN
4OMhlXHTj/Eml6PnUbHELjKLlx6tlKKLw2PcNrNrLnSdyY4vhBln95haEZx+gm2UCE5/RAKAUx7n
cUD/oa72BuoLblk3l8y/Xq1F1nOlrbXItoFvBVF/OoxV6XZplSx5Axj1akbX+T4lfsXgzmxsXw3M
9hg3oYWvb1oAZWtzL1As+7NKRe/b1FMRuvAenzt0v/+eVVSgV6k16OMwoGlrz24nWADaGdWmVM1/
8q0CU7QMKvQqGIfVCqcpYQmdEB6CSWtdlFknP6/ScPP+dbp8JesFBum1lCTJOPG0OF1g0Q12D7V3
8BNi9lcfjVTHt5DW070up3nhw4atruWpoVClBUmZ/oNzRJsHpCn5Lhni6iumZRtac2hgyxs5KHb1
ifCqNBcP789yZfr09y2LtjRFCbTDgN0vx/m3V0Oto7RrbQofQpuib5lqhDFOA530EVMD40opxyZH
p6lvbmE7Rj+M1IHpFPZgYw5zC6VjwOm0hkAmKmnXVKP5mEuZecln+dxzysIuqAJojIDRTn9jndby
mPbyQFUDAZHFiA4dlda6m20735slDgS6nhsf31+Z5bJY7/8SXGKoAeTXXncTw0WGCEcVLhO8yDdx
1Nx1Upl4nWl8UVrp0/uDnbs00IwFCkYYRUtodXOpJXwleeKboWmsHrXabl05Mbp/8PyA6UMzljMN
snEVIfQKimx5zDpiZLEJW0jpc9uLx/encu67geK89M9oucPkPt2sWJ8y4mx6BHWLlpGbKLm0gbCG
bipyxV8DSXc26Jo3riMPyoX5ndsydKOosS2Sb8R3p0PTpeuTEqAQOpzYA0axiI5wFFC0yM0UdkAu
5+nT+5M9u2908jBhBMGnrIUb6lLten7R6A+D4/iQDXRf6tGEfn+Uc3crMwJOh065QUH0dF5xBHVk
iJURT4dcudXQSTvSj2kPcpteUhM4t3toXWAYCkJjQZmeDpUJ3ZQMJZ18O9SG29RR9afAaov9iLj/
JmffD6EU4zSmBto/WEqKrxCcFwlxSE+nI1ey1VCilYhatDH+BCNR8/K80C80dM5tGJUNKlPkQxYp
6OkoM44ucZ/BrRRNVPq5M+SY0aql809ub4QHlzbeAjxcu7RVPMWFWZGdzs6obJzBmXbmVNX++wfj
3MX4Kk26CMItykens6lDTiSq86OP/vpwAx0JGf2hw0xKyI4wfTHlkh/I2XAB6HK2BAC/DWF9XmH6
/6tTUhVt2MoKEebQ6TLcyqK27oJ2ap64Hc190I/9oQEHupvLpP8wYCx+l8311/fnfjbyBFEErJBE
CzmeVRigz0pTKiNfRTYE6jZTHGSbTbn6ljRBjC9oof+U0Uf+QraAF1LWYCsDtce4C7PkkjnRuUP1
+y9ZXXlJAZsuhfjq62gzXylFpG4TR9QX+uVnRgE4zuNA5YAi/zogMCq8a2AGEmTP8HvcPtTmzB2z
Srmwu2fGIXIlhqayTxS97v5WuYLudtNimhA1+fWYlP1O0Oe5EC+eObp0eqF9LBg3+mOrt6iQi1oY
WqT4ui0JLk1z+pHnabETgHToBIZG5KqAHnbvHxqHD2L1qHNcdYpykJTQGl/vlBrh5htlij/UkXrf
pVa0xdIA+U+1UL0umMRxxuLRk4Nowoumqi5ZRJy5ycHKUHtENHjBDa1mLSI40FEYKr6jdPJdTjq0
sQoxPVqD9PL+TM+ORGmMwJFeEAfm9GqwHWUOM3sGF9TY01Wtd/UGBpH0KGvtpTfjzIEBLrP43fAI
YtS5GgoaczUgyKD4Exgzd7TMAYuoKPDfn9Byl623jvwNlAU4AdCfq62zhYHPJTpCflhbwJkcs4me
5UZk807u+jS8CYsi/UNzy9foGMrgfwZdztNv0bGZwvhsnRjmfJZ2JOtRpO56JAY3c+wEPUZ9erHT
uiHf6BJ0XQqJo7Jz8J/5pMbSlR20mzK2ay/Uw+bH+6txds2p+7Ia0OXhT53+sE7Dzy6h7OqTf9dX
Uz5lPgl3++dXDm63KJ0BnFyu2dX0G3wfaXWoip9BN4QXm4Ub2NLqhUznb5zN6d4S1AN1IdNBAZ9k
63Q2stUNjtSEHTHibA17a5rrz7OG5rwyf9GmAiUlW6Q7yH504QqkEz6WVlWmfqNEDjDjLihuQ6lQ
eq8tA03ai1lpjY8d1qLhB2664mbs5nAgJ4XShlxCaMvHOncQdJjs0TYPoaYm1TYWwgp9BDHQdSvT
2vkajFUsXMx3S8Ntpcm4SoNonPbz3E2UDdpGDa/zKMJzg98wjdhzTRLSqkKa0l2O4kjkW1xiwovF
CEJFTkjYfUUNG0A0DQzCES1zVPuHLMZVp9Aze+NMQXg9GdX8NJRzQt0OLSPhjjZi8S5U3CHc2IMI
2mM6TFXrxXA4kO6OUingbylbSOfsFYXeLh0Q4+iCXIWYnJZfBJIs6r4wtLjYNgqFOy/CmcXaiB40
DwIBDaTJTJnSiJ5PudBcokEzd/2QWLvEkpzsaIuuQYsSRCcmCCUNsatGa7LQByAUhlgDVOYjvF5V
9XWkCCWIqk484LmRjKlXNrGRPmlhPBpPKTZl96qB6BfV93HWXJI6qYY4HlOTIuSE5RvHavysUs6A
baT19U2JssVnw2iQ2FctcawmeAXuoMRV6WVDpD3CxITyitVtLR2lnljMdZpu3ld6YCgYy03O5NJs
ty3PCLWkv4KqCY0v7pvmAaq+3vqKnVIQD1va1rusM9PEy4PAuk5MC/q4HszquGviUX5WQyzfXFjF
2m0cThEOyBHvyIHSEqKtVqs2qmeOUVZfoxSZq9sc3kDuB1pXXzlaAIAPrv4cIe+MXoKnBL1V73tb
rvAZsArpU1D1/WcxIUvgWQN9iSu7K8zvEyf2m4nq7gehFBVCuHNOk1seVJcsSja3aZ8MH2U9d0iw
dDEcrdKGQgKIR2k9JSzb1gFniwUvRzy0b+W2caT9EDvh+KWz7RaLxEnVMBtt217if7MctnIvay9j
ga2EK+Fss+slIb0gDjsgI6xAiNkOdcGJlYtseuAixtRgLub82cDwXnKLkHKMR8kx+poklX3Q4jj/
VTYivhuUscewB9mG5zSukxZMDyJC7hBFkezbqGQITkwOFDh3WmRCh7DJmkNuTY1wM2OKn4seNXPw
GENQ3o0qSoS+3dFj8mYnFj8NKyoRCkAABsUcq+q/tnGELlnd2nm6sZA2eY6kbOh32LSheEqjSvuQ
RqNj0Eodo20EYEfCV8uZFw2KiY+yL3I46XqKIvXGEkiLeDiROx/SMJNsVwr4ITF8I5Sz2LTMlZxJ
+SlIo24LR+u/h0KWJE/FED52DTvVn2PoAhh1WdU8cASSGHFvkC5iAxhLsQ+OlLayHzs2wWLhSKbm
NRhB3al8y2gxhgBfsDuHy+DZwYgFgJJkxcHRY11346rQaHiJbvF5NdV2ERWpHYRCwiRr7juElSwc
iuJOhw2eFpWPXkKfYP0nDYYXz8IxERmIRMfv70Xo1o0WCZ+0qPisDnLjuF2fl8lucnDY2CJQYefg
yvsg3aNvgPAOtvAdT03BpUCPPWhBjjlacT+OtvEoRUOtbutsFjmtdEj8eDem8eAjZ4AUEV5m1sSF
Q/nDhQYg3SsGZNfdaIopXJpt5nzM+wYLIT+HBQyouDMaK0dCaZQCpfkODq8YpXtZGmZzRqoFGdHs
qRxTG0mIbAywJ/P+T1FD5LOBYfkw9otbqmvOo8FV9NFQhUTBrnaaDcor2TGpM8Q2lAHfF0uqPVFb
6tMUKQl/7DTiyUJBghOVlVJxIf58gzjFGw93R7CmyAXLwHRW+WcIerIvRkf3ETZ5ZLlyIFQIj6RC
zvyyDwh6C7EotqQ/eZXwb0wkyytB/Lp42Wke4m1Pr3HE/5KB0Uz7LaJ6wwXmte+Kn/Hv9N/lX/iX
3Jr8Fz0g/ktJDmluSmb/Zv+qzl9USQGGY8oKYR2Ewn+zfyX1L9QR+TdoQpKNkh3zZ/+i/0r6XzQu
yZcXVWr+A5D9T/i/f5cp/hMwAVmk+4YNChLwYMnAFizh4W9xaSK6mFu6+jQB475vamOTOxK3DC4a
R8TM9tGU6Uci14TnsnTr4Ytm7/Ky9TR13HZtujGNx157HDUUt+zUb6fM8dSYjIdQY+jRhpYe2vmR
qGYrQ5cp86sa8hFYJURmxlB51sKjpj4o0resNfcqbp4YWrR+1/XSp1L5WfWK385XNUGHpXlG812q
xVU352j7gAzzLUXUXpnI7VaQLERKu7HsBMOZABsx+1eAGlmhDK7dNbGX2lqZ0EJNJA9dF7cOPySZ
5mz0pjtkOq9wDp8nuR1t8WDMD7jrSW7FRxWFBQXqgYq5dNQxvgOS5hno7+DwW0oupoB+3TWaKyuz
7opEdqO43wWi3ktttwN74lvYw0aGfFU3aJL0X3u0jv0Q8RtPAn8emeFP5Gn8ok1uBv2mlFWvEAeN
71aEssrjxpsxa92x4QLykOVFechTCrRaBzAtEBciSdoOUIK6JvNkFPCG9gW4pm/nL12kbfS53JXi
yXZ+8ja5s4nwC/q3D72u3LZKTbSGuB8WtK2XpN1NaphP82iae03BJYuKa7h1DFalMFxDj12ti35F
zUAIbaJGPgg3tZJPyVBv67hxiyLZ25NducqE8oqECeqNHMeVGyfhUcqvVR1VFeMzyiGUaVXpy5x/
T6hxStbN4JSHHvXhjVa1GZGc+h2T2mKXyXF3Raeque0o+WqF8alTejcwDc8x2WSDd8NAjyk05I/1
gOd2GHxSisxXYkPd4NpsxvOubIbbHGWT0NWt5jgZ8x2qatEutq+KUkHkyjlkoQSzKDSuRn2kHFFn
2o3W6xvAL1t9wG5YGTfRXF9BPqbQ0/2qg4wTXYrjaBYbuazAjrP1kXhRaB47dr7THXpiXbzFgAPH
YV0h6jTG0Q0RuiHYvTGzBJ1lHI+rwLeCFJ3BVEg7yQJ0oCNU48jhTuknT5pqVA3tvdWB2hoGL5Gq
jQKIfRSjG3X4QNiJP6f3HdpFZAqTO865Z9v4n1b2RtXhIlsLr6Pf5r1yDxbRk+1HPUa+VAyqFwoH
DbkbwqSDjKWDwEVZDesaus0x7nUv0fxMwmG1+dGUHxtrE8mfSFFcVR8PU4D4ih44d4rTFAeKaF6q
gW+bpKvKhuSM8HnRIXcUo4dz3xnVQY2IGwt5w7NdfdBycOZFNO1HeXjoRmOnzOUH0L6eIQtX08lK
4MMHri0/DIj9gfukEOcmmeHrUe+jPN9s5fE2aQX/j47WkHzVJOPGGl6k+TmWiTIUJNmC+h6re78q
ScPkbtiq0nUxHlrjIW3CiMKv3m3b7l5B+AwAy1Ztj6M+PHZ1cpib+5KPP+6BjptJcZ2M+T6OJuK/
D2q/pKeB16lEULOCJFr6HcsspKvMHsU9sgj4FCLic09gElTCrVLprky/mJH6EoQxepMR0c/HMYg/
BwZfgz0XnKrvhTUQmnNEtNIXLcpC4/e2yhdFuE0e8aXRPPKQNncD9SkfWrde+Emy4k714I3zr0B6
KdLS7REUqIyH3lR3bXKfJAFXxG0PqeVq1pTPBrZyRlZ4vRJ+JxfD8615Kk2j9GtL3gBLvs6NFt29
Y5SrHulv7oopOtr6cIfjnxdwXOhTYcMdgbu1omTf6/o2A5zlIzc9bqOAC5DMqRtT5BBZmvS+nZ8d
+5sjIYEysMIRfueKvOHcoWMj9zvktgJ+PM1CxOXSwLPy/sUS83G2pet5fJSjQ9RSddHtezR3PlJZ
9aNQfKl0aweYdZ+S47hlXpiHrKy540MQKNc2dWpf1aNbYcTtbWsgURmhEvu9MaI7hBHR03PqOyt3
vvZ8tciQ3lPvDl1agl8a3hpRpONXMcSJJ6Fpfg3tcVP34c7REJ4EgYMqcBl9yHPjXhWmWxiGPjGx
+Eok6a0I8umrk2B+VCuHIG9uiB/xIxLmtmrj/rYsUdJUyiE5pmqH1H8r72td6ajbIDs2h81DnUeK
N4mWtcNW4FAPKLF6SdMb11oVjc+miJtd6GTiSSsUT4t5ZGW053/1g6M+A8Qgbh7xEAS3rHuouqWf
RYFgpI7rW2CgwY5FKzyfTN+QlQa7ZkBamQludWx+9dr+kVdKeCXR4T+A/a+8ZHBixNy67pj1VvcU
GMCTbRxdUgoE6BjEAD1Ql+LA9/ZzpKHSGQ3o1jjxp2ZRDlR4/B1ruDcyhy8yuqlH5SmgfAD6OUzc
MrQK11Y+OVQ0BqE/NLEZ7lIx3/WzPRyyWfUxrXguIjkoSALGaju2V2FYvejyaKOcJRffFUC4R0jl
8uzaZof5b+AkCLIq/HNayiHfU6Q8qUZwTPvuakIceHRQMhTCD+bxR9ymEGXBTW1V0LuTYR4cCwn0
1o79pmCDrS736yLegPpIPc2QWsTGcL1B1spvawqBxfC5NNTnSq1QKhIw6QrER/P6Lq/EViqbZ2EN
u0iIyDfVUUDWRGo5LOp9GX4Y29zPePsbi1wGectKnjlURj1Eni5Jexwf3ShpWcxYagFVhm4/d8CD
Tfsltx1xlVVF48tlW3yqAslGvzWg80nNYqN0EgA1J0MGENhSrLU73Wza+1bSYOLrjf4hsxC23KZx
hJyd3Ab/n70zWY4cubLov/QeMszDFoiBwXnKTJIbN+YEBxyzY/76PsgqdWcyS0WrvcxkksmkIiIQ
gPvz9+49d3isXPyNbp6lL77bSo9VtuvgT3I2rWPtexh5qRoaO3UK0JQs2g2n853XEF7jD419WwmX
gijL9RWE2+BIaIB7R9sM3Bnn8oFGg+/Kkw924E54Ts1RzMnZ/CGNZWdKE3Gvpuqo1lZ10FXToGAJ
DSW400xAuxSEK5yj4qai3Hp1RTxoVZ6rlvcoLknMueCt1jcKzf6zuxgtjZiyv3RLa0aaHWjvpTJl
HezoR2efoyjsDn5rDE+Y7MR+HHrOwbIlTeIwRA3RRB37K/C5vrgkj5PTT676E2uit3fHdDmoVTrk
vNpgF0O1HDFCrhc4Y9M7e2Lj6K2lugL7nsXK/dJFj4hSLjzKi49DpZZTTzDuYVFWCsHQdy6dWUwP
hpbzs8unvyYnTO0mZtO7KI+Cfai1f1evS3gVke19x0cRpyyf74NCjLsy5yxd5d1HtRAilkdFGHvl
4CIkt5b1yzDZGU21gIAXcmCiMhS3bMbmQaPqJmTOEdSD5oVqHON6sOrqc5WZ1UcZ1PUlflCfVy8H
27qEXK9al3RX62YgAEDuHTeXHwDmTpcZwzXk9bsicvZkIJeH3IHHg82xPTcrNHkGfbe06D4tliFo
SKec+eEAJnm3115uvdCTqM/Tws72XeUtj8aq6tfSjryPmavFvuZcfqZNKmUcvXonhkUcbORaH4Iq
kgcDO+BZBAUhadvJUPxc1FYLLYVDpNK7KLc82uCDuHKZ5FzUzpjfu4X/JavFOZS9T9OYHbLwbm31
s0wf23qd9qYY1ZWSzWmCxksJZwVnwptOAiDzTS8itXen8RFLAb2KDqM1y5e8dGf30ej7KVnN9soQ
EwcggZLL8gQRKFn2beNlJhWBWbGjgksowg9dPSdMvX/UhmCdubmN1enLjB4meOkvaQYfpsn9J2sI
Puaj6SXd3B/G3LsV7qTP/dG9zNX3gt9ytxTZvch1f2sSQQ3QMqt2XWaofZ6unwC7fKq8mdI2T/ML
DCNJSngE55HoviC2lGXwAih7FRfOdOd7Ju2t/rZ3tD7HQs7poEWMDqT4GLX6wzK6z/V2brE5pKSB
OrfstgOnayS+P6mr0Z85hkQVB6ZomwBLute1H52HOigeWEwpijtwibVRLnhxBu/QGSA/srm7KjMX
kmAvI3wzkW52K8/tt9yTtB2kEKfOMLZwUiO8msUChNrw6vbEJutlcSei6cBLr68UDMdrlWX5kXZR
XgNVqxVvBhg3cKnVLu0CDKx1gd2/aFNY874cx4QmlbUv+2zlHAWA5HJZezintam7r+M0G1MCMdHE
107LaOpq+Vn3LXfbkXR+Da0vyQHJYsa6pI3WU3fWGJ0YDo0yvezC13Psrmee06xPhrmqfWuMzNut
b7lJfMXQBjsl6z5uLP+ZQzECxXV+xWo6ohFMo9N/Oyr98gNg7zPn/894tedv5bfq54YK3cl/d1Q8
F2oaIl68lpsy6Ifb/Q+AvfsDYM/Yh5YJDgYkk//XUdnGTX82UCz7X2zJ9MsiC94C08Z/0j4h4o32
yP+3T5C18C+gBT+Go8yDf1NnAKbyGE0AcoSjbBydXHbN7apcme2alNCoMS6KGYhvnLYkk14iiiu9
I9opgkRW2sInH8InRZdrG+3RdqoWeWC+9izHdsmwLCir8nmBagpnXKbLJ3r7wXNYq5VjrFD1p9CB
hxUPExyHJs7b2uCAMdC0D1/60anXNRZd6I55wrizatNdpIDCf1JSjOMHy09rwuaLVjpNkukuN77z
Krpll7ijtEB+mHR+OW4oI98YApAEwJeZKW9zMjmMzC5DkQ/OodWVvOzNwZiuiimr5G4tTHs6BMWS
Q8V11lDfembmuyfGHVshuaydt/AatuwT4YbNTkI20BRMfJCFcm8FhiriLlAeXXYQBgxJoR5P4lKy
uVMvCqwo2CunwXtlmhaajyLKPLwYwPVXZ4S0nhmVvMi7vC4/Vk7Yji/LrOfuQ6emmQKom0tq5qkS
9DkijPr5LorwuJbw231nuV6L1pZ30SqilxmvQ3MScz3KqxmSlw/DGHE5UGFKxkV44CLwxtgU0hX1
Brz8tSndI97Flm0ubcr00Dk2TdlhV0/saEYR502Xlg90+nOXfDYRBPVKUqi9Qrgav5sQTz25j9Zl
sJnuVY2UH4wJuhjKl1z20bhLnRKvWTx6/ez0lwWrJP+tptutvthjMc5nXpNXNnPDnkiOs9wnB/x7
OxAg/8DMuDquWdDJxDMi9UGYTf+KhSlPPFmY1S6qemHEpsiLixY3S35iBtiVVwGVhYKjHxAH6cKl
PePw5Tfn1VRa6ZmW9iKSenWZqAxRcTeJBcyAG7V3zTDkBas0tOhYT7515xhOf+rtcdq3YTl8sJsp
eurNsvmc+/mN3TXBJw4NBsRs5bh3tdOVX2wmTW3iOoMLg8YcuienzXAgzSQ0PDXmbD60KSyHamyi
Z+bWzOtT5l+UrxZD0haELYOgoaI5Zjw4zbgyp62LiyUrIF67i9e/TN7c3BVycl9sl7RnMPIuJ51N
zb2zitU5hBONjd6YyqSk+rpQlWkctGEmTtVUJ9oiOG10C+59dthNS+87Dv5634+2t4Nr/TgWvSa0
x/Yv2R/4E67d3adhdT/+GD4W7vy9bvLuYllqe19TaCe8HBQmOePWB13quk6i2cvH2LTbZo6Fykt/
X1TK9C+CunAkiTwiV+cgcoPoIssIEOXcNvXhYYyEVteFac353vEbWT7xHOTT1400EyWlngQWlrEs
Wnp4qeE/p7le+HmXOciSoS4g649yFdWuWgEJXq+z2PqUxKkEN5HRgy+1e4Qucb0q+V0x7gKILPyG
LsQY3c5z1n0OLdUHsVR+IJNw7m3AxIQBfIgM3K9klTNVTcquH3mYIiw1+84c6RMQaLw2u3ohJwEe
Rk/rqM6tXicmLdCnyRo7qD/Wxk21p4bkMsUxPDhIlyP1a6ml6s6VO9WkATZrSvKsH4jygI8H9mk8
R5McPzl+G87HDThrJ84Avf2ybUJmp2Lu9EoMg2j94lswVXZ+6zZt0xx6p+4682xtu2V9oA3fG0nU
tnZxQcVZcnc0CASaCePIuPSnHe72jy3jZ6zsWxkGNg7mlcwIyD1BLvVWTyRxWaOppRnW5b0hkyrA
FwPQpev/odzjx3WAFjAJcNDVvh0beYxR18AZRbzC5//cyGn5bNHJekeIsQl1ft4Wt6swFEPywejD
h4b461SBzJKx8BEZxPMYOWfQILJDVBfVvSbxgj6oIgxA8FL8/S38TUy4XZX6EQIMekmGGW/EH8VU
kY4cOiK2S0RYvTE7DVLdtN+7wZrvBw7ER8QpnDTqNmq3Tu52/jXd4OPff463gqntYyBlwWpE2jtt
hDeTuaiog9zRHCDSKv0U4mm5ZKtN6RQv3R8V4n9kEf/+0KDHwssGFAJlDQr/X29zyLqZ1aTqkWZQ
RY+05qzDqpf3xNC/fx90btuACDsvVqO3eqkqKPNx1bWI/Yj3QUe2pktXiculJ6Xk72/dX3wh2KlI
oLlzcPbfYnTWxWPW7lci9lDLXISMxeVkv+cy/Ivvg7TI3rAhGzfxrT644LjUyzCP4tYQFD+pK0TS
C1hItir692xNf/GNfCZr25tN3vJveCuysf0xxfC02Vs5UYzkuKXqvdy4v/pG1KHoAXkGkD2/Ue82
XusYmTtFMZEttaQNzmjuQpEfQ11V63bc/eNfiQSwyMR4thnQnDeiXeJNeey31Gjl6+Fgd320x51Y
7P/+Km9lehAZLQ/1/bYicpG3RIgAqTNQGRcOvMdYRY9SXfgDLzdpQMN5XZlf//HlOBbgcI2w0nrE
xv36LgV96GSN9jln5kb2aW5d58IoIvuiG6L62lkW9x1F3O9LJPAE0zGB7rEaI+P89XqkD+Vmqxf6
7JEkWqZPXxkGN7E/WteLz1ncHst3rvj7U8IVQSKx4bPMYd14c8UsdbKx4opAE+vDGrQzMxgSVjtT
vcen/csvty0ajFrxVr21VHtupUfMG0FM9T0flJqmg+/Zw2MQdvUhtfLsQ6AndEN//xP+1Rfk4ect
2Fzc7g/JxE+z7I7gEFaQIaD7bI3MxTK9txvVHnRT6OPfX+r31xowI6s7/46ckR/y13sZpCyAFL0i
tsZ0uMiMYKsz9Xj291d5+wpsOwmTCSyr/AdvwhulatWHWs1ByTNfjPKz6pRBr66s9szZx5vSM/4E
uv/H/eQvr/cH3J73gAX412+Vi7QAANSKOAqg85AlrI4DNpynkWVlYJyalu/cxt+fE2oD4Oj4bNi4
rbfa7WxYjc31EsbWRMYGRgdKb1sG6tG15+m8i6KJsBWfUck7T8pfXpdVhXBpyi7oH79+0X4erW4Z
FFvAVLqPRbNYSVVE9V3Vef2XBRv3g1Eznfz7X/P3Z4bkIc+F3MMGh6f0TV3gZtESGDqK4j7rRnIs
CtP5bCOGe2d1/v0tsFGIoBqhHYHi1n7z3QpqL4CwdhT7hnROQEC+sgbVR+bu4p0v9JdX4ieh4cLF
cIv/ehdHQvmWtsMkUpuWfuY4TSy5u2rQM6M1vOfV/P3ZpDamEWLxIlDx/OaE99NusHxkZeRpH0lt
IzBKB1+m1NFHWhjvgMV+/6mwK2B9tzEKQSN6G1KaB3UnViaE9FZGBn6zqGmE19E79+83DZcDHc9m
UeYbYZFC8ffrDSQUeSYGmkTARayT2A3+FDXxsNjDsvONuoqScQm5p/kYyCdjZECHEE8jrXUMGTB/
4PXwNjqnSyZzWpnvkWT+8iZsJQWMk40U+ubTeZw0hSawKg4an7xkMZiHxRfvoWd/fxU9Mj4xNlEb
8Vz+6LD9tGiHKP5lOJRhLDVJWoxJ6tvURI1rhbp5WEheespQwL2DCPz9qyG4QnqFFw7LM9/v1xs/
GYEYoEQS8sZtRaSzlDsdFfKd1W1bnn85BWEp2vRdDs5f3o+3KICgaAxCZLTPkL3qvnjZQpgu8cF0
ojK7bNtdJ2zPuJZtDj/fA9f0Xu7Cb68MNC1coNRqWAo3g9Wv3zJYdVb2fsP1m7K7HNKVtgW9/Pls
rhaFx6DP3uM5bH/xzTfeoGRkVlBE42V8s/YMkWgyyTIftwG5kx9cUYuVDBLooidkFFP0zv7428+I
nYCM2AhcAHZeiK6/fkG7cXqsoww0rX6yd4SnMa6t53+8SW1XYUWliAeKg6v216sU3TSGYIRIXlRK
QwOuraOnXJ1Ytc2gXpFO1gpvfG9teNtZhoMAnIT3jvKJy0dvrkrapcBmkIZkZaXIWq35CcPExyoK
rkOpH71y/OwKBsvB+Chrf3jv6lv1+esPiV0Loygshg0r9vYF6fu1n6yl8OLZ8Lq94ZrrSaKFStTq
zbd+SxstaJGftHqYjgba/7MhIazX/fqPdkzqRyzT28egoiNd4q1RLWekiSIanVMeVGHc9ECX6YX/
Q9fRj6v4RKls51usXG/DmAqVLmuToeHyiIRNslbCg1+V9c4t3c4PP91RSIecKvglCbOwCFF+i1nI
KhvPuT115GuOUXqohB+95qB6u31YOWI666NG1TuUblN+WJgMNwd/1OF7Xsc3L+j2KaC3bIUPRTkn
xm01/mm19ey0CeWK7cOB3n/P/jESAuv4s30wYBf27/Qnfr8aOxxm9HCDkLLBbe/vT1fzaZSl1ez3
SZ8yjFD8AOSmqXwoYz/Y5Gx//7T8qBZ/vcUuox/eGUirwCzeRn7P1kpYnNUQqeqEBmYba4yqiShG
jWRjNPO5Px9yFNW4fQCxPmJqse29X9GfP/pRYbTXbkfM9YROdBz9184Ec7FzR2aHu8BOrcfRr0vZ
xUEWNBAyyGt1E5TeQ7CDm2S+LIXdmftcWU10YKRNlk3cUz/XTwK1S/7645v+V2v9Py4L0X8eDCby
lRXkj4zsbY64/b//EFrbzr+go3KQZsnkYMb59t9Ca8v5F1sAm/y2GW9xkP83FeSfgRbHJPCHrZGy
ku3jzylh8C+OjxsCjdeF1Ye35Z+MCflHf3356TUhFdsozHQXaO/++N9/ehHq1R/c1vLPBwPnJPol
S5QT83EMX6dQIAsLFUmfZlxAV1GPDjOpOxJGmVGHkURJSG5jIme1Ro+RlXrume/rxj9kpbOoi3Wo
ZvOirvL23g7WlejENI+iQ+62NCCLdTXoaAEZwYumu8ruPvDERuQ7G5llo1Ad88zZpU3qoVnoC39R
CwqgrL7w8m7S+uRNymTxddbO2M2+iZQsS4VrJ4D2COJrXLSMMqyrW5k13bEqTcI24RLhdXIcSfiu
TRcjpaoZ3IqCVpGTaZUIF65nPBTm9baniynmU5mXsMvU0wp0qjyjB2f5T2FVyNe0b9adMfcMccy2
sm/ZsjTuto4Rz3UTeOuuK8SHAX0pOU6lCDqN0mn1YIk4/ImdCozFuYeyvXbXqAdr46nrfIE9Jo3S
+7ysdIinzsFqpJKqH9rikiDv0pOJSEuijTsZynvTYB5HOrhgIvcVFlf+rW2BiXtJOCp33o0mGoKH
VEa9d+8ZnVs9N2lXL4cFZVHSOPP0lVG0RUyw6urPsg2W732xuO0aFwPWxT2QSf/GXQrzTIsmZ2V0
RJkdtPaGq7Cs1vwGpvasY7ZX+4akb9Dl64+ozjzdYjuZY0zfmM0qhlnCl53CfzYFSIHR0j22mErP
cRAGOxO5zZnpjtldtU7qbFqQU3v9gs9Q53reZ8LG/7ZMBAqROB245XzIsiCtsMI0VENuYiHhja6i
VkYiJ6S6jLQZz5W9JapKJtvYBVMJ+gR9TkScZIKKMa2TpbfbxSLDm9PLGEdrE6EmNhkErv0uqETD
/WVyhvbLc4tgP7u1HV706YSHm2V9Xk4pA2i9b+rJJy8488viOAs/vLUJYx/O1znP5bkvGvoULQio
caeZDncH/HlDcRZ0qq1Oup68jz6hm0mGQmNHUaiPI0G7W2hfE4x7s/Gby6Us5bVRojLuOZfU8RB1
5fUACbCKZ05/VwI5WneA8bA8LN2C4qn2lg3yVo93qWyWG+x93s5Wy2xch7od7qa6soJk1naldmVa
pB8tw6jObEn4MbEVvBJ7DUbh6I5D4+IK7IoHcBGkAUvUPaemtd272Q6aV6YG/rPg0eqSMDDWPME8
29TxYq6rlxRVyqx0LWqnOXlOhc4szJREsOVEW0T2jzTifAsm9oUnH+elda9DxZ3uRrsVGvmbjRW/
/dAPSKTmr0ydcrHiTuhdGZTEsPWMz5cJb+HU9uMXVgWmsHtskW0QxXPuSEenO3JBiVlkjG6qqEBh
1FVzaB0ds+1nlOPWlK4vdHr0ZF9I7Zr9Q6Tz0Upwx0nfTBpice11zwBurcuTQlM+1N+bbkLd1ZBx
LxAd70imQJhmzlWO6i1u6nCbA1ZRP6FAmGmaROWFCIcWHFbot3PZYk2Ze/fQVZ3ZpvHsTO6hiZgF
FWRIcfM555jqkXgsPuaVM2lvmj5C4Q8XBxlXRyJHTEZ3YR6zShOmFaeNm3LaHeGSxDqoRvmhTou+
boDF+ZN8daNUVx+jHm/l81q4tXokbnvCDGMNdXcVKXo7Vz7D02wfKdlZBQqjoRpuO7Iwp3gTJnRx
r6ZyV3UWklrRef7rgKUhZZFug7MyytwjIkSKstosXyQ/buxFM9ZK7v5OekVz7oyF8RAu1ZxUsijR
3Ze5OvgzEb4L6mcV2/yhq9Vru/NQ+eG93IQfy7j65F04HZiHMBzoIg5mdRbMk352HOwBJeZDtPgO
iM9xQgOYDSM9OVoN1nEuo+KjXLzgJu0XqimzNuEkkjO2c4jQRrIZuKeKJLabwW+mZOpsdSb8yj8u
TRqezGbKENsts/cyLsjS+qmUmPgmeOnoOs+YO9aXEcu5Ec/tujyqzpMzQlev3yOLdHaCeTVx54xG
jzYE+y52F5tYPafLj5mNBNhT5f1q9iuS43I4bwbzu+8a1mPQkDCLHwkRPrpX5xTJpvqIIMUvLxbu
9VE4wefeUm33IlNWYorCcWy/isLR9VWT1VBWFA0gWvFBoD/O9ijzhMx0Z3nOSj+sAb9VNegHZJqu
uJq7wk2/qkznrxubwnjy50Gll8jMq/Ag8twQO14Qe+dMPDKxRqkwJlGaTWHiZhq3Y7A0xwzL3oJm
wa+ufbXO5o6ph9XG0Cur5ZC5IkNXbqbhFQ5vXe0sjKdxWy49U3W9JG3XE+GbRqgU26hcbhHEuyvo
/cGMdrNWeXTy26LwFVkuoXMwShJ14Rh5OLTG9lg4TfjiDbAdiHwh4Mfk7bwrdRtcIjLw7/tuDbxE
cwDd3BrV/LkwHBSjAG5fUdmtZjIgtj4IAx/5fvUWhQ8MrCf0C+KMR9/ktz+rJNtMnKMsX79o6Ul5
LVQ6BYelRJJ3FFm2XDiFb1+WDWU9VmtUIzRJ5fdlddPlqNeq46UnLX0ob/9bQv8prtv6sP+5hn54
Hb5mP6JLM04d/19LQ8D9dzHtef+iPQ36Ch7grxo7B/shcwGoX9DpIINuI/Y/M0sdhHU0S4OQ6tsm
K3FL5fq35o4MVOhFtKM9mgkQZP9JMQ2r7U0xzdiRxixUcJr3AWQZLvTzqTJdgpQgJtdAEWrVxlGk
afktc6MJFWsXeOezZ2U7u1t5Pm3DBipkOf3ykXzG0jqNudFu8W5l8b0rreUBR0npHGy3z8/AnOZH
W66Y9QyTpHsk8QiFcbq3cABSduF8adEj5V361SOD6hRq40O1hsh7Q7O6sHghkQjhQv+U5ahE7Soz
vgoQPPcBaZQHNEd5QuPs2ZlEnqwl6vcoHKbiDIqMo09Np9LX2S785wXPAUbCoLgPEaDn7MxKnVSK
+IWf5JLPHWGkg5/bJV1je99BryGhL7oRaPNQubee8NF3G1hEGoEw2HO8HMkQtIIscQT4HU3x4cRj
JAl40j1eBDmzG+2sfi1zSpBydS+EngPnXCmcePgsuvwhS6U9Hp1pXhosjUL1V5L0oGPtaPsKj5pa
42wTiZl9kM24MoauOq2bmCzItP4mpF8c3R86MwrqGS++3RYfZuRhpPVYEbUnMYJtOp1VP6Rs6g9d
WzmqoUDBp9sF6RuDtk0IF4arKx4xkUDDQO3VtODY3BEK/fh9QpVlY9MCcNLgcUlQ0AvL+Gaxswy3
dut5JVjfkNU32uNCYKM2dmXXhY15NZc47EtwupglrjNjKGqZ8HhvGbW71PYHpdzEtnDSXOVhWNEz
HYcOk8XgCiz9lTl8nSZjGWGpY+Msck93p6kdIj8ZPZKXL8NV2yoO/HEUe8Oa/U8YbVIDCwbKxF27
zqnGXRRGr8PgrVZceyq6CDokfpdN0bsrwWfUNMOB5bQ0DyMZTVTlra2TYXDs4qp3C3e8990Sgadb
krLxTP77skcFUm67STdGn6JIhY8hWstrnwPGcCBnXt0F6L3Heys3Ku80iabTHycj9D8KPLtfscY7
7k1bj83LDO4zO66BMcfVnOFGbWfmDclcl95t2Pibpbwxymznt6XCSzAFeCgggYAHnYJq+uJ3nkoT
ZRrZgnw7CL/oTcHKKAHMwIWwZ06qVtN5a9J7zMTOi0mtTz0QzatWWjq9WFF8bWAENKBxMIPzwF9g
UJ4YVTrdYP9B8Dg2DZXwhkw7OMHS3TXlYH/wvMWGVJa1y3NFUMYCYCCUNXvYoA4jp5e9p8LeOrew
OZEbOIdDQuvW4by0CMj+RB58yOVq5/u2XuSJs9wE9shoUgH5Y2rn/ZoS/v1qwk+Z9khOcTtJ4CzN
ucxVq890mVG/9IWDsLPi8HrDOd9sdzOwifWxko2krFt4FilYW8u9KetswLO4kD0EDKVgoFWMmDTo
ETaPQwEK99SEmb8m3VBKprFtQLu+VP544OwOIUaUSOn2Pfp2HMGWL1+BerpnNcF1sGqs0T2UlaGe
xeDkCz5d0mJ1Mlk2P4qwJn1BmcvrnweZ+w1Zp3PbUGWdR94EIqVO2/x7EM7mcJiKuoCRENnLkASr
NPHnGUVWny8zlhHiBUDDzRocNkf/poZvmVYEWi7207r6Kd4acOifmOp5z7M19GYMSW4TWVbL1MaN
JzA1TQGO1bjJMg1Dp05TnCmzj8qxylxFUpk7pBfKwTa7pml7sw5+9MlgYW3iKeIdOkgkjicAPlF2
CDkOiKQcBcaHEoJijnuy5ZhEPwIWx6HFLODj2qywRpIBlzqHHmz3Lhd1W59XnVM90S/xP1mFlzbR
kUIwDU52G9Ua13fmFn3C0SCsergegsdpAzUJ4e8yo/TEoR87iVZSlCYIFBg0VmeB7fDXbkpgpo/+
ZVP7OWVjCufSKmOV6umlbNNon9mt46O+tE0NywEnEMrQbXSSLoZoboPJBgI5xhwO2tHDv91yjxk6
NNPq+tfCNQtmArFZmTwtbWdrClYD5ooRM18awn3m0OssYeu4WL1oU8wUjQ6nAnXKPaPNE5tt0roE
njbb5j4bLP7uXqagUevD4uqKA6M3yJ3tQVDJGXyk5XwM3WJFi7BFHQUIktN0Hob9IANnuqBvIjZP
iaP8Wd0a7ipCTm74ott9ri3ji4fIeog7goTbS/ATEvdlZb14U03RSL2H8Y3olyXakZVSPWRtFNSJ
LwcTJm/pLT4UtbLv7vKwTodL4biAnXIPrfSZN2v9vfAq/WjMUT/veyb9nKQYd32TpSzSg2BijB8Z
YTeuRme2X5pCyvXRmKYSF3RRrh4ivWapdqV2N9+vQgN0kaLZVQnoURHymsgIF2ImSslPUAS+D9NA
2yR/aD48HjZMyj4nVgi/T2PpNUBvls5f+5t+HTj8DSBm0Rjm5aQPgcVxzUkY+MMsSnOWZwezNP7h
dfHLS2kO6WnJWFgu8W6a3p6B4uiBJKuywr3OOejat6tZlQQjF6DfDu0MK/Auh6Lg7OxstF9S7QQN
mCKaLYnThbm+nvxInRHDEd70fKPoYxoOdcgi447edcGEwT0vzJEda9OVjJIK3zKrm15ZYJTCyfRu
zCpAGLQOfdmjXqcR/0VbxKomyLin56I10i4phzm99kZjefAIHD8w9GMZ7ZZMcvbiQFFyNrHswX6x
IKhygqZBWr/UwZA9FVafpUlTKRDPSz6vW7pQ2mZ3USOrB2thlvLRQD+0mIlBmrGNYbiO3H3R+jCG
ktSKuu9uzZf6CPKnivZ1XpISoMN+a3ry9Gtx0RUBnci8mYr1gIpGKyR+ehrLJOONwBhatG7rnKeu
mX9pitFv9uG4zSgkz+JyO5azTF+Gfi1ecn/2HLBBPh80L+vtNy0qDxo1JXB2WpxRe49pZXhNGZee
15cHakUxbEapGV+wtMQlQ1F/vbdCNMqP2SJNYjXbOgqyOIpa+6Wy5aBvy8WrbvtmDl7ywjXbPSc3
2zkOOJwcRn92Q3DL5NJKmxyQ/Ny2dZqhI1hlNr4MuelBHm114R2WMBrGM9kZxGiN9D9pjZjpEiJp
c4onwbNtXpWy7LyjE4lVnvoQ9ydNlIatwV+DfDNZjT1f0cFU6ceejrpx76QexFv8Ce6BOkxeWfOE
M62YEe9bRvkY1uGyJJ5AkbXv28lZEu2PVOW9xZZs1tTHmpgK/j5dHFoBheu0xDRG3Scz6psmIWFj
GAgl9AJjX6zKVzfKa3p1Y2HAw7qoquhsxakGxyEqoGrZaM0P9ICGc6HN8FU0uhqBLbThS5sKEOY4
bWb/wRg1jTFTkFSLc38BALBS8Pt9k56JwUh5mjGqfa9Nb/7QDKN1HAVZ4GdYbpp78rqm5UCgD49o
BsAj8fkKpxSLxX4UmXkngKDdALHUXwOZIUuy4FXY+GvCJjFWw/R46h0XGXvl8rwYwKlo9qdQf3e6
zlD+6GgymTkZ1UrvZFyxUx5CYPgXq3RnQgn06MivpSpb7+AVSmgIDNJj56VHGZ3a0fGfakPlF3U/
OjpOhck8VK30xxL69POr17VEkDhBK7MYF8gqY0sXPpGPluiCS3IA5RWIIKuGptbBNdNeabI11ENw
S9UevQLNrA8MyXgkekfA9kCHwvvi5C40aapeBs3rFAxnjLaWW38cWHiW1M3PUA4z0CslA8190Hfz
ZyKEgXuUo8fSpw3DadF+W0Edm/h26vN+HqxyPzW05ogQYWH/Z3NWtDpUiT6QHJYrk+Pom9Nh3bHr
t1g1knkuFCSb1Usf8grtflFgQpalX2F1oHK9dbK+PlvZ2Kd3PsE21fxpDLl9AsKILA7UBEkyk3gz
9WSzbFe1tcGb0hTX2ijdg9CL/v7Tqf32j7/3s2HA2r7Im8v8L3vntRtHmqbpW2nM0e5BFMIbYHYO
wqQhmUnvdBKgaMJ7H1c/T0jqaTGpZra6Z3bR2K4qCFQlyT/Mbz7zGvxAJJDfOjKkgC3ep8FzuiQn
g7C0reeycQ2sAUpExSPrDOwcJTVLQGjHhhLPUyC2YllLlY52RwgU7wbQZlg6n1/Rx/sG20ZCTocb
WSGATe8vqI0FoFlqVDjzpKgrCf7LJven4PL3RwFQI9KnZ90g1/t+FOS3C+BQxPTQv+Yt6YpKoOHn
v4eV5R0iALpYmZtgL3S6yu9H0UaTZC42828aDKj1i+DJySWq6TaeMAw6AhT6+ORorTAixWYDYNIh
wh6HS1wWfIRZgJyxaCZNHSEzl31zZGYeAIK4q0Xgk3aoCQ4YfsLBXfWl2HHosDZ8P+9jKL0aUSNa
tSh3KGXuJUob+UcgAMuvfD9LUZiigwqChUYqWej7B4kgqsUBlyFVo+fNWx3pygVVwP5UDDv9RpyH
7JlNf3RE2jTHlLMPkGV4gbHXAvRH6n9ROz5EDCaqNMqaBHokUS1OTYq07duoDTxgygXsXi3grdFt
6nbuj7zPwwrVwioAZI32sUSDmQX6/qYLXaR5NqnUFZJ0YKceNYHS0dLXQN0plo/pVx92lxlOA0LI
+4TPs/i3vx9OLqMyiyST2KZXOHZaa+RgiNNputX6jDCL8Q2kGkLtzqxMP19rteHvozKJHj5fmh+m
F9fBtgslCxrCAtZ8fx1TI8aygsG2E7fmEpPkMymEVBNLOWKV6IqtpWBajszpX7xlTGOg4UrLVgg/
5f2gEa57APlg62mtpt1lhSEF4OtiS0OMIxcXbRfImXRXEyzasiMC1x/e8wLgp7dvLeuJhXvw4KW4
XnLiMHNQUfFPRW1GCT4SzOYtCFVSmN96ugoAzAVpCygVWBaP+GBSTY2Or7Eqhc7SqDjtsAtIbMxv
H1Oq/G6NRPCx9XOwKy0Dcnix1QJ84w4PByytuA3lrojQYDWoj8aIwqTH9/ODSUMZGV081uhSHv6F
O4lmRmlYQp52WpB0Xo3sgzurTYhcxyDHG10cjx2cBxPm+4DLcExWA9+XgwmjZwGGXeAUnTpQ5C8p
Cev9yOZHBUVzu4C6UEiv6phI+cFMYVCoFGQcGLSjhG4d7giNZtRDTE+M4uzw4lOScayie0ll/RiY
7RcDgVcGELlgIsFAHUzJcAIAJddx4EwsC8jnweSkKZpDMY3qIxPyF0PpYNlILxgQop/8fuUN4jCJ
EUkA3fIyRqaWm0oJT11r+erzuf/BpIjnZ+LvaPLeOMXY1d+PBcJBixtFD4FVcEcSXGeTAujQ9rsY
U+T4xJ+N4FIpGn8Pr5E9UNJm1E/NMZt9ZLZTPd2V0pgO3ueX9fEJwHHBp06RgLnRMTl42HkLMDRu
IkrGcLk9H4FZOzO72LOWr35/KIWZs2CIONkOH3Y0p+GYhwjTSFV/i3LObQ+ZWuTr3x+G4JWzCwgv
0OGDO4qjWC3zkBJ6i30xqWeawk1GZxVHlGP8rl89PICBGgKXzFQm0ftXGnXwXfoELZOhySY8VmZ/
D3sCw9Xlq8/v6uOSB2dPS4qNGplLzor3Q1FgSZNahqdPlBVvqD6zvse+m7cZpIUN/Y5gpwl5//z5
qAeIT9Y84T+HA1IVTBAsQt6Piq284EMEBYOS4tvpiOSa+0HrunOraZmnYTjcI8yNBKVJe6c1q+xI
pPyLBwzDEV4G3rnIiR6+S5LlwawEZTn/e1SdDDGVvxTpEhtkOnrPR5box9EW5B3gVgAY4PkPs54s
S8vOMipAJPV0K2QChXC9vf0b9oKPA9H6M4is4LBwCh7aKQEjN4M+nCh0zuO3lUAj7e9aCcj7wo5f
wnE8bA6fHq6yY6RrHX0PfUYNjXd0V42AjcLlq88nyi/uiLhc5elxOx9DGMSz8ciRSh5dE58sazsT
o5O/Z20zEVSDpU1Wirf3wSqA408EXNE3BRkBubabXjK6+qfoS7x8fj8fAgeATyZxIFE/edoHJz8t
FCJY7JQ7YlWKN6qGfuDxu/nFIDj+mosJOm6hHwZpjQzuc2wCclTy/FrFYuSNFaWufvtW4KWwtVvY
KZJ2HqzhbCgqOkMwp5JeCS45X3IkbLtjOe3HCWAszwsPE+JJvlw+/wkeSnwbRWqICoVc4Iflqtxb
v4avTvhsoagW/PZSZQx1CVsNQhHYru+HQ6sjx62WUqlcDNMt6KV5W02UKlBQGL3Pn9+v7gw0NpHk
4uz8YbEqwHokWgMC4l4JenapBbhUTEjciyoyjSNn5IcpQflBwtWdXG+xZT7MNZMstpAdtQQAm6K6
Esj/PDFk8n1+Sx9GIWpUAUewMTAfYAq/f3pInMHLYJhFFFFdNVRc3RL/h999cIzCQ6P6txzHnFnv
R0GHpRf0OkFEgKR92HQASREFUTLjilhSPeYI9CEIZzRAHWxC3+bFYdQ4dkpj6gGASiNKojtFQSMD
hmF1BVqU/jsK47/JvyI95CQG/0kog0zE4eYqxrFZ0WK38FykpCzocu+OlhlvfvtNMQ4aFMyGhaV7
sOGhiykWqCIhY5kK/nQqZiPpICr4FTrxvzsSilNUvojPqBtp4hIK/LSAp3auS0RPWVFZhf8CvdQW
IVszA1X3+UDah1CGKbFEZgtfkP3icF40AWJPQrhgu5e9u7eScRf5vvw1A51wVjaLgPQAXPS8RIaC
hqCqoCAXTDF4j1qMzUVHP0bCD21NpAEUUTgVp6w7A+8ArFdqswgFpqnbd22vfdEKXREcLCeavSFl
8x2aw9QOKHxOt7oKIPIUW2saUQZeDAmNXBWEcUiIgxYFEg+LEkwVbJOGTsOG/uV95Q9KfJL5WvDY
aC2mCfKSZd2OiITsqamjo03zpugdTcyb22EuzWDfILmiIn0sKhdVIJuz2wBwOLNGaVgUs7D09VSo
K9SVTdl6nfsRgWj2cohgQa2PmxnnA3PfRo30JcZ+hLaV0VH0+fx1fNwLoJLDCYPaQxJLfvf+vTep
2YxxBzi2C4hhITDmNJ6OzuOPqxOUOGcp3cXFs+swefR5HKKOPLqNUyvlJAWXApwiOmLIQfD3KG/P
R4p2h7cF75xEC5AVtkDkAoeVs6IeUkpEGh4sXdK8jRbSVmneB79NsgWohDgMOxxn34cCdmwK0awB
/7DrUSEUjwizZk3Irj9/RYcn0MKhX1gcChBolZLcwXbtp5HcNYjN0rvvitO4KdGPbVLkuu1MP5po
/OLBkaGxQAn9CYQPw4UkLmFPFJ0Ab1hQkS7mWAhoXH7fBH6L/nNTZPz378vPPBclQkxB2P7Hv7/7
2y56roumeGs//a71a7F/yl6bw29695ub//j2cfBaLP4H7/7i5W3UTpfdaz1dvTZd+v0qfnzn3/rh
DxzizVS+/p9/e0aeq11+W4AT7M8QRYtt9a8DG9fdU/uaPaVPhz/ynSEkmOYfKKQQMlLNh1NIW+3P
FCHBkv/gMIdfaPKnqXwzWfwBa5SMP8ylxkH4wiL/rn7zZ1ij8gcFdQ4yuIM0m6gD/A6uEWYnm8Vf
SuUs60UqCT0Erm1J28xlJv90iIAKJ8ic82StVvhN5yUY4EJr4RLkKIRGJlgfidpqEgdvWNPnN6JR
C4BPhMvRNzZxPCFGHJbNSh0hAuSdPG19EFhbGeFaBDEQdfcTODl5BcBnCiiXFpLyVZ7H3J3UciGd
D18KnGUgkYRIY2IYa0aLIrkAAJho6zIx+wc8bYAt+sMTWBGkz5I+eDOAknnVNFEBGao3iu2pF8Q6
1DdFd2Z4cuu+TK9zQ9BWhAGQ/5puGj0MqyBbhB30oEZpIQhLVAA3edMFq3YQb5AHkWwlMtCkD03z
vrUqEf3YQAWNltYxfgSGlDxPbdmeTdg2r/hY38n9OF2WcRnMttLE6caPlMYF2KfqDn4/uEhH0d7A
33DkWe7MoclXalSe9ECq1qgEokjt144ugFCzlaFsTjtNiAyE66sCbYFa+8JJp7i12Iq7WIJ6FEu3
kANjO0sSfT3nQvBmQf8Bx4SDTxFQ7e4mIKOI/8qPZpI2rlQ0sZ1kCfLNao59UlKVwICGhyCLdmpT
zys1U7VbrNduEYuRN8hdBLs87LJtk5vyU1HnmGRVU6siiaqFX9KhLZxcmtGyHpK+OUEk9lEc9OlF
owV4BlpJ3+ILNj1getV8lYvqSZynXMUengzDNpRKE225HnsUmqcOBRh0dvBvygYDxEsdbQdNsM6h
wisAj4oKOyi0AfUsr25aMGdOqTdgnKzcaUo5fQCPmW3NRII1AK/h1ETv7yWoTZTHaz15obQRxZzq
fSdf4pmuCLt2IFbYtARHWEUlY3bmD60Qe5zqyckMYpLG7Oj3tQOoHrFjTUSAfwyqfAOewC/vfTNN
KENPcn4Fbh/bHRmbMFscDKTBNaM9w+JaOYNrcUXGM3pa3wMjWyQTqdGbjlib9/qQ7i0T2X0BlEJW
pvdo2uHcOpV3CIw3roJ7olCp6nWSKglqeyFeUBLEMRGPjcnvHBGo33RfEmhWD72QFjutUsxNW/et
p+Vdc4/uLIrEUmQ8mzCUSjexhPlabxL/BOXvALyUPt2LPkCgccja63ho8zOE5v0bscisNe48OciZ
UTNP5Rob6i42+5WhVfIVTmnp+QiT/0GZWLJpV4hnhjjHCqitKS7O5WkQmA+Zgn8DVNb7ItPHiy6X
QclNcoUmnxn3A+QyoBFYcYnFptSay7oe31BLFnFXKiTHaC3D1k3smGaaO+4MduwkMsH/hmF2nvr+
A+gCjDUNcSMMgEONzh01NdnqwPk2VZ29duMwOjDo81XViys8uCwbM6/OVQAgEmVKlgOjYbyRYDnk
wJ9hcshejkRmt3CQfYC3cty8+KLSvrZhXa66yJJo1atq4gv9KR2PULhNwPuF0RnewSnxaKkmkTZh
Bt3M8eQ1VBcjWLcgRqzCbYayu0P35XSG6/es1Enygi6+/qAVuX7hN6F6UlXoO9btBeRIDbnU1qS6
qY+2YM7ppqpQzyznWgYEo+jGZRxpzy1+tHY8guqV/XKdh73lpfgJ2n4Q9ndN6Cv7XLjSqwagmq8b
pauyP+66CoROmsfxmWUm4WNstf452XC/86Ms2HVdnlaerOT+CrSOjl8JlRmvEZSVVsxn4xCdtb5B
iaYGwDjmX+UJFouIcw22VrndlR0mO2O09f36egzwIG0s8VKbx1O/zA13KNsZYXs4o7hljCsYp8lJ
UT1WYwjdEZ2CAHDxaT5V5gX0yQgAX9mfW/Hij5Up8V1moGxdogvaIAmK4mMpxSL6cm2trcREQjpP
HDHY8w0jW0tSUUQeTFZ3rufnVFMvxxKBP7LUod+WWSm7eRQqbz1URwFXPFvo+uly2TMdmuC7GemC
DbDnU96X4lB/KxApj0Zbq6rOxlWtuIExujIQPTg3U3h00FzHF1lL0tXQNPqFFUzSydhG141qTY5R
T8WNovupU3TUN0tSXXdCqd+jFxJssl4IPOZv6Uj0K9DvbMXrtBaKq74ZdRud6QdRMNPTFsMND2Wn
F/ap1VgVMGpoE38txnrRqrdwzEjCar5uJetOCwpjlefhiuggcec+vQ9KzDMKVQtcRW8nZxSn+iKQ
R+bjOLZOKs92XftnGrZ/X0AjRbhiI+2g+Km40udhnRlp7hZjuwabm3ohbtLnrZQ5tZzcqilJa4UW
uV1X1bgy1cSEI9oFN0Yb3PpqVfOaGxwPEuO6H2ZItENy3Tdx5fqonZ+lvZZtILGHTjF24arDdGHh
q4PYUulF1fFaivJiD5Jzj65f5kkVTEwrLnEtjOBhtnI+nYamLG3SDuUCX+UcAxXJjQ4TwDRUorxo
QpvNEEWHSxTtqBIuTbGr2VIw21Ri/zzxpX1iEH4UXdOvEjXG7gUjpFOM9EYHmB30/Jmdqk38m26c
V3GnAh4GdRT1QlVdwZprcGPSG1mLVahvIeLEthLSBbblSSpDLzTAbt0JaZCsBcXsZfiYodk+NU2Z
n09WcQ54biUTYmDtd8fWDT5LlyOnBeXmjWgFA58O45Xqy5s279V7qZW19dAshhLWDi+jS3jV4NT7
aacUUC4U2i+lru+KhN0GbHleB3hZYEskRNsAqL6NR2vumFK+QhbYDqJ7jtUnJBC8WB6hwVrIRE9M
C3McwEgClw1a3ZvEdt+gAczOGJ7q1rTNw8gbCx0sWP2MMV+4Q/J9vAZKdkEoehX1En6DVHg3AlYY
rtwkKkEUp52Osyq2Wsx5di4TVeCqCKVroHRoMS9xWhh3qKj62q02lCFWl9XkBkVnXQ8y0jvyYL1q
VpfvOgnEcz+qz2MzZ6tiNOpLdCF6DhEfOHuZxGeIdYkw2Tq1H2Sqk9MUoayZEnh7ZUenvIW4SCtn
V9eBjKGGORbJXm2AbO0SUCBQiBWYMMZWgM05wHPxJ2GrYoTZ3ycWrpLP09RM8g+Zqn+lS0fSJfKV
z/Ilsr7o6wEHbPmJH4IK2h8LwWvJnlVxQelQiPqusy5JpD26IVPwAuCGCR2lyR/JkiDpf6DAiga7
rJg64pqLbvuPbAmAPJ8htsYsWCBiFBp/K116lyyhDIl1M/A33KdNcAOUKd4nS6XMRU9yiyFAX0uX
zdh+aSSt8PTElI+0AL7DOP6SmDEWTE9Yb99KyvDNDuvKTVUDZg2iyhbTGvvOjuNhEBk6TrNRcNrc
H3FKA+jjQFjQ92Kfhl6pj8M1yn35U9kq+R6uPuDXLiRczrQEWyWwG7EMTweF81c8O9VNWY73UWEp
J03XCBeASluXbrB8kaS++qhMgXldmMU+lATL1kbN8hqtf53qvgBlEyjPkSAt/p7Bg2/NRMYQOngw
aobqLIiuqbJVASaJ4/d6f46fygVk8PbVxxsS4zXN+GrSPFlHltpAIBcaWx1jbIGgR8OO6EHzGRka
kV2ten6OE+JkQmAB8KXAtqhLMKBTVF3XiBvEbkmSF3qYfBgN8WYbvCJ1CvteGYNoFcJQcBNFazG3
Q7kiEOr2OsMIL5E8IyOqE6/hh+Pibm6KDIsP3VU6xAEwIbEEecY/YywmA3fa0RSGh0kmEcSMKw7Y
VQcKpec1ncKLnkzkOR0DA0fSLlOx4YLN9NSMFX2AQOzULXUB6HBq0U7o9Tet8Gj5k34Jp6F46fQi
upK6yTJhzmGJ5vZS0wOiGiaN87qCPpaWmWYthr08c3ySreAEUoPxMBV4rtpjG8898gjieNIJtR6s
JKQmNrPfN7dIERA2DcTK+gnieBXKZpWIC7Aafjv4rNYE8AeM+B5SddyeCE2C10iQ9ky3oMoM66Qo
UZGzl0ADixTcMjQvyBJyc4uBC84gAia7zRStWJVVENI/LIVFujtGWyOZ6/xO04upXXEP7Q1QcURi
CZio9kZip79hW11MaPb36WJfPADEk8xFpt9XYSzY0mzoFB3FRgZWPIkktkQZyj18fuCXFplODMEh
F157v8HnrY5S+cXECW1eW0Zj3UPGEAJEf6wwt/FFsAQHUrmAaH1YWyfzEFGpzgwVrLzSR1oDdGSZ
uYUiF89xJqXnKuFn7RLajESBgwHNvyZXWb67rV5AigNKB3SVFJ6QG5XuDrgXUAGp1apf9bU1tcFl
0w4T+wKb0lQ2r0lN29NF+Xd4VNNFmiSnR31CGptAl9ZDq6JIoss5xoqpVHm5gK7ISYXgQ7Ex2jZ7
0mMleZjqsE7dVEFvYEVrhIeTWQpwfROvOYszMoFtKujR6CPttuBRtNh8Zk5E6rak4s7DTfuEXcSI
zYANY5y+1qEQql4rJ3KKZEteR17SmewmTJ/sMZlF4VqOsZhxB3pe57OkEmxFjZLCHoczgfZCsVQW
Buo5l1kf6XhSRzqSAOj3w0CbVKW9Q3utuyVpkI1tWyQtGma1qTVEbAtrccRieJPrA5LBxSg2r7ku
YeQ3RVHnobvVTZs26/XKFghrK08Re2TSxR5VE0Np6tEBh5u0doiIfUIEJAgXgVRFD2gldsGDElvK
yyhp3bOUtulV7YeZghOCipqFIfQ4lZei4Us0VbNAXVWaEiKTh+Ec5mAZ3LtJby58eE4EQWUXVh5l
r2jeoCJXX1EfMWOSEkq+CKOVAWL0WRB5cSao5clco5m/2Hz2iVdDwws9Wj5Fdy7iuMB6yUayYRhc
pCho/RIN12GEdD+Vq1B0MMUwIMAVM3ZYlSIxKfowUqQN2i5F5UpxLD90KXRpZ5Ctfh2M6kJNwcia
hUQZPTibKpBXaPkOk46ftYi73yyLlXAjK3XwTHQ7yGTYZmja+mj1p3hp4XZaBMrwgGWEnG4kmorw
Pc3ZxxpaFlB8GwD9m/dNgjYhIGRTP9O6gn0g5GIhWolpf0f4mWLtKEpTu0vBOwZfijHQ2lezlvLs
rUL+efxa+HKcuYlcVRqmopI01FdWPOK31xSagJ4IkhHgRIG8URX1prQUh2v8X4Noj2GP1DO3cBaj
nJg1Mo7bmh/iugCSVzEIZaumEOCooIwynPOcJWGboboFgV/U+9Ig0BNmfxPiZ9SdBuGkckujmgKU
xN4w8JW3WEjKbNMq2LAhjEAd0yxsSDWTsSpQsyZ+jqc8j5xM6KS5coMWbyZSUkpct4Mlws9wZrSJ
zDtqMnHD5hwggFRWKrRdc5LleZNPWqGu0a80Um9QKqxX45b6gK1S0YlOAlBy+kZLwUpfCG2cVpo9
yAVnKAdt95BJYVLAvJJVZe13aHo5gR9hFTlVmOnCCIk79HGyHL07TCZZHZs8qTuCWlyLMMnN8AWL
X5RBqqx7QJut6OW1pfkpFpV1FT/PPeYIN2WHwshuyowx22kapV53zNSprlmThRHSyOOFrhGBy/xb
MZHpjIBP6MO1HGtFxtVTNMStKxvOBxIx3QvNNAp37L/D8NrOIibsPYw97RJaiHI2huyvp8Nc0Qlv
klCReUL6mF8lFs4OJyG8jecSi8TJxZkt7ryoSSkitDOiOhfdpMhfNSRdujcSFh/1E1XKup3a4cV0
BqvRkLcJnDRspVAFaUNnYBsVDXuiuqCvmSpj3HtlrdaT5oRqMKsnlCJfRoQzqGrgGGfFUbbXcYki
8PCnTHbrCdApe+qsbbq0DDsnzppUxSACv0ZZaVLqAsigYL8SbECK3cSynj9STUX1xYd75wGSizzM
vtI9McP4phVi6k0t25bN7KQynoszK9mc7Ay+7TmuwXQhu0ounbLX2HOFEvfEfqi24EFQHBIxNc79
SnPJZctt3xfzXZ7EIaandApcuGYUvRuQlXiKRGR7qibsYGSa61oecxsaxuACqt2DLbLz0jA2Sol2
hiQ1w6pvjJdySiBqtS21EJGdJAn8clV1VbCK2/Fl7oR2rcspBCiK9jjPFN19FY/5hQWXAy3EUNrU
uho/5EPoP45JBtiQew11tzdz+PJNuqi5+LO86G9RVbaFVBsw/jKqlR5rGzUNZA+OQDstSjsyE5rE
GLO8LtCpGVjpSjRm4RnS2lemSXMxqpLgKK1RoV6jdrsa7qszIqzQsFultRcq3XwxFSmGd5NenlQ6
AiuS1grPgaqewfjHKVdIMjebFeHc12US6Ip6VAxh+7rXuwJwnNFhrgKVOF6bTfiGikEHgtQqOCdz
NXYxndT27VgLjqymdwklK7RwBNMemkG8wiixd0EYGNuqDmi4h3l2XfrjtPMls9q1bVxvc9RkVnMG
AwvihrgKRTjstHI4JAu/PJkaZgwahrVi6wgenFEAuB6xbfKkAhVI8n3N8QXAwVVTVxBr8+CBxVtj
O9y1jyL8f+SlRhkRGK18y4vJvwRaY9iloqIpJCkXoZXfymWOM3SM/2Pa+m8Y0GQbvDepwiVIm5U5
ItNIondrIxKnu9Qf52oVWuoXWOyp3Xf6uM1zJSB+F9N2QJWSRe22sPWfIBUaFxBajS3Oa9pO5+Bc
l9JwZ4w1jlE9JiVDgrRNOhoJW1VVvFSW3DtK0xYn8pymVBnSa6uSwF0OXLjb+igbztmQe7GSWYbT
RCouahSKbq2oQlVVLcPiFTVOHXOZWK/f5EaOthAwfVfutMKimjWIdHNQimGTVyLXKoW2c5HpSxKW
Xdy+zuBiEc5pBK/qCU+BdT3E+J2Q4+D2KySJttWgLdAuUAZsYdqpe4urEIvZbwnub1UC/rau6Hn5
ml+39etru3sq/wlaoyaYgb/eGr0JX/+0fsoOsv3lZ370RhFJpNGv0iFfkFO6uUAMvmf7S0oPxoGE
DkoLn5G//1e6z0+RDpvAaAh8wHz+lO3zEXAF+u4GssMyfKPfSvZBHpDO/yUF19CIh7hEW3TxOaF4
YC690596o2UzStOYppfyGA0Q3afY/JJDZL0EEIWXX6XFfl6eq1LUWjdGbzU+MmyVdSPW2vAylyn1
+0A04xNgJdlA999M78lnTJoaJQJJaVMo97A7ZXGtVKLqWhSwrgp9RhdEROOQNKAWDOGsMjIx3gwL
aqVrxepLLQ1mv55B2bYr7EqaahcJobh4QqUIiNXUKFsbAsqlnvid7I4VJFUrQi3R7qNgqNj3SgUF
s67oJQS+Z3RbABBlEGVRmkL0qh8akqfQVz3divLWMWuhVpwJTQviENNKfa9EHKld8SsJ0MpKYf3V
FUhtdAH952ZOqdIPNH/xBInVMPDQDCx8N1Y6ctjJxLjUIoTlnJqqrF8RpVA694MBVISWNH3lwIqk
XN72fZx7QjL2N6XYqvu2M/C6r6oZrSbIharlzGT8GClptQL0XarGCS2ZSoi3iooUiSCaU2srrZXd
J3EL1wqx/ep+KGmwOZJVCZGn093onZK2ruTN5GK5qyg9xzk+EQZyLDMGPfRczJI2H/nTZjLiBGO4
IdRiLNfqZNzQhwsnChuW7PTqLL/AVVaxr1cRVncDvOIW1YMiWVLFIqbbVQ5C40GthfNpZqKxWFh3
OGabqFndtFM8idJdIxP302NJqDT3s5a0G6lWl/K93tOXHtAYPEsHaLIr3KYWhZPSygZPljN1L5IG
nmSaKJEiimCu4cRas+k1Rcuxl8RSSNkUUssP7Nm/NrV/W6CVf31Tc4rnovnT/zp9fU2jPPjff9o2
6VP+0vyM/lh+wfcdzqIwCVycWuHCmVUQlv7zBscnbHdgOGCtQuJYwLD/Vc3EURL0N+QngErfpWP/
XMyUQIygCquKIkEcsFPD+J1ipr5UK/+yvZlobcG0Uik0qhBvcZw6ACnNahynI5Jbax1jCK0/jYNN
RENdxop8S7wBiTvLr6GzQXUNCAY2Y7vRlVOA6cTadOrDkxxrgNTB03sIXahN/bwRB0fRT2pzpXae
rnqmSs/erZrrPl4rwlrwN3Xi5YajVWcZAbJkuqG+MmKsdbfEqb6+HUKPpjeuw3q7zsZTMGZRsfL7
TTTdZBBGm114atw1N9kLxPO38SlfC+p+yi6j+HFSt5l/hI/7zZTpsyd0UO+V0f6giqDKa1Pwmi/T
q3FffKm+yLqj3YuvLFXjK4o0xlfkJb50rzl0P0zXv47UJ65hYfqrbnqdIreQyfzZuVyt2AzxaRc/
4zpoz9U6nncNuyvK28W2TdY4HGrdYyq8kcohJxOifXkxTO5Ps/Xi+7X/TOD+xjr55JbMA/Ag9gDA
NeGgrQfjoawvzXQjmqeacAtXg0R/P7/RS3vozrKb+S55VOih2sljGzlV7+SzbVUO0ryIf5VXwE4x
ogmRBAMbyA/+g5fJyvn56P1/dJnHJshhhPBPMEGO7QomjZafn/z/f7sCUenhtmkRrWKxAcmKXvwC
lv4pKqRMXEFl0hW0WyvT7lMpRaxacxLaB8nUmkcg+cdGO9ik/8HR5GVdHWwPgMmxakSuX0GE4GDH
q9W5CNBtVtedg5yqM3iqE7uxy6J30I5yemfmX8zj3WAFusjVjmxPgMo/v4BDv7CMyngJPF9dq2u8
1b0qtefOUWviZzRwbO0B0toZZPpWdfob82l8QRJavgWVBqqMP4UWHUU7OSmvLRFNKyT21jTPlK/R
STYiRuiCw6hus9fgspXgoznIZSS3wh7j4fY0uqWOvlgQ08F47Tcp3uvf/qKWNpZiSmYPVHQCMFK2
4WFRXPte0njUJ1EA02+Cs/YtzFzhVtjFVwiUgzVE5+cieJyfluKw6uT7we2vAtUh5D3z7e6svtNT
p0ztMxRm9QciwBfAcefT/XAauNlVRWXAjq5QQlI1JEzsG2UFsocIfwZsglpXTNVrNT/GWyl0UX+K
3kI+fSuf8+fymS4VfT/+U1CT3b+Ie4Vjt/cmFGYbRylv0XyDqZsma7AmteaOqt2Zdv5FPo3chhIH
dsmov1+DCindKHVCRBPs9HtK/Fctv46/5oP9/V+v+Z/xNR/bTQ7Jf//du8l72sq3AJcQG8QAzECI
/oeMgqofaSxOqbou5eB1kNWLacSMqDWaeWPViuwIClpNnwcux4Y8OBz+O4Y80OT5cZs65RLudUFw
HxwRiSYnFThIdd14YMDcxrm5n71w7/ymP8/HgQ4Oh797oG9ucYenEJieBZJOdkJq8v6IjeQilM2m
UhHJwiZVgYCCVXtcUI1F+SkCX9iUY7ChCKljkO3PK2GOSnLlRAPvNpkebgwVYrhThlRaiE6moIrU
OSji6nNIORpitoM7Q0lXSTfZkmM/yV0/uRkp9oI3xF3g8zkh/2pS/Hw7By8obxI9qiG5ry3wCxQ/
bbqyM1nTDG2ZS0DIwwmQiopcDjP4dviiP4yRM1YXHBx+b6u5bYy7/CnNbAPInXPs0P3lMv35+g7e
K7UjESzmQtcist+i8okJPQK/uRNf1+fmg74xN/JDSW5gng9f+924rnfR+ZFn9Ks456dr0A7ykn/y
V64dnG//t1/5MuM+WWCHdPYizHIRaL26rp4ofAWJXT41nR3u8iMH/bGppR1kE/8TU+vYvS5V3p/i
9b/7XqX35eLv26MBFkCmc7X8c7BrNX2YxtidqOuHB9E5PwcGZT8+3l5fH6lKfHs5hy/v53EOtpPA
zPUej1KW60lw1W5Dp7LFE38dbNrt13Jbb1XCdt0hQN7SLrPXwhpQlY0koD2clfvcfno6cT1h7Z3o
/E8sSPelfa/aup3b+9YZbOtoUP/NEe+zCz7cX+oRvEHB/gIpJrli/0PHuru0VuEFatqJUyFTsa1n
9Hed/JJu3nmN+6Xq0Pzzb43tkX3mPd/pw0s6NEUK/gev5diE+Xaw/zQz/94J88sA4acJc6hjo4UB
pUjgW+t+BZ9TP2m+bDlkijWUiTL1AAb/g8/4YNH/J3vftdxIkmX5K23zHm2hxdrMmK27h4IiQFC/
hFGG1jq+fo8jq6fYqGxiart6qsomDUkySQABDxdX33PGpG5FpFZBKsKm13xi1lUGsGuqgZEiYlHM
oO8qtN6CesFTYmopN+mA4CGtGXrBM7hL7YUBXToxp4X4NNG/+4m5uGJnXXn/7IqddsAXJ5Rn4j7L
SKB8WUMaY4cU6NFzRbjFNPBUlUkfCgUGcY608T+9S87E5b98l1ychDO5+ltMwvcCiMBEAU0FYv6I
JylnolFBnc8ytpXqMvZUkqfKGd3tE0DM2YOTMPIe2qRlLTOvHumhtRXiHY87hYK6l3nrmT54zLtN
iPf18UU36Xesg0+DOm8wz3pQgJcLBiW6BmkYFA3VD2DldKIb3e1nAjwa1PE57apctysc5Ad92zji
AU3Br3glQGm9GUe/cxRyJzhvtac8AuSMWl5Aaw/wcbZ5iyY7cgjsw11GpT36EVaIl3i+QAVqMt1H
II1OnsliF72DFF92R9w9Sp+daR057wsd7IW2rLLfm7WqEPVmj9CUYMN2fi+3AVP3HXkXqOunrmEP
mECdUPuxIykun1LzzWTvGbSdTRuyahmaoV6gql9Ct3ViXFUnkhvT1722JflmbzLD1mwf9B2+QSuM
Ay0PxAZ5FxH9gRr4s4pXtI5FYzfYFPcxPlJn2rWx4+EyyRX9++QDFJDO/UCnFe7nNaWvOts8jux+
Z5J7hLfo/f46p66KjytI6Y8MCVLi3uOpDWhotNXKNglejroKHnsTndIvyGp3PBwA606QBSa6vW5t
/ngYaUrWb9MVanadnjastTu27unbnQzRD75mKPeEvml4H8gw7YahGZAMzsO6J9vMBwIvg4JgI33Y
rhO/YbWN6NBVtFkXG36xijVO5I+r4aH+mBtQZJGRzqtkk/h9g/8i80P6VUIFZ9rLCB8mm3mlXPGP
5SMMaICvu5QoeKTkbfeISrMrkzx7Hz25uxMPMUsALE9IvclIjTmu7JaJD/Zj6ne2Tga79B9b1jO0
fa1Gx9himgU6ET8k7kxm4hXUG3F/F07Cdy26n0/nOelL1S+RLvHTqZHWznCnuIGt45duTK62E1uc
YjPabG+4gLldPba+La0wRGd2bMouWH2XJIXKDZtPOux/RFJcmp8zRd90dY0qqdP88E0VbI2r0d6C
a4TU9Ak9nQw9mXT1PG+ojaJN574gohPuN6vV8XBhei4LrTMz/4fQ+iG0/ncKrTPb8V95KC/JhzOz
8l8pPwGt8R2rBmktsIvLMLdQLv73AlRQgfoQlRBWXJk1THS5fmxtdG44YBSxF2fBz/xuciYHuSfK
n5tXNbRkd3odz0jx52a6OOVz4UuO5JirhclUYpoj2xHN7dRGVwAT7MEzrgdv8ASqMxg0DOWuLIZF
rR2Q8ZGBrd84xR0a2qlONj2zB1tbDfYzwBuYaXNNqruJP9rCcYYWHRiYvPDXiuYMeRr47LAYgHHP
IE13aEgit88Kfa7wd+7iw2hw34F7vS+hHa9Td3+tMjDI4HFd0o3ck3Rj7epXxV3oBpq2IJv95v5R
R1AgIl4G8+GuJKjeOmltqOm39Z0GWwHxDIPAAkQHLzn05I3PzQcf0PED6hvPj3ieGxVvb2/Ihq5o
YqdO6GRuDuNVJbPTO5XNpwV8GbegYnB0J2eVy40Ckxosc7/W21jPC2t9ZsrH5hQVYMVF5B+r12P2
emrii688CDZtvpLrgfEMJ19GdYWebb/wTbfyJzbbiiMi9QjKBFrBCo9tzcuc0I6cBL8ViK/ndsRS
LLjCDAfYqKe/1W7kCAhmJE5so68Iz+PVTklje/FyN8Wzk5du4fNWFhPBwgSTRnRAs0TAqrKZHwQw
YYJq8kpyG3t0Wn+xZwZLP7BlIjsAlqAhrOkKNhhuBg8Jo0IXPG5Dx9dsw3pjqJ93arun+Rp9M1e6
KzkiAkGZPzgVCyjeicBxgw2WOqXTUdmrKC1QT2NHHqlvRH/ZKYdyU/vypnNpZIesoAgAkwXDkVaF
FxMC89yu3cLJbWf0u123Ex2RFStcaXtgPTFptALFKAXKI7YwNz07JtIMhiQMQxrfDfg9s0s24Yrg
o4QtHVP0EbPO7jAVa8SdYIDKbmmbto4vAzcEo50fHgQGPGNjbWLHs+hA9Jv5qncI2p99Cp5kN7q0
fS6KijOv7Ieo+NOKCumEjnUe+vikFs6d3aBXhRQVsjw41kJQtLbuopvBnpzgAILdk2IIcJZkyAj+
jPYQuFw+SEy0Z5zAwEWFJ6okCpY4uSvQ1wEOKzat7YN2qXxo4Q70bLFzFmM/GziEGc3cFSu23Xb0
9YcJ+1kl4A+iy2q+QtkBw6kI7cJRYD3Dv8DpnSmS/7ikeiWSnfwQXQPZYWX5ndu5OHyO4qL6yo92
pY+kPjVPJwfS7lIZinFBfZ77Qs0AYopobFRXQUiAn+iewpPfjpSrx97WXhcHmJRQi4ujPWT+Aqmk
QkKCQPj0XWE6lQh4Wt2MAfIBUhTMSqx1EyfCvIX4fwhJGdoBC9iEn6FduuEqtjOndWtXeuGyN4Vk
LSBfEwaIpCN/H1D/8b7Qjg9oYoRwSli9xfsge6UXfgXJS5wa7wcBsCvYOQ0YGkLJsM5d/qpvr2zf
+StKPCKHfw9XmROvJA9MtSdZHts1bd0c4wY+lpM5Nc3wPcXIUju3QXGPtQfqD7RA5vQYAZf6AYtw
H7mLr23u8vvhkYtwlTC0FPLxOPwnxok7KfEq/smnryuuJ/j7IGx3g5dD5HKxa8CAMBBQiOk+9XPY
DJuFcvshI9ZBW6EV7Tq5Vh9KH+IbuhXgDjfSamQA7nARsDkZORM8e27MgMWSSax3wT6G9UGJMLRc
b0NjQH7rduaWJxldsm632JDulGsXGesVenw/TlgDEacEheC0ow0VWUCSa41KSCikLLLRRO6kDhAy
bJYcIhgnAhOg3rnqqqEQwJduz17mhlBpYKxnYEtwOweRBG5QqBjr4HBVHbk8TmFifxkssYtr1HfT
jelUHxoMi4BG2wBGw0y0PXK7q5AdS1T9uBmiPIVrXoOmmUHNB9BrAYVRMuNs2Q1mDoAwFCkZC1Gg
kgpbw9Wo5dZ+u2k3hnvc1lCVDdTYdoQOlTHwhqbsQXI03HSLCQI1PLY9P1+BHaP4KXUUikYitvbW
lj+SO36HJiYGQ8bwmdd7yOdC5fY4IBgta+yelQhtVbZxsDACy7VsAtU3EGIgarDQWy+Anodd5iEU
7rc+uvI3kis/qK/6a8vm1xA7s2XpxtwMng+/Gk3y3NEmMoX5lZM1QjlsuzgPzmALWywtLM/QRZXa
XlhNbmbTjwLy4eMjo4c3pNPp8Xb3nJDb25G8weoLsGC095JbfcfW3NqTyEKueYilJTf8U2r8p8Rn
oZKfGAj3cFvvzvIahjAI49ustkfP2oP9DjPE54ILAB2W7OCgbw0vbxzEm9zRK9clFobLQj5bAZam
xj6YScyQF4LVs0HhFcJ7o6OsIm+FleTmeInpB7MhNhOy5dhCAU0ojGVshxn7NYeArWFnUsMtfcOV
MHHKSn8QEBoqXNwW3clMozMmZkMjj4f3iG25tmLnV+HVR2kDFsENsPcLPFDXhlvgghps3lhIPlT0
OuIywoWQxTn23rdc1GfVcxbSUcG0WQ1TizzJKVoHbKaTT8IPLLdQ+aFABuXkn0wP3PfgB7rcQfk4
oSfbmrOw5kZzJKZSaSNBwPa7cG3g984XbSUmoQceWZxdnW65maptKucFnYS3kGKsuDpZqpBqXI7B
YnUKJ131LnpEIIvTw3zbu80xY/22ddEzjb9xaQhJvC5dyGlI5gQSuISu4rIOli9imymvEsQDboYF
lrWr6SAf5WO86R+lHbBYNqGv7Yb70gXsFd5l2TxEisjq3oJvwGUhl8MSwdi4lIVmSF30JUPyAe7i
dG0Bv4UblTTwmFTYsNg2XuiYOGR8lXiAEbb1GiA7NLobHbwK4dwB7xn3A9X9aQ3J7GbH0OZj7DwE
bBkCd50NC7a4DRko/hzEpe/H+8btWQ27M4Z8S3F97AIbjYIQL4CdYTOU9oLd9NxQCrO6wfbEOmEF
I7d9yeDUVEw+wI/D+ecuENCOfERDsQsRLuXWLX4ODl/pBqFWrjq5aObRdf4/hBmh8msU8jQIxsI7
xUaEzeDGVzNinAKuWLhomsFVTg87gdCusYG5Uu4xGeAytSXExwGDA6N6ZpY7wt2qPnaohXSMDQ/S
GicxFsJ2x1MM7LD4DnfD4ZZ4jxDrhFnjbwfxLHwFCz4HOHRw1vhxtSCwLbipIWYkw5xnVNnn9xBz
PnhQ4c5grbATcog27vDC8UTFKE9gdLg+d3d6XyQUEhzHyTipotPMeAIuaTyOa8GPcJhPDydbDW5H
Lb/YiSiWLO6GlbbFcvGgO4mehQMUuR0cgVHBt9IuYKaPr9NWNFGu+k2hTqS6TzEE7kSgK5Yp+OLK
Nb0NfOEainmd3w7etOaKmW84fgUBrklwMipglDgFiz3uDC44RC/wvFu/RftDTKCH8OCrAShBKjsb
2THsV76RYxgFowvCHIwlxxTkm2XbX1WuB6g8SrP3HoFqE6vbIxEColJsrhhbuXMjAqZn+oZ9jAni
s61eRy7f1dxDru/5bEMrwtnBXr/haki44a/lfzVp6/H/az7IxK+55uTeYOTCjYI3iFdTbLsLBuFF
H5sj8nwOSP/wsX/42H2+L9En2P7Hv0mX3ImzcL2hGyA6HRGNS2D8csUBxFL6zMWkvL1UlAkmiK/j
QSp//lPy5Ifz8sN5+eG8/HBefjgv0/8BiPp3+gh5BPSrqNlZZgckzHlocfGNUgPEpH3XgE18oQnw
0mecJWz+vz7jshN2lir44YT9cMJ+OGGwu344Yb+/E3bRij5LVP1TVvQJ3fQLmX/eoiGCTje3JmRK
RgqQM+Q9Kp/nR4qNcsUTq7xyDPlHgmAFsrsA30IOsYJvaiBuvDDVlpHH0BBrWhCH4fHtb1Ej1OmZ
7PWdx2VT+l5aRHy7X1YIb6Nf0gYuMsIGQPqnE4oeSwZKX4SXeaD6FBpGKGLN/eNLdV8X7/Sse+PP
e6cX01+nTPonz+h/afoL3MPfM3h0oP+CNEgE3daZvzo2A6iLho5vfkTrEK/jMbe7u7e7mb4gqAoE
PnKHP1QM0fQ1ygRHfFd4aJ3H+xCH8hf2cr2QqxovbSmC6jcCuUIpwaq4Kq5a19x39/Je2Snb6aDe
VHaFgHaNyhED6aoWoSWy3+9fQU9A9ohqZmSPUNSyWlaij5rU1eLWTEOov3dKREcjR6KlP6OYtWa8
JGSCcx05BO8eyLJ6zIhx+Pg4RuSINADGKrC3mB0+kANQcA8pEns56jzueNmm4Kzv1gh8b4CNT9/e
EoraD2T+EP2/a9gdUhuIC2r8hlHCiaoQIM1gRvAMv/vDHebiNEe4cufgG17BiwoOb18Xe5wx2PwU
Rf+0Mme+fRanVmqmvYpaZf5YI+VDn0Z7YiV5MIhzg0ace0CfkeuJ3Jx62V0ULxN7Q1D/skEFzS16
ZGyA+bEYKQ+etgOGDnUKJK8ANI/EBO4lQcz17g2lNvNp1j5Q+5LYH/OFctNTCvUXAvbTnZwZ1ZMy
C9okIx+gP1UPwTvKrF2gDx/jZ/0gHuTDtG9toyBTxGSUWOpUtAAxSIWFGFvziOZAVQZkCO+mAQLn
q44kH5CmqADqC/D5pUDRpfJBt4eRDI9fr4DCI31fjfvMULf61hiqAGdj3kkx8rTvPAWa01cJOSMW
kngLMsnb3MmdzBZYekyP0VYmPHMXIyPEY9q8PvjrMZ0a7L4a05lZ3zWhqqQVz60gQ6VSZKKQClGc
bmOijovn81AQQ1rvVGtCO7TxS3aJSiDpfnRWqF1CxxQym8gCtqekDHjlaYKhoiYGOaIRKcxsi5wR
rCYQ2z+iRfXCVgAW0IU5PdPsSRGJRixg/DxbYGK8PEmLvMGWl/zMSNny7ADPDxUoXBrt8JqXLw3I
xAV3yP2gHq274tVo7W2Gnzy9zZPMAdLPPJ3Oy5l4+psX2fP9DsRTZN/dprJDlSmH8Kax1rXKatAt
IPA8ewnKr1tkMFsWbyZE6Z71q8X2eMkPkKuh7pH4xSqaSJy2yPsNzimdhiA0H3HmT6eyJIulqF9T
r3i9wmArKxEmQoFE8Ufljuu3t8D++LjdvOfu9b4Af0tBcP4go2KGbxHO4PHDYi0q1Hh0nMe8ud7n
30dEvpG3RqKg9/jvPAvEY+VILyK43pzyyUjZ/pPbSz5rV+1BDBXMCrZ8TsRTDQL6dT0+veOt4tWE
Z8/AZEMBg0gheFcrSIxjRWdS0VuR3Obs9vYIFiDndIeQiYe3twK9d1xGfn0Ovm8h/ixTTg2an/S7
OBXxoPQYaH0NeGsdVhcqzdzBLXkVmNtgkZaNfH/hQy9py1NH4KdP/aEt/6e05cX9cJa1+U32wyVh
LJ8ZT7/fabkkdk+VgZ827g+x+8cSu2cW0h9Mq18ylE5AEZ921/+EoXTJ6JTPDKU/itF5yeyXzwyk
P67Zb3wP8srkTL5AFNPQmHAmHQH1HwJ0BKaeeXgaULlzVU6ef1Uc263kocibvaOSws7Ie7oNYcmh
9oCBXeEWhTormBdevkJtD0GxD9y714lqbotaMmBWubqzbEtEYhKCQr1hC0pPPArKuwyiWwuWd5zS
6FC5AIdNDk1NDhk8PTRrXjBlL97emX/2J7s9/bupZVM0JEkElyr6eGHIfzrTZt7mcccNLHGmxU2P
Ehn13mAP3DTntbATgzFOmxu4H3BAUi9d66da0Zr2W14Hmji8TQSEkTrpZtIbKLRC3R5vHmDJFYqs
nHxrweXnJUc9MuS84BKlPFTBmoZ0ckN0EJRAiNVdTXKs3v7akLt4c2fWwp/q5jiG9C/d1k8rd3bu
ZjENwbYwAK/DQLBjfbhDXOPuAX40au9EREFcd68i4jLQU3Ry7+4PFdplJAp/5II7wdXWL5zVTyM5
OyI1mEABSY6RXDn+6vj1Gl68zTOd+S+8TU7s9eV9ngUKNKWM9b5BqKa2eS1pulsQpHFAL0NeePDl
xd/J5Plx44K2CtLN3yFkA3QaPHP1gmJHvKykiKHxsMJsPylu66tOvpc3uqevTS8/hiCC876ePT6i
r1bmTDsugWWU5oQRA9vWWSOg9/Xl1e+6+Z9W/kyLdWmplrIB6dFYAIMi6UzTuxfeTCZtVCriZ4EK
TM3jFZrtqTJT8hxpzcvGuQcPVj523YK4EEwZEP+AlNoA5BrCISAKza4XuyEoTiPDaAfXXw/8wrxY
5/7vpItCtGBe8sMjWscOlxzs72uNnyfGOgvBV2AO7ZQaH7Du0EW8oCoUaFm0RGwPIVSB3PCdscD3
fkFc1fGJi062An/QnJcF0b13/HvfA+vmtiGPFWzahmCUaGjjEULwi9JVQ66hC9HgdEQc70MkIsry
Pi6srsJn4YvdY53pBqFahESMcBOQKjMG/2CRhxoBYB4tftryvwwMFFOQ77wJavPIF09wG8K+XqxL
5846E+N//HPHadM/a9Vfe+4ubd8zgdv/5tv3TOj+Obfvmbj+V23fC9rROpPBv0o7XhLAp0jWJ/Pt
DyOAv4uRaJpIRIGkQgHy45kELlJBajV9VN2XCO1JrVsCuAfBxnvIOnqEiXILecfQS8GTVBc6FySR
C4xfCrafP/xMOmdLJ4OHa0J/bU7rXYKOogW9sLO9PSF7XeW24hUotufl/BaaqSaATaHO86ihEepl
3RxDENDUIKiBIkfhNXq6uIQHpobiDSx4REm6s9uBHIjK7AMc9mxwzTXYnuDJ5OjKKZlCjyL+O/uT
y1uNEgTsY0f0QBNMQnSRIEnDA62JLXsp/J/cSewcJdZ4Et0fMgxomYHElj1zO7rGE18LW+BuXpic
M6k/1zFQKAOsDDPQSQ2e6JPEX5dQPTPMSv6rCNG/fRJP3TS8twbdxviLQR7+lsXiXdgTessVh+sI
ULOjN+DJwjtr/JlbTbwTh/cj8qs91QTPfXtEe/4a4AfDKbxBCxiK+HmZf4VkBlKGtozkoEnQbUgn
tHfxLDsgt/jvKPdHRxLawg10DAynBosR70LvVEEs91v1vrSSoKAm4NF8PWX/QD/9vJ3O9FMeguCr
TLGdRHhJNXkJiV/T65sQph5Mw5YUzOF/4Hsktwv/6el+ZvcKBXJdBaPn+fkNCDbQ4Ql5O3ysYuz6
ioIRDlvk0tpe3Phneul/08b/LmzUZ4l0plTrJgD7Wo5VPJnzPFLBH3zRuPmWODf+DXqI0EuEBvKT
0R9jfW9eXkByRQ4fd3eAHnh/N4H9lMIfDnxu4aGfdrP6+PhAL+HRox8C0rF8cVcy4eeZHtGiF6NF
p0IfXuGiwY3na5PVMbJnckHmXby7M43+57q7y0LrTNf/EFoXhdaZWfK7Ca2LlsKZj/mbWgrfNbQt
SeSE2ZzL+mySgkCPs3mCLoSWArcvjnQJAQ+ou4WsnnVHJNnqgoz+LuQsGLr/6yPPbhdEpp2eyPhI
MNa/TaIJVAqzAQFL96JGaD8dpMHNE6lhaZrnTrEAI1WVADWqghpSVB/GEUD7dV60VBCrfT7IL1VU
06GYG1cz0hbUz4N4acTfNRh+HrF6ZsrlCajoghaCE0gkA/pwUZIDykJfIfMW8cEOjb1eBRiQ22de
lLDahcDnv6CBT1H+Xxh0n4ZwZtDljaHOuoohwLHmIvo6tHmjHIezywiHheF9gyHqhA6wro4fGWoh
vrYBZG4VfTWCM6spn3rwhNYYwZZ7x2+HLQdEvHKA6ddxVJvbVUIOFz7y0ryfmx2//byfkMy/uusz
ewJUw90oCLhryalhyaEurKaIfSHUUaOsoHYXnBcOjAAkn4GMbIc+Pm4a5uRQoJogZiiQmD0sCbd+
NYT9EeVAkdLH3dcz9X1Z92l7nKn2yRwEsFdjmHfQ1i/cwoRVBrMTIQ1u0j4wd6DAI6rInoMsvqoA
FuKwje6u4X4Ib+z2vBtuCfChjzweQ9GIfnf3cfz4eqQXNzJf80/+3G+/kS8u6Zkm/Z2W9JKY5Kxl
nyfq9xeTl07rmVzPw1QZ0wp7MCfb/cb7et9cuPh5bfOvu/iJaOKLU36qj/i0KZNJ0cRghErCaWlx
gCXAlACYhKbb5L4jG94FH9NsV6KkqgfkGPA1APdVkR3AGXjF0xvPODzaX9/xpTN9Xvn7+51p6YIR
cQ4i/1sYERe00WnyPq3Yb6CNLm6SMxmbL7FuVA3fJCIFlFiIQl5YS9AALeXQt1wnCORpYvD5XQ1F
dDMCIKkT7FCL6KKW8YjefHrBMrk4pnNp+kcY05l8/S0P06+iw/y/fds1z1n8XPyF9M37c/+X8uMv
x+65i9sufm3/BHy+Mq9q/8fcl0fc2fa5iYvyM93l6U3f+C7BT6lJoK38JaEvngGNC4KUYEXQQYlp
YXP/RHipKn8FCbAlmaDzlVUZP//tLz8RXuIp0wIHsCkDs9EwFFX9NXyXJ432sxQ2MFDOxKlLuqqp
4Pa1zjZOl2iFjICpRgxjXkihT7FrmSBr1YrWBN17a7lypNiBlAxXwgBC8Tr21aSrHFFOb7JEtvti
PGpxMRBtiupNU2p3Sh5roAabe1sw28wGEX3ImkFpfD0LILrVAAhX9VA6UZqgD0YI3jP4JaDZVRJa
6RKKNETjw6gQJRms3DOt4t4Is4oNkwm8r14CV7noCUZYkVqQGzLkeI3WPlZh7xf1E2jMRyJ1OljH
1OAGjso3RpZftaVvyhz/zncuaL5ey2pu4jDq/vO/x2ztvpe75/z9z3AI4DiKusETTv/4JKyfexD2
pJ+Pwc9v+3YWDPOvBop6wMgEitWfKF6/kVvjGbAagdRI1EwJrSS8BvGns6CA4FUFMino92QZh4I7
ST+dBQW0sAZoGhBgQ8BfM5EF+c9//zvCtfbs9880oNKZZBdwGECdrann5V6BkRhj2c6BG2bjttUX
AJkL7UCjIXtJByBzyQgqo5GgHgDZGBt+LBWk1/NVmR5rQUEyXjqM4SyAPFpv7EAMnkO5lDwjkxGA
M9MUTohUuEvWEnnM5fWUlTLFf2ylLR5SXXYs69ANLWkic2NIjZvWws2i9rdSyhmes/3S1RNYYZOI
GunVKBSzHY0RNVVA4JnXsha9TXpQEM0Avp3a3qZJ8Vrnih9aUsKmKCk3mNYdALs3XQISPHj9NQOt
UYiPq51QMdZJL0xksWSRJaGeMHHBh4GXmkZZZltdjXRE2L4LTXVtZaMbdCYxKzDwlVW8HsfufgiX
q2DWvTp6MyzgzYNBx4a4Oy7BQrrkIYg++jZ3l8J8AFW0TI0pvo+lq1rRKlvth2ct6FC+U96C1/lN
S0ZUainyQRKBvNMhwl62yU2am/K20VJxNWnz1Rw2IJ0NMyCFFRUYtufuSYoH0Y+7UrJnebzLK223
GMq4AuRt9WDM80SnPAFoTt40T0MCskYZzNhp1zSGbcRlCzZATS9AuK2rYDI0ZTsJmsiVjVqViLS0
5n4ZpXrX6zVeKIFjNx3blZqoTlyP9bpfyvJ9DuLqNhfk+FYvl8STShGs1Bk4qYYZGYMmcE5n6ldJ
oP+eePm+nOIf9F+CCqfjpw9mz93z3/1iF13czYf+vZmv39s+6/52kPgr/7tP/uX9dJWbuXr/j397
Lfui41cL47L4eykBC+ofyxWvLN765rn9xVu+yRTBVP4qKdCVkBz4oYtcSn0TKoJp/RVOhCjqSNZp
kvaZUloy/qpKhgoFLKk48KhU+y+pAr1smYoF5gkUrymKhgv+7eb331Tnl1Ll770osFnLIKXWdQAs
Y3z6L3KSqqn0WZTqujPNI2B054qoWqGtOzE5KOhlIZkOdpdAF4lmxoA7ug/GWl8tYS77wyQ0thSE
bClyxcml+PrTPP401M8C7ywugKGhdU+FPDZVFcTXyrnyj412lDt1CF3s8uAxC4pApAK41AtaKUrq
VmMbTrahtblvlIuYbarJQh+KrsWRLwbCfFziGT15St/eCNHQgg+gbFWmClLpVdK47OWukzZjFUbx
PimXriJtE6hgSy1z+SXWExEoxGUQvMtoPGzsJGpyhPLSQNoIqtr4X9/qmbt0ulVdl1XwHYL2XVbN
M0eijRolj8IJxBaioN9MBUJMThBMEQ1qyfD0uI+PsSQsvimkKDYR+vgx1yoBfYZzZALNuTDirdDJ
qD4MNMk1AwuMGVh42ofVBRf0rBnhNFJDkyTsztMP5SzqGJm1PIhWDDiwcZn2SW7kt6Zm2ZDX+goE
tePVADq/2ymaGmdpBvVqsSrTTxajZGnZhT0Nennyu6CMwUo+j9/Ez9/pzM9b5kQF9bO9iNGpCjS3
aYnQ1FAK4tk86uWkZ+aUaE5VtR1AJuuJgRAY/ZxShrLbOB3uxDm9UrM6WLUwizdaO0qbr9fSPAve
nwahWLIqKhbGYSjnfN1FW1qq3oSKY7S6kG2LKQzBLJublZ2o6UOYqBWblQxhhSxpWKS1KjXFMiVG
eLv0DXJjTSGt03qR7dYYxY2g9a5Yj4CBGxZEG8OhvB7botJIKcyeXmapoxeavFdibXQRFo9plTzN
bSPRphSTu1IDQWBbFeldC+uQ5sbgZqDVpI0w3kR6VG3rMU+JOsugiNelPr6JlDESiB7KQ+EOpfGc
aCEIa7NUzpxAkLWS6sNQMD3oo9tcrDNXbMRNLKcLqMoGdXGsQoX5oczh4JeNlQoknDt0W7Waed8H
sUDmJOjAqGhoakyyobIcaxBtGAM3hpECtFNQZCAXCurrqOfZkymltRfXAch5YTUzRQ9FlF4tk4Gz
XGcA1c60tiRVNObvgpBJtJZS8BxnmN+xawJiVAmIEQerju/EBJW6UKOjt0x5/WTpjboT8mxeh5UJ
4hu5Bzpq0MR+pE2lJ6h1+xyYLU3yuNiY5gKQ7nnIV30qlyRR2oSUWtb4eVvupiIFXvpUa5uiGxK3
1DP9WtISIKUPQmXP+hC50SwVG0OVo3ery1JbNuvBl4TqqGgdYHWb4aGQlcYxjWB0xX5eHoysrOy8
1MHAVVsNi8chjsjSWtZTNwaPpjnul1kckN/oNeWmHNOQmuZwE49TBfg6c7ZuklEwP+CUJNF6Eix9
pyggUrZaSSKGXIT2ICw5CINTzP3cxtMulKMWZeSNnB/1uRrYXEioTG7K2J2m7jjnVemkBli+pDas
Cag/s46EVn8TRQkwBTNp7ulsDhPJ8lKwrRiLOIEK1KmlSfKDsY3fpXYGaqtYAEd8NB/npUxIVo6P
WWQJ70LUApZ0aqM96t2epkgqqF5ikpdUBHRzogeuqlqvwtzZdTBZ/pSNDey57kWqZZlOVqVR01CA
DTugFCMJAT4gRJqd6R2gTJMCnY/YSHk7yethEQ5RnRyyQGv3KVxHtdF7H7zVCsVpDBy1D7q3NNP2
mhQs7lhHu7wKRyfKYvNdWIxXYehgm41hQaTA1JwkzlPaWzFWTI5R8lJ2MQmiQIqI3MKCHmBXKs3c
7iBr0PAr9JH8OC4dIkNSqjtSUA5evGRxR8ulkVikhrPfjA2wbivrHaq6Ja0WAu29D8arak4XJ03i
7mbOGouEZa3uYZ7axbxItpVkgG9uNCDTx9KsbLS6SdEDXsTg4JaM6SkvJutFyWvVT4YI2KpoY3iq
CgXg/pYab4K8FRXaZ2k+kji0Ik9rl+tStpYdKHgBnawp+pVZF69zNd+HbYssPkIEm7aSgGNqaIEj
VKV61yhLe4yiYLUE2bIq8zw4pJOxbLp8BJS2pXvSMsRgawV/K2kkOfFSKxFSoiVmDCK7Muo/UpzR
J1nUBZMEmZxfZSFoYi1VNJysG1E0Pyf+XI4Zk8IlcbtGsQLSJlN13xeJ4if5iOOWqas+m/sPUVvG
Xak2ja0tTbHYZZDNCQn1NNlbbStQhDkekmreNMFo+FELMWYqoG8VNaNeRXo+2HmqpOu5FdKduYT6
fayZRkHrcSrWZWCqjqnGj62V0LQR/h97X7IcOY5s+0UsIwCSILZkDAoNISklpTJzQ5OyMglwAEFw
Avn191DVfa8UpZZe3dWzZ68Xab0oBYjJ4X7OcXf5xTNxewzyvDpbxmqQST3pcwLHfMPjSdxPeglL
2F3ypaN9s/Fp1+2iSMKF8l0mREKcNJswV9e5HKAX4uqxCSKiNsQbO7Opx2G5LYIOTcXy0aPoJovA
q1jaaN/w3p77rINgRsUoDmxFnXJBG8guclRTLvrqtlVdvWl5LQ81aYtvU0HQJr3U/m+TL9OVoPVz
uQh1wUNhDkHmhfeuqFC/NRf0QKbit4jau6ESwCnE8G158ahkbvRO1nV7lc+FPpQ6goKJGX7VcjIk
2o7ZdRHVt/XSfy2CBr3bSXSHZ0qeM+bIdrKDO1RCAJNpzHlkp8si6q75HLLtNLOjUYIkXteEaQkN
1oGbGuVMg5aclWrhF0G+nGejf6uHakhUPJmkiabeoWdw792OYRknZTQjl9spt/GtQrp0kT3rOUMp
zS7Dc9dG1Vk+5+hdOZpH2+bNE2lb86BoUW1VMICXYyNo5SEI94pTFFuoguJCg1VNWSDZWVSKHBc0
oFsnRnkIZMtvgz5GR8SlrXZ1peeE1kOdVLENroe6aKu0RW36BC8fUkT0WF408PgeZqHvClnzPx31
rmyvHoaCuJTM2U07jmZry6r4PQf1cKWDqL4qMq7OYhfqlPcZesKPToW/dKeq3zwfpmM7roiV6YtE
10DCRqL9G1cI021Lz6ubDW39HPUFPFNwFD7NHCol5z3MF2ExRfp37kZUo86bwe68ASjahVWj9rY6
ziMNCGH2g22ZjR7Z96NrfDQg61zF7mbFrURZgKzS2X5pW7mZPKVpEg7I70uqkIhqPxhW/9R4nKqr
diwmfhHVrEWrlRiE/Z814wWa04etj0ahOEDNmRYGlemNq/vyzmheX5KsGmCfEDonYxT2/bHnrInO
8rbz5qRGjY/84PuujXZ0Yna6HfSMsNdTDnMzvGMXiyDkigRT/nuwM6J9IeV0Rxv4V0cccxS+iK3Z
d+gychmKzh157bAeFDE4qk8MGZvggBXjJY8jiuLUdO4eA1KRh8Gach+MY3U0OobRnUNvw1UtntB1
mp1Z3rCtLmLeJXJcOo4La2S51eEwYON8ZDdwNJJO2SCD7bDMFYT9XT6b1DLu9hmpHao9+KNjG0ub
pdnKuYPOcmn4hDK0fV888DKovJs6GIJkGaL8ZpCq3I3zVG9hZfyLZfDZFYsYQVDfZN+5sghVespL
IJJ8bIDFSAXbJGzRXeXOBFWS9SY792o/Oy8BI/ibKOj0wehoumNj0J7TYbBhQv0RkntF6JkNhvkZ
KwA/bdCZgQ9aRF+atsnOpRrhmy31BO/JkV226PHZdFSdD4tHbGozpW4ozdhjY3z2A742KoTrcXn2
GF+2Gc81lJFew38x3UuectUFd7ye7izyahB36a91a5tNJgDIYN3SbIVXaXEsvfCxW2ScLgGDwzqO
MvVD6ra07L6M7cguGz33l8vEkXoFECTptQ+Ai0at/pLByhZnBV1igyCWNPrMZGOWkjaH0M2rRpvq
MFNh2jdhcV7LPiu2AR/G+tJAQZiEWSb7M1IOxLuSWd/RW7UIqGEXZcs/JxEMiQ/38k+be+2FH4/D
RhNaH6yh1Tcp0GAl6rzELRztAMLI3HtN5CWqyttzMwrYd+4L4NeFOsBv5Wkxm2lJimUeAHZZN+4j
1oaQSppA9smyzBp4NNVP0zR1z7Ho5m8yqKJDwFvUxS/t/GdVFN9dOaLXI1koNLuNQU+bzsofkWoQ
AC+2zAGk9fSpyCr0W6dtftVH2GyVjQ95a8MH1tllNw35Vaed+UZGOAfawVvYRGZonrxeRujY6FX+
gwbuV6ddJKc+VTYqVoheuiJhtCr+rE1941deccT9ra+MowVKluHzc/TTYWzjkZph/fIQvk0U/65L
EW3qqT8fDcQ+JRA13/my2Arr2FUJF3krw7a/bkldb7ESYbUJAFagBoyuFpm4LjZ/KiT7JaYONk3H
IEhhjSeSMtbTD1HV/saP+1uW5fgTXcbjxi909lgGQQPtjo77fRjg0nA31NdzY840XeCOcDypkiPH
pynQiT4eRy/Nlagv49bC+4w9VNvIIa+1wksC4/2qxgF9HLvigHcXVi7T/W/liOsTw8dYnA1R0PON
hdSpTp3um7M+6PJiW1WTICmfy3afk37pDiYw3RXW/Lf21axTMYdnrOn8VDNva72gSeK6SqeOyYMX
iv5W+PXt1CsUgC/jx7xtlzToWjiTzD7lHfgGr8D9ClHs5T5z1W2J7qVXrub6IaZLi8S5sJy/5Qq3
MqlEkCVDK+pdVFXuGRZl2Y9duRnmCcJub8J4FYFG20xhIiLEqN0Qy0MOA7zJJPyvDctjAEdBiY5L
hIVwvDy8r0ICQ4K3k6qCF1+rSRZp2MLlhPM9XjZNLc/g0pUXgc39BJ0Jp3sg4IfK9ZeWtNXdHBEc
9qpG2xYTIZgrbKMfzNK4jXR8HJNCQlAP1sZjd70r1eNUD7ROdODXNnGW2gsZzDDyLay5mEl4dEVA
07xybNtRln/HiyM3ohhR2t24ftcArN0ETcSf/MF+NVXEj1GZFc91WXcX9SSmbdiWEi5rd8ir4i7w
4vJ7Jsc23PtVkR+EZcXPHr7yo3TxtFPRlH+FY+tdNGIgl6Yep6dh6ez1MrdolMkUHlx8WSkPplcs
2HaawX1YGvrTn/JRJmQ28a62ER9TH4/BIag4uYzAvW24IM2FKmjx6wW6+Efo7fu47GtY9v9B/mjN
AP7PEO9R/XzCZRme3mC869/8G+Olf3DGeMh9Ar0hFSs99G+Ml/8RxRxgUAQwCkDYqqb8F3NEwj98
ymLAh5QFvh+vJe3+xRwR/w/u8xABFcBPcFsofv0PMN4V9HoDioUREDE0KhYYn0b8hETllQ/iqmq7
HYIi9ARpw/COBwA1WKbLT8Cvt7IPQF9hJF5KrUVBBArYP0EHm4iZsFACNXw4OtvU/W0B70nG9D6w
2UXPvU8kQH8fDksOvJRGgS9EfFojvDR+PE8qtLtoYPdBFm8ZWSoEwwXa5M3V1VJU+ScI49/XEiNi
h/2I4pZFp0DtaLvQzgNGlHiCYIXbrRvbLdxikbw6Yu+h328TEdel5KDREe8TnAT8e6J0DE1jCx3P
dtfmWXfGbInaUKQHnzeaHM2XiSwvQt719+FcmJ3W40HO0x1+6ccYmG/1HO01nA6a8EksyRzZaz/I
zDai2UHDiH0Jh7r9RG7/d/A1AobtC2BZOGMrO/FWnlZQn5JK5NWu8PqrqEGPvLq74bmYL2uOQEX6
42YE4p/UiFm2aKE9bT9espMsnvXw4QPAwOKygWoRPm7oa32cQzBNmyoud9AKF2WqXYMALMjAYeKN
UtxDgTgBM03Qsnrw0qXmlzQT5y4Pn3x/umhyh64l/vIT9Oj0yW6uU39zBUFgiJgClQZujmt9cgVV
LAsZcoiXM1qGaFyZRQjZcxZ2h37QPkAvg35jzAC0nGg4BZvaBOzm49WJ4lOqB4aIgaPGOsVs1W2c
LM8KwgdKCZT6hG/32yvm8Mcyz6FMRc39g0eXqkmkXcobrar6u5fZ+2xalk3maQBfmk4gDJEdmy40
Dr/gz8w5ABd/BwVHsGN8vB+yAdXVxlylMW7IRpjmHjHNYQ7z8huYDUgo4vugyyR0UpB0qK2r6Tjt
4SBy8Jpzocy2Ed4yXNKmJcEWVIz/HJmej19yVpHnWFfFUWdNi9Sn2RPfbav6xw7/e/SazH8GrjiZ
Y7fYhW80QowmcXMLfkKrmsLfzNArxRRiPw4WvkQedWhd0Pj6IqxrfeTTDHdBNt34Sy0I1VCaYcja
lHe2fOq8PvtqSz0fYIZKtm2dW/a6r+ZdqVtv7yveuMdumEmxnzN/XjmQUQCHL8oDj+waVJpIH+Ou
brZj6ZlfNQa7Z2EVRYmO4+pStqRLTOn3v+nsCqTVkBjysK5vHue8s5empD4KGpi5DZMKbgOF7mQZ
0RJnaKpLZnn/W9IJNIDXiEctMiDl3Hn1N82j7KgXMV0R3ofpSCp6qHpVIg3bBONGG1Yg0Cnjvkxt
KMJzKXuATWPQoGNNlRG66xSc3SSshxANy0SbwTeLBFqkUDcO+26KgYjEuRlTkIvRpVi6skqKinbP
RknvOh9CMx+k0WbeFjnHZsYdBBJb66JlSTNWyH6HtZxQTS0AMH9et749iFwZTDKMyzHaDFPfzgeE
IqQ8ACBCazDVyzBtpEL3zjBEslFrWomnDPz7NVVqBiY5Ux918VgJIGAA151qGxG052T9Q5CHBYpw
sM490aAthoQUZmzPS0tEtB2Xfs6vli73oC4oiiBxkETcZmVgRDrMtXefo5gAEB34phvdwrHdDuXo
qedwiQE8gG6K0HmVG9rsMsvDW+fNmTzEK1DTrJCN5XPwK37BcboW8Ha5gjsL8LirNoz7Kyxc8duu
IFA4xzfZDI0Bq/IHEYurcgWMFiBHZoWQuK7LC68SaFHGYrTt9q2pUsglgusMEEqiVyhKraDUNDK5
acDY3s4rZEWWGV2nVhgrWAGtxfgunVeQS65wV7UCX/EKgckVDINHCUXUIpqHboXKskI/eiCvUsrm
6qwyADLqFVobRv7s53G+oyvsVq0A3EKA+3UrKJeDOHFJsUJ1DuADLmtw24zuPGaGX0wrsOdJOWyq
FewrmihIm9Aie5SRY+PlbOvR4XomwyVZwcIaqGFe1O5Q+JZsF9kvZwuJ7zwO3A+IKtIsvXrX6Mq7
9huGGJ3kcuu6nhymgdeHvonNVeUUGjOCMCsTCkCTRiMBi01vKKDOgvjAPBXi/3DFQT2fGDCVwEZd
UT63K1rqa7b8diuCWsNufrMrqmpXfHXs9W0uER4yXsOS1ysOS1ZEtsOabMyK0rK6iPZTMdg9ODuA
uGrFc/WK7LpstugL+wL4TnX1CBEe20UAg+mKCnemAUAc/gUWI/DY2RVBtoCSJ6UAKoMBEverBGSj
ATnrkvQyCV9waAQ9x2rFpssavZoAVgclDeAaNfoiCktA2X6xhI9tScpjVgzlhVoxb7Ki36Ps0elO
IXTypoYf2Dxdmil3O91U6qhrdTspgrA+eoHVzYqwx52ZjuOKuktIIM4BwnUgQ6YYspoVnH/B6ekK
2UeGVBubV4d6hfMRsPJdbro/QbvwNKa2vSalNRpRl+/t25UQ6HOsNYLRlSdYZlud8QluRWIc6Esw
Dk7LfOvHbrkMXCRudS3mcxL17UaLoDiHVIp9lTAW+zxv6B7CIHpJegeACUxGuVIa00puNM2yHAPw
HcLL87PYGxI7NBECReZACS0rPdKuREnOQZnUi5m/VazX59VKqES2dz+qKl62goPpS5TXsMu+12Bh
pMK7EptqRo41C2/aBl5hsZI3zUrjkJXQiauqT1vOiu3YtgS1O0H+TFKAtqR+41K6kkM5F+Gud12z
JcXCkozJ7wBf2b7shkUkwcos4UkOfjolmiQsbXvp11W3jRVVSeQy/L6Uy16tJFXA2udRL+djszyV
BrypzooqNZgCYITsuYN52sa1/iI6tiCIZTdsoGklpX2qh6nY5y0FeWsagBI235JR2ZtFRtdgXO/0
yqu1hv7MWYy+ZwATtlIX4cbPSrfLCUmB+nhpOxoU6imqMq299nle+Tu7MnmZj+IgYjwPFP8J7irb
63IA46fwblfRpFMs5496lhJcp0YfbdN7vygvvuQasIJY+tTEstoagrfNWzlGCKDIoV/xfyWkuB1s
5ZIA3a7Qhm0QqM3U9AGDYKu0iW9gqKogGnYFgIEoE+QZANjwJF9Y0DkEMLys1Kh0OOtJTm3wDd5G
dFwWv5aQZ+HKnLmhqB6U17fVRoB6NSsHa+OO3Y9VPLRpLIabrI8Gs5VlYDfVSuXaXC0J4JLqrgLI
8ENYT12D1CmHdGwapS4Q9UOLMkvxfSmXKADNGFR+0nvU/4qboA6VZNYmlafbX2UY4wgJGfbflpnI
W+JNbq9MlkPUhRw48OFDSTKgRUGG5NqRhR6kYn0fb2YXt/AlFINPp4yvkJ8moTzaIEItQWKWeVun
kJDS61CGzY23uMEHxWCbr1nkOX9jUOe4BX0u0PMMqafqvlEFRAOkm4om7UxUQFqrA+Dgse1+d8Pg
TDJ5roHYtoxVk9iwM/fVqmqAlKb60bR62IRLBStkPHIJpiA4KoAfwXnJcp6BSixct49qG17FsSr+
hKyjQvkcIdmhi3p2WUOPeGbyoP8i5jrGLcT7/FjABqRd0Os7NzRbVgfuwoC9sUnk9xomy8++z2vK
OmjK6aIrqukM8h9zpeY+eC7l6mEmYafFD+Cv8e+qbt0ep3y5nXienemcFWRjupbtqYtQzwj3nuzG
bJxFAgKHo4i+XgAfD9WSb+O5nG8KmkfjFwW9stwMyq/xBEbhJuc9w892BQqEDRw9FyOxFvKFl2PS
gcLINH1RXpY8LtzeN9p9I1Mtrvx2CCVq5fa9j7aBAF1RjJlpWT8Ao3Q/OUKrX2aI5zsC2Fds+srY
Q0xagVrfLgeuSa3vP6vOwYbDTWru2lxX8gbyPxgDgFNzmMJu4BWeG4G9zObmS1vhQOzntvGOENEA
hmxrV22Ro6m3lMjumyep+Nbht+UW+EW9ifpqvCWIEc5VI/svWi1o7zpX/SWf2u6xi8F6waFeINj0
wXd8NfMcL3CqhmwEc7m4MG190TSHgDV5AL9zYUtaZ26MvlYqhCNml/CK+syvUtUX6JEH1LtMsLWo
tTYXJDuCbZwh+JChNb9g4W2PxDVG6njPTBDH935XyeprH3ogk0cJj0A44VXAJcP+a1nU+U3N47pI
eOTKLy21wDuDuejPppaNae03GguBak1ePo6bpeizMnGKyv1IPbyB1igA3pUIL3KNrIIUoXh7t5Cp
+170fe02ZFL8NxXldFbOw1nrz4hCnN89uBoPDhfF8tgro87oVNVDGlX9sqfo2rwZc4HWs1MHYYpz
9Ex6C+TkwyKvgPAj1R5quSTXtt1lTbakIuPtnzSre1R9H3ONKzP494vkw+1LDPn/AcLPNKAR0Jn/
DBBePUGX1avhrQh0/Zu/AMKI/QFhJaTl0IIxTl5pQMPoD6CCQCwYi8SL5vy/4UEPICBARc4FkC38
S1f947/wQdj9P0IK7aaIAYADZkNyxj8ACFc16St4Il5BAagc4hVJw0AkPEFuFhDXuiy5S3XJybnX
cvcQtYWVGz24Ol36adh1XRttihZHOumhJH6a/In/BhE8H16t3Du4F/DQ008hIVlnBQE8mPUVgHuV
xaUF9BcxVzNUNXl3FtIIVWo8NZxxU/E8rUGB3ZZxnv1E2vHyCUjzFh+JaQCmFAkAdN0IjpSTE8Qt
anM4E2xpNsKTX+OegALS7lfh4p3NUVf943muWcL/gwi9DIbIGhuHlIEAyuCTwfDQRqFXxmZTeQHS
wuTwxIxX7v83gyBNZ8WgfRafDCJHDc879PAA1IocvKaA/QKSfffxKG/BLUyF4/exU2v2QyDi+OT0
mG7sG02GflOOzW3oLSpxeXsv+PIrJ8v3cjGHeKxvoFX5BO8LVsDqzRqidqcPSBsIk49y/KeAFhwr
6+XwtDZVCK4vNeCBLsMR2pdNPKn8IYvLoAfitjg/VY3/xLJluXKASu5lkJUMaocmqzcD8g2gu4Gs
cDPD1WOpQcecR8WAdSUB9Xw0RK8hvU1qCF+DjUD6RYoIl933XYwfslIl0wBlZmpLcEWHFsqs4+zQ
0+xAhwV8P4UkDNXjrEc57Hcei4OA170kDNQ6dHG18r5CyfTVYslyoLxDVCJDaOBkGxbhkifMwCEB
fhtC9PLxrv3tAGKjCY1Q48HnFIreU6geALNXjvmwgdNYXnl+Nmytwqvy8Sh/u1McCvUQeWJQuIOA
OL1TvXJdTXqCRkM+YjTRI9Zf/MylgRv93bhQnX483ltGYD2LLMKlYghbYXDDU64j8pBiMUiLQq48
xs4NGm0gIsTKuSmAYZVNuCFz+1kxpHcmCe0cAycAZBVK+hXKf2WzwHHyAIgbmsaXw00HucRZL7s+
mZi40bOqPpniOxsX+6HPA4JkpBXsfjuab4B1ApQaNhk+Kc2cPyKMdOHu44Ukf7tca7IC9g42OMCj
FZ3Yjp4YqiYYLgDnxfwV3H6toBKCFCRpGxXfx6O5tHrkIlECUdSm8XwNPBAlk++jeQyvVcfi+K+Z
/yP34/8su+Ta/NJ3vf31q796MqfJcOt4/7clmQjs4n92MPaD0r+eIAnpuqfhDQu5/t2/WEjC/ojw
gkHkAMmL/+IT/JuFJNEfnMBK+yzCywafApv5bxaSgqBcs9qgmocRgDH9by8DDghsKt5D2HWCy/RP
XIy39zLErYzBZoF1gMmOQA2uh/rVFXFtNo8kK65z5DfMadT1zEss1f4+wx/BxfXsg19Z4n1ifk45
qZdxUZ9b4IWKQiT8nbgTtR4bYBDqGqBRQJqrMUSAWiN7CzLESNW/ggoq+0xV0AGW317t0DuOzHtD
g96lIAqZj2ydl0LNr6YMpBQa9dZej4rZi0lGAwrCISrfIZ4nfRq0XOZXM+IEqB0YiB8/iiDyx39L
P+MsX6jC/3knXxY/QD4EPiZkYH7W3X+9+BOk21Ewy2ulc4kXiUQUSa5VgKdtWnJIOONuQXGdCpqO
56mxULEVdQsCBKK+0qTAd+QFBaXXJ9Amm/Z/sUNIIQYBDk1IKJBn/PbjZDO1BJHU0QeijxCnzObf
shjAwAVVrO0mGG39MLvezRA9U2DbQvQOZXa6IfuEu37rxvy1SgGJ+MrJU1i81TN9tV8A4INaNjmI
0oo+N+HQPDsomDcZEN3zitTkcaxDfuOJtoGqo8j/sm3/MXVlPYinexTAzK4rAK//9A2p/aCLwk4c
i9zKrypy/TNyr1FOoKf5P3IK/zXPOIbeAGfzr7Di9TyjWJKwyb1jiyyGx0xKeUsn8QnZ+N5sQoGH
GKmviHlOazGMTZg3ecaOeYZkjCrI3YPLfX/bI354+PiavX0N/5pNjHsdUri5eBTXZ+zVrpWD5IWH
nB6HS/Sl7aL2Oobi/ZOj8d501hR5irQnkMynXsVQhiXtqhWyEzMqNYayPvhBG3wpmn7+hEV/bz4i
xB3F1GCST+9qM00ZyRRylOyChlG9zC0aPQFN++S4vTsMek3CrK8pdqdcfS+mmfeluuaiXO4LZDtc
dgodnD7em5O48mVzEMvB+cPlRojzwki/2pzJNLmZY3ndKJ9CLcfbUe901okUqc72m2Z1fzfRJfQ3
2vUUlriI6zgFZk/4PsoIrvnH3/POpJEghtsFpyn2X7K4X5+VpYqasK7iY9dreyjzxT8bvdJtPx5k
db9OLjJMLUEcRJHACS/t7YE0dQVr3pIjpSMqeIIUT0DAPMqqfHbCnn881jsTilBqIQghtwg5Et/e
jgVuFxRZ6I5TVuYHPmQzZGX5p57g+isnM0KCKI5JgDxMBOfr2/5qF9cGO8Kv6FHMIz2vO8jWamvk
BocLheECv0vbjKJXaDNLSG2zIvwWRgukikHBLpfByw5UVdl92/bFHUWSDgpJ+RY0p1cUUKEI/Yl1
e8fRgAnHgUbMAQnKSw2lVx8bDNS0lCKnnFrvemlG8xzloUnsHKCO1Zz7Z/7kh18+3oZ3Xo43Y57Y
oF76oAT64FhQfFOqpsKl0rn6wsQj2hMyE2UgaKFkSJGrMl9GyAr8C5f7j4/He+cA2o5VgMaBIr9k
JL6a9GA6oWBUjjzrHRK8bHfloPz+5LC950asyZIAZyKfQpi0fsWrUbqGgMHu/SP8DAYa3DV02FBJ
oEil4HK+hXUnvxtkUQFkh7sBxUiAknw2ivU2KHwv39Ssgux58Gowex9vwKnyZ3XzkAxN4lUBtDqy
JxdhQWqREaAQcI7RHs828guBJPa5kagBspRWfW3ZpDekW4XBeMbdN6dDsoWGXeH/CXEzBp7e2yaP
Ez2Ey2UFsvITg3uaOPvXJ8LD8fEk4iqt8sHXqzcuoZg64R8HVZBzLhtapFU5jufd2AVnTejU3WC7
5nsE1dKFtZN6ZF3PkXLRdjNJKnj32yi39OCQy3mua8/cf7yE7x0h5JUzgdMTB3jq3n4elN2djwDi
6NlQ74E52KQo4+Hq40HesY0cESt8ApTMQEhxYknymeSqzEdk15Gx3LR9sCaRFhGUC2hFudOFqw8f
D/jeC8SBr2JGOLQxlElvp2WWcUIuc3d0/tBfkL6kaVcWwQ8bTfRmsuBzEwclHSoz+RO5CsBynwFu
He+yhZHPXp/3Jo9gBhcoRso/4ycoQdNGTZRF9ohSND4kGdMDpw46BwipoZz75BF6765yFOKBe7ci
L+I0+OiRVJqVsjvWlobpFIPnkbaze2QxwB9rF34IdFZubBNXKPsxG8jlc+RkJ8Mseii85l5utbX+
J7vxzkOCj8JNCBleDHb6NFokN1jl2eMkEVfUlHw3y/Briv3nrBEptEH7jrPdJwfgnXMNunxV2EID
i0Dj5DkuTRx1YWOObEIJDc9YlA0tgjANiEDnkYBgHcyEadNLVy2P3mpD2XAbIuO0J82PfPVHPv6g
d79nNVK4BICnTou5LAz5v6LXR7HkEMC4Wm8g8OefzPrvgwDDDvAmvXgHAUL3N7YG6gAklDbtESlO
8kH5qrsnson+8UxWnI3icMXg0IKQvR2kITMo0nA61kNgf7IpKs+R82g+mcn6pW99DwwSB2wtriMC
mIy3g2hPNB5K5h97f6J3pl/6A0BcjSYgI6R7n70if/cdELCglA+wEJTr4S8NTl49cHPkF1Mg7ZFX
CnKqIA7yW+lC9RXKMYea7KjxlFJTsAc/q4eDQ1TzNBMqzwO/xD2eF2hQOuGhha+WzaEHTwgIsJ+h
2+0Y1DKbj8/R3+AFrHkYITFoBVRguE/NSRmG6Gaa0WNTuIwloGjIsvHFqC4gk1UaGHWo0GVGiJol
oBE9/NvP81mOTMt/BkjC78SXIJDANRMAeaD/frtHJXNVLNsZuRJIu4KfWm4WX/mfbM7pQcAgMUEV
FQJ9PchNf/XBXu9NHOce6kccJ20hWpyK6SryIfKYdXH8ZGFXi/D6yL2MtMbFcHGgYj6lM4BSEYGi
AUeID4JqH4MrOleTYDvVgeiFxJPv7SRvgX3KGx1O3q9etOKc9pH//ZMPWS/QBx9y2rBH8TyPkFt+
hHKsu8Kzom9aOg030CpftV4Qbdt8lg8VVHkV6gacm7wZd3PsUNoJ1RvA61MPrYk+/qR1kT/6ohNj
6uZFFTazx2XyUIkBxvbPrOqq22lC0npW8iLpwetty1Iifdi0/9SqrRsDpoLFQCXJSlS+PQKDVvGg
wg6Zm2RK47anyGoL608MzntTXE2NgK8QoIBH9HaQbEFK2LK0R2RpLhsZBXqP1xxtigqyi+tGfmtd
bvYOmst9J5X/yeB/e7bXKSI9GpYbOSPw5U98BAh8IEDs22PXxX6fuInSy7qbl7tYQtAYKx5eetaD
MAkcpoPOC9ItlfwXe2fSXCeSruG/cqP3VDAPWziDRsuWJcv2hvCYQDInkMCvvw9V93aXjtQ+4V53
Ry06osrOA2R++Q3vsOSO+OEx6gsSiHgAxhyrsc7REV79ZYgUccYpngPSl+fvxSnqwbNKRY0jout1
qmgH5pPrt0laGB+nKLViNzMXSM/tlzkCEDLmoXkI0+K+kfZ401Rt9+XXe/HPsvN0M5LagKYnoQLU
fhJ2hqkK4ZtAE54Ww9ghOqE+WbkK4IaSgEI1rIE/NzC/oGjQP0KxrxlqaxdYYlSJX2X6zgB008Ak
DScvNtJxPBb54swxxEYLZFrVyR9nfvFrkYWQTbAkTJIFncQwLhUwfk31Zgpqse4d6foopZlraKHy
gfYhnLjBoP8hFPLlkTKHt6MnYMiumqKZT1r5Z+6Q0zRh221bRQcvyWNadnq59uU4A1Fq31hGt0Ki
Hk199K1ynM6E7hdJ+LZOBP8BjSsU7Airz/dOGTp1Yefbczs1uMOu6r/KpkUbQHSzgTBi46xQvse1
S9ZMWtWu7CvvjV8GKNGZjvztVis/h4Ex5SK0LAAPpz8nhLIOCzi6Vail3IjaLd9NVpZ9ztdWv//1
F3/lBUcuNb9Ho5XC6jSCBxkS9Wlp3DZLMF+6VeXvZ/TzzjQnt7d3cg5oTQIggdHBAOd0xBqQrSOq
FN62/eheIBoF95gW8zsp2x7q91SXF79+qJcREvg5Y2OLxMwmiT3J++o1napeT7cqt9VHcOiDm6xA
kYH7hbhGx44peveanmWniUR6+V5PKbCoX/8GYs7pU5OlMa0CAEP+geLoSaSkwsrmcWxvncxds0Rq
VBH2DlOKj3O/Rh89Z9CPSDMyy8hkOczfXHfSqIfRhVJvZxpdTiyEm3m3RZWmKq6iAFTjmmbReFlF
YpVH22pW4wmdxWC9WrrSvDJGBwp3hN4BUv69N+KPslaCiac/zG+stUVssfC6bwwP3CEBsVO1iVpD
QJvBWrvVzp3RINt7VWB8HetRvgNKCxsj45b8NihTvGn0vHzzfCXcPRQXhT1oXgYX8+ItzqWo5Kyg
aE+zPoADrL4tg1NCVaJ1iqugU433yrX6NIlKao7YGu10PJhoRSxQdWz5PahheMd6soz7Du5IDYpV
oYhqks5cygIpHjRhFkxZbAMUQyNl2e2CyYGz7wgbKQbDYzwm1jW8y3On6RIWt2XSmGY9XqE7MY5x
NDvjxVAz67IwiMoYCS+dX9EWmi2i2DFqI6vd63AB6boDpBvm3wZp1nOiBDfILutd7hKK0AWgvgwN
LPaiPqyO1dQway6g+Esv5k8FJcxt7mJ0XAxnDJEmYBx/m4Z+Br8tgolwSEcjmt9G9QTsL1X855Hb
D+OFclLrZ13kpt4Njp4h0K2yRv8xFboDjUhERjRSV1DJw359AxJV1gnpXCcBOll2uOv9cuYDyhIs
a2pxNB+HQpfjrnBd+WBPXj/uoknlftykcBF2uEiZYdytvtftnQHFFCQf+DrAnUX/zqgcrkzbL+13
vi5tCxA6cjkxMFJI4ZWnrHK/gp3tLyw+7ieIxiJMBqDJlK5ZVadJYYM054YaMwV2MLd+IFYjKImM
+XMz2kjw1GazGEfhpv23xpdqfdPBIYebsAZDmUgxNO+HUjRqt7ghXJcBTKuV+LnlvV0GW96LtWMH
mQtkUZjgbVjHaTQHUYKUVyN2DFLZ1VHaQkZ3VKibWHtOMR8aJKM2DoQzgUptabwm07yUNBO0tURg
dtMK8n5luM6NXY7FuGvRavriDtlgIvFZB+8bf5kfnAVs9cHNi2w6MB2b4fQXs3wwYfZzJZoyR+kh
V9PbKdUATRumeDFkv6za53Nkf/fl3FqHHjGFPaLcE+o2Tnt0yoZTqid10QgH4HDq8dckXZT6sdZt
8egHi1XF6dhnDznMnhvA/sZ154usjgNloSqAZNvoXzZGPTwMyD3dzUOq6jjPNmWJjobSh8EMayeB
thGVyHvAbkHPoFMCbsc0/5/fx3/BD/+wNoe/fw9+uP3y/Yv4ouBgP0M+bH/oL+SDZ/7B5HQjnf6J
euBe/3/6tYv4JqTHbQpjA7uEov1P3INhWX/QWiDFRzgYDU5n057+J7zS+4OBCpVGgNwLwAHb+R3s
w/MsAGUTIJzMgviFIC0B1Zw0p8M2HUMSDFhrWTlfrmHTxK4Y6jPJ3PPmRUgXE/AdLRKmbNSuPPPz
JIuOq2nNqiC8e911ZnaP0zg9wd+DVVky/3DVuWLw9LFYimk1qQfv1mMqdJLVzQ5ksELMXTKAJLrL
ljY9RoE+h+B4scpW6vFMJrAq06LKff5YhRSVXoqlTzozI2yZyj66ynHPzKufdyZ5eYwUSSIcRJp9
osuf1c/fugtwjcLS6hlXSMzQkpVre6jEQcIDykOFQlbxbZzL/kxe/DyF2RYFWmOzc5laM5dEKv15
S2MVYqAzoxIX6OnOGv3hELSLsfcMe7lpzKA9s0Oet1C29WjvI6TOOJYutH3aFURu2OS67IYEtY+P
AXo4O5ZrEhcr+zMrvfxo9FvRb0W8gHEUU/nnTwa/jfFGQYVae9l8tayupHE2lv/BKvQD6O0y53Os
06HPJHXh0xIYkqzLOnlVLF1KVhR1aj6z0IujZdN/5Axvha/NbP5kpxduhJB0Fg1JWY5IiWkpjxEQ
hyRMc+fQGo39U4GLPpNmv/K16KchNYBRKMHI2f7937akGaT+2iB7xv3v1nsaEfOhd13jUHftueL+
9HMxk+KA0V9DE5Zm4unuBwboj7pzEEPUAhHLJuSu1Om59urJdmfzEaHY64ChQhMY2slJ7siiRWSv
MlkCEJJSIIBolzfVU5WSg/ztgnj7V/Hzdx3YV5aie4ISQQAeDkjmSSyEll7DmoAha47LtQO9ju8V
BVclNN1LFFzOVUSvLWejxM0+5FiBWn/+qTql3bAbrZLEDgwP7MSatsyUdeX1VCKlloxuGZzDVpx8
M96mjTIEMX2b/zuU1c/XdGq/UKHMZRJo30AzKHovO0+d2YMvH8zmBcLQ5iV60YtPlllkM0isssgM
Tk2YlXuJFnexzwA47Gdk2M4ctNceagtMPthktsnpdyMnJdxXRgHj2MoPI5j/PYIS51RDXnsqcC9b
89wH63XahkFmB2FoJOuTWTYootVGuWt6m7pjqFRiDtLa/3o3vvJU3GBsRb7X1lM82Y2Ba4wIPrDx
1xRiLkFT7hFS+j1EzzZy5xORXvDPlgecNnOipSknb/Fl0rW5vxsmtekaqubw62c5iUrbKlTHKKCQ
Hlm0yE+eZfAjlYcI2SXhpgdo838RvF9p/DrOOT/515byGN5GJGlgDszTpWxLBKsOymQGuJNkozu/
VxbClJG9FGd6ia8ttWEaAP5tsJHTAzyu01i2a4Rxky8e2jGdr6ccccB20eNv7wUnYPjLMHLjYwBz
en5sUxNcwigQTatp7cmt62Ukc47O8u9/JqI6wHty3O2xni+TOUgIDqqsEr8w1O1qmCuApLFLxRsT
3cUzwJCX+5sMd7vmuehBPHknoUgXdRf2gawSs1S4V5f5dGsCpbj89SO9sgpkJ6C8DoGWYf7Wlvrb
fVgZpvYWjmii+xY9drV+cpfy90YMfx4i0MIb9m7rqMFBer5IPlkFOr4sAnMAhdAafQUxdPoMDOKV
7fZslZOvY7dC5jBrqyRPdXYBYdyJ16Eb91jNBGc6kC+XAq/gA4AwQZwwcj9pkzGfQgcFVYzEo6EA
ZTLy5E7aXvEEVdk484VeWQt4GJMTyDiUW6dI3khKadP8kEnoFe61DIL6Bs5//oUqwj1zwb/cDC7t
Tu4m9IZIWk6VfnRqG5BVWaohru6RZDJiaVvqzCovLwocEYDU02f0qOGck91Q47sCBjmQCQq4Yrq1
x6b5WApkU66nUDhtIm2jDM8E2JdrUn6gtkg6gU4PkeL5DtSUVbZuBCR9y4H7L81+ZzDr3ZXQiBLX
ocX262NlbefmX+3jbcsjL8FodRMownLCPlkQElUEOADlWjFGqUoCp43E0UdPVsQDTisfDO1H8ugT
D/t4mQa17BGcMj/ZqlUfByucfCZAo7CTtrbppPpRNt65Y1TBOqcpUx7dNlfGYXQN/xrNTvH517/+
5ZaDuEiavBW9Jkymkx+PrqkQFuokiV6rtqYli3wy5cCafjXKtPTO7IfXVtsUphjMEe54Zc+/jepL
VCjQs0h0EQzLoZKe/di73YDcaRiho/TrZ3tlJ1gmvcLABZVgvvC+stO8yMeK+891MLGd3cwv9vVU
IjZgOF6TAiycz0Xy7fY52QubUQkKbmRh7Hnn+QOawl8zQ/plAlDtkI/+jwXZg0Sa2S7vWmwC3HMD
kteekdMLKIyExaSKe77gCOpdGR3XYa5noIHCeaKTe9uVeZoAJMzP7PVXvh8vE2YM+DMgBM4WVf52
hTjl5ARG71aJoErJY2NAksBYOnlZoIrwlxfXv4VkvrbWdh1CadiIrKdrha3X60WXdeLBFtxnfmNc
V5MorspKrftfb5RXvloAz4S3x8yaZP3kZqyzWvghnUmES9p213UyeLQRO9g3bmjtKR7RGF3QOPr1
oi+/HFMXYMdED7D3nL3n77IJoTfmOYR8Zv/qVq1VuvfA0F1GwBvjDZ10+PV6Lx+Sod2WtG8lMa40
JyfdsA3RZSEp2qhnfQwn1CdiHL/GmzLT5lWB6shbw+683a9XffkVGVyaAKw3RPE2uX3+lMpd3CYY
WbXXa3lcOy6yTqKTUQ70t3+91EkLijhM/MLXB2Tkhm84faFOEQXlVLcVPf6aEeyKIPhbDCBMJmr1
Wn8oV1m+l6qjLZ0v49icCTYvXy+NBvarycNu/aGTBy1zsqG8ZfIRIK1+25QVigwuPcs4WnXxxvDK
4iH1Ku9cjv/iHndpRcE/4/yblJineAc5dYx9UNdN2qjC3yEU5U3kZOf4ma+tslFRALeCv/yT/fb3
c7/CM13MLqc+xzUHkmbfJ5EIxzM79MVeoeXFQdje4AZJOIXJD8PcT5ZH7mj1S7bfEjLErxBnygFl
/CdL0U2hVtxkDk8vonId+6FCwpEH0v7FNoLcueZS7c3CmI+/3pavvDsSLNBwxDLCyymTB1sn2Pg2
KgBzawRxZRJtAFiXzW92kzeAJruA9hDbn27XaRqibQURu14pjBSiLKhpZ+VnH2Wm5cyJfrHR/1zH
t0h8iMpkWc9PtDDmHnsNr0qizkYCR4WI3SdhG/WJnC3jcm4MWx0GG432/+A9Evd8j4k1faCTIC1R
3Cv8eqk2wb3uqk+N4osnHfvcYPzVz7XhuCn6XFBM2yb92xUn+rXoAx/5eAoQRBhxqpwaJObr9sy2
OMF08PZ4j9B6OEwBVLLgxfMEsmlQ864S5HVEuOz9TDyUWQ+Q2CsvG9O5aHOaN7W2wXuE4zGIavvM
IXjtUf/2C04BkFE5q2D0LQrC0fAnJD39+ml013PkjnPLnFx0Ph45i+JwJZMzz7dVFD46FSJdv787
gIkQPjAh2bL/55/NnnCo0emWay1C4gZkCowBKiMyz3y213Y/zQcfxhDbn77K83XqPp/k2NlV4hUd
U1B3tsAOoIXHPJebKW4w+rmxsvpckfHqO8ShgaBItkev+fmyy+g1kdmwrLvm9Zhka7E+lWJ03v36
Lb4WgcHBUBjRpLdechgAgtGxJL9LYcNiL7O4B1hutFlc7aTLmfv65TNxmIHqQfQiC3LNk9TVzkcg
JR7PZLQaWf4ma/F5yPFN+u3AwTokkRTx8A+5J5+/OwbZ1ujCW0ucNcTLQE2uOHqI4Z3J516+Oyp3
pBOgiLMNmbU9XwYZU7e1XQAtjkIYrVjVsps2KEdoNdWZJ9o287MqAz8DLvytSwk3ge/0fKlymSdI
4BNzG12lh6IxumPbL9Vd5mPNJ+tKnelPnUCliVVgk7Fc8y0yuK3FdxJ7C6/1FtuAQ1kUtizu2hK9
kC8lGVlPbRX1w7vMa82nOhiiZo9KXml/QPJgDC7JGTDq+s09CviPPJ1RJq0SxiAn77mv7SJrEcRM
MNUyDnlgVugmGs27zAnOZZRsk5M3jXwbWEemwbA8mXCfJs1pV9fpkOZBUjY1fgvJUhtThPeO6yrY
l61Z4BoQ6m7049XFklgnVL7retdPGY4ILlcHHCXasA+dRFz/S7Govt7lFfiRWK2N96ak0rr3mCl6
V3IGqRH3rbbm/dIHzkcUcAf/eu4qNAq73vGBzvdzJx4N7qc/pyO5Huh/rqR7zn6zecQfy4VS5oRx
5dcmnyaabVRU84Z23z0wFHcokmGc0/RDZZbRhaoyF11WUcg8/epGJY63e26pEN1RE58NxD8gJDpF
gRp40DpfU3upgiVZfJKMd0smjQCXWGGAaMW8toeziUlKoKrrRqK7tR8Hyy/6WJfCccC5FSlOBquv
snHfOYsR3FTQ1AUGtFFfzZgSeF69YsNWrGPxffaMdL7C1LIErQOwav7mhCha0uHLOu3FRT1PuRUL
pdEJrc21Kp6cGQxbh6TYkvr3uLZE0SUY69p724w6Cg7d4jvIRPOB7WRAoM3a+627mDy6W0OH101U
dEdcDvzojVzLJUKUfJrbm1R23XKn1740Hg1R2eo6nYZ+egCG5SCCklvm1QTSBeTrDKHiR2eny4+i
GQ37xhl1BX8gw9v+CqXKcr318XToL+2+1uMlupppv1c6qv2PhZ9ZUGkm7WOVLVLx3SWpwuNqFdLF
r6Rza3G9Ia5ysaMZmOVPhpshMycIytDwEOZbvtWLwzQfoGCaFZ85bTLdpZ1Xp+/TtAz9K8trw+Cg
pD3bn6rZyou9UyPs+2XuM7OskULPK0inYJdA/0ncjKpYZv1s3mODPaaxCxPSv6ul3WlgQR1A/k7X
0c8eVvyPvimVjrE+r5DdGc2sJCFsg2yvZZC6B4Ec6Z2iIJVxq3QOPGnsUyspletVOxt9k/5Hl6fm
J8fJgBiWPr8tXu0WINva5XV3QDFa38AVqGRMO89cn3pj6jAD6vMRDgH+Y0NiVSQvMRqQ+Ue7x+Ii
tqBmuLHy0rHbjTQZx2TOYNHvS7c22durDJwdTFPnm4WtOJbK0WrgDsJ4LIvraC5C9mFT3KmhsL7h
NybzzeN3dY5aGvNDlNZhf+mZo1b7DJlyCKquatxEqtrDdqVEevlQt6b9QxTOUOxCYWMUuVKI47Ro
reAOUy2HT0FROS4mYCELLyt+ZpsesA9nUhhLg41VYyGG6WbTrnGbSF8FLdDBpIfsJa/CdDGXg6tr
8U3jS2ns7cp26gSvweFzsBbe8JiTDI+Anw1NxYuWUn+gAdy9V3VjLreBFDZ4d53NGb3XdYiABE5d
IN+0jZmqQ+1Jb4nLKszM3WRMVXqbtQiLJAJHaHVVdKNwcW4pnIdVGmv2tGK9wccoigJjKWjv86GA
uPBI4M+e2mhO74ndNi5OyveLRxDtNeEm7Mz1QhMzf/amO3zywMDO1zQNik8b+K+6hkA4osuMStqM
RiD5/c4cZfXDtFPrMZsYVMdMsAaNVK89GUea6J1I9Jw26PU3U26+AxduqaeqXcx7E4+YO2u1aB5p
I3LXa+JQfQeBdCwv0TeKmgsv7eWa0Avq3rfDJCF7VHg+TkuKZuAyzGN3jIrRzm/azDI/GZnpiWO7
FKVxBBMkfjjaslrUSFWkQbt23rgb6qI1YtgObniw8q4ogEXryLpytek9+ZmpfKSUXNzzTAr2kHw/
MzoO+xzmV1Cqw2trWar1ph2zut7BtpMG9lTCwSs0zfQEYnDJfB3jYe68rVIjs3ayUxUIVCzEw30V
aj1+TRnnd7fIpAdDjAT75OyJJYGO0wCTM7Rki/VdudJS+9ybyvwc+qmQj4CdpHVdKsN3LxY3I+R3
wnNUgtsK3BBrlOipEUsm+1AhV2yLeElX39oJI0fwUjlzJT6W1iy/tlNnP/llE2IEaYHQTAoE54kN
mACjdDyPYIvpxziiu0+NUlUPpXT66Anty1wcg5LjGs8NpUhcNY5979jQDxK7SNHYttLI6WKqoqpP
TFOnxS7oPFT1+lCO6a7um6K+E/XUlk9+XTr2UUbICt8EAsDYYza09Hg10reSmDaV1U4yJgzZiEW/
yb/CQYqxHDXMY7+wyz9tmFA/KYZpvHINMetLd+Xj7aMwN9UeQI5M4yhCh/iirua1+dkz7V+omabq
i86C4EcHy6//NkuNZjo7CgMh9E2lFbergcytbCvf+0DYQNsgHtPSjN4RrRTAysoR81XLGXUSZFSL
lKbcPEDMskXZp09253f5ewM1SovNHvrLLjfnsD9uc/7pXlpum72vWri/l1BWWrZ0FY4u3mYQJKoH
mBFNhMh7Fo7skrXIm9s+01peqbaPsPUTbgSkbg1dlD9z6pn+qTZg3ckkGtYqmmLcPa3p8xAx1f/i
Ycsj7nMArOqbA4+PI5Snmfemq0T4w23SicvejAbvKge2gc91YS3rJfatRr5PG8LyMfUHdOHRew95
w0ndzHn3gcyoYxu3GP0B1fZLy31w5WJadz14cvPJH6US72fe9Hhcpk6Xd727dtaB8WI2HQuxOLA/
nLF80jhDL/fL5NTGjscvuq9MWweRRHJxx0svtzvz0jTCVSdNPeKkYS2Bc+WpfFEf22ylJ2dbBQYG
KKSs14W56vCiDgqa58Cv6w7v3QmUK0HCnC56FBycnRXmVnuHHzCC3Br1Yo1YsztwMOPMHGvjc1VJ
Qx+trMMCFf271btxkQILDtSVpXUrrRzsNoI8lR93k1nYB2AoBZoQYrXntwJAsv1h8h30ZdDUDm4Q
IPaHb21kThq7zKWh24KpnYVr6GbjF1dK28NhMILWehvURREezcGN8BgzTfUBT1y0oF2/jewynkdj
9PZcT3REDaNoXAMxfR9GTTzoLDS/4IqijY9dI3Ku0qVaHv/M2/8Lv/3HRkH+9+jb+Eed138H3m7/
+V+4W+cPaLJ0mZiMApuEDkuJ/JftEfZFG3lyw9Yyn4VLu2Fe/yU4Rh9241fCwaGj7tv/xN36fwC0
QyaQriYFEup94e/AbhEUeFb+IFxG05JScxsQQukF+/i80LQXnCxDoyCK4uucH8naQggqloOMxQFf
BP+gCO44KePmuckuguIK9+DLmx/aWEt8qLWCOALZcIkzrZZg57R9MybenDKPU+E2pMK9BMi/rrso
w7qrs719H4aEzbqyZjhpdWg9DLPnv8kcdPn3UouVVneJh/p1P/c++lvjiBWE1O7qxiyMJr6p+Ssv
1gwRZmb2JYLJgYcV23XjNTl817EX42UA9SZ7W3SGzGOMQEFeTL6QJsSILIR2EpjZk50JxMUVnLHw
SmmNzkHbKywe9NB7mMW202G22r7czRY/Pk5nd7mehZqquLF9rHOsIs9/dhgm3o8FoCLyfe2qhM4R
mpUCKwAMnh23e3ARRGrjDnOnxzRTtFN7b46suCs9uoK26tV7ELCtkSxiwIbcbZWRxuhO6i9516ME
2aVW78DOM1Ee6ta1dHZQXa2ftEF6tI9CxoFIhBdld8wM6CT7uTBExisY5/AOYbfCRU8lDeEdpV6B
QG0bEDilTYCspbIXVLlJeejOjO2HoaNnd5xHy2yT0p0g2XgwYd7Url2EiWB06+0MF2PsROiwtpOg
XNJlb/cKsLGNlnd+cAzwhqhGp8Fnskl9i/na+GMya7u89npUce/yrilUMttw6vgMyLxcRt0UDBdc
sCNOW6vG2L1OTROFcS4sG2GgLFjA/DJoPtbhmP5cUmO2jzNv9ONip4P3jpuo+tx4ns47WFxYQcWt
2SHMq+fNbUUVgZNjvTnAjltzpJwOMldpkVQQi1RMOV299eYgrfcZ9eEnNrua4kCCrIlJrqhDAxT4
PjdLi8E7EFvviO9B99a1rMmM4b54WVxEXDiQI1pRxV0om2pX5ZN/A1cSn3FTTWKIkQgHE40zMtLU
EdqaAXmagHbjjIGT3okKyb/ECQ416m1h7Ntd+A1PxOrRK/T4fpycBgPyUAq8hCu5eejOc/i9mJT7
VOhGr7QLAuxs0nbJvprWyHUiptQktxNU/c40zXYS4SP1kdmO81F2RZbFZWeE5q3Rzs7FYOXpTy3K
7NqdSvG97hb7fgAt9WWY0MWINX2Rr4NROz9zpNI/2SN2MCrv3cc09etPpgNp9MIpJkH+A8xtOTRe
Zxf7PqrnKxMnzwUjC9+rutg1KYbA2gUl+5LzqJNZNPmnAEaLcbDT2cKZu7eR3AjBTqICO00j/FIE
3WUcoHsCeRYV+iwOudwX/BK7EYkgK2+XuIuK9hiIsksABjvBroB7+zbva2faafzcs11r+RnyNuH0
0Qnz4ZFLXLzP4Khg/Zz1NicaD6Yf/p+ferA69QYUvf2Wr1uzdazhssra/mtP2UU1O7v9V6PoeKg+
LzQu8cqZ0LTXBpK6oQq8H2QqsBXo7XPAs3aOVCzpYXwenGa4HmxMeHYYHcAJytBlxmoS/f7oIC0P
ro0OxvEhN4cqTXwDHtZNTeGOUUy3TtHOKgq/TwhZcH1c5AWXuxBlv2o9zIQF+DSWW2QimVSQ5xDt
XefIpS/vlOnjKhOUaukOOlP9V+ZsFFeG1yp3h8IxdSO4+uo2GqHI3yjBX967be8yp66t4j7vImT7
vcWa2qPfZMZ46XQr0bFqwNtgQ9XZHdThskEWDGfcqdvReEH/ebILuU+F5T9WMMAiflZh+d1jiIUm
HrpIzV4aeZ7Nt53CuPPY5mGYHdn/vfXUGra1fFsADn9yut5s93ZJdLuIoJm/jZq27rEorVQA+NRA
yB1s8ngHh4opr1ST0XIp0CqNa0bbDhX/NHwRwrRxT/M6B3IWOChIcTkCXXuh5eZr7ZifBR7YH+zS
T9+y1TksqW1VP3WwZG+4cinI13nCSNLOJu8v5YT/pkj/+BPy/+9zpPfNOGT/8378/uV5prQRBf4v
VfL+AJJLPgTuBFgXUtn/nyrZzh9U1fzvX1Sjv2VKDCkZh8LqBfCAttU/MyX+EDhIMiXayHAeAUT+
Tqb0fCoE1hrcMNCvLetirveC2y8oneegLz95hWU+eBIbpnouy6vNS3lnu2Biofp35yB84G2ep2cb
GWWTnifd2wZDLwRSvajCwrecPjSYuhbYauFNfmwWL/0IZqyNdjQbtEbosyrfRRNw1qTKxuABAZbh
q+Ovy5F+k+NdIvqalxeGD+zk2I6DZ3+Y/QLdLNtX8/cpX/IrlJmVeXAKl7+iwJrX26txmMWhHdGK
Oypu4Fvs0KeP6QBRLDGWBc8R6awOWU8olzsheA0U9CD7j0Yw6gBjYBl+q/na8naDG4QJTjOySfAq
scwxaYy2xXPFnzyj/DlQfePLjb04bN8iZ0IGwo63bbf7Tq5z3+yhCgT5Jc00V5WX4dwbPobRcsxj
C+IkIhv9nPVesWvB20TfEMNJ9a6h01i/s5E0/6q1VXzCFq2tj3hH9d49VivOratpv3zgX80+VWBI
o/CAXZ4zMym1ZjzRrMJ731jj/MEIaXklelHwlzEwd9oDdr09Yh7cRIFpxAIatzhWtFTvW+r58NCY
KtxDdjPVDhcv86JjUyn8aNcUO0ONVs5xnI3WOuY0pEiSZkm7wJ6dFnMUGl/kDY1/1+heVwdrBUl3
MdO95JZpYFfH1kSlsceaOB3wDLLlaCZKja5+RzgdsgcUML7aPfVqHGkv1LscObVYV6v/uZVNj8t9
IYwpFui2ZqTMY8Z4KRqrcWet9ABjmqCYEKXVujSxdCyiqd1WEudsf/o0BEOFO89icZebmBHXu5p2
YLs3DaihGKY4ePcMc9G2NAvX2rw2h9I8+J0m3vaTjwNwCPx08nlvx6ZuBodeGd5A0IHLzI/7SFXd
xczfgcWdKwBBLqyNaOmPUevqRzXKNYijMktFgpdx9oNRM6RoYWakoYJ2WpdxFpO1ae2LtqEHhTw9
6ByCuisoRfoKfVCMP/RNP8thiRfXA7ND55x+tJOn+Xezwj0k6Zy0/4h5iIc4CPCK7zRD+n7n4wGE
lNzSPTL66zrk2BEliX1kenEzr7QOLjW8/mMFxm1IZsSGjkHasV/WsEjhri+tSXNaphhuu6Pw7klZ
1Hf0KPN7LVJbxeaMH1kees0H15z8br8aSiNfUnCaQin7+8aztEIDD8/vIO9EdZyGFutOuo00Oto5
OFr9IFiYftVNVMk13dlrXWJa50CWT8JABU0SrawXR6mjN58sNBhotzPijiUMNFrvVHBDXMEAxvnT
meV4WLGsxH+8GfuHsM/bd/ShmgkLr3697eZq+jR7yvvcYDH15MBzDmNMy8e3gH3y94Uc6zdrZaxi
R+Mk+onkP5Mt3i69GEuUKFgwSOs+uikgJwZHWEdb5bw8LMvMIfanIbrHpH35IDEF+OKSJJBOpAM+
TWVj5AJv8ZKJzmKWy9vGreCihJGhhn1rzNIA1WqhkRfOChqdsmth7UwzA5AQWVNm7xHclOZBjiGy
7Du/9GSYlBRE+C12JgiXn1Tn+r2EbdD/yB1EqjA1W4fbyF8QoXbCxh52jlfVTdIWdTvFeFnZNm5o
bPcEkYzejENbVUyJMrfOKZoXWkcx2EZvxACTR70Vfet53yukZr0rJbpO5TuvpbOzK9c1RbTZpBcp
Md/ro5atas7CzcX/sncm23Ej2Zb9l5rbW+ibKRqHu7MnJVHUBEtUg77v8fW1oYx8STpZ9BWR05pG
SDIHYDCY3XvOPjuajDUIH50j0rwbh0584SFzzlnb0aIpYaix4dddjhed90lhz8v+NzP3Jk7zrt+J
2uS+7AjrsIxnDBRrHBhGkZjZLqyTbCKsEec6S5ES6UL31niduvSqapEeeF079RwtqlHu9nGpxBp6
QkIX2IDOzYJCRdSq2ivXmUZNiyk/GqT11EWBfZe7IQyilIAyhzuwTJLk0p3Lln0o+rmiWwlgTTtu
nyiqaRnOWXNP1GRl+KtVkEmGKDlNpfbS7BNyBZfOVvPckdKuMz5FhYzecdMOyNK2qpZmUBuwtOix
5EoxfgrHLFae2DoWs9+2qZp5ct9QXJWTqfu96E34ZUJNLjuDGKVflTLXyqGUNrYBwc8Dbrt00oMx
jDW+dXosfWW1C3+v3RRf9qlU/E6z0Dqkfd/0FMYFTkMgvE3ppBWwUWemEn3FAVhL2f6rs8Ius6zu
jaShT4J59Uh1sP8+FL3RO4QyNs/a0tsIGAsM8S5AjiXyw7WWE7q0U1p7RsV33BGjLmGfb2vpM4tH
G7uLwlGcFQsqKJMXKPki4u7QmnI6+XyEOMyMI5UCgg9V9aKUY5mT3gyaxEnM0vzezPC6HN2sNd79
WZXXnU5w/Y8u5NvvdBQLeL2zQvoJxbz9RNaugdaFDx3Zgnlm3kdzlQ++sSjQERSU74Td2Ln0o1WB
QDl2nUcPdpsoz/PKnCaFY+JCh6WeJXpRYmz56EI3jXc1iXlEaJXZwmoTp/OdPlnWlzVr+t6XGrSU
Xp1QI/bZLCxtMIPsGN22azjGERtPRy4vu/FpUk2WrCpdOCDRZ5RZ6JqGg1Mvx+ZnUejZuLOB79a+
Lch89OykJ112rMw830VWlT4R2qjrrmpHys+Z15pW8zrE3yOD98cptNJWOJtm9exI+TCknm2nFcG4
ycpf16rUvKaZXmaepJAt4SoWKWnOLNRsdFiCk95p1Eq6sOPZJuG3xbXisSCPgGbspDauirHN+QrV
wI4dRbB8scVZDfZrYhu7NaTaOKSjJh6zCdyDq1ONSLy1RdJPXKEmN742F1WztyJqFQ5JWazoRkt2
mLtmnJ0xFBnzQqLL0izBmrAw7RbOTXfAyEzw8B3VkEM3VSMps1QDKbXTJ1tdgrKTnVkQhHuEf9js
KVIK4qfJe5acJBwM1iWLFbedjDFx4zTkaMofth0ITLLshEs4qhxZY2bqqJuhvo/QeXcQXeb0cZro
Ors2QKPRmWna/RwoX8vU09axBNkVL4tbgPtF9oCX/DaVR+uOcoXYy6skd8BSdNaPqFkkF5aJft2p
cfnNBkd1pfUGazdZies1U3P+RlkmVnYEpUyzo/W5OFrjaN5IM2F2jr5EyS9wiPPttOqi3811Jh65
csN0LBjLn4SQssGhZqnTaO5iijUGePvvlVmVfKJs9Rd+/pq3Uwvl1MWoXbDaxUV0M5ep+GaltIKW
No1SN64GSLANMUJfZ3YLtyGGpStqodkjT2s41KOeUFeyGkIEcAXVv8l9g0mjiET51DarrLpaPpuN
N+dzOwU0ydYgbDp0iYMOqoXsQyt9mnCUUv0ZqJgG40QJgfdfjJTiaLxIDl0LypukBdJ3l0RvPuQw
16Ogig3SDdniR8xQbCaPFlsVIpIzlhgnjlLKudtWnxUsEbxJiUToMKXNOQ3daBkHYtFrQNmOqjck
qibVbFwSib3e6zn8GjeUKZ856mqjBLWrJLuFASB+60okjivIMz6SnWx+LZnwt12eanc26YqH0QTf
ws2nt+HGcWTQsJhE1x0amAi624YRwpalXQ0JyVEYX+tZb/8qi0j9Rku9Gt0uFobYSaCCYo/iKb/f
FItGUF1WNEBKZTW7TOd5+/RYfVPuimpI0WYnqzW6Wsbi4PRjKSV+isoHfI9Y2IU2fRU2pHsa7b1M
oDdg6jAqbX/qCVB2sJuhV7PZ0PXBIA/DLWnWBLywk2EOgkVrbzoD/IxL6K+6S9eSpcks9fLGnGT7
a0HTGUoCYdlglJayOVT9lGq7NOqMateQlvSrNMMIDWoSDcUl2vwu9jrGW6l15Onk8f7FxoMlhSqp
jGwTZ7BBxXoDjLGInTBJ2OStbRNJVDnHTr9MjDYucRk11mGi2HqbR4to3VyN+tDpUAoYbqZkm2oA
xPJPOcyTrwUvwedZbShOc7jZit8mGHq3FmHxHFnm/JSMHbcbbZv6bCEOh8CjKX3n8X5L38rYZt9a
K2bosAJon1tFDkM3FGF1O678IBflK78nS5P0GZ0LP0IZQ/terrJQ8Itr61PeoJv1pjY3A62jYMpe
aMIGHtfSyBZEHprG65S1NfamXraGi/S/tN28ljj39I1YLyP2yIVvb0IcX7Cskr4uOttwE2VQ94pQ
e4QXohlJnlLjgYQONh2fidEwILHP2zKVlBVfw1gTUnRksef+2vaiFB4fYxuReBGJr0NhLXdpyC7E
543KRr83Q+KpwwkNjMOeSueYZcDd2KUAHgk1JJw+ctIphmmKZbcKaK3yRZxNmWzdiK2L5azSuAIl
EvH8teMo8pff/f8Xl/6PQi3o/11bcn7lyfrrVQOOP/+vqhJBeNSBcO8ZwOXAGwO8+ndZSVj2/yg4
uLAHAEwl/o3/8+8GnMVfggRmQ86gegyU73/LSrL+PxSiKMxs2R1oJv9W/40RXsg8cQpwXCeeDdnq
Bv+jDvK6+4b+hHqpKnVBL0hEjy0PO+0xas55IV4Xr/4aZvMD0zihtHYKr+BEA7ljXbpgEOKigimV
L8+h+lOd49tcy86kc5y4Jf8aTZcYCVIw+voT7WrGJckkynUBjufrCJqGCwzqayLM1jWLwnapNcP4
48inLTI6D7p0o/gmh8VDaSZX9Rof5vYe7CNHlah7hoBAjJz48mJ+3L6FX7wWff7rJ26IXFqvpE0C
wnt93wXSbzM3Sc+NFK3g9LJ0fsLST1smcvg+mntkzRREANg6SES8jwdnLr556OB+NFApkB4xpb0e
XBqsmhi8ugvyNglKI+TBi6ePhzhp6/71DGBOAyBkclG4fD2GjJhbmW0uEFUo+FMkiGrN17WWZBIq
c/EQy82nRlb2eiTua8R/zirqxhHpfKul9qWkzIeMEwan2Fzx4qYakECeo8j+sav8R+P810PAxAVM
aGMI69usfeHDiDW9WjOj6QJwCoSyNosjD+1uTFErDqlyFFr1VZt7wHPIwNZ0vopiDeFTYwZ0QPZt
TJuV6tNT3Dbf6FU9rFG5J7N8pmsUKv7Ht/P0NUXqjSZ/m8/YqWVYC69/qUG8sharaRcUCLmGpdsT
Mh/IlXGGUnkiwubf38ahdUshG7uuZJ08NaOXieot4y5o7fZXRJLcFRrFxK/UvPR0bK5BxkfbS5Y8
8tYkyhzyR+8/vtI/YM+XD2X7CfDA4GMwPzGQs/C9fCiUOTgtZaINMqRDl6hWJr8t6vGZs8Wy6wtC
Go9RPy2P5PFS0BOh/BRlOpLMfLAuJdjmsWsUefILwVbGMcysLFcvVIheHAz3MrW4ekemZ/dtbsOr
sLGva5Ior3ROFQGxzAc8D7UXazK6sjalg0aVVB6Mm6EWQ6DS1fGmyLwZs2o3p2v4uap62aG5e4n9
S93zMy6F1I7+kgl9RzJO9EnrkZnNFtvVSRvorYfVjcWexYegJ3GOTlM4CahXOym+RAGa+5MJkxxx
kjMpkmMYZKnGPWcGMYlsJ9lR6Ufa/KwRBIRvO/GsUBK+Me5VZVJ8lerVpW7HZybeH/v86eNAA49A
BLLMRkZ5/TiqYrDysSCVIG/C2EcXn7kDWwyXV+fe5K0up+S+j+0kaFBslV5dx/iIQDIc4kaVfoGC
/jIM6nQzDaoNHlfVcJcUZoCGcHE43aE6GKMrtl9O1EZbDc6MxCMV94WebkRdvZGjb1EK5z1Jhz0f
EaK5aQU6yBl/fzzt3nvBdICDeF6ZgHTgXl8mAslZX7u8ZT3uxOcc7tFVtHafmiH/9bcHImtJ22xf
Gz/6FNFsNOjmKLO1QauCNNX1KyPud11zLjj0tarmXy/yxoFWN4ixBHvo9fUQr20jg+nboJZy5ITN
KgbXmnOxOIPEtyYfpt4fu5z46+VvQuD/rCHbJdLzslSTVeT10JJatXLdc4VdUmW/ms66iql0P4Ur
joKP7+XproInBQoBPy5aJPxEpyOFa6dT5Q/rYC3NW31oYod02YeI3QxSndskrH9+PN47NxWCAeCR
Py4pMkRfX5ksxrCcgD0gf0s0v1PNozyTYY52zgtrkkky2e0p+3886Dszk0GhJhJ2p2xP8/WgokJ9
MCdTG3AOzYi2TS81yheOos3naFXvrf4YmHhwWHDgBZ7a4eGQWEhEmjZQzBpBQfZdNac1sPXBHe02
8vRpPkxD/7uRsLF3Rfbj4wt952miodRob2Ii316R1xdqD7nRh2HZBrTOxh1thC8J2ifkL7mDpPFT
LXP++nhEefsnTxY3kh/J+aWviQDhlE4uy01Lfw9rk4JY/dEA6KHU3SFOqD8ZS35PXyD2hGrUB2OK
FN9S2vQJkTKnc47QBF6sB/orxrlog+39ePOjkN7BoYKf/2b3yrmOyngU8xRCaddjbEfas3yv7R/t
jDDEXGfhaxINDyofKMWsbvfxTXn3MeDB1mA54iTalH8vv79miAmW3kkT6FN6TwRdEBbLpWKU14sS
Paf5Enkfj/feM1Cxp7LjYLEgIOr1eIshIpT8ehPkKwkNTfXYpOOZ5/zeJdE+5+PFUQsj9sk3LDLS
IQ/XqQmIbdR2GlUYVxHtsgN9+zWSogvwTh9f05sTCCvTRgj494inBrLIpiHYlgsjVnXoY00ab+q2
TolxHr93eq3QJEBIG2iVhf13IkKdrRyp0k9jp1znRr23U30OQrP7PhbKVUTVhz+vzvvUTP7B54jC
FF92DK1bqObJ3e/kkkhgvAiZSL+Y+Xw1qc21nsZ/y/T553OE/OE/w5xMqmxA924g4AqMrpE8gf47
yufMCyUE8h/f+m17ePr2vBzpZDpVJJgn62auoMj5I1FHvxjFDcazL31xDub27nr55wOEXGRjrZ98
6SZkrTSnuiZIVRh1pXaZDTQ320y+7iydMBCcIFm+lxKtCkw9uv/4Qt97bwj1gehFWRwK1smFYk1L
JqlmihUk9PqlYY3PXTHXX/+7UbZf8eKIVJENrsTszIKFIia1An+B/vDxEO/eRlgvXAQrP/KLk9ez
NFAfrLVZB+E6y4Eo58hfl/uSHeaBunSgw9ihDN/Je2S8QC9l7dOZH7BN8tM5wzdPZsEDIsUsfX2R
6byEM/QEbmUtf4Oy9ChiAD5GhtUyKj7PTfaE2OV3r+SlD3iwQIdWeB//hD+W/5OfQBUAr+0W3igR
afP6JxDWrdG4hABQ6W0YYAj8lazy/VjOJnJdmA7j1rHQzfyumVr1iPh/CvpRIRxPM/2ZI6NHXSO7
65YwDuSmPFLkTd2qG/PdTNYe4Yaz18xZdsi1xW3LuHbbar229THa9aN46Nq4u5Cj6Qsl29EpZ/1i
nsFJ9X1XeY2cZgFS0cSV1VHy+kkc8qZcvw5JwvEqQl5N2RNjAU/MEOviGUKGvg0Xiep9NjuLmj1M
cZ7TV9Ru69Y8pHEVHyGcTR6kE8qtU3FVRnV/CZKMlLM1wdYZfZpBcrp1ph7ndr6MrEQNsrhpXDWC
B4mYhF6ZyCRPo2qiOeXa+Wmc5LtRNA9Gsii7RUQGuHX1Jp5VrHFVgsCW0vOTTLPAkarwgmyLKehW
USAQty6BxOa7hchr14Aq6BDfgMm16+Vj1loQy9ryN5HCz0mXXavlckgEftwIV5YjV61+McjwKKro
HEjnnZ0mDmRmAgk3EHykk/WSFl6DSw08Ok3+q7Ganux5vZe79Ja0igepKXJP596fWTrf+UwCPNmg
KMDa+CCfvOshTli7kJY66KcydVdip+nSxHdkENxGdnrP3/oHA3Lg2nwJCvL/06M+WSezSOOmDsrB
XjbJPdxeVJKhjBVxpeU39eWZzc2bkg8fZmvDR1JUZW/1R633cj3T2jhfMjogbDIbxWv0JfMpDKUP
FcZyZyyT7wMJgIExZrZf2/pdURS/6qq/5KeVVyQtYACo4/wg26ni6TAnbvS+LJ81oai7QUaSlWI4
mM7cpe22v1oaVKDoWC3+MEkA45zMBWPqc92upJJNqnS3dvdRaJ1ZAN8cMRhhs7mbOEWYcqfnqEpu
K/JXxxJhX4H6V/yowuyyMJO/xYFjE8AwmEzIa2KqANs6WeNyE+9nFCb0JQih0qrZbVpWWUzkH6+l
p5lDf8bZYKScYthEM59fr6UN7m2BYq8Kum6TfFj7nLjETDxU+XRNrsCtWotDKDE0qmgnM37JiX5c
WvOul82Ltfsu5cLrz+0VlO0jdvoUKehzo5Fm4cfZXr4XH9K161cL2F1JI8++weKHvGynyKZT17QC
a31H0i79ftPD+nHQO4MmnxJM3VOGOLDEgkz2gZv9KFaMmvrqaE2Bk9kOCOjxqqI9lpP2UFarj75j
36oD7pnrUdcPH9/XN8sDj+/lFWxr1osr6FC+4UZVyyDviVNonntNCVKpusII4mtKG/yD0cCWwXtn
CYRO8Hq0yB6kxKyNMkgwZUjrDZJP9E2bi/N3Yg9npsx7L4D9YrCTDQASAA7f+I0DCTHgjEGdZp1j
Go//5JLwVdFQ2dagk3lZxlnfWTM3cMYHzVvszlJMCsgl3323QhTw8WjvX9N/RjtZNlAzRClixDJY
K3Nnqkugiy+x8vBPBsEkBhQKL9mbILbRRDlTb/lrYvFFeSfZlZe1zZlLebOn32Ye24F/j3Ly7uTj
KnVY1MpgSUNHItmsnx0rnH1Z+y8v52SKA9VMxkVlIIwvnlX8yJUnTCVnJtu77xEkd9RP9Khw2b2e
2UjMLfxGchnUOWLl6bdqNEElTE/IM9lH9pnd9bv37j+jnZ5E4yhKhm5itEjr/DmyvZVq6oIwKx7+
HsHtX+s7yQzgTAhWZ/U9eYuMRqpJ+162MD4F2ciEo9s8c+/endQvhjiZCd2AIGgUMzPBVMhjO1rV
4MXYtz+e1e/eM8rdVBVJoWdb/voJdSWq3HJgGkzLFWo8zj2VX0v7uDtX23t/IMSdfA/pjJ5WaSNt
MUvD5NPeb05g0/A3vWevlI5WnPnEvx2J/hHR28B4t3zG0+UUHYwtpYlVBqAkdqraHDo0mnkz3KT1
uRP42y8dQ1H6YKMF7Jyl7vXdGxWABgMFoyAU5s5qli9jXgcIAq9Fht+GfKHuokz7M4/s7cRgUIrq
hgSgi43jydzLUAQakOnYwmSrL5mPdpVfY1s+M/3evrpbF47v0UZw34qVry/Nlod4NcHrBVO6+pwC
/Sgt/Ex6TEYlUFfjzDN795p0SNfMQYm5eHIjG0oyOho0ZodATsrZMBcgUqbZ/3i2vzvMxlzcrB4U
fU8WvUmrRARokRUiHN0JovoKWUbQwvp4mDdHGsj6Ojt9SPG0GN/g28FOh3Y45mWgAgkJEwV/eOhw
qhknNLZj7FXN325EEDdC64OViJgCDjQnTytVqjyL06VgW6sgkhOXPFJME+WZFXb7Z17v7EjZo4iM
wn47VJx2BSSoTF2CPyyIOikzPAuJ0CcrJfnh709xYhCQDJhkKBnUKl5PPhgUedLbqAWKSnvQECzJ
k37LQftM/fm9y4GVxhEJs5FGQfb1MDIIUzU31SJIsekh/+6AYwr9zIf2nRcJQT66FhQCdJtPA7Z7
Kx3rGQJEoNiLj1TpspDsy3FpIOHWfqmVzx/PvXPDnVyTBPcl5JRdBM2EWEppb7A8OdsRwG4S8tW7
p38wHLoOZD2wD9EWvL6FJEtLymiMDFe3yPftINTXIC5VJ08AAK3nCOjvLLg69FtKR3TOqaOdTIzF
7uKplYoigK8NTyL6rq+NL8hiM/XrhDjpYTH3Al3/xxf5zhfl1agnq9NggAJZqrIIZHVyN9mgPEIV
65IgI0Hz46FOOJZ/yscWCxQFZBjGVMhOxlqsIluAKCGOr4tLy6yPGJj641rEN5Zad4C9TUFiPKJW
0Fa/R2E9aO00eB//iDfLJJUDnQ8bnDqJl++UHKuRvWP2g1lRb4XMmPcNzRcdSiL+h48HevMCMpDB
wYc+BZeMaOr17FG7uh4mAg8DJSu+Gam+o0t85h1/M2O2IdCUAfQmpUE57fHQr2+GtB2rIJuUL93U
di5QoC95Fe9RJiTOVv83IvXOJFfmzMW9+QpsI2+VXoljOn7JkzexzNLcVmepCtIuOWaW/iuvw096
V9wucXmrV/rilul4hpr4Zqb+GZMyztZQQzVxsmnMrNZapV7majO9deELPTQ6rK4ks3fg9M4M9t6t
RUrH4rnp/d5s6YYlDyvcfHysdeNWpHg7NBDAeE0uarO6EJr5oDbGAwaqM8WV924shRXS69i00hI4
mTX6ZPCF0+Q6GGUH6ZhfK2B+8iohyZEYINCKOY2J7PHMVH1nrlI52tAhLON8ZLeX5kVNIBu7otOp
JwcwArMDH8JLWaZhqXX6s5qR4plEy2aKKp4To98jsPDKLANEBQlWQCMHr2g3mAnzYhdNC2ryFvq0
05uq7ouKKmub/tC0GjWM6PwIJ5Fb4ntDKt8+QEkAIwHsrF5Vr17lz2o26A6llevVzETQCZhEVhV/
r1UFkTgBBJtr5QIJwegMWhZ7qZ3Ffts1lmOaLeipzBbemDRnvnLKti692hqw8aCVjaySvibY5JN1
S883LA78sGDuCBWSTKHhsaIFWRPB0gJnPIIENHd1KB2XrSgf46P5lhOxmnX5+iDFmteTIeqbVXHQ
1yr1ZbPSuBm4fNNEezKstPDSKLF3FfSvM+/pmy8mv5ze72bXIWcX0ebrB9tHehJnbU2d1Jgjd+b3
OEO5yh60lejSqnmqQ2NZZ96dd9qm29eSPQE1kg3lfvIly/NZV9pVr4J20vrdgG+P9DF68ITf2ogA
avIO1gJbB/hG/DyJ7GoyvbU0LaXNXvgZT/fzPPVfBvgwoKLWu7TG7jU3eeNLlS3ObGjf+SptZXJY
tmz+4MKfvnJ110eNSZpyINlIlfr0k4orFqMCRrMGR932n/mZwMXlHNOeOjTFflIm+cx36e2Cw0ef
aj2FVVLh0JO+flJz2tRyiLMiEEt2kS/SNb5DkIGL38NwKwnPnhI6RxbbuI/f/bdtO5V1lTSh7dyA
N/10D6e3c6Jj4KqCHNeAI2RMeDHpNUtvuVL03IbxA7PUmfXhKj8XXfjmW3wy9Mk141+UYwCjfCL7
ZZ+F82GpUNDBy/n4Es8McyoKs0Ylj02YKQGGlasyH9D9dIFSnVNcvFlEt6sh+NHcgi2hhm3//8Ui
CnXEGFTIacE0a+0hNJrqAkxZ4X98Me8/rw1qyxGCrKE3+OoV+LYlpxVKvWwHzPUhNrRrI4mfsXTf
DhGuDmSdF03b7BVYbv9kcD74CuWhLYhqu9UvrrHOx54eXMTgtTiWg3o3hOnPJesHZ6m/N31ziFLo
nlb7qVyqw5mxt1Xj1Sq83d8XY2/7gxdjp4K9MHWwKqAUttNJAW6NTctLr3UxvHIcPzVa+nW2xKe5
qy9tWT/zorxZSrfhIQ+h3KUu8aYeEpXmvE6ZTVHReo6hCmEHv5iaGyVP95Aozgz2Zq9zMpj6+lpX
EWGAnUwM4SUJz5T5DByAk65sxPf/cqiTaRtKyGfpyJZBB+ytgmYPyJNDwL2CXuzjJ/j+Reky1nCD
opxxUqFQtaFuDJkXZOhNzcd3W24qxpkO8rpcY6sd/8mVbacO3kj4ZKcNpAJNLhRWrmyx22GXKFkE
yDSvd2FbKN4wq/mZGfru9b0YT3n90MwJm6YCUyFIovrWlKerrm0OjdW7ktLv/8GtZJ3ZulC87acS
v3RBH5WnYRkACISKaGnXdle5bV5MbA/Pycnf7Em3yYiyDvkW9R7r9Ll1QilDChpc16KROgX8OWmN
68HufeBCB0xLEB/Uzx9fIB6Zt687h2CAKwDfgWGdhkfQaGOdydh0GYr4RvpNeK+lhbHjEwYaGOv0
JMV32IMnf1Fh/kAq8UearwSuJSoiCekhE81vq8KMkFjKGJigPA8grQEIN/VDRl1wZ67tfqGK2UDx
SGflbinrCm6IMR9GmWD0KYEsEo/N5AzjLLlsSoUbKvVndAzd5QK3IMBePu+ittQuwqIEqa0ij3Jh
V1alO4Q8GPTNGDprNUsCaG/W72qUon2bx/plNSb7sRS346AWFxkjeWSr2a5Nuo48qJa3jurFRgHe
jZ093K6l8KfRzvZjKytBaXL1WbH+hFaqXTeh9jVCB+HN6GcbvY0cs+jHwNLEZzXN88tOlr/pmHof
AI2pLjSl1cF7vQIDaXVyb0Jzb9RV6Sh63hymUQyeEH1FWzC9GNZ5X4Fvd8gXY3+dD81dnGpWgGc+
vNFA9QUYm3Iar8jiNZ1tvoFTOoqpgG+w5robPk0Ck55aKjfY3Q6ZXC81ckxF37VdbSARV8ynmHHd
RFc62tQqiATYxldLJk1ArtbwLg710S2TtD0iPLZoM0viGLeS4ZAtnztTnGW/BCi1o0GCyLXUslca
MAguQ9T6dtrrvhEp6aWlR5W7ham2Uqz7mtFLkDaiS1moyPWKfDok2L/9UpUf1CX6Dt0jxXr3kFAN
OUIzB+YJh9DtrexHqeX19bi2z5wLMVcatge2AlyctvaBquapP0nVfkKn7Wt4XFi0s8VBD2Dtyayi
TZzK+7G2sDKrtmvYi0rNOdWBtJQqQJ3yBmEIz24KxzhIZryJ61DpX5eavpNDA3C4wE8BTcZSw12e
9mtJcFFFEbmNj8Duus8yvgQHd9bo2GahBHIRGZ65atVRG7p5XyD/iFygrX4aVV8rq8PFrgIehFwz
3cFYDTnOqMNBdOFVDeTzcRKRfoyUKLttw1oVPv5X0+lsaGqLFl4altC8kHiybxgq06DkxhPDi6Ja
3Y2lITX7cZYFGPMma5EZtToQSPIgbAVIvBnFu1Fdu7uBtkxgrsBDOEBkLmGqGJQFKAR9reuLghrf
QUizr3ddGqRVZfDXqy+m1O/lYqq+64NRHUBx3HPwy74gR5UUZ8S0dmhGo/8eq3Xhp+Sch065dNMv
PY4hreQaZOGjDZ3c8sRC6m2WQktb5L3JCdtRitjt6UTWUOUK1aalEvfGcVb0JzOe5YtGkrES1bnp
TKa53uBzat0pImkPsCSw4oEjHU7r1pMHjhhOtYS5W672GORyA8w+FdN0qUTR916aDB9+MG59VU9V
T2mj9aavcQQFpLrgmGKffm0WXcia0Q7Q0OWli1wobcoOPC9KFYvIGbdWOlwlUdQowYZISt26nU3J
N9OqvhHgca9MgLzHTuad2cn4Wf0CHNxDQlzHQcsrDSBfoSU/5iq8MWMISSvuXB9Hf+KOUijdwbUw
VPDRrGQL2QCXYTodxqm7VuNocsk4+KkPYtbdOk4iv27sFahcolNEC/PQOMik/cDlydrpWi/1+0wt
3K7nyGdTNrjIsnhyABBrXiNmV8q0m2xIb3Ff3U2ytovD+rFu05/tAhzbtMWFnufXkPz2Ju1BbQXT
ZyZGBdo+jt2hlR/FSv2VuRd5Az5w3wChtWBZCNauugCde7dKC6UDKH7+2pE5zIb5KxLyzjNKkt8z
SX40db4YDV9qgJnqrUXEgTOPgwzaqb+lyPSzsJgXc7dM3jhFBznWJpdPDqw3/rPdm1A9wJPCabrq
m/ECFsrnctDgBT6O/Yq5rB0eO6N4jCUOkWBROdVJ9f1k9w+ZpV6JokSw0leXVmL6k9DwqTT3Y689
a1taw2RMkDwWdMTJPuLOyIt9J/qQV+yLPcCbFIbkEzGxs6zhqjSiowl/xSGrF749xRNvaaj8YeK+
DEvdDfviVzpyA+0v8B7cprY/o6jZUZw9VFr8O0yjIC26q43dGOuDP1vDL1D/n8dJ8+JJno5AIbbq
HttOwHhSqj6YsrgwktmVOUUtiU4TSLpWoyd57nNe8/hxBFGhZqbiMjEbd8rKW0Vd9zaEeW+O8vJe
yLzp2Vp8UcfFmRYrkPXqBnmva4y9jmRR/IjHEJy0EV1rcuFpifwktO5Oy+bqwDrjDJb1jXfqWzYu
rmlmfj/L5bNNhYqY3wupba0gsu+N0NjRhbe+F1V21RfGVduTI5mOTMepFfsl1459qMt74I7urGI1
T6M49xpNnz1TIptKH/2EDQnEDfD82gJdQ7PWQGu6+6ycf2FyH48Ncuv+SKpBZMxBDNei+7rEpE3c
6eA/2uourMw59rG1GbsoydYjJbffH2+Q3tlsbhYd2IWo/EiRO6mxxGkilWgiq2DshiNYVchhAitQ
u5Ma5cw++r0j57b129RrW6HZPDmna5Uxpb3JWCZgTcMAjLB8V8ovWlevrlp2lJ1VzVsoXtXWOW3h
dqA8OfShvteQmlGaQN1+cuDUpLjBzchpd9KNgyWPLqhdMpbPZQ9uV3A6zIsrfCOdK9qwTHqGWfLl
IkoohIIJ45NQHyYLfM3KQglE9jhq55KW33+M/3trT88onZhFW0wxYrrQ/iS33U4v693QlNfK3J+J
5nnvVnIWspDUsa3Grvz6eAJXJ5vrkvOzKJdtw3PH1tWtrOFMGOc752SUcTL9dfo84AZPnlikVLKx
Ig8OhmlwDPtRySdq5yqyi8wnCuZM1/Zt9Q6PK8p544/ZlEyvk5OyxqYQLMR2yBsSlw6x8Lowfu6b
AuldfYCQc9lslPko55o3pMnYnmnCvHtbX/yAk/PzoNXaJM3UBZoEg3pu7DW8PLk13X/8vr9TXeJo
SacHcwfSotPMvrwxVhZeDmHs6OMjNXzgYhkhFR+P8t6rTpEb04ttmVsC4cmyEkJdHsRCwZj26qU5
xhhDMXxaT8p0syjSjaIVXyJt2g9W4v+DkfFub2iFjdGpnlQHJGMwlRqUD2qd7mhI45HkN7EnvuEZ
euEGqmoh8S3q/+XsvHrjVrZ8/1UG5/lywByAOfNAdrdayQqWZatfCMmBORRZjJ/+/ihv3HFTgvp6
cDZwsGFvlYpVtWrVWv/wBWvSC9s5RZp7ZxUZlMY/8B0wau7q7Y4WbNZXRcU5xM/At+WEOp5jJ0GD
NO7m45m+87BFD2KpIOnAtIHEHZ/DqW77ZGxEdRZjM3JZW6jwFoW+IEKHZJ9ZEGtmtFG2OK/YJxoZ
7+yhP0Z+4+CMeQJ3icMkndY9X/pZ6EmffTy5d+LZUpVgGQGZgn1frWI02yKfEwKpNcnL0t67xif0
vDfAY04M9E6YgWUCxUKjNWOCeT7+ioXtNXE4cCe5WfNNF/fNlP2oFHcr2ujSae0T5+K97QFaiLou
zH26ZKtjMSuohWakz2c0cYJG2rsGRa9oPPX13lmg5QGoQ7hFP4tW5/GkmiRHrysmdtIkPzQLXcwy
7z5eoHeHoEhN+RjFDGLn8RBjXs5qrTIEHljXdoGwti5PAdFPjbFskj8qtZE+lnbscdOkWNvSCEM2
6lQZ/J0F8XTAVJS/+H/ztWX3xxAwEYaaegWgKk99dKvkR1+b+xiEyInc5/1xFo0WXqLwOFefqwdF
PKIdBuDOmR/7In3BOST2odhuP16WU+OsPpmDG6Cwam4R6BOKP2foMLruA5YpJ0RV3l+a/5nPcqz+
+G7KMBmQsZgPsit3qmPcKUV8qnj97hjI279qXHjWGknVTcizeuGSaDjhtgv1vcB/4OPP9f4QCwkB
uinBZnXr1+6EknnFNBKpXKSyvOp7c//xEO9EMmqJC0gV4R7msurEq70HTc0jsajm/JcZdtdTEb+I
triavVMN5ndn49AxArVnLA7mx4uiNWFus/wgykk0/XhmSv1foycAaYDXADjK4rvOIoT058JrXpV5
fQacE2TMJ0+pUHp0+50pkkBN3d8p0V/pRz1UBf/81/LffK/qqUmwgfvv/zr6t+vkO6Cs6pf88G+d
/aw+PRc/2/VfOvrJ7X+//nH0s9o8y+ejfyGtS+R01/1spvufLQJ3r7/FP3/z//cP/+Pn6095mOqf
//7X96or5fLToqQq/1SLAgr3xx5bfpN//rtlAv/+16efw38cfj7nz+WPN//VPyJTtJf+E69K23Ep
esNnX6rev21eoPb+J8bQZO/cr6CKllP1j8iUoqM/BUqNhA2qCcbRC/OR8oOM//0vxdL/kyivOliO
q6R0ZFd/o17+CtH646HE8w+YHxc8PwtpGX0NK9TVsZp6cL9PqB65OyuKpq+Dphk+nEclUGypf7Nb
WWqI4+b9dYgd5j3PrvgZjBVehRZi209/fMHb3yP/R9kVt9D7ZPvvf63i5vIchevEMwPSAiDvV/2i
P+JZgnkLysbAKLSidy+HJBEXs4HA6Jjpf/lGdDk86LACdIRbxWdcv7gTr5zUwhnTQx2eucX5XLg+
XRPf7YQ/jVvUToIcxf+Pp7fkgkefexkT8BggCjYF5/f41ErLm0oEWdIDJjh+dZYEc5Buo83fYiB+
z+2PcVbx1HL6HlHGKT0gb7kpd9FFtBXnz6qvbE55c7+ycD+a0ioQCXgHuZEwFPK0TMoOnAA2yCYJ
vovNfvAN396eWjlnSc/+HJPX4QJE4aZY9Bhcb/UZsZ+1wwZD2peuSdUWr1BXp1PdmOjklpQdzij7
1PhmFr0Fa7FW6gD2YBVtejDJXoC0Mc9/NHMjiq9GhX1Ko5d1GPTW4ipUom4JlAXMMBaI+lDou7DF
SihIY4eWUKxk2Y2BzDp14qFyX1w5RKXf1uOIIOakFeWiv6QAO6ktxM2L3t7PDsKFvhy9evZHElLk
V+gGBajtu9jbhXo2gxBpO32L2Kf2va5arDlTo5U/KAbZOC/ms4GPHqrhmV/igveAgG6FkOyAE7Df
El8exsleHAmHcjL35QziGW8Zu0D6dbAS7ywJ0eIMKNOi2pvWHSprUdVlWBN7iL8ihlym7SWeTjU1
zkJLr1pPQv6Titm5m75QxRjM0IAt6oXJjI1rO+nXQ4rikY+WbFFdzgVi5QE1LRRBok4W9xNyA+mJ
M7NsoNViLxESKb4FsaWuMQoIQHuJVTTzS4wc/VmjlfNV303KiffHOvCAXtUg2dKfZCQTS5TjkzmB
Is1qKuYvtVPT7YlV+l74tAdeI06BLdc1DjCejEWMA5/HxCxj9WIsnDily5NrL+pADGSwGnJgjyOP
6otWRVZS2qL4nIxx8mBLLwSMmZJxdZ6bHTp6b+b246D0ztSXVxdYJQw2uFxWv07bNBEheWLqZWTv
LE3BslSTNY53znyiZnUc/zioi64dy+gBvECtZ238HbuUqPWuLJ6Ijvliu6QgW+UitD0lUWCGmDA5
yBrTaK28qxZP9y9/M9Nl+GVgwMoml7KurSHZ89R0lFsK4wkOXukPntv4FV2CLRao8e7joY537etQ
kDfIIAAmw69YMok/8zNk0dw41XTzSSSdcTtg17lze/F3EIzfoyxbdoHnLQ+n1fO8jQx9cmRtP1Ui
ToPEsZtrDLBQXJ2T6dKr0Y3+eFYoWh6dRkZk3Qwem7ydIPXAGzmel6zdvICabzz3SZq9FNrsRmeK
FacILsmmL6/wjEpyP1RseGxl2UUZIu4pvmC02WsPVQBoYWcFRYUE2TGnQNYPcbUXXSiKQQIr03iL
tUGcnXc6fRfk3MLyZXQ8LdsMdUo7tEgn44eVNwAdpYuy8rWJ9eL50Jpc3pFGxDwjj0p/zJEIuyA1
I5Gcl45iNGfxZGnTFuN0eUC3woj2rsXNAHST5i4tv2F8rMMcM+jEi52BfosSfmps+NZnqYgzdzeb
Tu49FL1jXusiNytwqxHQvbmkkp75o6EM9dbEO/VHaswwgtyicPpzHKcq6U/VKG+GKq0xIGgGqz4b
1MlSdx6eGd7GIT17HM3a/VLhVyyxNtPzKsgKFTP5yK7zfY8BibHhhtXGveXgwxtMbuiZ11W4SPMm
EV36fVzpznzdueGc7o2SLO82rrGR3udaodq7MLH6G7ZinwehraE6huVcfDEWid5wR1DZPUtao7A4
A21eB6j15yqakGoTbka1Rv6+jtqQlp+OETcq0Hmp3XplgjK8m4qwofJUYyihGCMMuTky0ecoWJdp
U5jDEG1jx41+4TUBUgfJTW5dU2g082M18jjotsa1qhaCHm3nqgP657qUGyQUxxxDFCJAFprR42xH
7n2WFZTVcB1wgQzjbZf6EWf9Ybai4bHA5JgGrdNYd2WEq/g2rbwCC5HBykdfho75FXHdytoYrZdu
pnSm7oiOewq/e0RTYpPYsU6XLgdUeKlhhGkAZ0bi5zyPvbTfzE5eDvTpvaI7S5FYfuyEJ7428xx9
h/sQGRfCSMUlCMEs3GZ5W2GC2A3Kj35EEt4XxpyVWzWpvC8zVma/xgINy20oDD4TGpzGIphRx9yr
qRE/gkg1EeMfuwiOc6Fnt4pj4mM90z/caUPjzNsuEfZZZLTzo21KNNI12SE4byJ2Vgb4Tye7TsKQ
DCbTSTy/b93ae54K3Xkcwla/GGF/It7hVEMSKIhU4XU4DdptTc913hoW+U/LM9/cGSgwpA+4r3ja
gSzKTX5kJD3uJ5lH8U2ExekXuvhIlvfqlA1Xpa5jeKx67SgvE2tAbd1tcQ6kU++pl5HSlIXvoOGS
7XB1HfrtTAcmDco2HR5Q+VbTrSdH87oYVPeLF7beU62kZC5IRWXfqsZjg2aGwHRGn0PlXqQuEveu
VPMb+vxaGyDx4N6lsK1+Ak7zfhmp1L62RZiOvgVuRj9vFGxG+KC1ne7xJszjTaaglwGRCsxdQ8Hu
TuNHIpAeleO2w5Z2CIxctORZkzcK6E9OVOGXY9Y3VtS01+YYlRkfUHQkhnkufjhFMmCq6lr5g6Ki
lOEbbW9vCWT9Hf3i8Em4YeEERdjod5Y7JY+9KLqHaTaq0RcOFr4KdsSHWA4WU4m9RZkFU7XPPYsF
tSt3sVtE5dveoDiuzaBgnP7aVSq61Qq6k0i3ou1O2lf2TeNHvdl+7wdssH3PpeGPOzTSKHUGAsqv
xKSY7AbMCvBwbttfjtMPGyGzKdwUs5JfC1uRnxOzN9H4zqfhFilrUGGEi5nOrlWWtPRjHeOf1GEl
ylxr74xqomvvgIMafb6lQOxF6aMfk4UaNrEQ0c4gbjpy5khGqgg6otetsAhpm8FWVKS9Mt6OmUe1
VSkyG6v2TMVLJI/HYvrkROjh77XU0UJfwxAHYZkwQo52IOXDyWYEQCGx7B02GSSF4YJohSlv6SBu
uIXXlo9gGtK63vb5CPGgHCv7qz1atKKx1VFuBPd/si2MAuFvJKBmFM6TMn+CA2l+gUoYz5gwNnm2
EzkWxhuRlN6TDJO83ULlMnHSTj263GluupU/qZ3N2RuVmagYFdWNmDHEC1pw+EMQpWGBVYKI6KJT
oMXUvVdSOW4ikDMEuKJFmcdBWgmgfJfifpqNmCXg0EOHPjWmutwOtZ5+mVJ+Lo09R/mRaxWXeov7
oQzsDqaTP0cDdoiioquwQX5dQ9M9tpMSfrfd0b+dPTq7alFSr+1tlD63SZ2rV0YtxdNYogfku9ZU
oBo4NRPePw1cCyDVtXtuVEVPvPTSWOJBpLGpS17/0jeRNrd2IzyeehNG6OJjKdx4QKsUKoM0+yf7
3lSy6DuoJl47iLHISz2tk/syG5MHUJuwKNAkaq6oZ9RWMHXdkn7NRRPtUrIiPBogffTBHOP6zDWQ
hnddb7U3RgZThmOlOb+oU8wYjJmYiOqZ0lbbXjbzM26kct4N2Jx/hpPbf3HHHriJi4gc/Bpc4m+c
xLR/oNaE76IR4RS3aZDYv8vi1v7ezuH8CwvuaecqITEwt4WoN6Z0bXwdI8kjDm+38QEzp0g76yD8
Eldar4/8dqDls9WxKx3OI6FMe3QR3cNUpTzDkEsaHvJEJOqWWVhqQBThgcobcLrFRNH6HqF9E2Le
WvLMm/KhfUmRDb6RZWUXuLskebzFjiN8GcU48cmsUeB54JT9pkS1TgZJ20Q/FCeXP3CdwPySd3L2
i+SVHjdmCltZ3YFqU7G0F3RQdy2vj6/toDRcrTOu1lieOosfVo8JCiY1tnNtFUCwt+CQUPBIiUxX
4DFqIClzFynECEBMfoum6L1bVN73QWja58TtnD1KPSDlKs9s2R/JGB0yDI6+DIhGZZvCmdr7FpVr
CpKhWskN92V8kHGZPaUChR9ik108kyul34tedwheVYfLVikBD+HMITB3c1Q321VzyZsninvvq5aq
8tbALipGScXEujYZUQ4uYiyxZj159CxR3VRllDy2eAbDxKnk3OyciisTDIthHkReZn0gIhzRd6U6
dPdT6TrxZiTpDPG9UYYF0uYSDSLOCrQQDZmt3SgaCYIxTZNrvcNuDx8YDUsBQPqoTkeSUJXgkwqL
SjPyT3avtOLCbIU+4bYejRRaxgXBys4d5T5WVH2PgHMXsBvD69nWMOrheMjPuijJIq3RIhIm5oD6
SFz6s2alh77q6X/jSDGam7rox9CXoD6/mpzVLDDQY6TGMhKF9XRKr4zcAx87S80FtZkOeoA892I8
M0YTDpsjfJiLtIlygNLtrAUCMdTwRq+y4rlWKxuXqrFHAjz2cnDp6hzyCeIhFONLnpURZQfcT0cg
pV6XlN1ZqBlFv9U7JzXIGvCL9fO+877GpahuEZOTi8U5xmOmi4qt72VKrx+iqHU3VdLa9hUUYgeH
UFXEO6TdhuEha+ZaD5Sqwmlac5v8RsGajXKJYqb7JbbkZMQ19iOWrAaUCzB4eUh7sRRUMtkASdDR
Ktqpw4x9Q143FpC2WBvmnapMzks5Tfmt7IyEMMX1jsuoi+0DyBv1zp7HFjvapndxrbVkdD6Joq03
HVq45iXe6mhrbqM6rUPMA51OtHcYp+NbHdWmGe0UpaKMkxUVsUob6vB7knVKsjifGDfFbGYYHjZd
2u516bQ3eZPp8tzUCZ1+hOUtdhSiRjFVMyd93tIEj+NNPNuIxsKZaW+pTPXqzgnV7BL8q/YNMQPv
u1oTEtC8q1QaiIa2+AKq5CFB1GIeGAx5YWg7xyy72ofw3kOhsLgawjbBGVq35+RG4LXl45BaDrux
FCmJetPUSMK5vIZ9q6iUGylVoM+Cphnybbrb/3DRkgYB1vP+omAklW5vyxRLY+QceNfULY6MdN1Z
hxqjlYOGC9hzGKn1ucUTzt6JXqT3boRdm5/NCSFT8ny5FX0/u/6i5JIEjjc5Pz0Zmou7YZl+5eEX
3pDKZAAD9LrZm2lpbvSuiUB6ErWIxZGhvnhVNO2nusnuBUdta43Q1nwgufY9m8J9wffrak7ijVre
myO7DNkv2/3CIzafMOdo+uGSC7kD6aQj+m1hU3TjNkoLqCWMlWST13n1qBPSwutJhsirB7haFyiL
xUMUbXRVRo9RqyXNVV8XgCWNfpnYaOdtfFF0nX7jhjFM0lihSB6Y7eh8U6i2eX7IA1nlM1jxBRwQ
NhkBqPrRNQUXQF0nFuL6PW1vv6YKj9kOUjCh38RWD9bQ0170dDRJoXnCWlDpoukibkX7aFeYEJIb
J4Z51utV+VBqFI/wP8OuBEMmg68aZW14V3iierBrUYcbuH3OZestFtOhbIq7OVHzzzxKi4MK3AVf
TjtXvgKC4xzKKGseeZvHjwpeUQdLmN3LoObDYx9KA/w7j+OrRcW9usVmvI/4lLbSCIqrencDe3p+
MPu+eMEeu8MAarKtp35y8PH2wthuWH6J70DoelH7Eo1t+R3IuhdeYFYQYg6JYNsQSNsEnIn1dvaN
X6L5Wig9zNyxHu+tCGY7aXLWX2WGgq1O6UwelUvLEZ86mbjPDs7vd0VrACAci9htgORqiX0eOwkS
J1Wk8MYBCQIFdTDwdTHn6TvI/Rc1IgRswtwAJE+5mRyhdOdNlxJR/NJNeNRgCdSa2KnO1pem7iio
JvAFdlJTncSns4JjW6jqDjLrcQFBIaomdcZIfYh45sdG+62lSkOhH/6DeQ2zy9bOJO5c8sp0I6fe
ZmlG8WvAleErxuSd8kVv3aK8nviC+aad5ra4jHW7tvEkjCxn63ZNf++MTU32X9hDe94XRq9/jeYY
ULNB3872HXiHSJVlZf8LOomBu5BaARONFTC3wRS3MyBjZP+GcwsTK8pu1Fd9CunVF9OlGXQb8dH2
VlTWzXk0JF23r7gyskslGTptGzdNeWFVdaft1bLCMJCLt892wPpKJEqqhbaAGlDtBLyYufsMPR2s
XaWnVoJtKbYNF9FozIDrhWHgFVqOKqqYAkuBw6yUosH/zpwwlLejJjlPXDF251j8FeLSw2Ys+0z5
oTQfk8miJs63cOY9S+IMu1xZFjuc5XK9pXp8K6WRYSnvCayDRhUjwBp02zeeSAC8hTXnjzFuC+R5
2JEuzoe8cryU3CfoC+qDm8w0zet8VM2Qn4nX3Bmo8VzbeJjyzUFO4rckFlX1OYtlCkB4yrC9th2U
RezMyjgJdVJhBWFCBAnCZiC30kRnouWrJdOXEjdGD2stq79LaRuWvorBxlctxwY0CHP2wyXeMssT
08Ca6lLPQexj1FRa31yzKYdg6K3qoYBPam2p5oN7/z9U3HWrLjrjqbPt6mftYQOBaVdi0LT8f9Y5
73Tm3hQ0Hc02sQEBzUXbBbbgceEvLLIqFbPtPiVFol1V6ah9NRbK4v9iFOjiVEbBiII4OB5lnvGS
lPPkPYG8G7bIWrvbKtdOTGX5If/TUXitYYJmoBa8gO8Io6vabJbbFIGo2j6NHRDyHhbGHn1XHELA
OpIrpKekfI4RYr/HIxVHTBN+p84HPJ7U6CRSukMSPs1eO/uVOdS+HBL1mjJruQt7/TF2k2mnjHN6
AlbxdqL6QpWjU8YlCA5hqfz/0U3FsNNMIDBhkufIhe4VNpcKiUzQFDjCWlknT4CRjjsJTJQLFV49
UCdacw4DH4/XpoZwBt6Fh9yr6w0LqWwcwuimdu1TfcePh4LRdjyUU1kDQH+DCkqhVJewf+n9xbIJ
zFip/wpjs8wKydtFMQC89ILoWO18pUeMt8VQ+CCrHrd7uoE3k1V2Dx/v/LcTctChBEEI2hYtpjVW
jGoTjJU5Lw+qQlSIeZLyGI1fOuq9f9VQ+z2fP0danbFxxLDDU8vyoLiRPDeoY0J9qn99PJ03W28B
N6DRRrMH3w4YPsfrIwbIL0k/lId8iDLgdW6JG7gunibRGp8Gd1bOPx5vZRrwOitawkgx0dihn792
DWozjDTlLNrDNFTKU6TUJcg+LF8+F8DwNtJO6z0S1g9hLsdbtY3GndIYOE2DybDvcNyEhRYO4tto
SvVEz+udhUUyAagheA5ulddu4B+HUJuipq85dQeLAA3cl/5W11rK+Vx33z/+Bm9CNNgpQP2mg1o3
j8g1uL6hO8LNPIoDPK0icCo929A9CE8ElffmgykDxxyHpsXI63hlc6nV9WAW8oBmDAJec/FjzpUi
iGlBnxhphU55XVOaO8uNg4ocGMB14ORx6AxR2x5yPD62RVfpe4r45Q3PGm2viHDYg06Nr1sl6x/z
pgGmIof6etZa/Sci2qewdiux2NdfhwLCgjygC0Z4W8EOxtqcoR9PwwFD51QLQgfjEZRsU/ssJw+B
dcdDC1NpXTj7RNDu2NhtW3u7lHN2O/SV+c0OJbqVlRmmng8DdOy2HsWFkOaIN52XemrCVrFLzaY0
1EX7WhjFteKU0Y/cKJQb1xrqeTMbZf5FMcrK9UHM6lUwGbN5h1aAc6NkoTafiBVvri4ue6R6OU68
i3XS8OPFrj3ZeeHg0DWDIhbY1CiDjsxxJ8kFNrFrxd9IAuQzvbJT3nTvbDO2M5Bq1I/xnloD5J1K
oByEZOEBk1dxILsV172tFTtTWO3m43PzzlDowGCMs+irYe23urYcQytcCKrykONJ5SsqWTK076+p
aE4JXb/pngIwWDYPoEA+pqauNnStWBFaz+V8oKGDqbvtbkl+x22mDT9tPDH3WXdKPfzN3ABsaijg
ke2AJCMLOF7AMU8VYq/G3BzVCdBU1z6TW6u+Tq9q/5efkaE4He4yO5AUr6idPwIdsgZKmYuoP6Bo
oeJFmg27bkJM3sUO9MSKvY0MjLWkieic0IgGR3E8LWeiYIjJfHcwwxgVYuxab2ErjkFe6HNQzX0M
m1FZXhzyaeRt+03BuXmP4AQU3WS0Hz+e+GvCeJRQ8ttgNmEavG/BkHqrG3VCbFdVkro/pLws/d5z
7P3Ye5hO67SQKFO492E6wTPUGvve6Wt8IdLeemyKQqXo4sHNaNWnj3+l95Z9wcqggrNkf2vReMVp
B9oFRn/oEGy+MotM3ULNFBdUtk/tsNcYsJq9pWNQxJYGkKh7KzB9addDj0DleFAce4p8mvt9B4DQ
gyY9t850Azdl4Tp3+vjoeh0FAwPl9LPGqgAB4F88fMIBEsOmVp/oKDh9DgpLhRT/y4xfq5gUEi4o
6PG6bfhQLzaVkkdtUJTHHLmuh48/27Jt3kzFdjTyycX0Zr2F9bEP5zwxxsMwl1CQ0j7fNG5Ynkgo
tXdWZ8H9LLZRvLPfhAEU3WxtKsrpgCV7s1WEY3+a67neCbjO9zGCJYEoII3H+Bd/ctKkuZ07ky82
jRIpPzfaObLoLgG6mXtefuOJY/wmc/PQgFvQyywq8s3ro6XpTYYSQjodRs3qMIDri20soicRcsbi
fqhO3DDvfXLTQWuSL+GyfVbZtUdPY4ESTAcaFzQ+wzHd1tFY7z5e2HcmBUSGKheX2cJiWwXexpCh
muj1fIBuu9RdE3jNU2L4lTor13qr/S9mReJiEBCJvFwgq4igdwogE6+aDoONyoGiV7TrXT3bfjyr
d74dNpmLhg6nDqu11e1c1FFSICE5HcQ0szh5r7zAeTqljL3S/1qONBJ9SEgbYDIYy119vNHSB1d4
qXYIU6e56IQ1Prg4lVLXNeknFZTuzmTTFeeasCGXtWZ4gOpV+HZr5FeJVQrKXaQME9WyawPXkEBx
E/JwT7vsFm2IckjLE1v47XchP0VOiZzF5H9r+1y7sOoyxIz+UGdY2dei0H3o3PGJY/z2FDMKHwfX
QEqMhrV64jSKa3R2GGqHtPTCs7RXi83UhGLjycE4MaG32xfgnMVuWq4ZjuTyq/xxtaaqIfG2qK2D
a1Hmn5C0C3qnsa89U4wXNOaNzccb602ewp5lKNXmwBAKXh9bf4w3aXEHpEn1DsxbO0N3p8cFJrVt
FHdmoVGZTyaYLeEpW6N3LlKHA8MsYQcTg9bISORDqGc3UjkAyYJnQrtcwQrUHsPLit39Semz6BqX
hrq7c4HK4hlvxda3UC8Exii24h1ak7Z4oIUeBdiPv8jbLbX8ZkshxeIhBzr/eAXiwfYqRIbDgwS5
8pmjHX/BiiM7Mco7330h21FmQ4OX62d1oNGj0UNFpsohG7Rsq+a62NiRhmYNxnPiU2InyZkxlNGJ
EPzOqGwtVnKh+dkwJo/npgkDd3tBD4fHhXIeIWz3M8tS/SnNJb5FXWltMy/PTjB9325pgJGQsBZb
T8Rx1xTtdhKIg3tz8Ywx13DupSO95ryhRN9WMQYWU/f41wvowa8H/bkA/lnI40kKXVH7VIzlM3uM
FJF77ToB1nciJrzdJmjsg21lkyA9jf3l8Sj0HIUOn7B+tq35h5eaLZIweNt+PJV14OHpjZqozuGk
gLmoGR8PQutKrwFUWc916FwTmOxLJ54NP0ao9ezjkdbTwXiVuAPgCp4Kee1al6o0KPPW5KnPhXTF
pQWuNxijKDxBMX8lK/2Zdi3DsPt46RHmFn364wmhQgE6rWMvzMlQ1NsOlnDyafZmfTxTtNG4mewo
vaY54fW+3tjFJ/x8p3OvCvP+0rN6q/EVegEg8qW+m0vNUHyeOeg6j2D4zkZPS7EyStQWEcgBCP1G
qbT+zptd7xGyuUayWTS5zmtaLU8VKdd7/HVe7G1OjIbCxDqcFVgSdzyw+XyDtlWGvNpOxSAu5Gze
AFKITgSP9xZr0e7+Z7S18CXQTC8sPUbrpJZvDCmRoXLC7ESweLP5lrVariLyDmzq1w9K8g3cqE2n
eBZppgR5bnRB6Ilmlw/9z48339uRyD4XnPjCdaJ2vgqGMbYS8zyJ+DnKWbtBsXnU1bzNZ0gHm78e
ajFTNjRsx2lurO+7ohQgY/FzfS7VUb/MK6QOZiGtCyK8fWKV3jxdSQbhMsBg4TZftMFXp3dI87jt
SzN7LiVqQk1tyk0Fth+QsazVjWXin01GU6u+OZXhT/ip48ZojOEqnuKqR9DMzE4kF2/3zfEvtPz5
H5e9ErV21jpq9lzR0Du3tELZR8ji/P32pHG7xCtqwsi/rfWeG80t+gb1tOekwbG7wdPs1jWG6uXj
lVxqNcehBNNYc7mklwSC9+/xZJqFd1YOsnpWe3VEEFztriiNjJdA472vsjB4ZxrYcc9TDaA2jNMT
HZD1VcriQvNGc4B5oj+wfmc4sPBjUILVM1045yqF7OUTVnApt6ZkE1lAobKYLOrjOb+zgEeDrupX
oR4LcIBu9Syzrjizo0GcdW7fn9gmb5Iz5kbZE/Ih8yLK2KtPa6FAVSVhVT/H2Ll/q0A6AJQTKVAK
rdvWOZisWDPp7rNPu7PIxrkvtS2v8sGVzMFM7Ke0Znnbj+f+NsSi82twS/1mSlqrIJG2IL86PWye
TQDgV7niWI8u+ECQjLl23SGYfCL8vTPeokBmwlBkg2lrpnKWd06S8nx8pqY234ywBW6FcEYfxU31
ujaRff54fvox1407l8sXMDKPVpQ2IUWuwoVRi8oxwKU+h06jWbu0KCzdT1oJNkr2bvxdyQb30ZtV
5YfMRsxAwW+jzdIibqYMYfGpGdmtG6yKvXOLNNn2E3vwVNSRUFrxuyqzCn5Y7uyauhwq3xxd55ct
QYec+GzvbFFUVikMEgFgXK4r+eZoKbkm2/bZyzsNOIzbXlZaGJ74WG9H4Y0K4k4nY6G1a60qUV0y
0IWIZ/lsFe2INnmigl3Aou3jJXl3FI9DgDfLIqW5Om5JPtjSBNj3bGNNH2hulm0APRt/e6hhC+uw
YFHFwN4N24rjQNYS8pPEyObngiffTk3mcAuC9pRMy5twiabPcucRNJfX3sJP/jP2L6wOhBS97pkO
C3LucWzCZ0H9UNuGkWyuU0wBzsHrDfkW4oAK49DLT2TMbw4UvwFwUJhSS47EBj/+DXAo5b1jqP2z
jBXzcuqHCTx0D+KqGIF3LFD3j1fvOEJz79LCweML8QcK4kt963g8rey6NrPFTJ+w/gris0LFsptH
cN2WsbcssClxMqEF9/GoKyGe38MSMyjHwi58W1UDGCO72tLmg5yM6r5wKmlAcumB6WY2hMFgdpzk
wnEiBcCvEffquQ0hmywOc92/66y8/ioWujgQtTEk0FCWPf4CegLKrDSpheF9WADeLudASyiI1aPX
/VXv83Uo5spzHmarSmdjNZQEtZuXjQ2VBDLNWQXpBVxQHO7Bmp56oK8C5etYvBLYzbwq8XiwlmP7
RxpjhEqRN2OuHrw6iZzAmqfstkpDYLWk5n2yHfSoeehTQG8b8j3PAnPcR0YwZbm4Uo0ZIcMKqNse
KCEEFiOqVeNSkaW4KS0vVG69KIsuQDEpD4pGXx5bad19cBGR+/LxRjk+kL9nQVyBkW9QPUQ5/ngW
U2I3I+0Ttid2EQ58DqndmForAzEO0/08DuoVJBrxUhhIQ06pU554ix0n3f+Mj7YEx4ToQ+PtePxk
Ql7RNub50Gt2u2kVcG4JCRNUkKY6Ea3fHYrLTaOAybKt8/t+LKVUpFAPZgJzu3OV+dwL8+bca6GK
fPxVl0P9P1nh71m9nnfwNwuxbPVVjVyfjFJ1tEMBxnSTgLn62YaZHrSq25R+RnFDCsW7iNU4/asy
xz8jwyleNO8IsGt596pOnb6CYXIYc9F8T7k5tvxtc6mGxudz3qanmubvfVWqG6+2QxS637QwqjK2
8lnhyMG13MBZci/aIXY3saU1J073cehe5rZQeLnUXWQbaP+s90qPfR72HMbBLAipQYZLzc7whPgG
AR0eVRKX8deP13FFnf49JCoaFFjI8pFtXw0J31SGfTKrB/Sfe2fXu2YttpCv4vvBa4dDOdZArJMs
ye5606iviLnlFSbvaSD4iSdukrebSue6QliHhgnPuPUNDagTmVVvqf+CskgAOaUkZv+XvfNYjhtr
s+2r/NFzVMAcuCmQhkkySUqkDDlBJI3gvTvA0/eCVLebTPJndvXsRvSkIioU0km4Y75v77XnCaOl
Tv0CQ2aS3cWNROFZVPrT5zfi7R7k931YymasnQsx450maVbKObQ6w3gInXA4z+YgW6ku4uTPR3n/
LiGmobFHQZLPlHi4t5MBII45wuXoPuhKTXyEdPVV1AyHcOrSE6/S+5HQxvDOMnuznaeb+HYkXbZj
x1yXHOj2aistEfnGbMBXO0p8irV+pBRa7h1bXpU4HrQcYnHYvh0roj1fQztPD1XoFveppLWGcFNf
h5Dw/GYIy72GCW6NnVd8V0aiShKzU32Y4EhM8bj4do8KOVbqUzuhD+6BQDQFkh1HNz245c9fLWCz
UleO0tvZYXSW1OE27gEgtuFWj+mOfv5g378+fD0MwfeLLpH55u1QKJxlZJphfihamW/VuSjXZSS0
3eejvN9qmba1gOOgOhGX/m71D1pAB0VbHQaZGZcNdR76u+qIOceMcSFI+x69w6kQkg8uDRUUqmvW
T0F659H+Do+gGdnzMugIId2WRrIbqpPQvw+eFXvyBWfA989/j+YhO1IVKaek5gyQBX4c1QgLFEXf
FGmQnNgg/264vl28YPWDzaeNzyaZue/tw7LQWvXN3FO5Vu0Qx5XbWU9OqEQXRpDKa970mqa7tVCb
E80EppAhyYk9Z7Jtyx+dyDrjGAyVe24ywO+U6Qza7tWMAZXdL1adws7IcjLm9k6XUZNu1MTSzs1Y
NRLfUsa4wmdst4YHa5+3koKw+qvAbeF4UmbmN0nJofJq5p6FZMx5yOtsAz8HMuSfZZD393ll8huR
RfR+o9nuHVLY4bnvU+q1RpoU1QqGtxHs0G8qj7NKaLGXV5XYqOoQ1j7lhAHTslNXkKdULjNGDJR7
KM7H2YuaTr9oiUQ06R4QW2IPtY47pzDkzTgW1M/KoCnlymk1PJpdMc2FJ5PGVC46LEqqD0yYRB7C
i8JglWBuVnw97fSnkPrc1y6M5K/SxGVNDybAaC/trCa/zwFk0HSq81gYfYbnHKDU3iocqXk5SDxq
43aXFKshS7DAFrOR4/ED02r5Oj4JTHioQ7p17iy0DxyAzvdBNvmpSuZReRH1EqsiGlyd6iy7Dr6p
t29LlSImLsKueHYUorfCX3nubLDozs5dUYIzgXanFrsyeUzjrxq2os+/+Hdz6/HoR6c54lDhWtl9
8Tya3n7CUvxU3op999P6YgZ+pflxv61IU99+Puzxpvl41KNvvjCcKhQKo2YEutmz+YR18VxRGk82
mKFJDpiE37fDientgxMH84vNGkJvnBLq8V45k/rAF1g0BwunY+RViFsuUmN6iXMCQ0gYw1AeK/Is
1nrkL3qr8NRFddcIs9+AHolWtdalm6k3y51gqd3NbeSs24LyTqh28pyzNsbYKtN3AC/EifX2g1mS
6r1KbiI8KsiUR8+JBIFa6vHUHIqxqTj7NujgrVJbf/5cPpglqV+hQIcshp7kGBYyZPVoTaSUHeoe
i/Hkju5qmgcsGeFk/i+GYrNiQMKj8INS4e1rHwpjhA1gsHi6s32WWyQmaFnn7gA/TSde8g+WNYhp
0HS5eeqy1LwdKjCwaQ5mlh+USMdXTCeJhRr48sWgzHXkNV3gfu0qOX395zfz98EWaRLFp+OFDTwJ
FCg7KA692egrwzBKWkqB4c+xE53Y973f2FM/Z2fP60HzH+HM2yvUjCJxpeUWh5IkDKzqQ+xHUZSe
jaInAWRsks3nl/ZBdYTo5gX8tkQzsj07WuKUqs9GkWVU7Wmqruua5kOajPGq1Qfqk6od/FAIDV6T
Xgb8XhjxWtD4P7EnOp5EOIFCfkJuCq6YvsyxutfoJxlQMuSxJjjFOhqIe8Psgqtc0eJrIh6DTc5P
JPxgStf1ZMjV5/fg3VtFhYQ7wEmYF5j+//Itvdr9CRtqfTXnGo0Lrf3JS/yiCVFuMFAluwoF3Zk7
tuWJ5/z+ktlWgFCjw8tRhsLp2zEJ5nYTthz6IWzn8rzG0F17lZoD8yrK9ibNRigGbZ/v7bppARi3
/8ztw06ca2abxo1n9EUQ93b80coizBWGfhBB060mU8jLZDZPbfh/695fb6A4TqDMpIfIy4y74vjL
Acfes2Dm5oGid6t5YRGzEcKW7F6UVZj1C7OETAmBKvGnaDEWgmUJodeoVEJKEqrT7ipSHOu+cxXA
EWXeYBHLjQlisIwHUq6acVS/wnpxLvrS6PdDEQTrDudNS0oitt+S5vRi4Qp+2VNaPgUAe8llIXly
pfG2GX5bT0m0go+knWGFrywP/SQOodAY5ntFH/UIX3+A317W0fxEbkeJRDnT59q3YLB9c4IGy0ig
u9kZwDBnp01Dq241a4AgVLD3CT21dafBU4NSMz0T31mNRAvH/7oTJBcZcTiMHsLU6rosc4JVmqJQ
r5Te5NfLRBrnoSnyJ5nGAvAbL66fFxHu4rnM687DezQ8tBj/tq4toCgGMlemU1PDMte8fXhYp5hm
dUS+LLX20clwCTYaaynFYW6CYIIjNRBQmpaCyCGmrh2bPvSi2ljGN0ELEnWHXRd7b62wn/a7Jsrj
1RTq8RdDUezvlU652xulLb5OYzxcadyT/rzIXOXEh4Wq+/hnC9w81FiJfKVHwHT69tUG16CNaYXd
GFw2zkCzT4b7pkgb17NTJ1klBZUonMcLVkI3ardZIqbUu2hOyoNIZEbbcAD0t7LsMBDbrKvayy5s
u8csSpRbt1fM5lwWpHR7mtGT/BS7jbzoFLK7/aJUY3s79AMAmSxwkidc+BYxoTXmGK+oHPdx6Eb9
kdhOgE4NoJPAmwNbBhuZjSmao3HAbw9HCApeqRNOxUE0cM3NPM9JTE5IWz0BU1KaVVoq+Z01DnLa
IjsX2np0A4sUD6UyE166IHVvgaMVE9U1B+5ZEHXZLUg3wmbiZiyvOd2G+wThfe9pbTnfu4GcLnQn
zgM/qtpw36cdlBh3UrDLqE06f7HjPlVWYVopZ/1olXINACfZh2ovg1XkmkVJMBhQlxWpKe5Pq+xh
VXRtlq6ByTqPWVjOe8jP4ByhlCmtN9DOOBSNUK+l2U33lILBOgyqyYyXToP9ItIeLyATcPClSHNn
QG4HcPeiy8rwoWzhY3mJPsNdAn/CcYYoHOAyRpN4luiar2aZV66vtk2JRDLrzad0nGvii6rSrNYY
ehXQUHGc3JGAWqp7tZGuvZr7MSjPEbYE2aYt2vAlI7tK+T4pCLlXkaqF9SqpOznts3oGMTCjeznI
ClLvlWumSvIFOECQPFhVYCro9ep+xKSsxUr71VCDzAElQVZUctbPgxwI0ikmK9uPkYoGBS2sYhHL
07DolU1YfkuwQbZelSqpIMc2VVs0CtR/vDJfojalDuaEk1cAAmqyqhfb6rofzjDzVzQzmgh4zfT2
LjCsdkMUeWNs5iAgDkxRIhVLdKJzCKNdfc6xWUu9NuwD4JLTwAYjr3U3uZoCKTIPCIk2bssureGE
9Ul/Nhpt1ZE/01TDOlCcKPfVfglWzR01e6GgY11OIjETbHM6gWWI56w99crmSRitqInN6a0LoHYJ
vktif2FvVaBe4DEBNkMLFJOEpah5yFQvpLarpsGgf0yJft7RGS3U814kk7KmFKZf2q0k/zdXami5
okdruwNFVX8NJezyXdHlVXo5wEqPr5vRsHFaUDTaaX1bnuMVLoAzJ8qcPUVRYF85gWNxm41RqXAB
GWHjaVVu77lCY94oU8FEFQxWfQWhVPnVdxX69ylWDPBYMg8AXRAXuB8F7JdzWWpheIZk2z0j1wi6
Am971vpqZxAylRpjr2/kKOPiSlRWFvutFrT5RisHMBR0esE6JKWT27s6ioj1QAII+i1QQ6zO88jH
g5uihXFR8sO90pHVkw0yAx2oTnd1o/OIf7qYuDvfCbMBzJ4eh18Htctrr6YIfU/rPjDXmiLTaZ1G
QbDroLnYHhyf7GnQaqwQ8PFndZVPDfPVmOrFWnf5HavKDeMLM+b3QZfT0tiL7Dp6MtrYJF2LM3qN
Or6yvoQp/LhzaKTlBQ0bQA1IxzBlQUThAKpkygRkVcz2MkPq2Tc7oK7htfDB7mbW1191nzadx3k6
ROgOiMiFFzfFD0HrQJTDs+1WHuG5Mt46vRb+ININ6YY+OC0BZlOn6b4RZNRYiqwT+16FFuo1zRwT
iEU5iBwqATOJoodhqRurn+gzdkBnYw/EGMeGAPRZSDFAn+8QUrko/oO6+z6JsvrlECL3wCQOKKw0
QvEjTab6sao79mWWEifcWcMG+D81lX3g4c6VX3U2mcxdGaV3ShUTtMTGotdRZneQ93LxO4GPq2T/
3mna2ogb2LMijmTlmVFsRx7VmGzwWFS0mOTVkTq2BtjCn5OsVNcdfkriuno3A0Sb08ZfzaNjbMuQ
09gS4hd800urLWhQKck3DPfmt8nq6pJCUBvrJDr1zT2lzdBZ6dJNr0eZcydMt9YuG0PpLiHl6bdJ
UVjAG2L+FkiX/tKxyF/0tVKJH5kzBLFjLmQHzzAo02ztYBZXSj7CnAimCcQWe0gqWJ1TwZDkUl3K
RLCcqB6R2nRmTfR+ViJQidFqDDVSYJhZneONfSw2aVZxPi9K5lcCb3P1XsSZ+52+O/lxFj/EZOuV
2GedEZmsC5Wm/4qS1sr8Rk3jp5JgvxyqQ5JdiC6be+hUpQprRpajvgIbJu+bdiAjLW7LOtmUxZQC
Nk2hfoEU6SGqFWlsfGFTB8atcq3wpzVNyrjLxrEvfFHWoe5NjZsJrwIVkS8u+IpT2BjyZbXFDAdO
NaL+oS6U/KmOlTk8A8imbpMphqEJH2A6N4Y8tmALglDy9Dzrvpsi7B4qeDE3pItF9VkvehGSuW7r
d6Jwqq9o0KqbIo9QNfP+/g7Z07VNEeglOd61kl5bjvJk1UZX0OrJmUxHqfQJGqt44Gkn0tHWklRN
OGel5sod5f4ZgAZ04wv2JCo1yngg16Efc7hn1KbDbdDrRQJIshLGNyZukcBMm3XYH/RqOHZ2RnFj
0xgw4DtMs9i2U0pXacz6kfnCio2XIu0y/ToLjWAfd+pI94X5u/daDHzfmNBZYGSbCCCOXap9nZzc
JQ8bDtY3ah6qfRE7TpFuNUgxmUczN3BuC+bakbj3eJzuR3b8vWdI2CXbvoXOtKFi3vY0tWi8AvYX
LPbjBNeECLKg27LV4GsiX7Oczt1kVoMHQZlv3qWRVpWPhWrBPVTneu43vRNah8ZRksmz5Bx9NUSt
w4saWzM76zn7/aC9DeFZYidQzi24rt+jzLUpaZIf7anRNFgr4cjywY21DLAckLhxDU5Ex65UOvyN
iCOQT1Muyb9IbYrGqyxoKvMXz69X79MAqRhM01hVz2vmmXDduY2eXUbMGlCyO1hfed2M+ZliJnlz
bpDyHm7GKu2s7xWg3Eto8dZdrIne2KCw0H7B4JialZWHXbrqeBXbVT5i5tq0vdGnK0k+YUWnrq9n
7IBGf+FmbaOsgxFcXQIStVvYN1W/IhRMxisMk12JtaAU1NNcpb4fNATA6ErVQe6Jx53tm0kMqSTA
QW+IdoudMfQdvmB1RU9QJsxc+tT7RpeOL30y2YqPSq98yLVAqXZT3rCBmONevQ5VrbscbTeCWyjy
/MnorIkVY6rTdCOmLA0vgaDE+6SgbrzSAg5y8BKAYG3sgQq2H/QlTi3KxuoN0uiRjbpjt9/J0R7r
HacYCEpcdv5cVap9xVZCUTYKnILJa5vOHv2h0GLdN5mNbkwT9ucWguBgr9uwI6ZxSpv2hYOyegcw
qTswTyvlplSxsLhizENUXJZO8KoiJn/IBuMHeaxzy33nLLFpuLTLhLMq08YUpcHKGRqbJN+mbb9I
Nak5cuS1UpGnFzRXVlOrciM1DmwrI9en1pNBqgYXFamulzlKGNtXxzDrgB3Mur7WkizfZzmeB0+t
Lf1RRjVr+GDDhfKDodbWYavgGygBo29EOKvC6/ohLu7ZgSVrR5JkjHEP1HNlYpkBUgVrzXfDmpVN
nyZW3qSZQ59IXej7kZ62q7DOyVnUYteo/QGgHacKKw1TL5ryOYaKSYV7i6VwbLZqq6tbOwOxdFmV
zDxp3GjqZTpr+k3u9rXpiyZMcq9feskcdlTFWmVtnzxIU5U/VW1KC0i6ErV02bRusypbxSamlMp5
4JvDYpjVabwQ3cj/eGVM744vS4xPaauLX64zu18nc9SSXaZYcAmVKEk4zOXBT7Xu5+s8UQRg2U41
DwM8UAFhV3HKDXOuRP6a5Fp3VTWB2VzplZyfzKAum/NmGiGsB8PCxQZTzHGcVefXaDTWsB4mt1L9
Ll9giroziduskInBVSGaX4/tNAGYN6fZ8nQIzO6lA9hsXg19PY6rcRzzq6zHkAwQYGT10xB6ST8u
kjI+I3wr+qmwYX+0g3DufAirKnZ+eGJ8+oZCOzYhT/UFJnFu3HWEsSs4u9pxj0Z5Gs4Cl/7Rlkqo
/FWD2GN7WkjzEQidW61KYN/mqrJCF/j8gjZLvAxh8V0Gey7yy4o2IFMXyRLcWw6cXGzcHMokdSKO
K/oSuByn8tmF+w42LSE6Yd0rvbjmvGgTXzlQmmDxEfYdOAAH94iuh1CdKI52Pi1eiEslzhZAxUqQ
XAFjtZUd7Icc4CVcUO280fIpXGXGQL3dUKL+WzwuuExh5TbO7yDNN0ZCd3/pftHPwnGJ0y0048Y3
BaCiM0UbCmOtjzTFMYvn8DIBGcY3LfHC3IPG1L5LGdOlYlXsDzIapys69eN1nORTsBNAGmp2XZVy
BQMmnHxhlMM9XquBtpaU5V5NJwJMkTDVSICkYTwNUdwG5+48o3Gd7NY6q3O7fpkDsLZrHaOs4vWz
iPKVO+blHdTL5iIyqEt5pQWcjYzsrLkFk9wvWafdRCVTcdX2LDOT1ryGfGKDWR3LnKM4yo2zQZds
f+mbiwusfiBoA4OAAz9vJgCaoleT/TRr4iAb28aPkWqsn/DAIuHrEadIz5ZmS8i2NXT381wCZSht
O+coGcXOhYSgElzohqDs0bOtUj0ZWe3dEtDxbYaLf+ka1Rit25Iwh5WZ2PZ1EAnrKomr+TlvlU6Q
EprXv0h3s57Hms2z53K/HiBItqCHY1s/YNxNdYaMZOIFZWb8pIoX3qYDqC0O57E+eAPb/xbin1vd
1EB98c+VCpNLhf7fZuoBpL7uVCHVOzrJk4AmDfyTekYfMI9UrMpsCtri0kJADj2SIIZ2a1hN97OR
Sfzr85Lwu9LXUStvKd++KgmnFtisoBtppkF3s20aeN/B3GT09ToYscQ8fz7ccdX/bReNqtXb4QCs
qmoa0EWzpL7Kstyf1F+KnQJijE40az6/MDrUb0caFYod+jAUz1IZrilrM5LhW87AdhvAVrfR3bvP
L+243XV8aUdFxKqAAd8SZPNcpbTAuZtFfPP5CMetruMRjkrpZlGFCujT4plaj7fY2JSnUZ4Y411N
cXkfEOOglEW3gjjw6LbFlUnjSSuei127FSt7q+z+WdjG393jV0Mc3Sg5t2bnSL14Rka+bvLnSDul
TzuyEbwf4uhO4STUIB1xFZzImPoL3Wu97Hu9atbk6n4Jb2Y/2n7+bI7bHL+fzauLWt6OV9+RiWm2
BfdfPEdOvxXxtu4phG1FWWyz8KxQfmDcOvEpffi+vRrxqJmjN1Pb2CkjWjiJgmYTtqeakB9+rK9G
WP781TVRz2SRopz2TF7qRihiZ0GFDoLztD0hP3nXmzu+e0eV7ADzb2z3U/GMmWKHINSf7IZlNlv1
DdHXqa9q7SYpXhrtJNLpw2kCgRbsmUVAbB697xSP54oGZfFs36LjOM+/x+clAQ9euhW3lArSVbIH
g387XU7eqQSlD1+ZV0MffQc0CiYr1p3ieXAPvfzGwSQcm5VjPKvhlZJFW2E8fP6Ofjh/vBrw6KtA
11wYU2MXzzlfnNt9x9vvQ40+8V5+/DBfDXP0Kcw0GO0cwBhTiLb5enMDhnsFdOjEMB++/q9GOXr9
sWhERk8R5zm3CZNgmxXHm89v16lX4+j11yehoKDndlXwc7s1JQttwVT4kmCtU/aqD6fdV1dz9AEo
IiVhSWOs0vHtjflgP4BPzk/cMu3dKM5iZKLvjAaSnDHr6MnUcxkKfZbas27J8QbNF9DaAcb8bCUz
YdyLtLbuwj0NMoPEpSLz2SymjwlJAateCiTrSZtLL3ctsWpKZfA15HEIQyvnxA/VlzfxTUPOBQdl
iqVLTssWN/XbmcfQ+0pN2zp4XHLM4zXnHZn6NjlXkU+lNY5XXW04v/LlHOtVfQL5AgsCkSmD0dpf
NOkaAG3Nubhwp2B+TDEG0OsfjbEjJV7vqnOUBzZJLY5LRbdXIuqXS1vcG/TZwQJsQAgOdFxun79O
Hy9Ki9phgY0tDo23F2XXdFjzZfl2kjPo7ia56If2PvzmfqFkuYvKK4JpTq2E75740fZOfztmnuRd
rBnsgnInYe/8MAfXEzeuovcbnopMOynMOppfkKHDTMrZ3OWH+Co+T784O+sG6Z7NUf+SDLQQgvZL
fmLt+HBSe6VFO3qnA21oTWQL7POm29n9UVU+yLPPn9yHE/WrIY7exqlsk5zeJistwjpP0b4ovIdK
d5M2w72ghl30Bzd6+j3mP8rD/J+FXV5XL8Vt17y8dPtD9f9B4uVin/wvKOz7wEvQG9FLU/xrf2jo
jh7+Rf/rUDy3r9Mvl3/hT/gl6uq/VAKiwBsxVZBOzBz+d/alEH8tGhv0H6gUbSa7/8q+1NW/ftOH
0CWrSzbzYs9q/0RfauIvtMqo3lG74zag2PJPki/ffnyg3pDY6ItdaLEvIPs5OltpSkriS2DKmxQO
JNpd7YGuqSBKkMpWXWCJipo291/drZs/c+TrcMu3y+IyJtAGgnMwQFLB1pZb9XrPVrWOXRiFNt7M
tOc3sVqA0KvzfPf5KEdr/O9hFkwpaipDA03zeyp4tTXUqiQjt1AbbhotKi6Bgp/NUSJX2Sz0VaLI
wYtaPdynY7qThXOLECA8NZu+u7lgZzGrIi3EHUIW+PFJ0hn6Cet+c+OU3XAmqtSliGyaG9UdRt9q
zfQc9BlNkihc+r6DviNWkfZOiYgl1ZAzmFYzXfSRke61TgsvwqEKHw1riE7cqd9ev/9eyrhTOsQK
ZHzEjfNAcDm8fSA4ZARiZ1HcJKRAb6yC+p1ZhMp2qQSdzfo8tJ47t8KnEHmFkhO0/FzdUzujXCLm
546M3KdC74yrRG3q8zzI5D4C7XiG6qffAAEyCM9ykg3Uq+pMqP0NYsjxp2a0BI0SBMpj0AY/JVrg
wUrk7T99CXi1uf26WDw6qICPHkGRTwp9bJHdENIqzutCk6zRZnxJXRcPXkPIVy+a8UqgMlhHJKFu
Cjc7JWl7u0lbbi8MNdxMoA4AVOnHRtmytUbOXkl6MxZItbPM/EFBsFgbo9VvJvvanUPNp3Zy6rj3
/gPAbsDs4WKC0haW0NFj7cijGqwiD29GGwny7Gg/MkRLkPFNZRUkrXsWd9EtveDEy+HkrxQUId7n
t/+Yibcofpj7mGPQvkBOOTZYgOIoi8Qq3Gs7Kdsttk66wvVsf0V7Nq6pRWZbbboVYXIN9W70pgIs
QdwEG412LlkZdYmOmJAMZ8imL2njnEVxvtULpVhBX/1J08vvKA3bs/sn6JmUZvKR/ycT1JJUyHEL
yw/PDHHr2+8h7URFT093r5vYtW+pbVORmergxJJ9ZOLiveBfZ/e3TOGwPTGhvh2GOJEyLG1nXqqh
Oxn2ylZqvKRO3np9aiYbrWvkwajEY9zbTFvWRJ3NsU9Mxkfq7d+/gqGxAPN82EAcU82UtImKgV7S
dWEE6hX1PVA6WfBzwId0g8VSQIo3Uu1SzxO0Zok6PJpmbUWrvrIdXpw6Le9Ncx+1LkS8uRkJzNGD
wb4yRyIV9CLSz6KO4m1diOZh7hvj5fMX7Oi48PvXgwXATYybiS/8nd4ZAZzZpK56HeXmZaPE4X1r
8GoltqA7hKyLcAqCWZI9oTvlnoKwHWDYGIKdPaBB3Ygo1eGLRNqDOVrtHnlb0LFBn8J9EajzqeVg
2Ty/mWZBJYDqRH+JMBsn5NG6p7syzdti6K5pStZf4Zx127EmY88PU404FXLivKGwL4qpkt9QByCO
yLVyIiuCCE14/kNLv7moEq/Kk+5asY2aJMACFtDvW/p/u7r/WG74v9/V3Tbxvy4PRXp4vY1b/sqf
bZyjkVMOnYnnh+WSlYSd0p9tnO3+xdqJtg9NNlAXm6333wnm7l9sP1jD0Gzyt9BAMpH8vYsz/wLL
Rx6fjaqcxsLy8f+/APe/Jyiy3//thLXs7v/7zcIsh2b4zxyrOwZAneXPX211oPxZfHW9XGvNYH5x
LVlfdMRKlh6ngnHz6q58MDm+fYv/HouNLBQxFlVmyrdjxZI8pNgmK9BOyRKMDaXYz1WVnwXsTm5Q
tmknJqiPro29Mcu4YLerHu9QbQT4KWnUkm5IS3Y1yG0vz9N8JWDsnxjq7UL959Jwg5FQsPBiwRK9
vTQR20pLP39cCzdwbzSlbR77YOrv7BFWEnrkINg3ZCVSZkua1l5/fl8/GpyMexu6DDo3vv63gyOJ
coHBKVCQSRs8M+wWNAAa6eKaFiCdMFNrb1Q9cXZJFiRPnw/9dkP+57pJBF7070uF8d3EFGqGYtq6
RFOY5Ht6X+mZUfXx6vNRjta738Ngy1LZEOOoF+K4YmJnU2ZOZSfXmSbT83LoUDghf9hWaB5vqfmB
KokRh3pWBrLAanuiuyj/3MwJx4Q/k9y//WA+uGINfiTHMkyZ1OGOtoWoGRDq5Kpc10qdQkKzFB95
fLk/ccXLP3P0XWKI5uPnAACn+ZiWGOqljBOHZ6o74zxvkOJolzOhv6GXCGV6EC5dVm+mMhBtutnC
pAXOJbzTHLY3J27+26PIn3u/FJCZdfAhQcx7+3aJsHGHGGU0dl66pojHw++iG8WF0svwKR6HiPRI
3f36+fV/dJfho4G+4JHjDjsa1HFqVJ1zNq1V4kjXoRu+aNioTyyrHw3CA2RNxeb3fhC3q1CSZ+aw
Hqs4oHgWYfGsqv/FC6PbAEgwnzK/MtG/vX9NL6poTJcXBgrERZ9jpe8Aav8jO9rvp4RJDF7XAkZj
K7Y8xVfzuG6NgYUcVK5linSldZA4NHp+iqX0wbuwWMtNA3MwcE33aKZp7GzAehSgl2odY034L9aH
oo9LBIsG5DXZKVvLBsf2+cvwwTwOSxX3s4D4vpD0316bkQbdEDfwiOpxAl+fFaUf0mJfq3lqnJjH
j8qYv+8jbwIwHT46npV1dPLJ6koUeTsPZAUrAulAERsHxylFsnLmRjU8gOh1wW57SOOtkg1UkZFS
JC9aW7XX5EcBry3IN5Q7p9TSU8eyD+4DaBZgQyz/vFDHHwVEacwmutGtG7PTzvPRLRAh9+75KPRT
4etHJ8DlPvAgqSwRa6+aTENHT7ob1KEl0Hdagx5CP1xtWV/uYmU419Tw0hyJOERcsM6r6CJVsNZ8
/sDffZicOklsYK+EYmMx67194ANOjkkDQrYeIU/4SDVRbzooLT8f5d12hAIStRXeJ6To+FCPPsxB
uo3dxVVHjABO7bKqJ6+hqOZlRMNuDUdZfz4c5wp+9ps5fWG14uRfalgG5sejitmI7m1W1KRcEzlv
dH4ms76m+afjgGqjDiNi5ET6c6WUDVFpZHgjnstoB5yplb0YI0Y1gnjU8jYiHVSn8FxXe3q/srb6
yyzX9OrM7QbsUWGUa8BgpineZFmROF6O6tPwSKQVJJyaQU9fBLU9GVdxG8ITKAMt3gQF8vAt2aD2
uOrMqpa+gVrpCxoYss4AcKrfbYKaSy8jpe9n3mdot/WYxXjV5w4Kx47oSw1hvEHA2SJU0r81jYLt
W4tMvDp2UcbGyhr0JLopyL2bLuAlWM5NLa3AWE/uxB0YRRI96Q0T6BqtWvBYJYPyvZ2j+LxW8+Rn
AVrptpVacps6gQx9XZPdgrS03fy2GBLMVknR68ZDi3QLxS8Rrwlqv4GpAvP7EvIdagidu9YKC783
x4zkwjjtsGGlKHZVg/hJMhfqQxZQevJVGIiqj9A4uS2jOoj8wLSTQ4BEFa9aEE8vbZgnaPLUrH3B
dEQOJWIdTT1TQhFFO2Ce8WXSu/OI+q8vzbViUJOY6sEktyx1UkE+fT/X4gpga1iiEDKwJZp2NfcI
WsHMAVUnFZdQVCyxQl31g9kYXucOpI/PSH1zP+tZQFa2WWmGNzIDpLtBCVp1B/mYSpjRIfZC9xWS
tV007mNYtlq00yo9tdflnMebhtN6d44VTb/SDWn/6LqKWM/GtINkraa8MF8Htx6Sc7vTlS84gtCv
lQEVZmQ7hTOAA1h0wWnD3sNHiKCiEXZaqrFdU8c9BofQPVSW22fbRoLxxULgNMQYWl2snA8UiG1+
Pqpf2FFasBfFMAUgy9j6+TUhOOc1NxmHIE65BMlmF5QXxqCosMyYfvqVnAJxk5Jk2QCER2HtGdzN
u4mg7fLcKfpuWpMX33QXpS366xyHq1gRfheHK4mpCheAnHT0rmFEfEQo9et4COJLqEItFayoL36x
F5h+MOlFJH2ZEc2riTBgj/BHu/Y6vTesDbLQOtw2tJsQMUVljE3exv6RFlN3EBl0skXxH6CbmvPm
V8ZM4K5aYjFvY0vyb2CaSfR1lOBRO7MpbmzMFjXorcRZhw/AcZJppRNTba0bgR3hZpY0mwXK6lKL
Vp3Ri41rVhUi0MpsYZ91atv2PiE5CuSMAR2uT6it3oOUVzPnP9k7kx3JjXRLv0rj7imQxnnZHHyM
OTzGDRGZqeA8k0Yjn74/L6l1rwqobtSiFw1cQKtMpZThTpr9wznfObaes/AgczgsoRJVr91Na0Ve
EvHgWf0yKt/XAt+Zu5fOaR31nqUNKlfJ1IToWPN6ZmQMQyBJJFuyQ8pMJDLAk2tM48oBRsaOrR/N
ebYBQ4gsIYiRKNI3c0RqwESwqLzd7KfiD7DWf48X/gOs27Vj/NcTBtZEv/+P9pu1UfNfZwx//rk/
xgya9RubCqZD4AjQNlkALP73nIHfYkDHqhlLOmkKBmbhvyYNtvUbMVSMGaBGW3/fF/Fb+tWmfwVx
Y/aCZP/vTBqut9t/3n5MMBC/+bBdqU1BPWC///ulPrRLK7Yp1YLaLZLDlCB/7DCDs4QJpja3H920
QJMMWbblAf+/FBT/SBL4p//5tSw2XYhP/Cj/XM7oQvNrQSwxi+GBu34ZjPHIOoKJ2Nglx7HXK3TA
izOd6iyVj2hkS0AbubGv9GU8UeuWqG25Rmu0q7MfgvutztPCL8J6fZcrynLc/b1+Zhsnog7q6Ry6
ZfKAkUj9XBYNiAp8C8Aso57E2HGnt0GHHYFxo57Itc7Fr9yQiwrxRcpsl0tGj5aWizb2qrXDgTas
N0mS+Y/1WucwB62sDVINhCxKjUW9UsjuHK2yvzS9yVExmBPB1wReEQbi99ZGH+C237it7FsCsPw/
NY///VbyVvII/+t38rYd2p8/27+/j/yJP99G4zeed+i812GQcHjs6CT+mPpphvvbNQrMJbCFucmV
V/XX22gy3YNKQHLBXxPBP8d+7HWB0vE8MTvzWE0xA/mnMd//aezHvOLvryMtOUU2ZwKiMForgP5/
fx2R3qdas6Zf9Kfadq7XUtR3HTbNEoP63PdHBioF6vt0qkELToom2g46JmqjJkDhFHiW9lUuGrqD
2UybeX1Y1DR0yU0JJwHTqT6YMxY5yPDftVq3ErVyk3rTpUAQ70N6aU1C3I4M1ODNBaAY3dki92j0
+7dUlKiOrSjBDauGqAfeVaZh0Wq6IgZd1DKdvYulEQXMHtbP9KkhxEOJSe7mza7m5yEr5uphTbmd
3qn7KxF3rTLbB8fNESCzytb9r7z26+JEgeCuYdXMyomhXrVuWLppWe2gz+DuSeHNMPKXk97HarWG
b0Kux2E/W0IOz+Tn+vi9MFJN951TVx9aD6XgyLhvHA7E5ept1HhO+sUQlRo/WQRHXc161A3c1FM6
wvSEGPpkgUNiTVo/RvbY9DtPQ5qO091r5K4RwmvvQR/q6Nwl6hPqobXUDmRPm9Vjy751CDFczg5A
OQp2KpbePozMXfGkWv3UBVlKUXolM2pZpDy7fB+9cr01qVfJSmY/9N05yTj/JC6+bO66ROnG2aAh
uGjc4tzwZLr+ZHYyFntT5d3y0tn6VczfpcU64gnXvS3/wklhWicT+r/3e9+tWYGT1dqGexcu3Him
gzSdGOuu38aZdKV5qtfeepRL1WH99Qb1oxZ1jYGqSajE8WroT1pru1lsGdISFI54pON8a1wKWXBS
JSWqk+G56I0Bxz331qfd5M3zVo+pGQ0qlZeJV63c1YVkv1QOqfvgCtzQATqL8SqIKpUZ8VsVWh18
x99SeNMUlrqUz7mJfyLY3MbWwzLTh/vBXTycn/kMCb24zqvHrme9XTFWSUpzYPXc96hfm3z1doaO
W+Q0iX4dcE/mYozHkVTF26nxNCS5VwkFFCtsnXBxG7+8K2ajK3fSqNaXbta728zFeH4icQdIXZF7
eXp/9X2mAC0amGBTB/y18uYeJ6JubN+67PCO6iPWQ7xEuE5uK8YmFlmxevVUd4vhHblxbHsvK8E3
rafWmu7R7Q+7vMoLO8qztnqq3MXdAploPqikf5ikkHVteC0cvKGEdZdJFei4kokmH6dh2LeQu/qw
sTtX288dNrkD2XHGB+RjxmVa1ZIEHhLt0ptHVLtuHdmilHxtAibBGM3zXCRXLAJbqgp2P5Huyurz
49La2bCzhm156Zlg1HssK+VjlrWdxrAFf0dIiY/YwpqdGmO66zRphFRuQfRcV9pNheWbK9Trr4nU
ZY4Dw2jSrKLDIuErVKoDSQz527hw3KbPVjPDGE/I/vZikSSLdSmx5i77/NoMIk3QZwgieFauIRi4
KkNRGzqqXC0joFFi+Tf4Aboy53nUSi/aFJgZPuVleVCtYz0W06SrYFmEBluiBxzPD67Fc9N4X8bS
tx14qpodqEzYekaFZ5VumA9N1zC2FsrcYYRx3ADbKirMojPKjc52BIsFkKSV4y53iaPYialnGhB0
V7VCtOF77j5F3TZn5uWW+SA6XAC7kVA0OyAkvPED3MQ5yA/bfqyly0kulDO7WP86AvasIu2/3dES
B8kp373hwjCy2DNyvI34s2zjpsQUR8e3MOPbz7Pw39ckaS9WOvJpFcxm1Q0C+22LHVdKN6xlg0wD
UvrCA18TOBjm+Cq14tpirNndIjtL3Baw5VctGDtHvLIDdr88ayznNxxj9rQz+Wi6KFFZWT7bAOMo
xwCQ5IfFyQ37aClHyR3Rj1p7h/dIfy7ZYcIEQSFQnDISZ/Vdztjlh8xMnPV+ubgtC62yNO/1OiM5
RNe6sY0GEsGzyMLYKDiWtk1EOj3jCj8GhOXv/ZpZdRtgrt3kEEqjTNUa2KmPSQvXaNmvD1lhzQX+
xRr0Rhk6W57MvJ/b6ioRCLj+swgGYp/kyavcNDtb5ZZfKY2lM7k3uEG14YdH9AvEZByEA4brtYJx
EGo2sLNfYlJeGaz62Fo/nbLVX0ZvWIs2YDRSJCr0tZrMjli6onfvh3RerUOLD3ndobma9Ih+WWaH
YgV7AayFAz0sJKq+B0kLuu7zZuV+jKxBzkhFGd0kTURlUsg1FGYpnlCa0pB3YtnKWCkFnCfVlL3d
FWNmqKNV5MZ6Tcya0307c5+FzNPEo4VZaFFBWZt9etRTbTP2toH5MKjWYgSLY3rZvN/S1Cvfy1Zu
Al93WuRShJXfQhcPsjnzaPX9AufX73mqre15LJnVMaRIOpjXOzgc3vTlbfU1AiLlDWsiSBMW0c7w
fkTzWlTQdURUb56TWYHJl9sdwa6behV3ybokLCymKVtvGwXzK7azrJZna5xHaL7aujh7C5QNX9yW
DToLf7dWLEEtbrkxCTkgPCtGaiySMWh1o8OKm/tM2/BUm4ay50DNjSH3q9DUivh2rvTtyKObcjaR
wehmeD3x/X0SgLKOt0yGuvl+aegveoxyMOjfOmF29s3EFFrcinnQnHOmFVP54E1l20R+v7huFTgD
MZwPnYMB/NIngy4/JoiLWxloQ4/LkLpozY8rARLuFegIDefJTlyH5X/jpuY3Q8QiOVfw3xtYX0OV
fAChafu4zjz3YpB4essH5xKH61rNj86dE7R7W68K+bnYY+UHTZak69nvSvCtOdVAeVmzIZNfpZzq
H32DvuNQtZhob5TDa3wED7DkccNofXko607aoaTIdchjBad8XlPTqk9wR5bm4JbNNr3XPOk8hXqe
Dm+qLuznAWktfle2YS9OjV82bLx1sPbdpnf5IYXSIcNFwc3kSBGVHgm5DPPRIBReu1Rwzxbwxa1d
a7y/fT4cPCuDu4an2OAvNfXLU6Zz6P8x0f3v1uc/DObcrN1YtPzr/uf5q0n/1vz89Wf+6IAQN9Bf
2OzdmXbraBnoQP6UPXi/scxB8QBtHqEUa+P/7H+M3xhC0DmxeWExh6bwL92DSUfF6ICsU5+lKHJY
/99pgFBj/a0B0mi82HIQp/FP26QlSa2aaWSyp/d4l/lsRDKdSFgcEmNfQnVkwbrWse3kzSnfvDTo
dNUEbaNP4UyptOenmalHq4qoFHOJQI/1kVa3dYAw9TOvYR5JS99gA3QEs6WJPOZaAizG3qZY6WyU
BuAnB8VhGm6GrRjjjSj7i9J+cRgncsOTA5WK7q4qZxIDS3/6yv2Fsl1vcROq5JrFWIo+ILpw+bEu
RK3PTUHgQanpJ5D8bTjMHLELYsJT50grBvw67K6ygTLwasujqmvhqzK9A1irPOcRaSPWdbd1Xvtc
zCBdwa6YuT4F67LRwpAFEidGMoSdz3zRaTZ15DoWgZTdm1b4E+NxK8Fy3q+vuc91ueXZ+jurQ/Cc
g4vPyWuWsNEr+K0jpoUajUeMrM8Okcx+a1AEwBf0HWFNPn8dqhMjaF25x7Aee6teMqc32l1mF/kl
rVYvcKnenNAAYxWKIX2qaN9iWBK3yzb7/BC9UR/mdKkOGnCD0Ccd7BfUr/qzKlL3yWuSde+0y3Zr
Ax2PNPqfG6rrZVfiXd15nhxPDN4PjSPePQUn0Riz9TrrGSHD6F3gJ1a1W4FZnZrN6QTNRenuZrV5
e2NRl6y/Tq6o/iHiNnvfGm6da5CMPaTgcROpHapU3dR83nvTVS4jKP2yeSp2liI5rm4Kt2i2YRd4
E+d4x4qhly6QFU+leJTFY+1Au63zZbiZp6Z8dOj2Qm1k+O5PFXmN5mSyu5rhzKkuCayttQ4y0btX
6S7ds5S1jGgE3XNfMvsLKlJcWWH2VVgtaokKlQ+v8zzOexcpQWxpeJeZk1Vv/zgX/h+ck5e25p//
D2T+V0n4vz4a/+dMV5T/TQ52/QN/nIvX6Y+jo+YnGBQdyXWL+8exiBgMkuPVpneVuiA4ZiTzpxzM
8n/7R6Il5yKXpo2y9K9jEY8AkyQdSJ4BupWIBPPfORbhbzMl/i9zWqSr1+wKrAU2oEdO4X/WlhYp
2l7aL2grvkxOwCtDHx2GWtx3NovuznT7kz+Me93cA3GjQ7Gm2FKfZDrNoRS86piDs4tvr2yzLC0r
XxYWnhrN3ApbYMkuq8jgUGT2PjHhiNUmlKIcwLNfdvR10Ery/DKujH/ICDlKQ7ILMQOnxcVkTCC5
U3kk6Q3P/Ps02u2N6f8Yhvm0Cu9ar5R0PoRTWGMetem1zxoCXoqTcq7Zq1RaDfBpe/Qee18PG+tN
M6jefQZADG76mjUnVdx9tkCLSzZzLxLRU3FUmDW1WBtuF80nulWLOMROerV+KAPDVTGU+94gdlor
wgGutjUif121AyDsDFb2HOd2Eg0A75oxALxqdJ/T5Add7r07JcVmGczmB46irjOCRr1JbRYRgzjz
wFYzkiOH9uiMp2HWX/qq3jfj8jKX1s8t2zpuhvKl3U5i9ahMcQd45XRTjXpgFqw8NVOdgRYeXAkI
yfAhZhC9skDioNzODtbyZKrkxJpLvbo9+Ezv4iKz7gHLaLYXztCFVKvuhyIzw8ao530J8nor3OyR
9KvdkLHnNN19L+obXX1msvAfK6wMry2L1gtAzvkWUubrBEZFG6ZPmCd0zt6bwUSKGKQPYXUnityg
HZ6LbAxppdKAfTvTsWxKiWpl4QZ0nNJSxK7/Y/O023LcoAYqGXUEQYzbciJZ0YvK1TzKJAuk1+ev
A+d0v9Q07/gIYq/InpptfWaj3P/YAPn97nVvCQ4tW61kpRb0+d7DXFQPA6Skqn9k1BpoCRGYVRL5
pmLIUHdtWP9j6e7W242A2zYO1oXVy/hK4f8C4ob7pm7qQ96uxa4vkoZtHMMSiId7ZRq4HUx23twA
zQsSsngxCEqtHoXTnZ0EY2G9tSGjKuT0/h3jOMS6aTTO+YEy+LHzk9e25SOFu1aWJ4tczbGswEc5
e/gSx4RJiJNCPz0mThGatU5rah2UhrtWm0HKgTMVhPa5v6AahS0ieLe+H2v2BWYXefbZFvgGpDwL
B0+hP15E5j/n1c8Nh8havIjuzL9665jlHAtpsbD/3Oof/vjoWMUJVlak2v0MlYSuEA7XGWU1fRBo
K9Qa50WbfhiJG7BxVKGVPSaCX+fOL/ohCYdx4EuG5a5hJ+vzl37VH9AVvK2pd6dv1m4TFbw0fK7U
AZnqQ889VV5T3fj5RvZdd+md9LFzj6aqjm4i6fls41CPrROmCg6bKKghBGNhWIDqoI3at8pd0Hde
8WCUw63Zz98AyT7rYb6mFhbvbbq5+4wlcC/NO18UUzBrObqdwl5/cjem74jAvEeyRnG3J80U6Zwb
cWMal8yS8rQpb7yvN0qcAWl6YJkGr9agMsCEHl58f3gQI90MEVWlt9yW/rCnUW2+y221Xxm7LQZI
eSvogbjYZsm/rzGYCbt8fLoGbdtjdkrhishMg98J5AYl5+COnxtCbsA1rNNt8cOohkOVTOdh1Z6T
CeejW3xY9RIWaUON6cl014DoISN8hSs0e0uEuT0L+zRO+69EQQtqGzds5VW2/730NcMDFsCzdUad
ErIilm+eOaUxztns15LQ4lOmX2f+AzqNw5VCqCfeGJou86ugJkdmIYrgxhgysKON18b5CPPfxZW6
Hxse095z56Ac8Y2M/X1ZjCtETAuUWTKleWD27zUhUJkxwF3z0fto/ab/lL3HiKStrHDc+jV2bBee
9Ztw+/fCrWws+u9DfdIG33vq81/dCGsZiGBYkqO48pIVB8nL0amgcSLNvc/1kzWlwezvJ/MnTKQp
5dXoOCH781q1xzqVeIeYCiVeQplm4v7XdyWPYdfyyJpfecbBneK4yVdW7RY+2wpmnh62yrqt6PZV
AgDUNbK9vr6PnGfC1T70DcVLX6fBCDhwb2+tG1du61LgLU9G4sUFpZzwthvE+E+Z7TybTOTzUK/a
6tzV3p3b5Z+jUgsTEnXj8ePJgU52eM7FzWhH5KUjFkL6Q+fuPSKK+qgxDKdLEyY5PubxxsLZz/na
Cz3M9PQTdG7EMDbQpnKftipcfP/+miLitYxqb8b0PZn6Tw0oCkhRabJ8gAs519gJDJedSBVlLqBa
Lb3r5bSnVL61VfWRu+ro9C+Ehb0zHMNmgKAHN1sVLKm5xvj/gPUnLbtVp9pl/uTeOczvQ4ucqEwO
fbBNxhKMi7zRlvJR8P8+WhtosRpg5oEZODCguwYFlovaAH/YXWV5AYOGKF39X9YKCaIXkecNXlDY
IA6zqtqDyjqroj/OIqOApswA2R/arZRHn4FYkFcIKzqr/Gi19pIszQ+UGmfYO5Dw6iSqCzCPPMHa
5uzaqZXPTHbQeXi/hCod4jmtX5ND7qkByXJJkc3w5iPCgpuDxMPZrcLQzolGE9SgGEEuSMgPk3Wt
+lAOkFrCK8y4HovAWqp3I13VUfUj76KAtkRa19UFwxBSXpi7HFvfBx2l5Tu29bhQhnfbrC+akTwa
/Wbs2OjskCL5AXFRa4g0Nt9bHFXZtO0wie7K9ooiNc+do3aJ2s9XQRuo7cKZXydHHsEH8eF3PaG8
OWNxXVCZbG1cesa5bZv7uThaBhM6CID6vnf5dNDCOU15alx5qEo3IAPunDdgivmvmvmRS0yE5Zjs
isrdb7UfOSq/bwcRzLr2uzSHoIPH66/5o1H3z51ZP67afI8r/0nL2lgx6v0wLQaFs/PM9PJD14nY
MPdz+22s5mkZz0b6ldpzSG93XPQ5VNpycPtqX04DJ8JNp1PWNbdZdyu9z0ScdPlq8EYnDWixGinv
CRFP4zdxr6+Hsjj4DMwaownXjLbPfzVZcHrL11h7sQ1mT5R3OX9Qoijj6+S7syKl2xcAbmCg1YGp
ONdF/VlcCzx8huJtqGxsSnbIDDPwYNfZNH4HsTAnoNQ+G1sVuoipdG1+LhbPifMhI0Wl+NZJIszm
8pxay03eei0NvLwrkGWRn66qNWqcWr9Tqo/y2fo5sDJk+UL3XrQHY9J2cFk5dbtDV/lNKLo86u3G
4BV+dK4JbJ760XT9gTa4CTDihUwVTyJ3jlUKb1bf1M522hevGGMSyJ+M8VYMPAaZeJzzbzKLo80o
OW3105iJk7k1D/Bn8ut+4ZrDUHLOz699alB/THGSJwaD1iRu7GXX5f6rJYfreGMA6JGjSxsTJIAl
B6dlazrPflLGqawV2vQVnaNqA8V3gQvC2006Le14Mu3bGaY0h4757STbC6nRDTxuK0yz2X3yCzOB
PrrQUhTioQUYHMj60e6GHxhRp8iHlgrBvT2TJvtUNf6nWpFyGtq9GIz7aS3ZL/1i4BlBccupLund
EXPQB6hwtIvneXtpLFYFAx9oOx7N0o+yTZioIb1bZH0nYxheJ2s75P76ZmfLa+mK2yo3ztwTjFeo
a1r93KN5zkV2K9r2IDSh6Kznsxp7EXYWwmg5gEV23JpVrrXD8io4iEUXd0V27h097qyZlSPWvH4A
Ct/Ol2LcDr5WRjQ6l5WPXFvqaMTRBw2zuZGN8KJxghTmyOnFI9ozKGY9i5di27PBYUUB8aArpq8x
pwtYZv0npevwwcp5jEpl6Hdp7VgcHhJt22iOoZxx7UZaKpzIwVswhJorcKdo/dlNrgNXse579IUH
WEo2Y3UAJFPyXDlb+lAprQnlOHQvwzZw4mZtvbj32qrKe7UVKnCMDp6ObECpodDbgBlSS+8hGfA7
jhdh6dy5M1wBjr4O46z2prw2edAErZ40BerbSe3WxDxug9kd3Nm+KE27Y83n88AzHw/Z5nu7QVsM
IJAsuEWzHVqPtq+Vc+y5mfYGo+iqBnWTT83xHwqdtaOwqdgNUd6vhbvtxFKOx6qE4teVLceB5SIR
ADDtJ08uhNugbbu7LG+7sGmah4GEGqCTv9idxtUwiciBSxr3OdHtRd18GU5RPORFOv5ixDcevMoj
vE43wgVGY9Cb5hYubqHtvVaDP8+oHfN2RWWQ5yFqSf/GmbjIAIcHiAK0ky2tiwCOE+G4b8OKTgtD
T8R66UsyQIOAO/eH3BJatPSLH2yjAwhEDuaR+mffGQOHH5DUVe9YkZCpwpe0QwFqBM52P/XlMXeH
x1H372vKvwzDg1HKXy5I+8XaZpYNaZT0xrfjVTfMuO7duafW5GURMwzHmupxMjS6v/YaH7802b1q
tnGPLn6Op4mvLdkaJ+zsetytgylCw17rq0LxsxvEO2qrJ7MTh3V0b0gTjsHS3iue7HOZf/eW9zHo
8Ml997vJi6hsyt9xosH8Tb6QTx5E/dPzX9PFeDWN8XmorIut6uyUrOQ2u86XPYyfbT1+uNr8lJv8
9Jol7utsqOJhc4in41XQcxTGGSWzmo6j6CKz7VE+/6pp4s8ZQ9fIS8h4kNJ0WHYTcbjOZdCWBR8v
hUQxb2i17HQHSZmqfa2YKnR3mqZhN94eRaeyg1l9dsacEjkExDe3p/vW7Z3YZikROfN4S0JlducW
jUnKtxfWiLe3VLLK119HrpCxqi/jtSXM5x+ZapbAbbaOg8YB1zQVe6GmU5umb1WTPbdNdZfY4x1C
3og8oyaA6Mf4OjC5eGEtGAlbcBKRJq5r5VC0rQuSBz3Sq2JPV/5UdUh0S3Rtq7t+wYc4uUMib1wv
/c4pc4y0OFe9RAotf/mT00d8szT9LuvCrXn3NnenO2gffNekaG/iZvDeAXDyAeneFBBZBbaTea8r
orQwPvNiesjJqLVBaZrXi0Q4fVwhvIjRGdKsAo0U26kiNXAYbZ5849QY5llf5kCv5hdbsMXJapcw
jGs8pRGVxgL+qAzc3AxtSkloOGQiOOthmBRyGuZDsynetiKFFG0x3jBG2mxYmMt0zGaHUsr9svL2
UHvj6WpV8abuOEMroHZHA+/PZR+sfnWTUqKuMjEezM68m4j1nUztNW/p4lut67lxC08HOLDIQzp2
843brhmlqDpiMCcRJWM/+UZFNN/4vfhpcddN2hYZC6Wfl43M0mBt3sl1USmdOIj8zFzzOxC6122e
mTlLAGZIPbogY9NosZ3lsYB8fZ1mPJs9vt1CN9f3qRMnNAgMpXyCSCaZoWQvxh+9Y8e++lUoKyrr
6ZLl6k6Cdm4ba+LEXPq71Oy0jmH2sL6kibOUDKRgm0c9N68Vz4CuZy7gId25Rd+CKhz1J7LVzvy1
JxTu43Oz8g1uvCTxtGgqUKa6l+0Uy2aE8MonaDrdfcU3j8IyXNr+NtPzXVk77V6fvCZiBQRuGYn5
cd6qyFv6MM1Jya6y18RG32gxlpkX276xGebcEYKghwYtslms7x0q5qFbrV1jjX1kd4t1csb2aZjL
/IakoTV282a3IJTb12R9bSaXcqlcdRUFlJd+6AaQ+FIn2CTDpge1UEWMgoIcRWbdwicyuumhmFmg
X6cUjWvRiRyWyY0SKXcGqNadnqRlH+eKx56YY+eOQ7588wSDvYJegPP6Y16vE/uF+mVy6v1g51kw
V9N6N9ujekGquX5plZ5+lw3Dzvmur7VD3qc/gTTn+7RDi4pVvw297Ord7vNT1SEf0pyTrF7Ze8Q5
COu0k+xtZvt5dpGaTupQ4sXfS1Q2yvo2c2YfJbEKtZ0/qraBtrrtJEvbFdnndpvNrGhM/Yjs4Gnh
JQ5knz2NukQCm9jfUzbsrzWK6SxxooM4OWugbZGyABYf98ZQXTzzpzkBwaoIV7DmJx+lflT35q07
L7/E0nOL9u1RDuU5d+vqILbkqbD6214Ye10xmlolvyonHv3q+rlkVf401PptTSTbTk+lFWi9mb+x
lR4LdSOmJ79+6p3m0G7DMUmc9J7BlGOnzDmrfVcoG8pSb3xu4zqGY2E3sdSLqOurO2tUtzlmEfN5
nS0jlPZdPpjva4dF6h2ZQ8BIT201QrniLldauHEracSkR1qTxERPS0qR7Z2Zxwnt5cFA0IK4wYBn
yu1XEXmpjP4ZlRT9W25/AESfYc47ZeBQoDOlD7zSewIpGRST87kSg8K97cfOIIh5mWqXwUp/LuzL
mLpY49zdxBU7M0sg9PBcwc9Ft3BKcwZAo14cUhjN0L8DUS9MEYR1TOl6Vh8h0gLDjgSWN5UUQ2An
gPc1jMwZl03H9ixopo9Rux8ZSqNE8DoRO1w8q6321N+BMxaR5WKPIKHGTyM9Vct7YxlASdPv61vl
yC7Um36vDTpQDA5gosyfOpDyllmdliYamiNz0NPo2kcng7Fuk7/Bgs5/K3l2VKI/znX7WbIGDqVM
YkSORx9nwrywGLweFdqldfyo3ewQ4x5c/+lWSmvfs1AbFn/fqJ+Aoz9HP4u25N1hKIGLZFm93ws6
HHg2p3KukXcQJLDq2ArnU6mmXVbHzRyX4jlTv4v6q/LeVzZmSfaLI/vsDzIGABI65ceYvzDR0Ot8
3zFq160tYqZwN1b2bhxpGQzjzvK1XSkrRmrNeK7Tb2xJQWnUt0NCakSqk1iBUG1lq5f1VtTYODRy
OzRQqydd4e207A2b0o4mlw/QwouVfWbCPDZVfdTkA1EDV5PEfBhq65Br1zgA58FuyPP5qmYTjUgW
y1Y81RUN/WChqRNyCqyhJNSnPMOPUAEFQ0yERKTMISKswA56bX50tuVHbaW/WoNbUI3dA66rqOjT
R1t6p40Tr2/yI8HwLCbqrDkhMn/rjAxd7Vsv7xq2IMnyapjskNNvxS6hL9GGvzXL/TLZgV+/tqvi
wx1Dy9nqh02bdZyFDTL5p1KyilCjs3fUFFfkYVu5vNGHloEwvnrzPd+mIxrRSyU+q2UNCuk+ydEi
SqEJHJg/RnJObZIhvEPTQbCefPdltltSU+rmxsJHmRME3E73iT+3FyPPmDdphx6prEF+Rz36kZs8
52hZhElSiNL2plh3hZ3GW7mEYPu59L1wah76zA03LeESfELd18wbiZGivnXymNCGWZxWhr3TUcO5
6A7IPpeCtKITOx5juKGPsoxz3d1ubL6RSCXZqfSOZDcftZSN78z1HpcUimhJmtdqu68cwpX1T40r
vACbflKpeyB8LszUxZLFLUIYkOv/i7oz2W4bydb1q9QLIBeAQDu5AxLsRJGSaEmUPMGyZBl9F+gC
ePr7oSpvZdonM32y1rqDGlqWBBEIROz977/hAGE0zrCsFuRpR4HXNEHOklnaQrwXiZv5GpKB56fq
Abt76HpXDx5SZBKtlLcn8GVSMICd57Nh00KS4aCX0T0mQWjgxS4V+9hKzrI52RkTrCpT69SiTAJZ
S9Bowe46uI19R+CrH17Z/lehW2705miXRzs/ORSf2r7qgIq2ImHqXn+o8lm014Vwa3L+1e6lKfhW
ozqFCXCIme/zwdlqM+aBhfYsDRyeEwYdBGSs4G6SbLebagElrUZfhQhMnqXJuo12jT++ivRhboOp
1Bj0A5in9W1Z7jym+MDDnWBjSdijzK3lzwHpE2/G7H2K3ZKAHGI2KB8YVDD+8OwVRt9HjRwlNF0F
I0CrOJET68MBd6/TNArEbf0ePTc14rjJqvlgGs6KSUHQEvwT8xDJiupZc7q7gdvs7icGGuliQT3E
0NEs0TOvQbwXQsxrdK84WFNLe5bf1gaQbd7ftnNX4XVb33Vx+GV0qs9Co73t+isWOc01HfLyBjsP
ikIjq0+TL18z9TLrc7tCp/Ve5cmtLOb1EupQOj3iknrjoerSPZzE7xA4rxaI3J+mnYRiq0lnVU93
oc6Hnj7D601wv7WIOeqbKnmyyNyCjneLr1CxVe1OmVNCshGFCaDvY8Yooplbe1OkyQah5qqo+c7p
y1huCv95Mp6b9CwIP6FIX5EqA9suXE0i34bmbSGGe6N9h6F/SCp5ML0vfpdcUnBYk2w4CDCeKzfu
PO0iu9tQKoxZdYjzw9Rv4vDFHI+l/Qmc+wxBnQqcIDXTNqOVrQNDtU33ac7TxVdQvPr2GOT+qzfU
t7UjAr9G3NqEycptPDaUApuK+aRP4msZvVnAx0EPUumbiryi0E22jVueQQwEaFStsLUZbgedP5LI
knU52vvCbrO7EnL9qzOHzjabzHvesG6TMikhgGrngUn42iudNi+Vyxyo7V8zYsjibN6KXDxEmGWu
dCf5CElybHPz5A/RTDxSic8+fIxWSKC5ch95Wh2kKeu5McCnAUQDbXL3EDfILbbQedZSe6s0/1zO
THI13YLQ43tHL+mGx2Emn0PnPS99dcFMdosQ+VvfNYcpDTWEv1HH4AvMHyN+tZYdUxGlHnw/1b90
NkFj7dx7N46kqYQE2NhfJkbtKzw6FGARIAuR1MXB9adT24tmY7jEuJZhpEAF4+aBWIbL3NN/9Hb8
5JsR1BEPnCMOa523qo32aWGIh8LYhr6IKbDvxrhhbWkjUkCE8H5MesQUQ7sWDEDuGnallddN474y
LQbpkZ6EV1pDnyXkz8fUiLqdN/raTdH0sN+dKcq2LuB7YBVyX7vqGimeRjNaEC/ldRy9PXTrL76w
t5AOGWVb5nOkzzRh5rbNUVma850zoEyBixN5zVa28QE29G3n62c3HuCWa86qMpW6IT4G41Q/vlWZ
1PG/0vSdz0q6d53paFTRgIN5GUWHMrPzrV67U70a0jy/4stqpRsTnGTXwo3GrM5M3Z5GSZgau0r0
mGQ95B+3jYEviSPz9SCd0h0hnJu2Ft2NJmyHuOtKHHuLz9QydwClhUwfrkMvsbdhWOO+rJcXW5jl
pTIYkWLh6t7VkdnsSIztNhmWyU9uW+MtWIgNzSbOWO64BJvR3Qww0QIIZgzMUb18asBdNmD6xv2Y
63G0VpPT7cWcM63uVTHDmkBi9tAM6JdXOLgY25qYg/0i+ENvY3zKwvq9J5UrO5NPJPwl8ky8jmQi
fBsWmDcyjXFdQ2gP8qyR3+YEna8fzf0H7yAZC6Ho74gmcDcik+ArRco4uNaaU8HPwWWYBhor0stG
WpgInQ4jCrVhmPl1qCe8yuPcvJeO+zyQALIi93KfQt7Yxn0pXl0J6dmH0HSHkZu2sXSD3aMcjUCv
9XyL3tR/ibKYUjfvxs8IpT7isrE6iFujfduQdATnjrF3BOPhgzp2LFborm9wN4FzMmrQ8jsixf25
AWtz4p7qYy73o26RRqABO1XhnmfRsTcqGzqd/OgGo76zSUgI4NblnLqEhNUcUKA92mBR3Y36Idao
zvR27M8oOuyXofSbam20rf9NT9AdoYHShp2Zyy3Ax2hvkrSagpieZlfHGsgveUItnDAmWnTC+Nx8
SMvNPqHwri9DqVpGKBDxyMH43IVlsdWLOf/wCR2RQQtUxDB2qAVnMmKth7YnoUGbKeCwovJ5yD79
3bDE2ZNLuoZUbL4aaOTvGsJOXztam0Od2Zj2jHOzM6VtngtaCOqcmrqq4oAhIjk1jHWHaJuUs5Ho
UKLcG4f32qhu09QHIBxjb1cTPbSBli15bpKRSpjVzq7UT5k3acwSleV9re2h2DDT1kk6gt9yp1el
/5ZLzdils+Zuhlrap9C19a1OlXADRk0pxXl61w6auroEZEL4M5171A1kImK6AVxZ285RSuGfvUy4
wVB3cGEEjYXwNTAJ1YwNTYUzvOVjZMtdoiHwT0M8G6WQ5BHK1uP8NCPjYnRRsaJEQzAQ+gx06cEm
/AO1Cmwu6xj1ia49QQrBzI4c7Oi+BwLe0GoO9xlZdOjCPY25tOGOW7/v4pNtMA+OBGl7vMp0c5nZ
7TIR4WKh1frVC8NZbht453uryL3PQ9YRMqujOmkCTjHtYmYQf1xX+6qHhQJomMKvhUQLVZSMnZAY
GpsEOlUJSBH6Zz8CN5G53wdd6no8lsQ+GK19rzBi5tQkJ2kT1oiYSlw+aBaRwlytPBT3QDy+hFlU
58bZyTICqdMwRBkH3r/OoJFsNM1LDd5Zs7oF3QABT+0hcC078MxKC8SUeg8ovKadCsf0qMt02FRL
JFnkOu7ewwH3go9n8lDTZTSmW5xTykloH2P4LanlNK6Q0HunmrhZ5dfTLkasYJRS3/aYB+76cAYn
rk0TAUkdvYyZa92ko30dq7K5s7pS3Ztmh3IpNQU2EQbqJRGGsL37DoZjaLwsW+HW9umkzLqcnkZ9
4CGwJi5RZtpL4B8/qxJWkSX1A3zO6dHpHXAX9DxUhdBoEhCKB12a/QNYFUKkQU7JuPL0wUdoN6bS
XRFKZJMh0hVPMbOE0BvR9ebFeAyzqbvxxrbhjcDLkNga78NKUuY0ttdtMeWL17xDjFUaep6VQbH/
NR3RJwDJvVU9M/PWq3f+PDBL7jIAmVzN5dmtCO3BmJwiv8sK6xDLTN87ymQJj2I3+XBnWt87uC7e
2q3nNmvkgjeLTc5DXVr9ibGltcUVCALxhARO63LesVQiMfB856LC0jnhL9XfTYOt9kXVZM9elYI5
1QRO9xAVVH8WzEkawsf0kHpnyO5Vp5JtvOCxnRlfSAUTdxPPFt8BWxMbBkruPo/VM+ZV+YOND8Tt
gHPilQBEHcwtezGAGtaF1pKBSEzPXlbF1h+scWsMEvkPVeOTb/cvixfVph4XeLSa8v7ZG0VMflQT
OWi6IG8v0HRX72VDGK6tMvOUphaz/6jSt5Q/TJLyiZmLxahyZkR6BxsdYlYBEMQs+agwSz+3jSPX
pOJ+BusBoqlG9RaGAiZ1rmBfQEYGRDeJ46vlPKBP79Fv8jaiJVXFP7ORQ+bFRQUxo3STjTvmaBlI
GeTQoBAps7beTv1wKMDzMB1BDAz+8tmMMsNiw3agDfk1obtR5WdfjJJHF5pQC0SBGH6VJQsDo1EE
WDsRrJOOkNWPMjI8QtXEoYFdE8xCg8uT5oHuo1nV9VG/YYFme98c3bci8yFnMpa8g8YhuJB0d/kc
Iz0ZDVM762bM566yPZGuEhwmUs4BaR5jICUiGuipC+9YbXTnCSJG2E5hcumgNlJiekO1SWsz2XfU
Hysu613zXLb7Bm4dQrxk4LFEmPENQduasbMCGFR3ZtZ3AEfw2M6unhv3cizVITXDFMpn389ry23T
K1lwOawvKOhBbUTq26LhuLPwLV1XzgA6ncWkEoSjr27gvzLTifl9RBvb82Dcel7d3GfWFL61yuXW
VU5Pe5RrzdeJLJxvhGNVpD7pRM4vHrKML4ZlBquiz3Aw7DuNnXxrAkPdmEToVtBj7PiB7Nhyg7Vu
dxyRvgVj3Bn7WQ3taxfNyDJ9m2pa5Iv8t0lOIFnVhnA7quhYveb0D7yJlQZm2EHzeOxDNX/LM8zx
/DActlU++8XKNEkxbW2iHXpSc4O5UnIzTQAXZAXAjs3jaQ7k3MBjLUZP3qnI36s0K9Y1R9LB8Urj
BrssvGQQxJyati6DJJ2mO1VB6JGJewmZUG6VK9LX2MsaB87r3B17ra8CDaWz1OL5cxOq+rHtfAha
acXQ1VXds96yqEhk1yUwXecekUpDURwfBNGaYPDQEfRJnvMmFbuuNPs7pYdMqJPM9Z+k09f7ysnH
3VAYzUar+vZBaMvBoIacU4jEjGDoSMBG/lBCYJon7zwTlBnwzmi3sTCsNxlxM2NhRpyfUcOgvQTM
8xgOrchUGx/mNG15do4+Q/Fx0nKtXLYIvG6NK5vJW89c8cBg2F9ZAAwbFLDTtiTU9hQiokOyR0Ie
Xjn2PH5x/Ml/8KJTTp5cHx99+z4s4uIGl7v2a6MsTqfwtsnmHYj2ynU6SgAZzlsXafSKgvTYRKCV
Vl8ycjnawxJU1q10w4JUWxytMumCThKlTUc1L9oyb0kl7jTQBgoU+52phPXKyRHuYCsSJDxWrv3u
N1r43JMKv8+BM5ifM6RXq1zqGoV9is9PjWEAaVLkc+tWI9emF+8KQ6KJSp6RxNf92puN6N4TN56r
HfuwBN8jH5yqT86H3M1BaiKwmISxpznVrz0CSS2bbxFTPGs4DAUi5momWL49ffx93v8fM/pxW3yv
6knC3+r+z/8uCGD3UZ2/FB/tf4E4wIFS/+figKCiGk/ev1MHLD/xq2+EY/xiWvpi7Yr3tY7xIwqo
f+kDCAr8BVs0jzQA3RUYoy3SpV8FAob9CyaRvg2zmObRBXP4t0CA/zJRDSykftfydAv72b9hHCG+
NzGzbWaLBAsgYPDxoLOdf9oq/85o0NBHjMQSownMrtC3M1PRtcrhJICBUPWtix7/qZVbx/R5Vj6h
Q46jHHsDA8eqJitcWHSAXh/YTN1YMOUb5KD1vVEqc4e7JHQOvzDLb5SZdNhIAkiE1fvOgk0tO/y8
jDG6TRwiqdmXIutWUrrcpt4wXevKhDAOP7d4dnoUhGUDbb2vMvKwmkQd2exY/bKWEtoF4oqNiudz
bXRNv/37K/5/t5zvhg/JCfuBpU/d/mMLyf9LxzT5v2B1W3+5ui8fdf+WJ++LWxFRF/9YV2X0nUfK
8uO/CmG8XxwLg3lELfo/1X4o9P610g3jF4hvKPyEJ6jO8UL590IXv7CvL9JBjAkNEzkouppfHVI0
G7siHeWqi88PPhfYt/yNhc6A7zshDK/Z8ta4OPbwKx0Hx77vHVJM3kcnlfXWcSYViIju7wTzQIhb
1cwNjCwE6kxnZ+j5GyrVWN0oU8mXGFpXuyaXo4LE12vQ/OdpnNKAErlHeoBFib7CNd2pAiJ2J3+d
+VXxCdW+7a8UWkJIme2UPJt5Py6YDN4pm8ocyaXEgij8VtqZLreT0VuPravDKe5jtz91An+29ayL
Wex7DyuanUtnMyDL6VxzBeMpGgPlRwqNn+sXh36gkb6C5TbTjTF1mgSgrIAJm4RzzDSqPGKOqpxk
XacauIk5S7KYu2SuqYR6yEtY0FE5zrOk/NUT4DRSUzlCV3FpJydfm2ymPkBp8KeJENVWQ69lb4Vr
up+ha8FKVsIGcEuBCZ/Jpk9eGtmX0zZSfnfOvBINm+fnxreq60ChJhfbKMKaKueAXg0ed5VU+X1c
GRDNYRQRJyUAbJLNzEBl2sASotZMqgTBPIYV9SM4jpR8pGRCzCAazVtZXTZ/Qg2AbU1Z2uF2Hu2q
2oww2arAMEih3eB20ns7ve5BDUrRfW6TAcMQ3yndeyd05LnswdWCpp21AvUDLjArNNZZv7b02tJW
iZOnXyQ4yKVaqneIXh1mKjJniBu4sytuS0Kn+p0+D5G17o2kNAMDvhpuiygHjK3UIY7vzMYxyKj3
oJZdlBw65zIXzZjsk4F2Frhdc+sDGbwNu61lIlaM+tmfmP1MlQHGL0O4qDUxyeuWelGuHanZ+BkM
OO3sULVa08aOupkhg43O8zYDP+jYVFOt2MaOU6vAcKTu0eqLsrlpM1N7QZSqpW/eRAQxAWEjUole
8yGlMF8hubiBRhbvo1QQkFwoK/Jo9QWIfd41BqRuIfT+dmKGAFE1EZD4Guiu9QZZqpJ7MugrgMIh
zVDNYkJoeAxUaJ4fq2p0bCYpRIquCXVnui2zUbsmRQM5ME7wRF9JB6XabVILw70kfdNCHMrxlwxU
DSANKT4tqMjzAS5lrtG4n7IybG9QsQ3FEVcGczhHKvfHO9n53XhoRtV623oumQ4OfSbCl85EGvuN
v1urdgx5oSG1LCCmx9NkJIHLeVM/2ONQlqDek0lH3EzAYGoa7T6o46hLDkaKBHglq7ifgwIGbH62
ZeF6d3kpqYMRX2kCvi09YKCFtm7sYmwwv7l22SHYyJKSobUNRw10KG3FRiZFXm2bgXByit6xiPdK
dHq680UewyGZCyVPiI31EsFpXxdnU0XsXCE9jPkVxS/naEEAawe5N8HiplcK32i70VNofeHkOky8
kLus4zbXu0OldU68qcvlf01RZcleWFYDUJhDZwItlW11Ng12nr1is4gPRBnnmAF0JfNxk3UU3uAT
MHg7mGyQNDGDwFnA7THtIVzaoBGwRRxjKdki1lshekisT7AIM/hsiaXsoFWT92z5+CCsefr8UOli
2RAu0v8gBp14zUxXfmsmSCx4pBp1ULZTddXH5epFK/iChspgWtGdEInaG+BnMDzDOmR/w8khGByT
7SZOuownYTX+piECON9amuruTHx1KUHm2j3Hw6x/rS0IxBi0ZYzWxzCFqVONbvJhYMJxpkdO4ZeQ
tn6FRSi/dTqZ9RgwYRSF2Y/9LTUNip+sqVIb/nlLBnoR59XVM1raKrtqq69hZbJ8crvmJS1LSvkV
pjrMwgQpM3htzdOrP+olJleVAzmE95fuJFW4KwaJPS+MX9F73sHsdRCoPLFlcpB4SPbbuQzVM6B2
3NwaRZI91l0VZ7vRlqMGYQdLGahtcNoCEVrixdbtTGjwfSuSJ1YyMSBVYwBWQbHKgC1A3JYmHU+5
RU5SDE+F4YmPZLQQJwHuTJfBbRuJoY8egfWHvf6ItBOySGjazTaqtNBf+HjhaTAt8VX2OUK/yXCm
lNDtrkU1h7v3FIRWT8ZdJfLu1qwcuifDn4pyG7dede7HHpmZbU/isYpy6jc4wkgooVRb5hqrZnmL
RyWNey+K6UFi3G7tusTvfaaJYcZeNCngYUMJUR5RTyzNtdJN6GFGB42nQLSxnfvJPDIhg9FSYm+W
IPPPQBd0rZgfa9q+By9XzjXFjy8GXZbuTRQmRccEZIhfMoiLbGaYT30mbdvkeSuZI3wZGwdLEWhY
wKqiyx9nXWa3jt5gkqPJVL52mLWfRp9UYoaOYXZupqa81l0xXstcM180XfmAQjiU3PdO00Zrp/IN
jpumD0HLw2homFLJ4okKNgXRMDKktNIrXKjeoRYfZJpWjbazJk3XIHQNKdJEE1Iqe1ttAvGTBshY
PHNS00GKItyvMKVAzkC9hofBLdvHGooVra1GZvwK2idmpylaB/DXpMPdrI1Rf0RQ1qZV7S2MgFw3
Qnh7MIXPvaoA4gp05Rfcu6q3rPdEGcSOgjyZCAHjxB8aQqLqAlUE68pVCnwsAZnGH+U9L5dHaUkr
uXcsR0Ox1FV4Lg5Voi6usPQ3M5qSpzzxkTyVXoJ2tcabDJjAh7q/E75RnbGO4862TdwGEGUhVIWN
LT97ie6/zb2dP5pRZR+NWIlnsrIYxlsqRybgmigpizzBm2oxi6NT5hdj+OXnlUYrblvXhn24Cbwy
Wh6yYxj7SuqEFPee2RaBuRwc69QY2vfEZTy4JqDHX4hBNf18nnoO+IBnoWXrHCtH+wGV75OW5LW5
FjluZYFmpcN9g+TS2rCeog/b7qPpJp+G+BXWEhRJDdn2sCbNkfQKMU1eEkA5bBP0Nl783g5Flaxi
qVn33ah0lj4Kv5Epd5Nl21kozNAwVEs7vMDyNsUgnlDx1cxhdIPTFiIloMbZCwy9yjYGZrfWPsz9
9L6qO3Pckns+cgYtx+lKx/9LkaZZjq+JnTvHHhB+XElfSxhTI6z0dnJsLLR1bpUqKKADBDQRYk+z
tWUOaVnYdX7SorLKtqRZjhdrCb7fTPjV3xe5H7cbv5wjC86qAzPNoFJB0Id57wv5NuKb1GNVBLpO
9gILM+XPUZFWPFH4jXclZQEW2lk3nZgoYJ7dYZTOt4WiZHgdN6JYN8Nc5tsWn38bbvEE4R6MpPyS
4MAN06MXjItg3XgjclPP/YwbnvWcVmmvBXqc4vqTckeRv3rC2/hxWeVBEeVMydoO8J2tTE0fadeP
5yLt+3CdO8l0qey8fRfodbDSAAR7cauW44OwOUZxOE0gPqNopk5NnIXZoJaYz8CF0H8vWy1596zC
fjW8FBVgS80As5cNljo70gG3CN2LW/BWiDfHiloTzkKRzYvxDc7DvQACwP2zcR6iNnZfcbsYKLpg
b39FKYwfMWlA85Ohx9XTjHsoNovShumtxy1kEz2U9Ves1HpAo2nkEPKHKmOalkce/uFTLwbYRdn0
OS3cHD2ZV2JdwpjJwV7JLotL1HOswYPHjXhFe5KdsfGC1dfocYOYyImhIXlTQUEfRpH1XisbPk6E
Tu+lg1cBC4VB0fuID4tcjU3mQADqzGreIH+HEQwdDb19i0syNG1VF+gd5cSO5tm6dq1winYuLerZ
N+kXw+dpHgHE0ADNjCDaAkR+HkcH/kjFE+11gGdorl35MOFaXAU50SEGp5vEFgDb2vBW0qhD0usd
RFG2N2S7sFRS49bOskdFbUZAojjfoAesclznxjF9h4uif8TmlCPX8ZUDw33G86PTevaVFpx2gkoo
xlPnYV60RWDdfkqdKXlPSoOmZArz8dmpZX/F37x5MwcUL8zkLPaoXsJQAwLJPrVVHqLfLzkqVqIZ
siuqIBoiLWXpwAOP/Qer9M0zzvLea8FsEokuAm17Z3be8Ooie4OwWTXQy2ctShrYwBQuBKotybNM
kN/8ip5hhXofoiNKS5LdSHrovqDPT960WKRvDLQ7Ru8Sx+dcM5gq966dovuFsY4YXJaXwsvqz7Q3
+YB1EzMlW1rti5+m2BAGJXab/Qs6zYjhuqB9W4U2hlXMBYrsKVO+86SXlfaG44SAQdYm9stsepFG
A2yy7CflzekWb/X+wuSCIW1JuXOaxqL4No9KXRUUnTdXtXm4oaNvP/rYbsYtC6u4cctSEQaTD7Cd
vDREjRe1FlaBI0zol5yh/mfc9FCLYkEHSywx4t7bekYx4POOgoOqmcSvhWlYOk+dKeR49lPXQVeJ
Es+76Ymfhdg2UorCjI/R6CWa8ZU+rM7Xs4is9AG+jIZ8phrsZQMrBmK3ZurBInH4QolqkNbTZAyr
CBAsKBi66mrZPdV6bcDX3bQI/97bbDAga7dxdkdRbJpnuAHc47BPdEhQGUOOTxYCdBLFIxwC2X0w
Yl/BkWzRm7Ftl2uZzLy4sVNjZrZMgfsjh6qzCZsZYn/SVy7WAMyks01hzlV48ueyFWhJOsu7GEu5
yjepWH9VZpdSS2ltr5G6GCFFQ9sk0W5huj5H5jWxVXIf1d4EHULaWVfc/n/D1v7LMmOFQcHwV5Dx
p1p+6fLpH3+QFvvrz/6KqBkOCDE7vI7xMByP35LGDCA1kFtyIUDMQM4srvf/oGNQZYd5KigctbvB
xvVvRA1rGZOh/ZJAuWQ7gcb9HUTth0yRfzlukRX4YyiijEcxTFaPgYNkQy3fQyQhhRk+lUxlNUnB
B4WWVryP/OB3d+n+X/7ev4+LBSb8nZXNbxdcvv47jBpXTMxPW1MdwMSCZvB3NEkNUF3ynEz1219f
44fEmN8u8gM8qEcoS5B3TIesv4yzFVhYRYy2E0QR5glMk3lvhsQ8SoFUPMF4oCtXFiD4T67+Ry5m
yz0FBv39R4SBbEyJlWkHfPd2WJMHeaitmfisDOpRt77XrRxYIFmoBGtNFbeYlfzkyqyYP7y54Lm/
vzJkioRTSMM/3bPQNe46Gk97gDGGXWCvD/dj4x5dpPMScD9U6eonl/0elf3tdi834nfPNEPt3thE
eRwgqft3/Tm/665xvC6fie2Mf3KR72ccv11j+ci/u4aGf2XXsgceykHgGOAHhj9CGrmLfBX0ADVx
Zv3s+S136zdj+t8u9UP4TDKNOowspQ6j4+3myV9o21TLJo6jyX2OHZgXzrtbLCv78pGAEDxp5OYn
d/KPH6Dn/+D87cycVTPuRQcrN3aDTtPg7vAq2y/CYTszV3XLHbWO4I80bsZPbu3yy//n5/0fKWIe
au0KZ4TugD84/bEfCF3t4NDtSDyiCQt3EH9W4Aq7//BD/uDyN9j65DUd+Ej9Un9KPrQIvzvOxlV4
lSfITlgv/IcX+mGvyUKZYo4pmoOvwVARj4VRrjCy+efymdnR4Ngi3dgaqXjSf7rBGeKPtzhA/e+X
qj2GmJjilHTosPdbJ8/GS3mq4lP8CQvfLSk7B7SCvbvK5vUQDO+hc0Obfi5PQ7tXR7S/72FKF7zB
PmG4zc6YLbTP6b2tfcGUY6Wt2CsjcWq+0E5f8n4jgmzT7Gz7pG3IPkADfK4e0vTQnbyaYGBqDnXV
NsPq3YOAjqccCTH7Ttwsqc9muUpeu8twab2TsTHW1a3Xrd1de0g3094+YJ0xHdRWBdZahFu47zfV
pkM8HkyHci+xgG3f45M8t/ukuOn28uxfAO9WOfpm9VhctG1/19w37qpMHqzwLb2K22jnDbtmHx0R
MoJIbOZN2nzNHyCmQD0c3ix8cMqzdjMmgdrJXblz02O/b/+znZEJ7vfPxBgLP8q1yTxYKBbczg9G
K9m7HfFYzpDe4yyAEkYExWDS42LbpU8/W4PLQ/+jl+uHLRkfygYLY9089MvrC2zHaC2A0Qmv6HMM
s74awnUrP6N6wj1n3g1dfV8k5g4MddX99A13/2xfMb//+PQcbJ4mCbmeddQhvuqFv+7xJxv99Kad
8RXHfjJq82s+6kfcnhFs2NHNHP/TzTCwLZrXtjb0TbtkWi3yMniPoDhmQiYNuDoiqWjwD03SXNIE
CauPeVpkDjcoQJNtYSVI8mXAmQhf28zvtGU2N6LYW5mdgfciRs2g5gi80R9Jb53m0dWdEhbb9JRG
xkElHng4Dnv4IkyvCfL2FhlF2tHb5JF1r8jOmEr4j2nebAXBi15DoBO8PLzOQYrxUUhRqiUxdpjt
PoKDuQJ33ut4M28nPKOZktnnsjLvfOwwu/ot8j4b3b/Ccf40lvJPypAlo+W7Myu1hJ9bwDaHMNmn
zYvvR2+epgdMse7dmjs4AzrVl8k7efMElQWrs0r/ySH2Z3v6D2dYHyN5t5mrHIyweYPEAyYniHWl
BAjdIIncY7UgyFL8bE//4zOT0PfvP6olPcXgrggPJPDx0ewQlQyLfDk1IedeYoSSbXJhEsP2Hu1d
1/3J5/yTApYEm+8vDIZmFsBN5FVYFQFmqEBrb5XnAh63h4CrPlrzkfTcsrr85FD5s0/6w+lliWJo
hS3Tm/JQ+/5N3sonZKv75aGmFRxt7YQp1L1tcFI75nGObvzDX1/5jysgz/vhNJu0soe8iKk67s1H
AKZAT4Zj62tUAtOx5t9LGfTXl/rTu/rDEYb7fu51ZIgcKuzg4hASo/1opQ6vdfvkOXj/OMkK2hQB
U/nPSp9lK/qDjdL7YYdWcytLAU58GPBP03CXC8eLx+y0iDP8LYxjwm7IPOwO+++dzZ+SYZbwk00a
/sCfXPyHXdpqCcnME0o+NRyz0Qdmrbceh0NaISM3FOEaotKfLbAKnP+62zLOjuCidwXyj4a586yO
cz4e8iZ8rQXWlwxUGesIHwUebk9atzedrdduM3HTtFs0ENPMVrTL5Fbj6ZES3mHQ1gOmwK+mJTGp
DDyNXVZX7LL7mCeLTKVR/bp04uXgXseLNchFzMexxjHrvqZIjHfDsJP+ofTQK++Vu5/l3kXPrTbY
K6A9SAia2PlaDKJ1nLIXYZ5hxYXWi21devPRV9fa+tZZz0X5CfP0TOwG99vQ7d32MLQH3d4yBCU/
WC92hlr+6DbeSrUzhr027OPoENkHO95r9TZd7HeKVR0iDdFq83bwJhqRIVVrt9T2qRB3mcRNx5S3
okr5WCgoF7fCGoMwX2Ao1GwifE1EMmyz3j8MZDcNzVlhGDSn4hP2urt+Ouj6fLa8q3CeBmwAk2nC
HI4zlNe9q63j/6XuPJbkRrKs/Spjs0cblEMsZhNapY5U3MAyk5nQygGHevr/A6v6HzKrSHb3bsza
rK3ZVYwICHe/957zHfBQgM3ibeQNXyFnLFxvvPOzCMOY5X1ohXFLAsW93V4auOiszDn7UIoLK39r
CYB1mWUYdo9jJNqPjQMKQWK9skGipsy9tDUeh7de8zY+p5y8kasqKV4m3ad9FUc3sTdux2lkzbHB
ryVbdCjLeG6Ga83cpfZ0rKzpOaldvGRAHd4jOn02Pdmm/tIgvw93Um0yf5URWbWQ9CNpdxHXCNSa
gI91xtCAufuuDinqBn+J/nwlMPv2lokbvZrbQ9djrdOf6xgkYRbHAiCcQx1nRw9gogFjpSCiuVZ4
+up4XUXLKWS7icxd15R32UAeddetEsPmeKKTkojGeIZ81POluaKmPLfpo5Vi7QGMjexReRyVkts0
79+qOfG10DdMZvfkEOyzqrlwMn09Jkm8sN3hkgH9u20Od6q6qG3cKzovTUlE4dLNnYsOQJceH/rQ
viXn4UKNzl0fuq8wbhdT2q4Yc+6gyG1G3BQts53xuk41zo3iptN7QH3gwybkJ7razipyKzd2WlDu
BePHwPV2TnSdz9J2IY5ei91fpevIfNYIQiqi4SYKYUxx3A6why6Y6r+AEN2EER2BBnCL/sTKukhd
3BHxNQOP3+2TP1to5j//rowlKVnaJAGqfT3uodjsvLpbZZpcx5G3EnO5+ZEnASHEHKmc6RD+rnr+
lqv+d6vrp6OIG2QTcm6r23tMXIIwuAhbXnC6nmWiX1qKvmeTLe0G3mZ12ZAlivAp6JHBc+DTnTug
oBhMvSUJhasKjrBe6TAvFCBVYCM5zgZsYthZQ2PA2jSt4MkQ1wTytzg3BQw5TjtfYxzTfiA2PTr7
FNe962nbAHB6xxFtUM1aAY7p/ZuQVIXiNnVnTXu9dM95Py1/vaeZPynLvE9HognZQEp8W7q3kIGb
xTHIDpl5LvRndhhCn6DBDFCqBKooLJnDeN34YulzZtUd3NHjjRr2SDiGPmEUTRO4jVcEvp84uV3m
MIVuSJj4zebr/+SLup/PUoYdTbZI5T4HpBuxCbsapFOwi4V8au1b3b+UE6OBuMJiz1wdnX2R79OC
CX3QbgB+0VUuuI/XsXnRRceeh8w8wvc91BWXGYtBxoBAodLJnqyWx+1V1dWyzgLsj+Rl1O5qwADQ
+NBgUnD0AcN+XnGQN6sJCwQ+j2WhrRsRLxwGEfOKUZdnkqJiHzqkhaPaesvyj7kEEAi5cD6vG+YY
KfY3Y8SXAh7Dw2USsE5V7YvWfzEQJ/TmqRIIVLTxprUI2kx1tNs36OlRsJjJlQ2C1sFuYjQ8hRoC
/yI+lY+IiTalyUgAeEacEEiEKI94kw1+paWkzz0E2RqwGij25wLpWe7O/v+FPby6LLpqkr95rMR8
7vubN8v9dADVsMMzMyKzMDlhzdqWxaRvMxxxWBy2IWgzAjhEe6cSQFmgP4fnOroROU165nujo9Y4
hpdZ25xtFW687AjNrUnjpSS5lCLr0LvjnaiH1VBHy1ACzIXbp1Jt4VqKUWWwTVJ55afFKYkxEATl
InfMfS6ChQloIPJGBtK0D+h29sDZijQEqzvtbCb9iSMWU5bDVXN3ZBaskpx9FXbLhMgxicM1cU0r
4hnwZ02/OWO5Pzk3u5/PzYE0Kq8J5F5kz0EDo7J2Lti8iSLDZxq2u8wbLuvYvzGVTc5yfFb6NnL1
C5Mbl4bZpSXrfefUN4bc2zzmyahdTQ4qR5neN5H9aObN3gnbtWqhHZHi6/gpiOe5iO5CapJnB6Jq
Hw5HD7qDZRLPlb0ogI0+e+kEj3yYPUmJvo54GvE5XmlZfVX1zj6seuirclkrtcPub5d0+yagQEO5
dtrhonLVfoyrHQC+bZ5ra53/Zp677qSz1WeGwUPdJ2tnrpjLuyDByyzBsfQL8u4IH0u3qfBWA5S5
IPjd4mH8bPH4VCWUocnQwEqiQ1w7K8+XnNObG0UD0wu649heDRp/nGENhUlYN/59HhBpbCKFMNrr
evS3v28rfhPj/t2b8amImEB22bQAtL2X4HsqJByx8QpFmEE7cyRAY1Kv1pzV4fZnjt97a7pr92Hq
HUUJ5Zw0Kr9ubySKDJOYcVtHbPg4ZvdTCzHCoa3Q56+5mva09Q/oPpZBxhnUa2+nsgSIjVnG9He9
2Lfp5a+3j58V8+6n+sRFcOa2fYYrJ7DpjUVPFh2tylm1xhIPSJc4R2a+D6ZuHcvh6FjaamohFf2H
H/6pPkmn2og92TGmoSE8GhDCCu9YVv5LbqtjVJuzrftooR+ab6OfZEfJbcUM+bvP//sOP3FdPx5b
ssJwiO4I3T3ygiuiJI9WLVaBSq+DhB5/Sbdy7l314noqk4df/+afdDC+tbK+OynJVCNrZhjF3qCs
JQYcsPD1XNfPnZOMo0kfEQcv/tO7++lwoKO3naXt1j6BnuywNosg21Tiqxn5R+Gd87hakX+4siN5
rYnx6EbTUVAH/fqn/qSyn0eD3x8Ku7pAbp+ZaPN6WnK5s53U5eiIVcLPbNIA0fFve+/z0/o37+Sc
cPH9R5ndNEYTPijOn1dGb4FMzO91fuN8ZTWlbeUHOo4lWge2ysbCmgSDFKS/QMv26986T1H/9ht8
2geIrpMt7E1vn7Jb5qQjJqO1NFJ65VzPmmvctsbWzDwcucUm5Wv9h5/7aWHMMkb1vT3CDkIXnrrg
sZHVBw+N6c6T/6PBpSfOC41yel2Xv73eP7u1n9ZAH92+LZjg7gelSjjgu6Z4mHPkwQYSwiBcwKs7
VIkd44dEATTy7JsBb3UAFslKrkP60ZYkKT343XDrJ2/Vt+jZ796qDLKbEorausrMl6BDx2CLY6yL
bRqMHPr1o9TGoxGI39U7P1k4ZjPV988b+i6myF3l73sTnTqjx9yRmKC/rVceHBMzFquyfIwphv/D
+/xpqWpESBShxxMueHNimzgyLOFWT0KKt4rM5rofaRZXT7W71bXwP1urnE/VVR4pMRBConFi7474
SI4J0zLFGzwvi17hHnWGlQa77m9+48+u6qfVSgkTd29qa/uQ1t+8YIB+BaZnsXuPR1MS74Cb1sbI
LUTwx2f+W4FB57+NAvrXjIPzB/1/fyGxyH9+8OqlffnhfxD9FrdUVe9yvH1vYDP+0y80/5P/6v/5
X+/f/pbzWL3/z3+/lYq1hb8tRCP2fTrafJT/uSdw+VK9/9fDu/z6/vnf+dMVaJr/ICkIUy++PyjJ
vs07/qcr0BT/QG7m254gZ9o0Z3XFP5Ud7j9wLuHUM4VtzF5CHpk/vVIGifC6NXulfCi+ri7+rWj3
WT3y3TqLUVmwXfuI1zj3zWnxn94HSiCzFzasfSjGYp/aoIQWQeM7z6Iq7UOXTtYXggJCwh+BA9MZ
qtslqTWWtSETOn8pDUI8A5TOkCdKnrEka0BeZHp25VSt/WJ7pXlUnp5D3Yx7+jGMims6mIBJnwLf
0K5oujDRQ5CfP/oBlkANb/1QZu6i7kwQ1pK22iPkLJDKsFe2kbLFa6Lb2otN7UuisdGDmaEdKpyJ
hCx6Y3ssaD36aDO+/+6mXv+x9X2vRzHn6/C/OyLXidkBEcwWEhyMb7b16XxHWkxWp8RuCFeY95Ze
pMsmw+q/FYqUFDvMaFuRuIOdRiCv5giq3sTog3HJCFstF1oYzrrhhMiYxDW7B91JMd7LbpCEj0QX
ZVZW2TrRdKinrSR7bmEoBbIutac/pFg/HTb97e/AiWoTV2X6uEE/7XNWB9NS9OVHXUXRbR4E7xGN
u21WJVDWHI2WRlh+ldWA74PCdRt2kQPgE4xLOzYQrlw4zeR/GK8B6WgH+OzwEHL91CW9uffCSB7T
orOvQfQm+9Ao48Ovb8L83T7dAx9/rG8S/qfbwvh0OpEEhFqNH34UeYAsRgcEQypruxzbzjzNSvrf
nQV+XD/ne47zlix57il3lcnrj7vT1GcxHE/3XVnZk0bOHzJYYy1Ate9akM7HoO91goPiYtlXABXR
N29+/Xutv7ycfAEXoJgDyNyxzc8znTxpBkjJ5TsZRDpU+UTk/UI1DMbLoDA/Jpg+33ole0drBWPU
Th+BTJpgb6dYwI0zQFqsgV14p2wwr0Th6khhp6z+0gV4+ydGJGTq6i0n5inX4mPnmU6xLg1XewCj
s8axn+LkstqoXYTSup3g86gd0SHhI3T18FYLvJBJbuZVx1//bPPH0xDX3WdV8mi8Or7hC1jwP153
2+rLMIraN6uTYFJL0xkPo+b2TxI4EPwQnIubkqjDj0gfTEKmkXzPa0HQXIJwd+4iJ4pARKuGS5bi
UkN1WSRovcdKPTqa3l5Gc2D2ZhDejeM14mGIhv6SP5JgIGooAr0q90UVyQtDlPF58EDmuLa7//Vv
/MujTBYDTzDVKVJeBz/sjz+RlwP3pRSvVe2CaKL9CpyT6YsRokGpEBAvfv1xn8Qm8yU1TP5jsIAZ
8+P86QhSJ9hlrbF+Va0/PIkgFKj3Y4CGIA2Svcp984UcBSh42nSMAFiNyzRobs2uwAtKPhMdIzfs
TmUlNSRqfgHKzqBftJI2BNQs9929pnt4OojNa9VSpTgoptFsGHrUQPNypemLOoZEF5tiJnzo6zyb
Z1TYYK0ZodyaS6lZHZx1Xx58jqAfvP7GlXA6MpYT6Tu/uRp/fb4Mz7UdWyeSVKc+Yd/9/tSJ5MAe
YMq89X7QrdIQ0NzIJSP1TUbHasEomu3lNx85H+R/WLp8PtLR2cuZzOq69emgC3XHbfFgvOmZ9PZ+
2k4rk6RphjTBb4eyf1k0eGlYJbnPQCt5ez79OvbqnGK8eRv97okgYkCiVdtkAMSCZTL5pCY4YT/t
UkfgmSB6O/sSyyS9GG2nH36zgJo/NvPmp+7bE6cLU+cLEUr844UGieV6kem/lvagP6fjhPlK+TY5
W4CMaHp1VdpBXh3d+yTo9bkjEWpPEWF5T2bi0JHM+vpKyxMaxaPmB3daKF7aoRvl2keOTrc4qt7I
h0E5GU4FaHuOLeSFhKq2+azclb+5hbN1/dM9JMKY99X3fZzt7ret9bviSCdTtsZn/JKlZom7Cm/Z
V70hmU/ykl91Y9tiqfAKzjeZ4xnrivfmne6dj7KBHPuVG5rJEvfaTJiM0/4SdEy7hplL9pPgV7z0
cTh+jE7HemBq08AZYjLv7CZrLtNwtJ+mweoe6jIwEcgQFEtrfZcGdXwDzBCjkzt6XY5/2mOqpreh
a6AXKYudOaKJSTMljbVNc0yvWnF0BM0JdLvqZGRuzvia8asPkSchWC40UL4becboXnkxLNGwBJT2
66XI/OvziRoHz77NVYAO+1n/aoEW75vQfCGBRH+2lXRwDUZ2z2wgykGwNcUo8f35Q350SmfYuxH0
73RKskOSyzBZoUxJbpuOeBg7mPCkR1V3F0YmvNKQXfGjtRD26zKHueMPIeEOWtuUN99+wr9V5PyL
rIj/Y3p2xrPf3c25lvqzRpoBLv/z3xcvGc/h94XOt3/hj0rHEujUKWVIOWU/BOfEavBHoWNRArkc
YlxhUa6wlLIg/1noaD4lkMcrxfoAVJaXizXin1SIOW91hkF4sEoEJlaaRP8s867/WFypEH9+9IXC
8uMb7DhUUy55qxzf4bR8+x4/LPxBkiSTyfTYHzysJAyy6+nUmLoO+jAoH6JCZ5PiN/TryLPBPmae
2EdF3lzjSwXG6pn5sTEh7MMx8zZDqtGrMIhzK8LKODU+zn9Qo5hpmdyCUOnqlmRfkuoqfO1YbhMo
t/WR9OejcHLz3fTH57xjdgB/v51A/DIAIPexo8/UM9HSh+rBRuTGN8FlRouPaWR+rBRUx76/siR+
67Eq6r3mIx8IM2BHWlr5QNi7I45VzKuG9qGZ/iMolQ3wz3WjRcZ+NBo8YbxqCuLBml5/dah65AAR
A6L15EvCVBpvNaYyONf1yzhai3SIxU6ZuAJD2+Hza+MuzIGnW+Vla2sw7PT8PDgZqQh4RQdS4IJ6
1yZEPMlxVxos4kpP/XXXN82ijqKrAt2KDJqJVgsQhdi5sLX0PmBg2JDAOktmjCx+jAiQri0C77J4
XaLbDp3qS+CM7SLH3b5ILPMdLnP0rIdOsdJbMe5GYg5XOXTPpaozi1XL9ZjvIYPwPQBvYb4b8xSS
N7Kc24It3iauW+pWfoTrS3CqwvUJiRSimtLfrNaG7Sy+RhW6W127qfIzJrsVHO8uVRe4fFZ51vcv
UvSICiw7vPUMeVmnzaFqH0ldC0af9NomDZe6xfzT7Mt93xpPPFHEmHmkd/rtbWEWpwqe4MwzM7dE
qV1PxfguXT9ZWU2x97uh24lyeA17UtDatAainqIIjthopvxrHKu30BZMt3iWJCV1rkOTSMjyWuZj
/8GZOocnDvwfRIaV9xxm9In8IVslu4F4AQ3r11pi3V6kHf6pBSlDyVWik/CJRpOJNyltJpEa26Lv
401vBbeSJMCGyLIMTASDqBiVT9VcNj3xNXZWvwXKeCtKe6XGkSQudcBjhf3Zx4UtDQN3eUu4WBUm
1ypN3zGHMZ+bPsyZOeiGCE5KI363pbWBEb3QkdIvReWPi4IEAM9u78EnXIaVfmdr/BO5R2JSOxor
06xJIxmASAbRvpzqQ+QUr2SwTvCtQ+els+Wr3XVPnW+l6XJIjCtJhwFEx9kvrZXlwW/UiKLELwBV
tP0atu2c/MhL79zFciiu6zDGx28VhCDqyoANb76lkWUeIL56q2IgLqcqaQ0nWnaoU/FiQi+HDs6z
g9Fx3MOnxTpyTSorZoCl2zS0yHEJGruAbV/6xldnFAczCLeVOhCZMKGI6AZBuIRmEtDHvNKJJeb2
fF/IreVq5M3KVSkRWA/yi2HxzDAwq7nR7aLPOhIG9FORPVrNXTm4K5kbi4QBuhnz3XnlGaG+0Gds
MoLtqsfOc76ilSG4uOxcBuixs5iqms4F5y7o/W71pW97TBMLiZ2PwolODRjDVCYheRqlUIggRisa
bz191MZDJycsdhZROOJNJJ3txxsyEGAJLwot9uy9D1Yg+qInwH2J8BjdtLjRncYurlyjyuvnsooR
40SxHcQkUtdGjs7JzSt3F4zmOC5VyyAbydyYOqRNmiFaRt020UN1UcSXakPrVZK3eaX70awc1rTu
pqU3pIEtt6v9AGbVB8WQd2LZJpj7ADknkNco7qzHLKUUXvQkbUGKri3nLYRKyEC9SIh7bFA5sTon
U00UBrFatb/E82876KuyGjJQaOH4bmBf5etWaVmymdhv4F6YalhUdRUSCVG0lo5Z2MrKa6IfXM6k
0ttG2Rz2iek7GDNeeE8sdSOClueQtXYRyDnRjJicsU2fMiBDL81kXBZJdmV7iXZRNgX8hICw7Qrf
PbR7ZyR2tKJotN32uQTKtxqC4MHCprmMe/XVt+1q18K6vDLajlcHWIIUODP9YVeY8qDlkX8gAmYk
q6Qd0mMr+gsiIRZ+TIwi9kgHZgSUoV2XJOsw7bjw5XWPbqPzfWR/3HfNgIcb5PDss3EHX93oixbF
EER2Daq/P5ADVrXnGMpovOjIiLFidD2Ve+o7/kA175Od7VwPb23vRLs8dne9VJgP5kl3AqNg6aYb
xSG2tpjSZ1rfkoymgoMWEd4q+y2of/GF5Cs8voNFhqtw2s3EW8RwXz048FRk1wG9iFGtwzxK64Ai
g1fSJEDHiQNcD+Fm6rI78PxYWYBRncMxyk8DqImlSXPECedEBw1feZYdc5liecXgQmBMgG6ux+nS
SNhkCn3P2LwHWfbhMaViBGPEOyTMFafWNNtZ4ZgtG9ddEzhJkko1risqhYhu0toLovy6z0eYqfmH
VNoJZcM2cIA/SP3Si8jWBJMclvExJyGkLcTSsqJlaikyAhJE9FdF5nRr9L0PkTacqmq6dbKS1kfV
dispczYdp0OlntLOm3auLj/0EXK6lWdg9eFQDfa0bQzprY1BO3VCXc5oNkiq0GsWiji1s28PL0F/
FaSQIUSi+VvYwPBWOElPJ+nkgIlxpHBcYiv1uq+laB9sZHxLMOzjHip1tNZyk5yXwdq4ERzOaqzv
W5eAJ6RVl4GW7xxdhifHGjciNq9bgXwNdzHW5SG/zkWabkEdnKfopejaNalqm27qCY0GID6ClAuq
CpRM8kxu8XK0vKVWFmwvNaMqo02OXgkcyeUKVG6Mm5w0TbV1iFGkq53vgJGEy7hy/KOWRh+uRa/F
1l4zssoJI4AXYaz7IVsRIrNs/TpfypoHQJElt03j8aEycQKQlRLqxi508+cwkBCQI9CpvCA60cBa
8Z504bLP8zV8a7SCfGpcoocU7c4RvItBcZVmDa+hHiJHEkOxt8j4sUjsGpth00f+K8FvK8AZTXCK
Yp6tul5oiKF66nPpn5uhOk2DzvnmHsAwkU/Otu0fa6vZ6aOTPahKZxe88hGakqZVIj8gw97USPDx
CRkn6Mt1HvX6pcu1Nx/glExOJbCh9zgvjyCu0fQFhKu3eBD9rYo1IDF5sA7pUW+L1MsfsHs9Gr2e
IVBiHwthARGw012UQt+GmfPhJBaiFo40hIWw+mLWYasclkUkb4lfrsdVI6JyIYizqj25FASReWNP
GG1pB5yhi1WI3kX3xgUnPtCiGhQGi5/8xYFelB6b+CaPxTrpwF4S6BIty5gMS1qtj8KLL1VCACr9
Z8KGC3dBAYiaLFBHkFuceMqXwa6OVetd+ikCkzqmjUV3hxAuz5nAPgmB0JkVjFjIZkOXdXrqQZez
037BHU4ge22Ea7/v1srdhg0beadf2i3ZmfTQvF1g1sE9s/edH++qgqSQ3LnJjGZYaaX97NevXQZm
y4x2XUmqKSEBN8RC9yvd0lkZ0LWBKYjwdqpmkziYLaK+X9KsBajC8zOaC2reS9o729AneQXiU82Z
KJf3ZVEwFaGZNb1VXglihpeuO1lDh0y6HqaNB/JjBSU4vQC5n63qyj4zRwgXRiWuy3wcniezmT5i
auOYKDXdsKKLhGdoLdU1FK37aYTzkPgHQiX3mZiV7SasYeJlxzpmAh+erIxEv4oUyaJfibpdCztr
Sb1ytZtpdFqGAFH3QE/vnJucsJgR123frAnzUMsyyhhsw3oNwL67wQ6DxF62EhUotHeQ3SdviBCo
+YvITy61wnskV/atapLLqLjxlXgN4njeXJ7qwVhFZP8C41snHtsTHjrnLAyE45OD3rCxMzJ/5M5p
y6ORTBcm7qDZjcTvCGCSw33FWXhnOOZV3tcbANrAYHXqBArXhanXxFp4DGoa6rtlSJBBL9zrChFq
hHrHH9s3SC3OjuohAh2CHtIJdw0JaRU0lGVXcfEaonpJ8EjHneENDIiIcC5zDyVZm56JTbmI8nQr
zQCFjrrnIHhQZV7ikoOUUgPzi2dUi/FYk1y11CNBwHtjv4kYvxvrF+kBrwBXorVChTnN3idxw7Zy
FvxL0lZE5gBWWkiasUgGukXfBepQDeoxtbSlE6vLqTKSpZDGRy/j93CA1x4mDwq+t4r0YqaAPM1Z
bPbY8W77u5Hb4gQ7TO2cOL4E7iaW1AQ2x9sS4afs9HWbmcDBKO7WoG0fiebxHyCMtCfL9oDjuwNq
UbUht+JqitmRYxdXT5VQE4ZW/+hU1pcisw26yPFl1mov9RSvgVQT+cWQKcF3BlLoK13qGYRCfFl3
VZsjcm25qyXDDp0Mob6yr0mLlXe1XWwSSbzIZHI6rdzqJsNB2U9uvbDi/iOE+XFSgVmyRCAPbU3W
VZ1k4rWvunVNMqse4AdikPg1iADJlwI/mxzynZYOxQYMApQtVCdFibnXo/iwZv6cMTScEhlskuCw
DH2PCl+Md95kvYayPFPeG3auLck9oLewaZXa5EwNEem4G7sMb3tVbURg3vbg2TrTXQvUf6Ryfy0a
ufP64Y7sy6eKg3uGPUIhM3eLbFl7R1xiG9lm90F5Kpr8hrlwfRughIm7bieJiuSIs6iiVyY727h/
hGPjXsi6Rts4OcmXNPXk2jYCguS0qL4NoXJTKVwr14/ewijWO5btLHoPLTVdJHYCgZCIB2PPE6Xh
6EwUN5gDCSSzHrEx2QVrBPvmuTFMjOrGpJ9SchIWdQAoLtNj9UjcgSKw0tPhFzvjSsIPXAXTdFHn
HHHtykU6DLZxw3k+oqLmAY6Jclg5bt9sp2m2+pFA3Pv6a2BHI9ZPrPr7NDd80nLqYVe7cbYl1feL
ZkbFPTx6Ig280HzNhqx+bFyDTCCJZt0P3XhbBBi96Ls2eztV5TUlrHETWCTzkVEodkHdEQxWYmUk
3tmz7tF8i36pRXpNqmc4mrdiCqB9cPqlzNFoNJ0DtrJDVcDunjRigkB2oItVWYdHM0jFyKbhpIQu
wGSr8aYSmNnPbQ7IRoq888i4KpygP+Sgr0gC6dPxq+PbKLHHGk+RC8I5bKJx35WhdpigDWBlsZdl
I0MaBrG5GeHerPWI2J3Un3KUK+bw1FTugN+im30yfM1bZxj6j4Dz1CpmnrmF5hLs9LgfroYgH7+m
wqfo1fNxPTK5rJYN03t/6SZUQSW/rDylhKCtjbKatm2Evt2VobclgSB5CRXhcb4Y01cWcvQAWbSu
p07fAWFtiUAz7OHdFl711HadIG0qdaxz77TjclCFfbKsQa9IUbeDXeeV8U6ffWk5pXqTkJnSiM5K
l1NRUf/W+dljPwRFSl7cRnHxL/KiKQBfEYCqDMg/687tsAzO/cWKpcSx7mjCEPCcTuLSMVv3dTDz
5KznKdfLsUwAi3qlkZyjB+euj8pjmVTWKY+7dJUb+jHVYtJjJ0cv1pZm89f0etneuHalfwlFpJ4j
GtesqW073bhxTUHi9Xn2GsYFh40BSPzK5HRLtn1LpiQKtV1tDxSxOfi/r4WOEGEB4qyPlkHQpvta
xPIo0yY9CK1MTgnHo6c27cd9oiyBlw3I98INfAcKhGkGB4tPhT/e1vYGELjguF7W1iP1E0kgGptM
oLv7OCbVKpj2wnduGFMmq0L6t4MqX8xAbmsZHPpUhtvIYDxKF95tOXA0BKO1QduSq9MoOgAlrma0
5TlyReYRLCNBx+5PlkCUTMuo8Ml567sVhXx3drTeXEnP0kn6oq5H9t+6gtqjCDZ+q5G8QDm9tWng
Ihh03OC2JGV6Sw4YjbmxW1W8A+jH2jBbqVRR7IS9FmzJzk02Ehv6Km8i2Eue2794QHS6zjeuoejZ
nAOKY4bTqUJDj+ktw+9DlNYNSZ/uhWa7tyU5YLkHCmpoum1roafdgZLvQlhmyr0YXOIXVjJr1F1Y
VF/A/c1vKoEAe4hoGNzB7FT43ioZH2s4QmCzUpZUEhjlFvXDqwjAaNEl8oYLFB2w4MYsd06ckI11
MWp0W0mWKtJF3LX1gcRIch9KxN2O9HEzWFVRfc3MiZ7n5DohdxSr3lIV8qbXOWqbJrUUhxHVPUdV
jhd5UtnE6hcob0EUfR2sYgMQGAYxrKNNXY3A7KV/CEKZrGESZafJtbtdYoZ74hhRyoS6uiDEwFtb
RmeeLSLBOXpMXrfvbSOjp+gG46GlUcH2mlbNxRDYzYYIeXEyq8AE9dsZ/sbqqRB5tyaDpkrb7mnK
rOOcMrBQ+hrivb6VbqdejVrFq6anGk4AzhKTQLyb05GoaW1V3Z9KZfa3wMWp7hWQiDc3K+FSZJxD
KJhTMVFfwwBL2MRB4ab1u4gxCk5ek2R8ixDnSSyiCzLCsUs6De0S08TfBzuvDA/OWF4LT1QcfvJQ
3mS+ZX4JqcEApKm6KKghAQQESXi0iL1d4HvorhhZP9iqvk/LhsZiG94YHVjbQgNhU0/l0iop6Gl3
4GlzsFOUBlp417przS3U5P7ZD7TylFl02gDxH0zWWkqb+ItlaNGuz+SzkyfXxtCeyZ3+YBnBpCJx
8SXU4dplJ4Gl52NJt4Zkx1pvnmiB8Y+MwGmxPpLz6vXwVhOeJWgCeumQfV5QhqlHkYWzsxV5Sw0A
roSvakH6CCS6BD+zrvsBU6vel9tcuMsmLYkl7sVDU5M7H052e0Of6Touhk1MbzXRz9ZkENsu0teB
9c8gl2DWlNr1SRUagXIazXSiC7EajNzIRcvhpONN8iCYGS79umjsN5EJhyAYwbSwGTjLfurc+1g6
a69hJqf080h/foFEglB4Tg7Cz98Ayl/qNsl0nLDVSqHcskUyopXWyzcG+puKVXllqexKT7sZShys
vdxa9W5/lzl2u50gL952wBHXpj2Q5mA+FpP11rTOS5vcNwGZKQEBy1NnbTP3scyYQCjSdVdpm2cY
kqpxZYiXyXe4iLF73+v+xTigmQGSzV5LXpNtTkDtDJopZFJU8HpLemMiLK87unxdU+2GqlrzUzeC
FSFg+pIDtaBufmBIzb6e29C76gTkUcG0dQYaJrZ969YEY8hCnnul5ihUSGUJDS/0lrFOvRCDUVvH
xINFTSfpRbq3nV4nu5RzGpHj+a70wvgiNTjkeZ61scg3voYEBfnRl++Ww4EUz0JxTYP4duDUD5CC
WjnoBSHL4jBWNLdnNjg8BIMqud8x07GfVNlRFVQPmRNtqIvqFRG7730MbyiLKrKO+yjRr+Kk0O4t
08Ou7QekYFuO9kznAGwNvWrD6x88Uy0nMJ872NU39Vj+P/bOpLltJN3af+VG71EBIIEEsLiLC4Kk
KFEDLckaNghZtjDPM37990BV3W1RaumrfUdUVJery06BTOTwvuc852eJKG0106rfDEX20gQx5S31
Zcy1O7uCkF4ItIOEeIAaDMxoW9thsqGicjtEVM3VoDoEapmcUn6ez5XIr/BoBM3GSKE9Q7IC/tCI
PTm2j6Qg75xA45OjGgYbsbihGk/Ucqae+jJqt/VoGCvipGke0czYmeDXCqMBJqKTS35edEswJUri
uYEFLnzVU7WKT85fFT0YWD5nk1rOeD+Z6Ffy3tkn3ayfE52OdVuxh8PYacqqVbnFQnXeTHNhALsI
gRJD8uMJEaabVMMIsD74ZWSvx0C/sfTKdpHE649kMw4n6qDKC0FKITk3zhRfAuhGwY2iDYQivOCx
/WnXjbmbFVCC09wnD2zk4xkuiR9k4EYPxhzYF37jn+Qd0yVQJNeTammPxAGRfNj0rFOfwKx1RDDh
Sluo7jBseCfsZtpja1I2QugerNK93+Xbbi7Xmu08jRUFO8oeCiUpGmOOmM5bU3Mhs//SWZerNLkP
6cMUtIdW/ZiczFRxWNEgYuoFticEzOe65D0tRw1JePITXPcGESfe9y53rcHfpCK5repW7shPXhka
hWoEeetBUfiSSCBWuMf54pYwtxHwfdtQj25f4qa6nxOyHh0r9qZFtLDQ6VtOGK4I5nirk2/bGpAU
KnXXaCZVbZbokBtupM39o1nhi+39hlSy3L6dB/HcW9EZfNFTLSbTN022TsK5CoudLHDJLwgRBBP7
SAmqi0HVfPD9+L9LnaXaUf2ZuDAoGyGRCCs1cljUYh6S2lVR7it8RHpjExUZd+aJ5uxzw8xOjDIl
59oHceri/VnJMrmZ/OxOEeMLXSwel8hLHWukYiwnhPDeocDUdSl5BFnNUX9QSUaObqFTgsLNw51R
zfCxfMJztHMTf1hME8ul63cWGcMpG2NDDViL4aksF0tTEGFqcBWx6G7ECS68SMWkoSGC0GfzjtAg
Zg6pnHhWTe2UdsiN4uCl7coGolH14NPd9nrLN84TnmRTyFJZlZnE4gonQIVdGT80w0vV0OxQmPqh
NsPLRlL4qw3kI4JEt7aMkyITGg2snIIvIJNbINTZqVnywurBBaT8myKKngq1flBH2gqZTwIuSbhD
cFH1xPS2lQT1kYbGJiY/0XO4YSIHxk9IpJ3P8YxjQ6CtF0y32WgHuMOZm/E5xNEAGR2lqgnwQFXP
2sDIToBkK5yXKTUkuMeXhCmcxUtk2WaQFZnz84mTJQuhplhA2H7rce2/yMZM81ITrE4SjadApo1t
mBn2rZVQXx5mLSTG3GouDSmeO7odfYPjmip3r+D1l7ofelWo5V5Tzo9mvCCV9kMykttLGOucGlxg
0uKm4lPYzwk4mVmTN1rCz4cBdR1ClPYSDbgsHzTzzuxV5G7PcV8PP1r6hxvTShj8Cl+x5TYFaYGW
ZR9qcggTS1zGJXWgocy+JzBygdLOnLj7a4WzxsmsEuPodE818yt2IeR/FxRk48qmSN3Kg6oHJ3Nr
IZ8sttRUaWqEBh1ytnaUq1QEvxGdu0KgkbhzHd9W4O2BeokXOW/yhid2japALxgG93odb+B/0FkE
pzpnNBvHUTutgpn0qvZgkOInMlokATZfma6oaOMFVudFKc2xla3msmKRt8p8K2w8hp3uFgh1Vjkx
4QHMCVFlXD9niXs8yU7iXOwILGjcRG3SZzYUAi4co9zkSoOpgep6UxQ1TuuK+gxtPLIX80terQTY
yfyNu9BKSppyfgHkr8VZ7xWIxNEyDjdUgCl3deWJH9IM1n5y8D/JQuU8L7nbx1b6M2gGQAX1neHA
3pxIWe3BBdTJqmcmJxoLcoH/KZiqfc6hMIOM1MHSoZEC4pH7exd9z7R0I+YJ93Gr+d/sBECuSL81
GMRtVao7Q7YUHyPgFggGtOA+sejgl1r5khXIESYlIKkrCFYa1jNaZRNFfzOY0GJG51lIaFYii3Md
6TmuZ5BNQdd5KdFySh+CYh6mR1g79R3Z7v12UCj+WRSFPM6MJ+2kPIxGss5DAnQM0pzRgQzYiWf6
r8mpkf1MY/+izfuVM4XsjuNNaBB/rg7XhVasa719odZJP1P1ebF8QhrRmz12fQ5cwtgMJCyqZb9O
+iU81K6gKrRnetld5fMDYcCr0gasVJJOmVoHynZbEWKC8aP1oozRmYu+qLejRvGusCZWZ1IdxAJN
aVmTiECEKBFdtOT/QnjlF3Z70ZRszdDnkStc0h7YlbG2GQvxDDyb1a9uz/Ne3aMYwyiK7Lk59HrD
ORNJRx50lyIHGy2+ZwjEAhp/jnGdW8VpO6mnYbgcBYzBX7FncwNUQYezI9rKvVJl9JU1qDpkho6o
5jWBck5r9nHhb9hlPbvvmh0SwhXYE9UmaN5k7kX2tp3CZ0Ic3bYgFKkAW8zHRx4OgCrrpqGWnxQ+
+ZmGuTFKtnQn+aY31V1IVhLB1esQ7XJvhmSnW1r4IgJW2QBo/CiTHXd8otblmnS20Q3aYFdLwqO1
iDdLh4edBHeq0p8mGqWV7MBxc9jEdIkxaShuFj+Zde4GhnLTZg3RhrDlfVq7YNdUwd2i1mgb6Gdd
bexKORNcqAiquOg3MYRtMr3OSIFQw5XZRyeERbhihP7dzFtE2KdZjLJqhteXZk9matz1Fnno0kyB
cN91Mj/r6+okd9i8TLzu0E98hf4PaEhLnajTx+X0C/w8ALTJeAGuu0rnxchZwjVIrmfzFCy3N6X6
dZT3FwNNExb2mhsV7ILRiQgLT3Bri2JLqxH4bQ9Ef7aZ2RP74zqvkguRVvNtw/GUBTKk4Eo5xQiM
U3PK13aXcg/V5ueGg1NUJ3Bh5mu7GU6izqZPnjnnMQLQfaV28QWSpPmy6MezUQd+qPk/f1PV/SVd
+91toh05DxahGv6WpU4K6hkbwpHToXT62U9ypoZPztzllPiy2hoAnn7mVp3e4TuhkBrlk7VHQ9tz
Agwnsm2HlFbv+ouf5EitKa1Febf4RaDMIixWF0ndb6LXKOKgnbWo0pHvNU9Oitgec0pDOGaa5cm3
KlOUn5Tt7ZsUhPi13YphQ+OyaT2F/M5frz/Mf3WX/1gmwH/2mP1f9qsmdi7/n+unrHh6I7/k9/3l
M9OkTfQW9zVkW8go5YI6+8tnplnaH8skwt0lLVSPi9vgn/pL6MKk0RGYhSqdCp66aDP/pb80/mAK
AiQGeSBxDDny7+gvj+XTFrJL/O0oRhmFcLAjMThxPVVvmL11rc841APCRFxzoEWapDlMobhtvrBY
vGrq/5SF7n7+7z94TilV3XBoygppQFQ+0tzriuB6PRf9jeXgFqNdArIMWVpon85O03nE/+p7k1Vy
Q1lanBSOEWybSeGYrhlBeBr7Pa2VLkLGJ+ze2IlITL/ysnvIbDOAf6RpxrcaVfVjoAjiLnzcbEps
9cpaNFkExKmPaUInASzLIleBsLUDfREjPzWLcKP534EkjeyX1Yypbqyyh9/mxwcLyJHQ9fXRTVU1
cavhAHBe3dW/vbWa7mf+lPXtTaJbxoqOTYhCT9zPNXKlz0davrW3H7KlcVCzKBhadG2Mo2/VaXE0
iFZmN6TpthdRSsPG4mzs+VZrYRIPyuKsGwJ98/moxwskD2hpKJx01UTKK+xjCA45RAVBSGN2U1dc
Q/Soo3bbOrVnCNpGpklmRREMHNXbcJ9b4/Mkm/Hm8x/hnZNu+RGkALuNkJ2GgsNL9fvKSG+KwAo9
y25ElesXQVVH29FukfmZ2UWB2h/rVDKsS8UONqE6U09rup2DpNJTkyQhK87UqTkrw5ZTZvKQGEXt
ToYV0QQy6lO9fzHqjCjiGapLWkN++/yHP54fuNZs5gbbi2WwqL8az36bH6gDBQkXkXIdq3dSD1aF
cqonX02N4xd+GcTkW8LDxWDvXvg+aCoFn4ZyLcNsK6NfbVZuWQW2Y/z99Wn+uy/8Q/98Y7j+lf8K
ntLfd4TX3/HPLUH7Qxistg66R9YBczF7/mtL+AO1vW0weUnyUIX57y0BEv1CJccWhTd5mdn/3hE0
/Y8FQo9cXxJAYbOa/50N4XjpYFWW2JOkzqqBC/rYA4dbIxqnzD9Iuir3shbpLZmqQ7uiqBSJldHa
4w90rX851P+jDcA4WrCWUSUOFGYlBlh5vA0hHpyiKncOkY9evw3opQ81NbXP368PB3Hwey/+atbH
o7Wh0v3KDlr7kASGcU8UYgOkCIGD+/koxy/Y8igsukvULMOox8ykDgRl3Rn2IevCFDKxHhgHw476
dUD62ImaW4+fD3e8aLwOp+GekLzZAifU2wUPqeNgzZ110Lj/nqmjuA4Gzdw3HTq1zwf66NMDJPjP
gcRyOv5tdZKkoXTqYB3os6D5YS+AAa0kq88H+Wj2LUeS5Vi0uEKOviKJFisLQ3nIfNv5xn/EMXoc
5vk0nWkbT0ByAN5JIqM/H/UIvGRarx+ipZOBapiSYsDRsGk8R1OY2ocmEyTTGTXlh6pFY0QdQmxm
YuWvu9rx1+QrWejcGrmhrhb8iAL6quByERqboPrOYr2D7himmu+leUZW0uc/5Yefjc25zxb008Wx
hbCr664iLuVQkM64QUc/E8QXo1fIqIu/AP1yrkq25S/2pA++9eXsytTirOqYx5/MNIcNm7p+EPWA
dk+vQy+i8vCF//3DQdi0OR+zJloLV+H3qVUrdR9OnXpAd5qsWhMWxtzbw/bzj+9PJ/rvpyIhsUAx
BEuvZcN9OPqWiZGM67qM9iMNM3Ndm+ZAno5Nnj1Zb3bBgzlYdFIK1Z0H6KCLIaoh5aDGJrTuZFLV
6oVmJ9SvOcvhgTXoEmx3yPlKtvWMUt7DqervJTEwkMqLkeC/iKbXNzQFKTUiR/hXVGxbaPBhS4aO
40TlrSURkNZGJgccB1X9EvYNXWwzsNXeNRXRkAJBopDm6kop7kaM15DaiY25aUt60XZmaDuuEKJF
89ohC1RREuoeUAmkHC18Ipc3dtwHyiAO5Wj7upcXUfJkajEBY4Y1x/DjLalt7UqIW38wcjwRiiO+
1QKfD/aSUiCP1ersECu8gtuEf6G701Bzh28Gc3iUWrmUNKtcpTBcoYdcVQ3lpFUxRfwnFbKGX0ZI
ssWKuqryHHT6+EKSnrGzcw6hnjmYZr+yayW85nN0dvqYZ8iG58wxVrxiwZmsiiKDZRy2N6pIdAKL
8pYkCdVC1Fo2FPHpk4ZVQGRPMYTbvND6Re7TJC8I0XEKBwqF93VUtXOx14dINGTJ5vhY2hATCNz0
WvlVj/2ULHZp88SRSUwLp4N9thmJpHrM6WoBxnTGufCMSqHotHTO8JK1uXMtIrO6CjJ6FmSTw96I
Eyu9yWPpNG5hK/YtmwqCh7GnZwKxaHgADNztbTsF512JpL6a+8ZE4OAET6FjUSyJ4zDXtrIek/s8
avJ4EyVmjyjLGLs9LaQ+Wet9WVO2nbEobTnjJqWHSHNIvNAZaDqEqgGaUQJj2lg2zg2opAFhbBpU
WVcoEYwIbR7KHxmtWnLdJrO4wP2OylwkOK4x/4bkzs2xBTd0mpPg2ezHCA5sXloJmNh6elYHJN3Q
RiHgiZHur1V2CM/nMCaOhIx0crSKahCVVxeaf1EknZ6eV8OAQCQDajF4dmIP120Eg7kShXhRmaHT
VWJqw5ke4LktMDFpaBp0UoWTPEPuksK7Gtys00gKzmeM2duc5kLoOgMXuk1szilSL2OALze0ZJC7
PW19kvTaTv2GbSXnFVORm6y0ftB9r3eKHq1+QOgVVcXQehnsHOl6hfdmQ4eR96apTMrUhoxoeqSE
uMZrX3TjczRqxi0SlwYTThVdW4OVUWmOKftCvezE01Dh3jWszDzQ64l+4I0F4BhBpK29GEf3rhiZ
zTtEuDASR1498o+NAlt/AQ6TZy1/RPrAFzTbZvZDVf3ggZ+guct7q5Urmc/Waa9n6BQRwDqP6Azg
Ik4wCstV6bQZdypyNh/8vJ3hMfHZBpyaHMpslqKq5ymp1o+RMRMXm49Z/Gvia4hdX8v7G43+2bNM
FP/Bzu0KGRidocey0Yzvo6DQ6SZODFc4D2CeUNujDI0wELalbrATAsiOxytbMVGyK9wsHwjHDM8J
BqIgKAjdlTQd51BuqOzXFJzQ8QUeyW+YEBXwJrcFzbMbNV3m4Kh238cmVoLV1MCdcLWoxGTcjguz
Fs3E8F0bpU93m27etooaDOSz1iXRNsME3uDY7MNzVUSycS3FNieqnj3xPImPfm7VV4EWbxIzWpS1
tH6xUdbh6E11A65Lx3bWuviSh6u2DNIDIIoJLYCpaHsa92bpmj1WoTWsJuSxiPUDfOJpTtRbMfTp
IWHe0x6wyzRfowU0r5oho1FIjXe+1QIjN05BriS7fqYKcj6ykpePWVcXiOQNPfKVjZMrJLHCXqXQ
apFBambR3kYQ3rg6yzHJhuVggkd0O6sexDWBbsjzC7XRL+iSEE03oc7KPAWniX6qOGQWnjdpEite
3ua8uWapl4gH+Wd/vbwVowtwhjaGRfdq2ewC0jVLfZiosMxRuu4VSz/TRGS95EiFjXU6xsidxFAG
GHWqogGRA2EW1XKfnpgEZZ8peazTkRKBfKjNdNobpQqgUp1lnxMWK5WffaI035FeOoQ6j9Pc0ihU
6UOQpXil5mn/SwlN7RfnbwP/R07Dd1Wi2x52nR+EMSr9Jh3XGBKMQ6mHIfq/Anyk9t0mROeGiD5C
enH3BNFJZY8QQ2czStQV2HbEUEpYTzDXEW2lXjumZrCxsEX+NHEZTjgr62SkvY7cZTVaMd6KefDV
8UTguVPW0q6ti7QZA3owdoryZ8IAgiCF3kS0hoOQkl+RGdUdOmlr9PTWye58nBGt21tx157hVJ4Y
wiGvxs2NZWYZskJvWWWltLCbhcRTFeOCg8tz+TTWQwIOQR8sevFJg4bKCYaO2pckf25lThUi2RHG
BVt822iUj2VSQieNDYLwjK6TTEW6tqNrh6n/TGmfWM4hpa0V+jXvDkKpCtcVWe/+eqIVSkOLTrsg
Ay/CCmbEZui7ViaQz5nRgAMl6Wc8qXgMe40EQR25MKiDoVoNEbN+bSV+h79PmAiJwiwNqhVAJLZ5
iU24Olf1cWg3DfS9HvNVwU6FdmqKTyI/l8qe5Os+PB3ZChxEGkk87rKmEHcWJ7OdDEmP9FpF1vcq
R4XBxUsNB97EAhJ6fRA1PlIwH39NJqjKlZezVlEdJKvJpKepWY96NfQlTtZq4nwyt8rK1hKfNvJi
p+LEhLcsc6uK2jh5gVwZ3EYDOavLFJmd3YgYs6JAO+6Koadp1Pi9oW6CrtWyFbsRsY9Vl8O0o4+e
03oTA/IyC7/C4NUCPdnYCYCyut8g7hg13d7qk6+MV9Ek8GFzZYdCrhRjqZwMWpxdS0V09kk90dta
VQvQA7uMU5CvUlMhDG/9afGeGubsZFuMBwH+PjaRfJO2dQeanhfD8Eq1ZVdr6siOnmHyF0WEL8XX
yzWO0EbdIqqsyAt1KoH8WZ9xF2LS0whJuZziZF+MSX7aQ4rod+Ns4PhwnAwnFkU/kTMdgvJXwwcN
7tsMa5Oea25iClDGsmapN1NtJbpJ23ckV6BV5aTSrTgDLzb3rAxIe1IqLmLIcOVlrLG/upk/p7fJ
7MSOi99cYV3WAWJvR5Qr69EOlRsUD7I+y2Tft7QEHTyMcxrF913UW+mfFeb/1p3+8YpO+M8NCTgQ
P6P+V/N74en1t/xZeLLEHzAgwD2okls8JcB/1Z0sSBAUj7jmwa/TJdy7f3UirD/gp4JX429UhGhU
8Jv+2YhQ/6DMwWXKWQAOjkX9wfk7hScKWL/VrLmZWUDchHToelhk0SxEvt8vgdE0TuzorUpL4BvX
piIJEJqTwElrmnXY4px3hsrn8zvh24snY1IG4lUF3GdTcGNHeTum79DLLJxA9bguJZ6WMs+nXG/X
n4/yihn+98Xzr2GWmj/cMMBSr3ji30onml9muP5pWptUTbhqrwXJ9pjfQLtPrhE9YEzEoloioMO/
Pq9xOMOJRy8BoWmChH272HutU5leoNL0iZtvVy1qHQ353gozU86mVnoVS0XHvXOVYdHV+GudKa69
JwuVNNZiPfRnyBTRrpHIgn01gEfwlPwUT06xNeeVwkaje81MK9qbnqdnYJ/IMONgYyDIkLoXzWd4
wvLgmrBbCjJro0RAvrb6k2T2/C9KQO/mAd+JTpUTMgn3dSI2334n2KHQgvbMg0rnEgBIcB0OTnAW
x/23xCQf2CQJeDXN8k98zP9nBfLP7wjqH91UBpfsA2+HTfMSv0jAsEQ5E8Eyd1xJnKb8glUslnLc
8VSwKKcgvJeSqXdUg8CoO40VjBwqaLu+9iD3G/mWo9zAKlr0zwYRTHrMPvuU5d+b9EIzL7OCbJZ4
YzP9p9XMMcal/a/dVMXKHq9q5y6xhlWuXlr6qWadRfVl1I/uMPu7cXiYxK3MKtfqH4LuYkx+9PkX
78+Hj4OpRFK1QULBW/T2U6sn/C+ZFaseJ29NXhb4jDh9bcJgj5sfbyjyqrjdmkiOrB4ifuGwSV/F
Jr9kJquobLddeZmpm7A6S+cnM3pRwl1fGV6KYa1ubmWwxwy6LoddUq1hs1vxhQPmWZhuUo9YyQ+y
20RkfoB0/+KV/eBropWkshYyCbXj3ImAfLVxSCSxGD3BGgJvfjTao5fYPvconGoq7Jcv5v1r++94
aiysHhozgA2p5779LIU5Z2GO8NMLDP3ciZ7SKPEvQtPYD5hNXaWS/ipKsFNwF1x1ZExv7dn6ohC6
TPKjH8GAwYbSwZQOzy3e/giFAApQ55J0TitHpKHvRVOvszF/piWsflGP+2gs21Lpc8jldT+OzTQU
q1PzhgXEjvyJOBFXhddKgBNg8nJQ+83nX+gH7x27GFufw0RVaQ++fbKJuwLoBwbSWwTNcYW1MDYm
N9PNChdJ/X1JjYmTZm3H9hev/Ad7DCNbBtRKjD/Ied+OPI5jlVQtt9SRKo87UHfZTj1m6s+f74NR
2Ngd8h00DaDd8YQ1OlXPDZ7RC1uMS12+FMZou34xP446vK+rJM0hCsHgb+EkHgP1E8LGc9FBV3Jg
VaKc5p7YhWvRaQ6rDNq5NIYmlBBBOKKCUtrhi0X6g73B5AhrQN1ks2a9eftZzs6QtobsZy/KZr4q
9amCnOipUz+uUVpP+D4jjxn8xahvC+9/PjQWZJYBOnOIF46+QScl4nzxgFDMGJNtqIM0apyYdPIn
6ffaSsZ++bdK/X+NyKpqUXlXqb8fFcRp5STBMJboSIsO4aw2sIiHvgWpN9NWpQK0Y46JUPl8Cn3w
QppCWBIeGBPJOeYCwg8pmrYfSW+D8ljPGKfh4izls5fJFl9M1w/HotK/vPdLr375/387EZExESpJ
wlgQJMBjATYFvFe4MubSNinaF6/gR6Mxkkr/QoXpfMzZ9FsUECkTxEu6235ChWfMBTWtie7SrH1F
af/oTeQz5KQn+YuF9O2jCTUY9cmi9qBHUAT0camhoan+Yoa8fyT6vIg8kFsgtaB78HaULpiHAIkJ
H2DSG2szfez75Mdkwg7SRfTFzvRu7aSHQF9mQWIviiN7eT9++7KiyhHd0Fiq5yyhokNsDyddF4Sr
IVG/T41DH1Cbdwteq5HhFy3b157Mmx2JsSWSCJ36wLJwH7174TSVnRj05YARPc91ftvEmIpGA5xC
g8s/USsvm/R1h5Vgg7ah9mjF3FYRAtnPX453awA/Bzo7Szcpm3EyPfpW/RGuWTMAJR3m9qfO27Gm
BbPlFr8ligfLoYJD/PMRP3x0jqMcBLAdm6Zx9BWjEZ+zEdeVJ3AluTZi4aFyDhKIg1s5RuhakX6I
OlLfHBOrC0W8F5wz67aavmrKHsWnsByxr/DRc/tzJJ0B5+iapCq2pllWxNWM/BcsiFhhA105VeNK
+V7ZSCEh6rl0N0jZU9MbPM9wilX71HTCCwU81BeHznebABdOLok6EkgEEeorqPi36aiCNYhmYBLe
5FCtTLAksRqvqnzyqqGW7qSHp1kZvnz+bRjvXmsHOKajLwIM2tOskm9fAj2Qo56SF4hziSiq7KXn
ghAE90X5i3eGzgQic3/j52uF8CxJst73TF4YyYXaPKb9d7LjdOUxdC4iSu5A7Q7RpXmaDifB4Hg0
FSw8Qb2bmL9I1hh5he2dBQ4p9KYFWLorAkgOD334ktmHIaGw/FXU7ev69/Yl46S7HPwo9HF4No9m
2qxILR5LPlFoLIZ6qnD7tMyfk32FGWxTNw9Vbq16eelPNwWAbZtb642dnA3lJgu5wpgXNQV71HeY
yYyucqP2XnbbdknrOMm51mKMzN3J2VRkXu8ymM+4j1MwJWxkK9Kt5FUwUE7fFc3GxEgS71KxZ2bn
3UEJftJJ6vUzUT4V+bkxbB7QfFOft6TXyQMBuWPoifvxIdU3XXvXh9dpeqG3J2a3x9smKWv9MMP7
MbqHPiWVlyC8nlEMxhsjovBJb8odqJV+mzRaDq46nOR4yyfzqq3PMGhr1W3hQPxjXt0Mz4ins+gb
lfUo2CaQU2JPv7UiN1evwvmC4/jiv5ebZl47JQX3DddsU5yVwQGoWJNv4HK72nBr+ddVRyTf3uq3
HF8Ue7ccRWlfVdaZjQdRPekfmmo9EpNKqwsyR0HSuLbHVSO7S1XfZMluMtyS2D/lNHYu4ulZauS8
JhhLd3P/Iwt/jPl6Ir67PFdJDKs3wNtoXOBZpHZsiydVnle7xCZnjMvY2h/BwZygPPQN4ppXuf3F
Dv9+wWROAeuyF5wzHOuji67N7pTlFoemsBBY0rT4jCMhdCYlu+vjVF/ZrOtf7IkfvaLI/zj9UtIx
7GMyfOKTD1qPyxmff1hhSUD+nqrZV+vya1Xo+HXhZKYitWJn0o7V11U0mhXo88kb+kt8zaq9kggk
fHoALjp1yTf5WNY3U/dtNH4K41dDsBXwNrsEPanuiOBGt52HrixROeDFXSvgqKK1CdhL21p6uNIa
T9r3cadv8m7d9/fhgf6C/02BP0ZIq1uswwOXFkN3aR7MZ+0+OLXOM5Kp5SY8a3EQetDl8DTMNBi2
5nl9UV3rFsGBKzmRi0mWi1scKCkU9Cm0bXDRp/sSgPwCc3R3gn4rgfDPfXtjR9e5I9zpZd4EKip9
T+/o0ni89CW3eLoVNAzA45h35fzcFiemf9aYdFw9e7qImp3SAPy4r+uLMjzRtbUjvLG/fg2kBHqw
bkc8kF4/nIvYm3NeETesNoZ92jQPJsEBB3/GRXybGSNhpHR3tUekDm6bDaetNrs9SQ6SsAmwNuWl
aCiHQRytq6s+Oy26E0sc4Hh8vva/O2txZ1xUtJQoEe7xv2+X/rZoU6uqDL5vGYMEjPpnk37a4to+
mynke39/NGTKSKAcwhKoB7wdDdq/0TcGjbp8EEBDqeINJLC7VuMvgeDxF6O9v9FR8qUWRdMQqZpq
vtPeJI0igONN3mzbtGMzlNaBsOpNMifnRsfMkwmRxDb5g36jXZOEan6x/Syf3tHbxDGZsyyCHT7f
Y1V0bAFuI3CE+/HssJ3TFvBy3Wm+eGs/+A6hGAtdqhbVavt4i9NTpxcEqnC5scxNOtcWQMUcqaGG
Q96yZ/2Lj/X9GWUZizqOYQJX5ujw9kuMq8LJuh7WWl3I6iRWTh2VChcXEbc1c8/PMbjT8iq/WHOP
HxIPgUExm4o8BXmNf3o7ql369HpHQoFFPjyUBZQt1T7X5x9VE30Ve3Z8J2CoRW/KkVhwIhbO0SyN
+zEP5FBQcdac7pydr0xs8JyVA7WHGrd/2gMBtUQ0bT5/O463laVgb/NolO0FR79jDZemzEIfS7/x
Yp9FsMq62M00iKTWggqyILrNivXFkO9eEZtwBttBGCg5AXMrP7qNi1DVOru3qHmbAIg7pT5X+8iz
hmk1dUqynnOckDHU4K6rdqM6a39z6jI8yJBFtyY4eHIHe/utRqlCGy+BgOfADLBi7Ix0beEOkxUB
Tcr59vkH/H4OYSlBYmhQR+KYe7xv68KUYarEJYt9AN8IBIZdaThWVStDVwDD4fPh3n2f/IG8I5bg
q9RpJh09XCn7FqaKBTPaJnan0glGsCAGeJXShqu67F6SjL7n52O+Fmx+X3JIDOJAQimAozl2AfPo
PcG3rWgFDmKvsK/mCJSEs1Z9pBi3ViUuu5ro4JJz3ICPL98QZ78qy52a7flFr1zNA/SuzaychFBa
1Mewv421cqMUm4gkXrPcd8U5f58KUHgOF9HetUCp8t865VWn3fJnIIviDzAVtuBmkybLb1UyiP/+
fi5uP3/Qd98lz4mLCLE4YudFIPx25ti4FszJJhF4KmuioVGAVKXRrcoRfJopS/HFRH23JlBZYdIs
zQ3Q8Xh83g43DuUkxzCLPLZpb+oy6CyV4ypZqcOkS19mgRu8UaOrPjeuPn/QD0fWGJ4jp1iKWG9H
nrVIam0BFZHW969wJIHKQl64giemQJzibNPMK1td62hkPx/4/SfMI1Omo47Nlo098O3AnR4lDcGl
Eb1DdTth+aWabXEFmmDllSQsfz7auxaBzWfL50r+IBURKqFHb0sKXLA023nEMt3QPmoA20h5kjXj
zsSOfFGALs1BGlzQviILOG0KjyymL96e14L127eHigBdSmrA/Cy0SN4+sygtc8zqEWYCKpUs3VVY
dYP+Vus5I6IM64xorQ632Iq14KZX6GnS94x2RkicbApUGT11t/FVKMfKekrw1u0VB/lSAHI2BAjD
dek6pF9ktxtVXjkVUaIut0Pw9h14CKBOXhtv/OqJloiOzgAIVePyEqL+XNWUHcpgN6ffwaS3Dlgb
2N2iZLC9zx8dtpwQ/3bXhq8EjxXFcPq61CRw470pjvWxZgeZb/YUhy8iDckIcr72LOV64Lalthpy
oF5dYXp1YB6KtgF7bIZf6dePTxvLfYczFK39RZ6vLSbD3wt0qm9GLZ61ztN6XMRzpCK6gO7Uf7dG
C8huPa3nQNl8Phffz3w2YfTOOGJfG6ZHrxyhTlXc1lVHZO4MQqMrKEmDqw4MihW4qD8fjNYCj/Bm
0gkKUJRwES4wLBvU20cc8q6eB8jTnnoQz8U31hb1O4pEOa2T4ACx1Z/W/FJ5zjO82q4JoL3b47tv
Ghf2F/iEBujn7XwW7EachJmXATwwf/L3brz7f+ydyXLcWJqlXyWs9ghzzIBZd5s1Jp+dozhtYKRE
YZ5nPH1/oJSVpCtSrMja1KItFpkSRb8O4OIO/z3nO515AVYzrtaG6AkIoXS0c638PIJipgst/HIK
n9sS57JqpbWbS9fFhF9/k0DhCNA4cVIJEx7gGnphRGmipSGIAtYKix9DPrLw0DEryiTUBFxVsvUK
77qjdxuoY43pJPJGiNZQS7PQS4VNpa59hLkVKEMEjWSwW/mlfDFfYlQk7T691e/F1kIXAPFiEjZi
vlFg6ilrJfiWo1wu11SE55NJ5jpMpLdSk3SjocLUNnVpp+apVL269urYhkUSr7Zl4xHcmq8203wq
Z7tFnGiuGygH4lqZ0CuuZ2k9teTUe5AuNJzqT018IQc78RGpKE7z8CCdxofhO6kwT9JaOOSvFdWP
RHUD9SJAHD8dCpl0od5LUJhPX+vqS5l8jbIrcJxszsXLMnADcbcyHSFywHWZ38Lj/MkI/cvUsHQc
/Ff6Eq3HWcPZCC2g/VKQJ9FxGvDN5MgatqxTapEJ3RDh6u3mLMWMqUuBAwJN237Scf+y33LmQOdd
atjnpdOIzAiITWLrqEANizq2JkqI5IGshSY2eFoqJyx9sgLtP3Bs38Or/v0X+OU15fI1DuipxKDE
poT+8b0RueAYaD5dTQACQH6bo1XdTTrDLpvz8ZPGfhmHWJJTflGZm1bLcHQ2JhhRqLd6I7dgcGpQ
vJN/pG7ulZOK5mRKn4OWzhBPVf/J6HCWaMV1vbWLhIc4K06Jz435WRJVdT1orZPFZKeKvbSoKiQC
ttNYWTNqZ/tIlRdlAhnlIGEu2lRTwXJEi8yNpUrGMs0t0nA/D1RnEKK/ZnNu7Fi3SQgJ1T702khY
eMmtbwMOHz6ZUH+9aywh6JzL4l5ZIX36+IhmzgB7wRxAXwikh6jdhoMxOxpYM3ZNikpoKO6H+JNN
9/IkPg6ntEm0D8dTTByoEz+2ie3EaExMIizTKnS/oM81rdv1lbTneAVA8ZR9JoL6tSOibKDCTPiY
jhFeObvK3m9NChsIlShHtLsU1LtA/ujQCadhqm5/3+l/vaPLCQ3irqUb4qQ964cRgT14FerCEZiL
1tWKGpk+cl5hCu5i7skD09yxLM693zf7602l761EZmAJhyanZR9vKqQLUxvyImcZ1FdoTxsXEcxq
nfrS5Kbi6iGJu+yTrv/rihDMMXUiTsa05UDQkD+2mUNigtiRFI44EtXHyQyI+p5KozZ3mGUkIaI8
lg67pATp33Zg83MDAmovJn97mDWZmhdj1bKJk873cV2ZoFeu5AwftYSAWSVwFlIH4rYMNt8AEJMu
PGqhM6rz1e/v+q8d62PLZ3c9HnA/tsbSsu7o2Jzc3oxMW2vI+QAz8/u2fp1MPrZ19tqUVIV1hrPM
wUT9NBls9UM827aOWrs9ze1BkeLKw3wdftLusq7/+LrSLsPqYsRDg3CuicuiXDXLDsZrEEBy62DF
IsjOg0/2b391J1nWs8VgokCrePaKkoEdB0Io5Y6aibkdrTRnwhgE8DiyYZB9JgH4i65rEvaIHpJd
qsp7Kn3suvHUAO0r0tyJx/RrpCXfC6Gxp170jzA5j4VfARLKT2Gq61vOA4MNB5Tb3z9O6dfZefkK
KgOgrABg1s4GiqDmCJHJkZCB/qnEq+YQsxRymh7nB78ENLeq+2hfCENqtYr4rEwCIDTK8zD1fStp
xeFQU9iwaaJ2u07trDpmzWmEwBND/BJWg5Hh99/415GNL6xjB2G+YNd5vvfqZDWWRcSqThgLFyUe
AnwnpafViZNqk0elatH348/9fau/dAyFU1+qQUhkKYSr2tkayhD8DG1InDitFvVeUcZPwjDasLLv
5Swx/p3GZBb6C0aCbc3yLrw73i18Q2n7JkwcM4KWDHiJk4ZEfOzKct1wmvp3rwzVoknVm0RhClDn
AmDURKuhDjmGGIP6pa6afIMXcd1lupOLlfbJw/v1Ni6vL2tQCqZLvf3syvwGyKKQ4nSgdLmBk7JW
fXx7WMEymGPa999f2S+TkUJj1PZZjzHf/uLjn4QRqZnIgQ++EopOsYYzwjSIcSHPNtP7bRYOnyW4
ip+1eTYZCRlHKD0ARQcPPHwsLVmTytVaCbzih64RXSoXHC5XopeI2ki+ZL0hIsTcJSzdyRW9B5gF
xXoUlL3uG6mVy58BAH55e7gnHOFTp+EYR1udy8fGCdwW5cjIYRcgwImX0wupfSG/c60V3QSgNLw0
0qH8ZJRZHuuHwRvJDaQbhQUXvQx6w8cOnY1QFAIJ6DPeUH+bCvOLaH5a+n873PxnKwbVIOzN6Ocp
VS8d+VzjZKAICgCVk9sOTdYjjRm5Lamt1iobrhr+6iUHN2gmgUiWxASentizJukeJoVs4XBCAj7M
5Rbr1TMDb7mFiQ3YXJRvmlqOP3kNPk6iP74podUsEijX0c3PRpMOlMqAcxC6aKkdicg6tZVP0h3k
2m3JHteUH8MoOETapHwmJvr4JGhZonpOMZ3jH+g0v1TS4YgqeFPNBc7bbuJRw1M3TpsaMwtpQrW0
XqFVblR0vr4YRO40hhCC9xnB02pdP5HPe/f7V/TsYOHt+2gm9ZNlWkfRqJ5NuCPGap1cyBjXqKo5
2K6Rfixeydo1G6rtQVGs59Z8QA+zsrKE+vLv2//4uv5snqKRgueCVfK5rpFknlXfxzRP/HzhTNN4
K4wNEv/VZdWYmLx7uLC/b/HjC/iPFtmlqRyl4ks6exXIP9EmjhRi/BbwbUoQ7hdARebCyBxwvgD7
e30r+5iG3pr9/5ag/1iWTejRTI1+pECifhPn/WuL0Kmovxdp8se2SZ/zb++NQn/5QT+MQ/BS/lyO
FJlFMOj8qL39ANa8/WSRNfNWQTJTlqrcPxBmksEvscU0DMiZVGBkXsZ/OIck809GK1VZiBJUszXj
7/iGPs6qbH4WLh9+IZMgW5XF0VmfSo3AgAtZhffdbqqt1Goe5s/GjY/LxF+bOHtPW1FukTjShGN8
CZ77h/Si12lpcPAJ/v4FUT/MFb+0dC7jZq1bkH9KS4A9N5fpJwv88wHnx73Cp8VjRBzKlPFxKgpy
MOJKOIT34EUJ/jvN9763ui1Pkff7y3ijzrybjX5paBmJ3y3iFHE04lIaw3tsBHLokr6mezVAipfQ
2xLds1N37a7c+5edE1vdlmPyk+zCCNMcw0u2uGa9zPRE/ZOJ500s+rtvtdz9d98qjVFxEmAZ3tcG
1F072XjFq+l2HnmGTv083vVPcBS1z85v35YVv2t26cHvmg2JulIqnWZXO9Gpb8ftfIhjS7hvvvR7
cUfG2mXT2wTb5Ludfvv7B/GXl7xQxUxqEqCmzk/GhEqINSVuw3sSYXsLmVnxVNjdoxFayi0SfeUC
+ZjkqoOVvPy+5bPJ5a0HvG/47LU0pVqqV+LS1cgAXPzJ1nz3tdj8vpG3PeL5rX3fytmb2ch9yETT
h/caVPHIKh9XFctb8NFLg7hjwf5H1Jo/U5q9KSl+bddQmLc58pHO9649aa5GzjLuXskIympaLwim
2R0Mk6RAVcLZO8gr6syAjNQ4tadxK6/6BpK61u51kVpit5wSBn2HQiMci2MqKiezBd+QjPpNLNRP
RK7dJZkRE0Cd+aDVxzW1nO/FpIcbvcDvK/ZC5I0w5ZO8uZ+nuXHFmcSeT+7u8pb+7irPhotcDPVp
XEnhPbX9i/YyOI7XoHBPBFLfTS/io2wV+09aXD7xdy2ejRt5HEx9L83hvXyj4CgjHstS3MzlVO1C
CG3jwZA+GXCXaei3LZ6NCYS/1rBvxfC+crPnaoMi1LA7d/TSw4qoYFgAbn85W6mTuaOFAU9Gd04M
IZyJZAPIG43AsAnX6bbZkPNFksEFIUR7/5OBa3lXfrkrCHrQ5zJyY53m5+8GEGJjyPdp+Y71Yd6b
J46UPtsG/9UkuuhM2J9QM6XC9LGFicNzWamj6J4gIltb1711TK6L6/pbi5DQqmzB/YqQtPpiPLJd
cKaL9p6zX8GNntr91B1bw9O206V0s2I4L+3pPnB8FzbMoq3aCp54M15WmxX2ldfYNh8pUXyrQb2I
7hUmz8vuW3LpW/gK9rCMMWRZweXzYMWfTH3y8hzP7+H7Kzzry2lYias2FMJ75DMuJkMnv+Co1Kts
zohnZ+UO1yvFSnbhjbFVLPgCs+1bxGJ5ygvoH5vYZIs4Ebu6IfDPMp1Pxf5nm6K34fL91zt7xNM0
zTmBcOH9tI4P046zteYu2XTrfkO6uZ6QULIedxyVHcKdfGkeSvWT+/OmIvrd/Tl7D3JYQSty06J7
QvsOyi58TJ15w5n6frhM7FuyG5xxbziJfV/vGse0l05B7IXd7ppj6NX78Sp/uXz+SlKvG3mpHdsP
nY0O7ZGMPpMMeis+FvfSdbMfiPg9Dvvuk9f4TZb0y9fnXIF1qMK65rz+HEoJ9AIpjO5bp3XybQ0H
a21+VT00k17s6S5jculqN7PbXUTf8E9/CZzv/8bYZbCsXUhpqDR+cQiEgTAZWhzdR3fSnfQqXCvf
CPNpd3nm4nKkyKPKBKd8cuFnVdQfK8b3rZ4tLuYmSFQ5z6L72Csv1I1gXTaHdh3uhv1nr9CnTS1T
/rthqC71kgAmmkpOwGqyIyOC70VboCYnBs7ik0FP+quR+f2Vna0gKhmIkl7k0b2y9nd4bx3/xPmb
Mx5GhwHpNL6gH3kkhMRh+WgN2+YG2I0T3X/yVP/yxXz3VM9WGPqUpbOecdG8lOthXW7mdfoSXoQv
5inYqa7slscegtfRP60YO9e/b/3sZPPn0104vtR26NpvP393y/M0H8n+5R50Ll5kJ75InWifOgRh
2JFdfh8eiTt0CJveSfvAqVvnaBDO90kXw+DyV2Mn1lW0LvDkqBh8fPBTZ0IMVrgHD9sXIpash5vj
y50XnSord+hxjd3vC+tle3zRrX1jsTpxMtuVLHe3Lq3QutwqdmZfSPbKznaZ9aCtnxor9rL1LWNI
6F27ib05hI6XWKjPne2lq3B9vfVyF3g3mXXhb5mFbW9v53btNJZsHQOaaKynq6Pu7Yv101ViXcz8
rmp5uqU6ynplXY1Oehi940XvDG5j+46dWvZ6ci5fvcvH66/udGEgxndxdVvHi5WtWpJdWPve0XYX
R8V9ug1t2fqOq8s63j05lXV7h6TL+lo7k31x5FBrm1mbwrpNLdq3RE+2Hjx/K7jZ2w0QPc0OHT4V
rBPD5OvFk86XuyqczLo5Tda349PMJTh7wXGvL6zaOmCGt9St413t7ki4tY5cz7fairwvm2+BZ/Dl
Uru0Nl8627e/Pfju3ZO/jazCvlSZvlL7BrG/XdgX3Muld4z7F54HqhEr45oJurG2qnV1vHF657ht
rdv1aD1N66e9/Q39Fn/1NHJRK3tm1GQuN/nmzfriiZ0aay7T9jJ7PXOFybG1rjWe6nSp8SmZrTi8
dx6f31ou0nwLbKPlfnVV110blj3uZNu+cXcnrCzr7aU3Wo+bL3xV2V739raxLqHL0W8P96ebfWqf
rMvDTHc+bHamjUTRcXeHnXt9MKyd6TxU1n7TWTe1u1XdA43YrLQs26d7fX82nMZmRUqKhbV+xCdL
j7sM3HZnWAzvx8465Za7UVlLFDyKzj7dSNbGDa1vs6dyQ+Xd19BZD56wk3eW5D1bpy84RG8D6ym0
QSNz49xr/qe0dsHy7GLrDpOzg3fDDvnLw6tuu7ty7e/dnWgv3+y1sD1nRWfrbe3idKAhvqdd2seL
yHG/u85u/bosdNzTt2Nn7zrXtL4woBEkcunm7vp1tuNN5R673dVkH4l093pH9Fpnk1ibI4HotrS7
4+2e6FbHi9ve8VAfu7Xz5e54oVoPG1JpLMwX69Xa3bSObt0d91d888RhReaWNgYsa9+5F3eJYxXO
d9m6efhGT15eI936njnu5sud7V7uJjrgaf3I7cus73ebh8Hi7k5OfHo+4FCyTo+B/Th5o7tz2ytQ
Ytbs9q6wLhwEwnvfYm7nvzWaPCvwNtzsckfsmsOnLp8Hg8hRHWH5Ql/cL3y71t359s3Vw8tg7Uen
4YboFm+e11j19vZuxRPT1ga38AqM+BfyJjblqd7l9q75ZBf55qT8ZfHwbnw7q0hLgqFFSsX4pjO8
PAj7h9l5OTb0mjueFC/sNrSPii1x6wv75Xbdutn2K2WDantvWIdl7Up0sSfbN//eqpDDSba4mN2R
XX4ceMvYF1VBqCMqB/l25XIQ66/LbZBY6U3sgexyhgttY5C24sp2Tof7/exzdp7zc/Z51/zZDGyG
ZqgpebOsCaWrp+I0bnXGwTUUyJO/0S40r9wlF9UnT2P50POHga0ACREwoAUH+/GaV2ES9YY8RPeQ
r0o3VP1Lk9Rw8n6r51xfGQAhy8IOxvqzw6Ezl+uPq0XByYkE+3lVO0ezZDBgB1Gg4cGdt6vvxnfl
cXiQHtiRlEf9Urg1fiy5/1ZV+v92TVtD8iBGwurq1+fuj+L7Hzftc7tADb82/2v5sK9FOdVRELb/
5+Mfmx9/Dl4L57l9/vAHN2+jdrrqXuvp+rXpUn71Bwhn+Zf/1R/+8fr2KbdT+fq//+MrCLB2+bQg
KvL3hWPkr+961fL5P3/v9Jzxe0S+tH+QIrZcUtf88os/meia9CfLdoQ6KgqShf9Mp/jJRNfkP1G1
okaglry4hFYswH7WmEUdXLpKOQW5Ah4CznH/s8TMjxaMOeQE/gVHPdia/nELLn90Nu7ev2QDvekr
/tkn1aVPUF2HUbZUvxUECx/7ZBYJUxITVu2UFWmXk+4j9nwOIBGSmdP1dqNyhLObZF7UdMhUOxW0
G0kNHEnJ2BGTSGlXg/IALw/l8qy/BGkA9S1tLkV2Q21HbrGhFzdEh63WcjxcFQNKzDie/o3udlG+
5jdt/fraHp/Lj73p7Xb8s6td9K91S4/8g3/Y/OF1+TceYJGf/86H/vk/o0O+dYN/fQRy+Zw+d+/7
4du//3nSISt/6vg6kdhgEqPvsJn6edIhi3+CH5Cg4nDMwG5d+s9eaIBIwx2/nMIY5Kgsk8vPcw46
Necm/PXSeQ1OQv47fDR0cxzqIrWmv3N+hgvqYx/spQpABylcBxMDvgOlGt27YoApFaPC6ssJfKg8
uUokfyYh5S16NyDrNKzStEJ1iDeAizlreFUGk5mIQ30wwjnhVD/WoL1K+UYcgXi+Gxt+vnjvI5Y+
bjR+NoVuBGELBzpseM6uMa3ggA95fSBhD6Br22veqGqR+0krH89z3prBPUY5nMEDP+fqrNgSBU3Q
rdIKJrMGq3AF2dlrVmr6RZ+0ftdGq8FTE3Ib3bYeDbdF0wXfU1i0GitoBygyJ9Lgo1LMZWeWqnot
zJLf2hpB7awzZ126qORuFduDsqoeIW4f6XBdZ+XtNGFTmJr7pK+Gb30UCo+6IKeWOlemakVj3JNR
jOvKgko3XceZJH1RuqF6bAPAXkE4vqhNvLqqcwSoUj92HF77q4owKjkbn8xZFIpPpv+/eBjoCRZn
FjQ0YPxnE7EkNpnECNUekkHvPJN0WQfU/Wd26o+Vx7dnAZWeNwSExEJzOHsWWrxSSPUzmoM6h3dY
SOTuFFZDuZY1TH6/f+5vdKJ/DuM/20JShPp0EeCcCzSbLhgjFfPgwZ8ib2ENS0HmEIHqMdim3deA
EoqkWmbS2CXM40mtva5HETAREtvi7Kkvpe45WcVbALmvgaAApjNAEmNCRrotndTGxL462eEgo6C7
wwfidItNeu7tQT6I9WUf7VatXTbXPmF24epJoWjT73AwpzkZbxhUdJZ4ieTGcg3Zv/OEpbBAfFtY
WqN23/gXcTFdJUlrm/4hnsHoxleT9uq3d9Mc74fouuhaL+VAqQetIJ4ynWRPzZONwJX6gf/7rKN3
MUqJDNvrOq4/ubnnrvhlmJCh2hF1hQJlKcJ9fHe7KM/7AtHroQgjcc0fPQ3Qthcn+WuUFOxWEjE6
aMH8nFWFsNZncoHCtg/J4ExOUV6uPAjfgpMBzd0XNWjYzIcL3XYPqF28XnntRZEs8lhBrt0T2h4v
RrIkKhLbFJSbVkfG3YZIMcUGmIExkB2JUWqb6Gq/h/+tHzWloVohwEZH7pHfyIlWbpMxGnhS+bSW
8jLc/r6znVUkf3Y2E6ilAa6Ke3K2ZsARuirjTmsPagP3Xae06jEgTbu5nFVbyeX+uzmMjOE65Nq4
z+SHoMmlbU4sPSmxpkamJSYS0mWhudedbwscv1viqjftXI2pBTDYbEafuEu9SzJXUZLPHujZYfGP
C1AliUXUsihGY/DxgQpdqIbc2PaQTYNixy0UYBjaZF6Wk+I2xpCvof6CATHGEalQd6/H0mf1r7+Y
erDzMVYz6yDXOhc1DSjG0RMn3UEwRkY6U4j3QjKra2IYtE+mnr9sirl14YqhyDmfE3IlrKpm7kCH
VDUKZgX2SiYlq8ew6z+za50dyv64s4uIE9kPBy5IYT7e2ZXYGo1K7u8hhfF7ykifcOQ4k6+Gvh32
3AwZAsgMpWOok0Morkq3kmroKEIxbfSwgrfTFZpHDkRzqtNM+gSvcxaGsnw71KVMjVA7FnzVm2j2
Xc0x0It5aAyxOgQcXLtNqHFgo63C1IqJd0AnJsNhJB/YNlv5wa8imeTy2N+o+TB4uThrRGcN80YQ
0sFK5351ClQSJH//bn3cIv74hjwjwjywuxlAOD7ePwVkuCZNcgnluMULltcwMZIx3WkAotYctCfb
uJm1A7KN/JOWlyfzYQZhl4LFBAMm6wY84SwD35fAq2AldnqY53vQd4arTwQxBCT+/N2Zl72LxKqS
/wgzA8rwsZWyN5H2jrGyz1Y1LNIs4t7r+d908NHT9cVygqKX5R1D9tmArQWrRQzRz/tsEtdyWdeb
bl6JFqvZyhEG1Xt7Zn9rt3uMvtZFU3xvz7cRH3a5v92k/A/ccCym33+937Be0yDqsvc7juUXfmw4
tD+Bt0HI0aSl/CAxJv3YbkhEPKK5hpzDdLrodFh7/dz0quKfKPbwmi6idQNjF13w535DMf9kYYPo
FzsUdm860N/Z9C7Lu3ddnYAycF9kFS6iSXQj5wuzlYIsv8qgKCXqtHL9IXeyorvvUmXv93XrSXOz
fndf/mLxv9yGX1vEvgrEAs4iW7CP3T4qAmhFhJ5aXcXSV0yeIxyWsRDfNn53I5ndFcwg6O+DfG92
6teVXF/HUfkyZRUFQ0H2SHt4DVX1kPDWa1XzUOA5c5sFtak0n0E9eTxnXxbdHZs6hTQx0Gyo1c9W
xx3cem3l+5JVIwy14c+PVqORZRtGJs4tninrHyWMCRZopdtaSearJErWdVgPa9ZuX6Yi14gazmur
l33CRzBzW/IIyhYiQwNSKnxUWRRZsexT8UUZ+mR05lWtMNhqkBnlLpR2s3ERREbrVgkl0wHlUt2C
lu47vNjsEViD6hnRGH60YaiJAT4F0wvhQaexV3RM+WQG6IJYY+LOsbjWMZE4wngt1VCou1qu1qRx
xlYtjZB8y1h3Vp1W27VePGWzQTzSnIokyYRi6uRaYzihGotXVdsLV4EfQD+TcqgK5AUxohiBVc3E
XabdyjWF9rTIAT0/q0JO4ONJfvUTIXltCiX2ukAYnVYiNVnt4FEbQgUsK7ppjDr1wiy/D1vF3AI4
f5iV8kZtkDIFYms3Y5rsEiWK13G3StZ6Nc+HJcpqGw8+MSLYylejOVrVyA0icYfgFEMiNp7aorcq
qsYNeuAsffUlmLLV9cwpOGK1PndFoReOyZBKL6bSxWt/ktc8P3NDKFF3Eayq0E77XD1GGYdBYfyN
2ITsMjX96KASLsOhswmfN4qwkCRZmKzjMlr30yDjoKhW6lY1fSOyBNNX9saUUlNN5/CmknLJLfwG
kUEYu20sKFZEkIO9xGvzBipfoiRbx1Nibs1Zes5N0p7FAhTphIoWVC+nzGIqX6pzhBelnXMnbzAw
RmFdnFShRLKTFBhqyhKAUqK2Tph25ZHRf4T85X+PtTD4FozqczO1qd33KYnUkRa2m1LLiqvZz2In
C8TRFjR6aEwiDeBqwiUCUYkdsrsCjxrc11yfo2fJEO6IQJPZFEXJYQ7FZi2VgrwPxeBZx+3zUGnN
6iaZ6tEOV7qYWIHKPq+UA+VYd4Sl42mgyKDGIVBr4uh3tV9iZ/bLp2r0ESGIemjlGO6dJtOTLaA6
smUmMXHRriBpLLWLMBbl2zYiYEokX2Wb1aDryqqIT77fll6SmuqLHs0pUSOTaq+6sfaUMbws1LR1
dTVnuCFiZsPYF3ypVuN1sUKQ3stB6tXttEkLH83PgJJAqxEMim3j+HWZukEQbuo6g0FbDf51qkjJ
idWdyq5CKU7CypwfJ9LtH7vZV67SSaxdLCdZRJpP6K+lCJCBbl41edPtSQqv4dJNw1ExJ6Wz/JBA
IomwxRa8r0yUU/eSjuqFJta5XWJFR9BCVLY0HaNB/6JM8jdFbpQDWfP6uimMzlWT1cwpZNy2V33m
y5RtSk+uDU5ItQF39gDViuh0qXGbCFNE0o3Vt57UGzuoFe3R95u7bGqjzRTiIgmikkNXtYw0Oxj8
4o7c6+dZysqTmBjKRq+1+1iW4i8VCVxXjdwRA9WIwZEhKLIxY4q49I3cxasoXeStiaykmKRLYx6N
pwmj1Dqir16VVVkeyihPL6U46YHWh5VNRPnkAtkgeCnKRVvyy+eY+JJ1ERftdx9ND6gNPbhQSaPB
a6h39iC1xUNVhk9TNnIvu/aa+HgRwjqwroycY6sTVhdtMNwKknI/qqs7NekyzR78MjgmlJ82iVJL
BDzFvXjdyKtxp6aSiP8sxvXFAPkqjrm+p1Tmb0rR7wZLL8V6Qe5lxIL3hIVsM72iJ/ZdtNfbEBad
LtbpRtZL3muyT5TIaip5s5LZdFYxEWVW5ScRpMKpKi/KSiUxTB6r0imqsnvU21pETEMqGWqbEEiW
nfvt6rYg7Io7W+fflbLLELJKsrsSfT0+6IEId9HHfhOl36R2AtxfGcVeKQf2iqaCk8rUff1FFYPC
IxdsycYyQzY7qRi5WSvX8JNrIqNSnNR+EahHQ47LK79OkwslTadNMCrCNqBMLVtBJ32do6gaXRUw
6W2jkw0SdWEvOsVUDie/GsNdOzf5VRB3oku33sKOjxM7aUrZWqn15AkrYNVdOJLIq8l94Wb4yZ3M
nAWXhDbzsqiJ0eSOpbsuRmddUiHLQlWzEIUYXh9K8TFBjPK9IlTqsva1AbkwIUgzb4236oQZW1U8
DOQqTRAUSCSjhCLNqXno/PD7IDTmXVE3piswxz+3vV7sJZLfSquC4rrHA5OUp7LTyvWQkoegF2KG
FirrswvO45QXYWrQgsnscUalv5Gq3N+Fk97tA8ojbhnFoLDM7jXMgvTUjFnhavogeg0e3FpvEmo7
SXvZEJDtNWp2X9dFQm2HAyBmgyLcTFFOAFaalk6OgPqYEvXmTHmvMUxMQ07KpLm6KmBUuMkogBpJ
DKN15LJanqEwPqrUDlN1RZZMaoLzqy7CZo5OyTC02z6Bb8QMdGRlgERvpOphpT2TZBdj60vrdLgp
wUV6QhuRKmf0c3PyzeS6hcFn80L4B6E15XuZdYddznl+oRqVspk6dUNiYx1SHBim0G2FVbgpBt04
VKksbhP0bN87fRwsgxljLzT4vUSlrDeFFH+PKIpsI1Ur9hWxG3dRQydlyMa1hgKhm6oaumzZozdd
1alqQ5PkVB/L9WZqqXzavhymVM0axZtJoXPmRhuPpPQBV9G+S2mtiFZYzKaXZuPlpDZw3lKx0Z12
FRzrUMR2nkqm0xBGA3kpJoEj6ZjVSlVhStLU01CrlZN2QvkwR6O/qeai2DRYDPbh6NeHoB/j+0CI
Zo/dcGUnTH/7uh/xXVdmt4Dy6niXj0L5oqSRvydDoHkVRt+nDpgFhStlxXAcgklbywTvXCvacNUO
XeiACL0ZGjHf9pIB6YMaxdqU894ufEgn6qAuEGDIpgbDj9sF+Pb1uIj3hSjIF8ZgaNByZOXAXrnZ
kXHYYujXL4nSNe10LGAIGsmrqlQ+FYRkRQUh38Bqi7yuEwhCbFMqSvXECyhOhQNrmaphX+WbPo7E
kzimVKvV6BAq/vWc1/otx1voaaI03ym99C0vhmLXKK2lqZl8V5LucxX08yZF00xyWf1tAU8QBida
fj8kVrJKWL6H8ZUuwKyOyr676oyuYWKDPXhiJo3v+o7Js5GDgtGxqvatTgV0NQQHUjapdMpNeWzG
WrqLosC8N1rfZ6UwIUYMKEI5ZZxrl9iXh8tBXthofQAedtZ0M4SC2vVWHsXlXjVjTvGJHtJravaN
BEdaNiBKSnJan8QpYEEopDFjd3Hpi9mtAjbDlkQgPmMVq2u5U3eSMEU3SQlMNW3I7ZJqt9WF9CDL
00NMscRqNTPdxiLQk6LWCtskykAt9RtGusjO9Mh0VZ2ZrA/j72UNBZNd3rek054zv72divJqZi9G
gJ/xtdTk52nQwtvCJLtLDKRjYmS3JYvsXRaFD6kykhPIN3MiU0yc1WBAtRVSVpMZnW9omsBLqn7Y
xpFf2apYgn9JYUtEfqt62TTBPoslyMPVSMpWNt/UBfwYzqBhzDSjhoiM+JNIueRJUnuY6mOZrsrr
UgJPOmXMoAp2XPT1/jdBIyqybMb/R92ZLEeuZdn1V2Sa4wl9M6gJGgfgLekkg2RMYIwOPS767uu1
/FVWqUoyyZTDsszBy3wRDHcP+L3n7LPPXrs3U25uds8fu2VDYMgpmcxcYG4xAmZLtURyWUdsX029
zM6lmUihYZaHVDGJfurmWB6G+lIZVR1jNRvcfWKyoQ21TjFqq09yXukuJDT9sIxz5an7GDEUIY+m
hdfJNNW4k5b/Cz+B6ibbiLtMs7xRLgANGs6I9K0d52qUr8jWiwthUmMjwfputdIQrX2+3rC2HQvQ
Aoe0sPdT0+rkNDRSn523yiCGkz0CbegNxH3JTzdLea4EZ6Qwdd/SJf3c9lr9lOWwKpVRTYF5Vphi
V2uyD1JZifdxkGSCV/czsE37lzOK971qfsjdvrDxR4Pjalb9mB/I84+U0E2XhLPqRR1TEpUqW+VB
XY0+atreZk+G3UlPNAQ9bdU4EzCla8yVjHSKps6JnEmKtqYVmmvJU0PAcUFYq9HSYu7J+CctZSMg
wIHjOBcmpqnR4E6cJcyTg/zZDX+WdF3juQZT6rb5+rkss3NbWc/9ieKKuN6Tti6okFyHQC9XUdL1
sJaiDnNDvw+1CWOu1Z770vnR9PJLNWbpURd8G/KdNnLcrJc8K8aIJFLlY23MPOxoydfafBsd7CuL
kX+vq267yo+TznKqCmpjsoZgNaagrnWgsqx/AXWl1Bdnp1ZiGzSkV6jkBjqq+DVMe/1Spo+Yp8aQ
CUMqbxVfvgfQaXdFb5TxUhOh3ue8MkimR17Tp7l9q7Z0Q7IUN5p19d5ba7iYFStd9brdDWHVB5sh
66dQkdaZopjhlJRZKI+b4urFo9VcDd4a8Da33+mXeH3zQYZ36gmbL2zb9qRE5wDTvIo3EBB+fGzr
sj7wAAVmVpShs1ICy+t5YTf4MNCHe1Zyd7ayvCxNwpXlpBtqgPkmrCrSUwZQW2Lu53ync91lB0oc
5+I+M/3QRCZ9o+Ym8Uozt7hu6uSnxdaxZ9rVdERf9Pe2HN77cjpacHNcAlc3wIBCIyRrZ+HUWNpj
YbKv5elaK78N+YytrZKly46+EY+zMhysXuBDpJf9vWtb+3PX+oIUKSCZ/7xI+Cpq/vv/VAj//3TE
8Ld4eFD+K5ho/na1/N81xGhq0q9++48a4t+/419FRFX9y8aW8EgOYolYZbz5bzKiYv6lwLlndINW
xT888i3+ISPq9l8G4W0Gu7h/q4iPffJ/kxGNvyyMNoxC/s4IQhr+Z2REIN7/u1T2mLUriIk4IXgJ
0BP+s64nRDFMIE8ZH9nSd77WQB1fMiK5okFURqSpjD+3EQiUPcByUZPrbGSUKYCA/cLKtAMFOGdv
I2y/KOs32l3zAGdWDyarAIu04KFJGqEdAJguwaSk2qXVKJVaw/zS7Lx4skgYZjJAcvYoBFJKZX5u
i/FrtkLOhK9+UCtkEZv6XST7E0F73dGe6ZXVvslOag4Zrc0HhULJXp0jSSbp05oS+aYRcRPuRRLD
XcxcZqNPhuR8LzaCvdFYzvmyniVlLV2KdSnMTKkNkgl28SxJ2mUFDhkQNtZ3XInwpRM7sQ5VldRh
Jg/lnb10efUm0OSvaYZoI4/0DR2U92/rbCcRESC64iOvzIvbm7A7fTOfWOKU1HriLUqvLcVd7a19
B+hRTef3clhbl2J05OR3DC2yp97m7VhpRVEDyyduLUd6nfgVj4+zHZdgfaS9TPJoEPy97izn14/y
N5cyxYdCpRBRLpNkbKUky20bOFE/pb1eyW9sxIeTzWFjCSnI6AS/7yUBYNKjrnLzQsdsYc5W+aKn
s55Ay9ynIZjsWj1uckGSnsQbLbisculMoMJA0VjVHFT0mUEy8lenExIjE8+XwksltwsyaGvD7twm
S32ft3WKi2yrY2hLW7S21U8NdVFU+2XMdzOohL79qZB/GK1JE1s/RdFdwJqflPZZSRGWxtpfSyix
oqtmL0NDhvM14Tu0smn72JRsOK2wIb6kSab9B4HZrqMHsFQLH1Fqtb3pL1sqmniYjZ9d14aSJH2u
1h6j3vwAZXgr+z1sVjmqlfreOxZvoCIIvaMTeJoISvhN5YiAS6187A3+9sw0AwUxyuBeK8UHk83y
SjefVHD14aTUzpOOB8gmLJfiINiSyEH7OKetVoe2InU+gQU/sHZEe6PJX6jKEA+KrAdzwG5wfgDn
28QkhjhXkwy4FYSTun3b1Ikfp8klnGK1qc6VuSIwld3z0FUtE/XWft26oX4mRMP0mtkg039epGjU
y/nq9FbtgvLTglS3Mq8xs+1UNqXlrmnoWL0Ki06kQaHmclAV1frWd1hYC2PMz1NbWUHfyUlswlWN
1aSyP2ZJaJdlFhKm4qkFxzu2b0XTf1oTl97aDmaKPS5NiBU0sWPLJpZxPBGFXny0S02pxjZf6BSa
7dekx3u1Id7mve+ucpOm8aQmHQkZaeWJUcXJo9HbWN38c6umFfpDz+tKCpDQ04bT1Bjk2faEDnlc
4Xs95j2gj4rVrFwosq9Wwrwk+ZDea0NamPJLclRNRnMuM8f8ZMjxQpaS5Q2ioPZpjlKrcVCpc3Nc
ONXuK+YdtKG2iRfNvonGCbnE2R8kgjGBUtyOl6Z2ZnDrlnmycQFdavr93HnBGuEEhW4OXs92HcX0
H2MvVFeVmM+Us4qLwk7FLenk8yQvZojfht3T3bLuuaYw2+OEPrYc+zx+eoo+WFuXbiQJMTc5YlMJ
MbkMlqX1itmOTAGGTqFUs5n054LDwZxju9EuychXbVh+omKQWAHveVtA69YkkCTenqDrW9nZaJ8z
CQkTGnqwT06Jd7m2vNUuzXPSG762Kb87e5Fc3s5x3npQxM2S+nNWtWQkp50rD+a9buv82Wl2AtuV
sjq2ib0fVlMTsJ1T9u/bcnkCoV1E8ty0r4bcB3mzgqihuM0Qp6Wp/rY9SL79rDDDMo4NyLK9UT43
ReaUsK3TWEm6J4u8RycanHglcNcl/jp/zeq1AucAECTujPq42kgvTWEH6iI/uJyocKS3wwNQZ+tt
bRp+vA3BilQt/g4AHntiGjI+/wY2+pJ7ZVklEahfbHPbr0EpllCe2jrk+7ZGuba/zzS9XAz4RUnC
m94Np/ZnTcyGOy/DwvPrzE9FX39R5qfElIxtUMzwIkZcJP28rMcsQd+w6D7IsqoJBFev26ZEo5ZK
T8o2bE+M6Ev8QM2Nyc2LnWSnUhG8MPCi1pA/SUn7uWhrHrRjtgWm2uUfRspKJMFtvEkOHura1lMt
ZAh14uHRQITdcM1BUd86IPQiKPmwr9SpWsiAY784hcIifQpbpKr22F4odI2sqHg85MnP1JaCNJMZ
VRB5OZ03ezDdoumK3s3sVmHMQgeXdQPZM9y+aSGiDFQionz7MQ+bClGufamH3j42m7W7mcKVmUL8
iIGGoglPdcLxjTRPftdzMzQB667jMdWakPSqKprbQT6O266/jsp1Rh/0p302faOCVZ5R0QcCo96Z
1mC3G8nf5MSyXGTmuzZKRpRsPFv9KL1nQ5n5PIRKZHWy8zSVGyns+djGXA96VHF6eCJVnYPctDmc
1UJgiFjIp/CkXgYLI6UFv5tNfI3Mk92YLjJZa2SOW29akWN6Y5zHtJJMe5xjIrs5af2rJ86yGwAu
T1nyE0WydSd7/KzSll9brItHJl1yMPc8+eikebmnNndeUsiGZz4G+7uTredRbkdXns3ueyb6OXHr
vU8CiHJ7HhQcN7Af8oiJoIZ3rYUnJXia1nQ6cKK/L2DFN/JgYbSd9rY4r+VHWnNXFh/OWF1No7p1
2xDoKxzZouDLlml3k1Zm0N5Xsb00hfGclj8c+B2aUx0IXvxe95KvlBdmZfAB4lJMH+rEvToP/jwK
hAVSYGCEgxNYeBLwX8pbwbmojfclWeVj15g+kyj2o6w+Nov0XZel2c9l807Y9xgxnRGkHGhPYk25
pQQpn/CCxnke0JtCDZlYmNVRzz+2zjhMstOHS9184R25yYPqV636QhLnRytnR0OfrsOo33rRPY08
MPuSA8XtieEfNNbtH/mSDMWhbxFyFEtUrF6jbLmfzAnxw7TH1ypLo71VW3+AACfbM31g3Xy3S710
s9z+LpUL5pqBxwXtTnZnYdtux3dtRSaj9eQSw9VbDkmQaKkRF52pRvDjw7KRP/eubTzHYPaXrMlT
Z0l5pJuN4k9SwqBg1V+mir/KUt6mAAJDd297fpbZtenPnGiBLJuLQFUrLuu+NE7GJJrQmWA3Wg2r
34RVHPI+u9Sb9DtzrEtvLDxcUoNW0f/aMueyqUgACGvOmB3KkeqLxfFAy/vB0x4vy+r6D2o1fgZC
dtv5OTZIV8LQ+lEpI3+PON0+eNBql/jP96pcrpNt/iQf7KWmg2FYVv2mMGuPAufuh9ZrzzX9Nnh5
1V0y4kGkF71Wnu154FFS5+SmDMu9y5T7lDRhz2EwCBKMwdwfJmNtwo0/KEJCF1+Q/ooXp0rXOC9+
P0QUtWYIjY33slcUPH1lepM+bN9lPasv9kyEZd+2zq2uSpYS97q78516suvqF2z3QOiK5AqpluN5
K9eARC6pcmcCcPyeddazlgwLIei6EXRyehIDiFO30q2XUbIz2TVKXMB23lo/CIizvUws5TnpiIhO
WSdg79wCuNKh6mdzw2EuyNdWllX7WxRieNM3uFNzRmqmeZO3fQuSMqW6SNlnFyp2KFGqV5qkKRhF
+TklyR2cRf6ZoGRZ3PRjCx8uaynAQTx0p1oZ2gM3cu/pJa9REXChEUr1L01gEq0XE65uokoxsWUc
vXA5OA6ZlrtWsXSnlJaBERr3PrsZ9Ul1qvmEG7MIFEvUNE/GdBRL27+s2T7c2Cs3XVm36tfHsNY3
ra6GIFfzcUCIcmJuy+4k9056yC1LIWVBcgLt4aoJIDN8t9s8PYypCjuAMz3ckeO8uS4Gj3Nyxiop
hA8cYzq2FTapTle/lHZxfm18P0CqpcW9qTo5KDoQXqs1sm0nZ5+ZjWVCMpnW4dpvjvhadmBu1tTH
fZ8qb6sC+HfSGwQ4yel/qsncHcphQxhMe2LpSsV56yfu4dmRTMIfR+uo7WpGvFu9Bba9b65Vz5s3
8aq+SYD9hLd0hoWWxpGkLooVldagR5PJLvjMEFGKbJVk+2XciEpZFT+1Wr3iU62mW+G0TN3K9TMj
pLrxye8rRrfptu5ibGZy60vMwn1lbeHGSRmMrbRfyolMcbJAunAbdu07rm3YaOa4HBXyNjlrdE7i
qlPJ2ibW05VK4amzufgYBmaWQIbuODjOwxBBQ6wO+xsTevl9mVXFM4Zp+bZTaX9bt5Rc+33qXU73
OlTspo4sooU8jL/VXV6NeQdb3smnpJsesCtipnsrGXAbJKW/ToVy6xx1ezxH/Z9ZI9i8c0r10mtj
mCvNfXXeqyaTVHesv5GGJL6UrE6C0uokbvJEjVSpaoiu7n46jH/CZUuJXAHCtLhtmrWhJa/aGUQK
zLRB0Z/y3PjsHMl4EzPu4XVvCPLke/a+qejh2J6I+UzrNUyytod2KhmXMutei96Y3X7RHz4Nq+Zp
rT/HmucrATm99cUAiH2qwA40bGP2sn0ieiD31tL5Vipt+TwxND7IXcmukJ4/aenwp1lHSjutbs4C
csKFxpw4jFkB1Tg1H7MxJOGsp9m5nUuSC9Rl5zhKl5NFMMwZDwvOnbo0EjZ+9+JNFgS1V1shc89S
6w9Si5to8/YMC4g9q/p1Ufrkw55EF83GaAb5nBgHR3DlyItlAccygcFbmeIuIOHIUhiPksJ7SWZz
PM66ZsTJXJrPWupsUWfNdSg2ql2/6XbjQ+2c7VkohXqnUDN+aHaPlUie8okiUFtuHWc6J1Gm/5Ia
hEetnuOUyWTQMfp6rs2fWRdhIXjqRuXn39DDLla7eyZGzzYjbJo/Nu70Y70zX3REW0eONXQHx+oc
ys6lkDDlGtJzpSJCpmU5f9N0rlqpS5ufPJErGkIvRbU9p2dpyn1dKnbWJ7T0gw8e7Jxmlb/1hEHm
JvVYh0uneq2MjYO1UIXbyfurOja0C1WyfstqxflolpG+ZVG7zxXTQbwlWvG91yebUorw14dVC1KN
ZNWCAajil4J0o3nqql/CKXgQRtxiA8eSspdeP224nqRMWL2b2NqefdZaYbq6mY4n3OqpGpi2JDOz
7we9ZKVMl+4rRS193dynH7qeSiX1fzV9pmvHwDYjlPHemI14KnmPYSUoGz0j3crzpumLFRhNp9xa
Sr+YJaCuYhrT1eQ8GZlygZmkvZt5UV/XSl2pHhRdctyq0rPea5ZkeZnWZtl9jT8yC0RnXuVcqb5J
rYK9CebSvR4GOlPFqtq412zhkC3ZJa9sOlC6LJ2wnvQdfGXCPJ/JaUnQvmkLNmAGxp/ubBTWCWZM
Hgp12lqv67C10IiqP4zKUrFnJRKjqpTuuVPbwOgkzd8U0OaZKmiZCodwB0uMR7mdGJYgZnTlySwX
IXl0786P1Nmf6gTDoCjpLeqmG05qn6DW0Fq5XHMObAhkMHbybbPHD7FlD1gL5kU1sb+MTMTzhB9F
ngQLxhL0CB0N4JiRjEjUj2gvaVsAV5nm48qc3CqkU5Nprz0uCb1TN3dIu8NIOzKlQ/JMuGgb6dRe
MCPF4E1DT+eOm211epID7D3s9Utby6XHqAgni/rMu4gJQ//QTSxgeOqLiWzYyexiG39PwTDfnD+6
hWgwS2HNZPEmTO92brvjck0pXe+bbQ2+YUgMQXfHzQ3sFVzrJPkUnsHALJqWvFF9ooOYPsyFJ6/f
ysp8brfdV+vlkG/2qy7XQd4lLKis0VL9hgXH3gEzMjM378Y+iFc6wzmUV/sPBKfG1WWa29k2Rt2d
NNKOlLnbT2ZmmkdnKk0vL4oDQc0/lzT7rSnbdtbzMjI2wFy4KIW3AVx2c736hnpByAyaooufAtSl
vYXGmjch+2CnRmb+hNPjZGvGT3t41HRsSvkNZmwqeJnVSlpPnTvhGYs8fLxG/g3wlagmkdd3buDA
ajeiZRlNRBYeJ8lo0TtUxMpMVw+PBZj6ceCR8AzPzilYYW8UIt9M6jzZsL+0tvTzAktKPgS102eu
zUBu7ZlHCbXz4I75LFtwuRl3o5mhHKRBTZo6ItAvdbVuu61cHNr4qXXemmQvPImRJas2mPV5QL8E
9k1MApYvFIWtMwNeT7rRm+CQ1OWNp6LBdKf9HqZnSd0O+FEweKQYgkx7DSpNBAjvL7ohyJcmu2Iw
TquTfrfsqMsnb+9mt7Kc1116yGL2SVkS15lIB2N5ubfaEwlSBQmb9lvSGvdOeoys+pySQ7qxfBFO
Yv1i7fqSFrzjUV1pBcxA39bvZs5Ms2Dfv7K43OtrkZz7jDCfIU+OS9XfqVSvpY4+LCqzCJrE/uxy
Y/H37XGmp/e5mTrXzh0NbKUab5tgEG8nfr4Yo6eyyFN1UtgUGvS0HmaLQwvDsK7TY279bzDVvQTR
0Z/X4Vwwe153P63UWKHvp0f0hWyw9j5DscxNakZj3VG3dY2nkbSw2Toi1RAIgeXGnXvxJKSmjMZ0
PJoO8fwNwByqJYEfDhCKMXubLaLFas6mXEeb9oToSNm/rPCDuE2SJXMx35D7wEeDBga8oKS/NQcC
DAbL9KqlWaN+g1ve4taZV8vw0P2eFrs6DCVsHNVgFj07M7gvIiOLLp5TnXX25b6z72t2jJTNr2Uh
tz7pEy5z55clKvaAy5F52++2T9Dq9X28yI3K8t+wzb6VtRyt3Vx6a2Gn35xa1X2hq3nUJlPDswxf
mD7oq2JMzFYLT7eQLiaeObUiksuGDtinAaBAlyHxkaUXf3P0z77/BsfIww92A/DldblzsDq99eYJ
XlPl9wpGQf0Fe6uT24Sl97m76IlvtkdnUfyle2+V33aufFGcExivdH0gDfZT2WhJnBrrSVRsULbd
tJ8wH7MKJT/VY3cpDNRWDvkfjbze6EDielnesXec5e3dUYd70znclbuwgmWgJBi08r3A5pvRppgt
fyltNnhV0h/ziYl/ukpvknrJpZZxBkQeeTrJEH7tevd3EvhUGQJLfd7KBtOoHTX9np4Y+HrLFGv4
WkvuEGbBAixLf9bRqSiC9KMNACep3tAdwLO8dct1NjlRrP1FUSdE/vGQO+GMLtqORJttxIQhsqyy
5SW1fWGa4mbTqejeH1NSag4XDQLzCzGF/T2nIl31xd/MDS+D9mQab/hgPEX9NLYf5fDGpIVmj3aQ
+2Dg3BX7eurHhyH2MNgfgyx5Y6uQnz1G8qNYGJvrKKG5TVhs8FT79JPvqzQong2ueZcni4G+s74O
OET9KRVloDKo8SrVfp0zRz80q3rXrWm7dENPH6ImAnPAb321jnUpAl2dbsQT1gfi2MsjjsNzSv3i
S5mtnNqketVn5YqTMe67/PFU42rXM6emaRwHFhrFftaT3t+1VPOLyYrw/F5GNeH42+znYtfNwJQ2
nHfmSH+3melJVabvjaFBkpL6ybpo9fgqL3oa2aOxnZGz9OpZq8bfXEGoHxaVjJ5NZxYsZLcoHyf5
uNm3pAAwu0C+8fYS4YPjl2HGR5KmM/ly+/C8yG+W1FxL3MfVovFdzjTzlu+OGRPEgIQ7vegl6rBJ
W9NhDbLWXfH3JP0YR307W2zGUFszqps/Wnx7jmFah0GIs6o+7T03rfowim8RjnznwML4Eiir9Zrt
XDWOdpIL+da23xYC9uShfi0lclvm0VfHimALWWE2gMWlZrjW4GujWam79Njo+hwZlZ0ckMKLqNlT
U7jZYF51eTXjcmwvOSN+a2j9TM7uLUIuMgu+d6dxnuu9wsW/GHDhdkoxCcVd1trISmo0JWdJPUGL
5MolI45hoNLanKK6pMmpUPEKVfOW0ockHdYS0T8rjvUB4iuPB4jGvtLnzq2xkuSYW6WHNZNS1Gqt
i9Phus7FLcsOHZvJXP32D8Fvcw0VRJ68w7A01OWOl6wJerbE7muSyWFrZSdsaoGW2bKfGkMwp2w/
JC1R0ULo8axX8dxNQatnJOrowze07Ndx3AqcXdn+Ddga2xObUnmrM6+HzqZeWsZAptawp/GaUke/
bmZjcXsXlKZWfV8L56tegAOp83kx7Tzc9eZ9q4DR6OKtNMpIMtZIae3nvUh1jIMTIpYzI/gbxz2z
n/HzRhN0vaSaNDcbNeyz3fhWd/WTUG3L0/YRqLaej15ddstFGUYiVvVlZhF3/ZNRVcNKs/toF+WP
bEsoGg2usJnck3CS86/CxinfPVtGXqJCLK+tjME71d9smkcJRT7MNQqplAWix1J23FWdEder6ngF
Hw8m+A7UoyRyRhR7dRxGtgacIftZ2Qz2MuQDhcsxlV92O4ubnaG8qCmO5Y0HsBDAPlce+ET4clqe
JUvbOHUWxgq11GRHcy6OqG7JYRHzFs5dYoIkxQOX6loo9t3LzJ5fswkPltAS56KTvL3a5be0thUw
RuZ1lmUKHrPFYU7Tgv1dwbCzonMyefVYZWEA1z1z+eZu1uKWc6bODLtm+Y3NmYrTLISXlJpyIPOu
8PpS6YKUHe1rybZBXjxMrgmPcT/adTz2bX1MO40jiMxx1tbxpmmDZkWmMn5Psr09oGGo/tInJKkN
9WGVlBe+j099jnqDtJVRcIGt7vaRSe+OOAavcP1gsRF6/bItNG99d1oqufhl9rqICWzuj7tIqfXn
CRcp5vZDrsDcxYBvBPk+5YfezJa4W40hlkyyx5ymLrFTAWLLtULBrMxKr7QDfdfWdfAagfdBztFj
WaPusA7Jv9hVfpdqyry+KEJgh6unagtM7x5y2mi3HylTpCeVDsS30afu9qo3AUpS4akdrrXFnqSL
tuuMMMQsg8laSW1zipdt6l9JM/msJlk66P3uADTB2Ie5gRfW7yQ2DQ39imxeBD1xbvf9SUolzNya
WbyJfbbPA4sOcT8hcRMWjui8yU+k6zjXva1uwlSbMMfx9mu0dHh3ai+fAbw6P7ZlkN5F2awfudzs
oQ58ASk0ZSBQd98VqTHpfgDSmdlty9S7NKsPnZYXYItdvKwdUBrDYohRaJSAa9f7juL8KlvNz2Bf
BpbaY8sda+ohFnYwLFBF1JTnOMEKjhG9svEQqIt5T3OdgE+rfTMdSpxCtfEa6MkcDKu9Ryk+2tcR
d2Bkl/XwpkrDpVbk/DtzlT5aH3tbSr9eapPPUGhFOOd5G1t5YnhFX1ymBl9LYuUkXbc1rso2YDSn
YbFv6jjDP+b35BvFIisO+HvLhxAG7qbqb8syfSXGUAUYITjRhl0dvCWjkmBXmNDNtgcjfd5S+WtE
UMgkcIVD5o/4hHkq+fZk+r5ChZ80zWUq+zLIwxSKqhKR2ubavyb1/lPrnP/VFjVJiH9wS//DVqL/
f8QV/W7Kr3L6R0D+8D/8/Ets0/iV/7fnRwSO+I8WrH//cf8Ij1H1vwxTVWR4mGTx6/8rw0hRtb84
wgnT0Cn2bcKl/t2GpRp/YbmQwYYZ/BtT0Xh1AzkN2b/8d/6VpThsG6ug4E0bAs8/Y8MigPQ/LSxK
j/gYvF44x/+z+8qgJudJLLQLuRUn9N2rdJMiWjL80i508OPjf+pX+2rSOrvzYfCsaDsqLz1pA7fk
Ob/OhyRoLtv7RjbyeqiD4raE+VF9hDEei3P5VcUI5ZrjIoe0sR5S8wapvxKCqBzgV/rYkwLzOMdl
MEfYDvjn1VfD1i/vyVENunA9YSn2uqg7MUUkZ3g+8T2OcbKSSahEedTHXBkHTJ3HLmSRzt8C6SAi
89i+pEfNR3+7DmG+utMFwTVuDzheD/U1vc5/BzP6Y6T70mVB58td+1xerKi7qkfrxr1y3S4McmPd
34/VNY/nqD3QZITVQQ+kaDraR/GcPEnX6qU8OldxqaPuOEZ4DDyF98lkN5AuRkixz4zbZVJcX7Ib
dyhCtFm45RvR9rRC64/6OMZ6wN4HP/aRbPc7DtgaO7zmpCsqoenngRokf0yPz/XQRubfL0MPlIif
4HchATOR7op4OATyU3Jej2hoYRkA1eWdTSEYqMNCDN0eaGF/QtEM+8j87E8DucWwUX3tWJ7png5W
WMZKuDzh6ud3Lff6OTvsofM8sY0U24fsefEtrwzr40QEMhGNhsfwjBhD4ubc4pgdi6N90P4ox/Kp
/KX+dL6PkeB1QB92p1cv9RgfuJY3B8ZxOC8H8yZi/ZCQiVeSliofaj+LprP1nNwo4H3utQPLDAQS
dr55K+7yuf61f+tUFyR1OnsqC1Gz119lvw+Mq3Z1LkNcvrRvTQBa/Y98GD0jtnxYb4f8KTvNoRoV
IZVsMAasmB2Ki34x/CpMtDib0N/d/MV6smIkTj5tpusezWz51BxzcghZOvPld52IQvW0vEtxTYys
yosl8OcnHGn+I0f6vT5p8RQ5YDvppq76XXniSQyTR8Zx0PE9kfn/fk2n6k15yn/w/eFXst4Qb2y0
ueZRD6VDfitfiktxVo/VmWv09D+5O6/lupVk234RdsCbV3isRe9kXhAUJcJ7j68/A9zd0RK3WjqK
+3LvDUXvliGJhUKhKitz5pjmXX5p8Ab0F3mUnmijOA+/gajj8f1fXvV3Hf1LM5EybTrpkh4OD2zF
Cj+ydWOQmZPNIZDP0Luvr9RZfIO3sozaCC6xJ3obWF3hQYkUm7TXc3qzOKUj2oI7+ot3YFsL+ylz
aRixFyCIsmeZdhayiUWgT/0iRAmBredL5hkeswiCKK5kLrJNv/BMnrfCLB/PanKqAjIW/BptCC1u
Faxhc6udpVDwKOkHSZAF2bcK3bNx0gZn+LZ/qR7ncDwXQfFIxIRWJtiu2xCZoEPVaj7fCY7hCE9U
Xfm7MYw/pUDIy7MakdlzG0jlySXpoqskw9jd0y71ayZkhMTsYb/T7gxv8OeTcVkZYRLNp+SCg/JV
7A++ek2XR3Nj8tWxnTi5LV2ugebQsOFhyunE/uygfOPvXye4rM+fSvulZlWgHdTegM8OHhITV7G/
vuZ8PwoT9/ja2DEhYm82LjeO5A2Rdlou8nAOyJldmrCTR391OVVGZQs6FxErX5z5tWpvocV8FM7J
B2ac2zrPVFEjpPuODow8cb6yhl9QA3PkS/LSFzvE0MlDfu5NZwvvEI0/FVe7P/qmZ3LCt8vAYjrI
gRxwXHRp+HRLr/RqCLNkRa6303Hd8nL7klzjjJTUQDsRgnmNn3q8AlEXkgwIkhBzaZdsjiNj2jE6
mUsQCod0cVRHOhcergegawt/ASTa+1swsdUMngABd7JfE3YEDlFeZ68wurFVdhMSHVHOV8GHv+tC
VPQPxidIxky/7GPPT0cqBkE+9gSmMeJMDyqKG98ZEfG8jStB2PJD0lP7SNb1N6gPPFh/pH38Z8t8
xztejKwAxG+Kl52nX+5sZdSeA8Ee3S6kDAOujxumTOfCQHEThhJr2YuUJ0GxiMFZ+FvBhcsr+bTg
8tuM0YAgjE7Oq+yvNSDjyeYED8tzZiQNtw3K0xZO54nXcPTxnOZekfK6q/vZDPRg9tmabTrU/MQb
2BUHr/eBqxzT5tgk+Qc38fiEbK5AY309kPw+Mk8xC1UPP5gclgdLzRY/T6cyOn7gEOrMMWjMV5yV
+V3Kotl5aFq8yeuhvAeTp9imc/wVM+j5mM9DqLkNfxadPiruVH4QzeShxZSQuUweLc7KzR4/vPOk
KGeyjBBsjxvhpAZ7WGMxSF26mV0q614e8V3AbBfIx90TKhXwtqqjczNMrSsGjU0cQTczV2fvX/3m
OX/g5zOupLNh/+qeGIz+znhCmvYyfukOUcWJn8dwM6eEm/Ix9kyv4yNtrzwWp3V5Ab+IsJXuSZml
j8O5Y+6owe7qjFwJT1uPKp4zZGLWTtIlPE6LaWr5Ke+se9BfzWDk2W7HRMcvYIabrGGWIPBkjn87
xuxwBmiDxMdKOqQtnI2RHnNeBDxZeRt56aKaLeiYymTz+T66ZbkIYA2aXGztQsJmInahO3M7R6g0
+tN5C1kJeHobs4UB4isO1wLszcNj8Opo/2heLqeN4Rj41CbPnngigBJ7kUbDibMjA67j3nE8acPd
QrQ+TFjTS/w+KL3egbAtcw+cNOEag7wWYGuTlWVVOHDcx1gc/OQC0PTyNsh0BhPUgS1mHxCJaFqa
bnnOfJxQPo+BHurhyK6MEMqzQuHMGnQWbpZwCEkY+Me1VKK84x1J3NzjmM1lJLaKhQ+aO23Q644Q
lSyXbDyewZt3TIkaQwSyUcdMZnURmWIpi0fs9QG9XS5xB5Dl0hm8/eP+MY3ouN3cNGC5CgfqHGx1
eYCAjrWLtFrJzBPZlbsvVsS51Zd5Z+UgDZYQP8C3mZpdmYF8ojM07P2QdOjZwtsjhUPceSNfcsCf
FVbg2dsIQ1JCXZZoRwjTaHxRWYati2OtQqTNkMpM6eNWOTm7NSMK/p9LoIpmCdShNzOiAa/Urfm4
3KpXrGk8a6AOl5V7jHfLa6PiUUT46/LT7MKFicaqFzvESD6WFDay3GM8HFr02cIHXkiW+mDhuSxX
Et99LPx4AhOuTrwJMWuRwqea2Sh4LwijxcC81F50Xl/xdgtMtpge1nP7fACd8YzneyaveWIGEPXL
3Al+xrzOEOZ5CY8rW5g6yTypMiJ+dQjbwtit3da3uE/I5SwEpme55JL4uSWDDDTmNLviSXlb2+A7
v73c8NKDY+c53tYNftvbKlMHvKmOQvxJXYVb6C8GjUlCDyFj2jmzHbtkTTwA2SnDSLhz7Hp8lPkC
lxjg8auNKPcu/dpcHUPdnTQ+aMkwsHry75zHCcnNIH+ICbHb6yroCFRSgOglQfd+3vVL5LK327c1
PAIF0BBeRriCXSXXN3m76IMIrCsLAc+ZU4lX8h5TPjuhTMl9KeSPp9qvTsUpOTVBuV0IfN/1eu4u
h8vhGyd2e/MtyOIU9wNob9Vj6XOkCvksPsIyB04J7iOznbpLQNHRzi45FWE3NhElNUHrZ+FOBEVw
S5xD4xhE5sqh4MKwSC6WLPx/evyCDy1+FZyEM4PlIFYibqEJBTuM7XK6Wi/IsfimO3q7ZwG0Nt0V
51N74MfLnsKpJMaHz7Gu2pAGB+DWIs4fYkT77FX8oCX2yG/Ee+Ox0x+33tMvCMS81K9Wm/4DjhJa
oCsOpwA7Y1io9Xv6w8xiEo3nOGoeGV8miurK1xOnkPos35CVNls7e1QjmQhO+ax+pTR9kwUMD1+b
31OvivRP2Tfrqj/rN2h+vdInb5JBDwG+4SS3gid4fQgexT/CzCMOlXZb85JA8MDiQ7E3nIS/jjkv
HVj82TlME17GsCCS0gL+Ano+WHpi0+f6GfXxuHnFRXaRNJxrJl8BEt96hHkhtnpqR/XIziLrs6Yh
UHWGj/I9Un6NecJvqJgH9LE7x+PFbNxXCcNIFTGTTcawiY5zmPX23Cx+4ODnz+p6Fj4TnjIBBcCU
4QBVPXlQ0L1EWR/tQeo3DhbJn2hpd19Q+djxC9hvf/WeKUuyKBxYdpM3kc9oOAYwft0GwMPhjCy/
N/KnzT3C0JmwW32LGhPecdNOd6cyC5szF8dL0bUC2ZfAZICTEUZ7fEWM642ds9GbSevTg/xSRVnU
e+kVYvz1dfPRvnK5I7pFmYT0zMO9noHFMofXlk6d41PYVpCYoXAr+7rf+cfHOHzWcmp1X8u78mpL
AtVv2NyOsI4giGUNpyunDTmIXhoes51lPfGxwHJ13oeJMx8AEALPOmDP4cExd53n0UHH6vDhneOl
abl6S9h9BN2ZfwTbx+TeT7vz+JoHRzx7DNdxBBltjtBcZGOLRtP/QWCN0u35hPIOTwaUCX8vKLDd
6ZJloHMWJKJzDgLI0fn/hSHDQY7dxXI3kPpHHD3ZAqYrbGocRmsWO0j3xzZqHvfBoHMMDWqP0rc/
uTsfhAI3i/wRDloE0Rn7oel3D6gZfSsqgzXo+fg7dP3jK9l+nfVa4wbU0Doxjx4QULEVdKx+w9OO
dwbm047J3pt7c2CGmDDZbKTBkX+hVnUsw94xyhwBWJQJCy5mFGWv1Fl8wW+5UO4t7C0ELpgewSg9
Aik/jcRTdoUr67HHIVHxZZsTiOqipCIQS732G0dtdpjjuCgQVXyXePsJDkx9o2r/h0D27/Bbsd7h
70xhzSpa4SXg+yKRZrU7tCsF7OveV+IUmmedjT0EzRYHAB6AQWS1cK7g0Mn7bbJSdYRPFlsdJLE3
b4skLG+OeGuNUJeS4UhZ4MhPkUsiMrX36/gxvowv+wvruo9kb46WQCLDgVaW3YIcE0H1cgK7EwxP
5cPmJeEYxcR7C/YEik9L05GoCSuMkEp/PtOrzf90l0XIyy7Hsx4dK+Lkm/fYQrBtpf78Yf2w2jcG
mxDqlsfdrq+Hy/x++HZsA9LDsb/RAOYWnhYiiGALGG6N82q/zLzc9PW9LVVozPklHus8u93hwJG6
Wrinb2ZdqGxYgpHROLkLP+o4VB77iumSvWc1lFzzpL9KBL7kj1xq1se6icCbK7LRhMeWsnOwXAhR
ub5D5sTZfGqRnDOoIBKuHZvSyvu2uCwTfM0Ro8W3q39ENxqJBqJmW35C+cCGfKTvZI+6NQvZMRDs
pYEQ6H7j7m+3kxJ8ojdgmeKJDGwjKrtzE+2nWrkddF53G1QN0RbfCbCILZMmIlQ/wUSCaPD1e26d
ZSA+jCiehNudF03xVk85ZRz1Kb3gn8XGHGysl4rHy8E5K/NzYiUzQKXJ+eiIIy0XaiQnMeSxwcY9
KJzstfHaumkvxQ/5bdWGmUiol+NblRO3HisV5GsHkT4vSgYKmimIwos5iQbF7Tlqnbdz4j/mRIpT
RKaeZXqzy1u4CumpPxaQ8DjacrjmnaWWwRGQBcZbro8QcSL+OUI8Bfm4jzqqPZUe0jTnCAxXBg7B
gtOwlrSsGkdIR3/BkckhqGuVi+NQYvA+og9hlWIdu6Bj5Cq5WdyVNelIOeAdx0pVEs/++m0F9vvT
pBO56h/zy1XRAstOTeMy/iZdqyf6L0hDHPHeIzy1ex3riMvZ390jkDVZGo/QUvLrG+EaTfL9+EmL
snvtBkhREN/uL+UFf/9aXBm+ErLHe+bJJCRJMQEqvCN6iG+oh9/P5/YsBcppf23IbybEPLuHuovH
nGEeKtnjBQdowhiOxtFMSMwhzu/D7bok1tBv+rPxuJ/I77lDxKbpFaeGKZJdVBSzHOvyE5sjsaQr
XhUseLvn1SRd5Bv503iqLtiFCGipHJLDnUhydqQm9HCIrFszcZcXmAxd1PnquTtb12XE+s4qTvqc
zJtyLV8NZyPi6O29nYsDK3x7BH9Ukvk/aZ7/vxGteaRk/ntf/N2Ci/Hz9zUZoLD/ZmsqIm3xuFpT
psH+gT54Juy/6JrmXyYeDjSjS7B08S3me/7VFi9If4kHsBlwv8J3QOH8T1+8QJ89wFS4m7TY64c7
gPxHFRnjx4qMpps4bWmQjTURawHQG3yM72GyDQXwbbToDClSjTDeonwgJjGZtnbpn2R5hLJs6eVV
ipb2tt43DvqStn4R61Fz5jyG/JxWhZtMChjgcV4/ySs63g0TgwetUVp/WoYt0kqgOvsmPaD52x8l
lJnOmg7JLcKF/ayOVKfTTVipU87In/SOP9cozyJlUgkm5xGsTZaap2qMZ5wqykwhHkOXI7qtrMVe
B7/7Y2F2G2yWlL4SN6sN7bNWSZTc0ayBUSt1ZbiW+8ZECKX1bH/xUJ0QByCH6jt9ZKugWd70K5g3
ZJxLq8C0ldqwuyX0NMEIbQv0NQpNPeh92ttKobM4QowxPQ26hDaxUzf1tloKI+CjUKCNVc3pmli6
UduNDUOVFnBkWhvpK4ortFGj1CP4RuGAz6iLhOo0HM1PsZJdqXoqno+++kps15vF+Ggp082YkffP
hZWOnO4VBKeWCsttsiyneTC/9MV2odSs1dV5b7LTMo+PRoWVWDGRDV4NWxT7ezEFkBNb84mmxI8t
td4IaaF83aumoxoFWgVloBSQ619kJLYXw9idGKprM1XvV6trPXWe/LTDP3eL0+RLnmsYv7Xmiybn
nP41A9FmNX7VEdM6bWVJnxAXfMo6K1pkCEGomO2URvm7RdookXRr85VW6Xu97l/VXXo0JdR8mhhu
M3WTvveH2IQuJ/C7Th7w5soU3A7UjB+9x00PZ8dsw60CB90L6p3eVg89HYoXubw8a8q2JXYGJ2ve
GNNpQlVR7MFcqYp8Vib0NmuTPQw5sglbwRRFt/EUIEe19OJrs/C8ZCxedQM9rpCCm7H1EsFbV9BO
KFRuNk9Rp4z5E2rD7UQvtEO3KeCyj3NZ6tNXIZvu+8Rwk/pTp42Ths5yUO2h2hCa0lpKorlNTWcV
1D51kd4hAdC0Q1CpCdBW+MzbBC5LkCf6wOk5vJC6fHgWRKPGjznRPVOZiCFSGZlY30po2se1zsAY
1G6WDtWTkEBPlJGUaSndTF0yXW2YC6BMsEBOdORAtiFc1OGDLKsehKA7yFpulcj3YCrsrtxQFcnt
7ZSUnFPWgcYwqxjOk7Iq4GKyTzQ9+joaLCQPaWWLunUaSu5nQn5XD2katlN2oRxaZHPcNwdCDkgl
mfP7vLD7QN1PB224qopePO1KYTqFnDSuwvBTZhNgWRk7/1F3A/RZCwdDHq47qRigyHXxBWpM9QDv
gXzbiQ3rvnIGoSICE2pS7dVEqNIk9xU9jFG9rfKDUGnJLQxrNruCoVR0k+yGsZRk9sfpa5klHyoO
skL5OuIA8FCaO0a7nS481SD5IwluUdqiH62RZ5cVof2qUPysyKnrJqXKlfEQ84XTdd4iPT+4m/Fg
7vYgpBUqRRGo/2BOpAkVNVTX2IQCuBAZDKrxhT4Kw5/ShbxUu8ufttW6S4o6jAWRbu42D9N6/ZJU
xW2TLhxXRd0FJJfTkXI/zCDFtqqYbSAA6NaqmAKFyrF2yF9ihu5gj3K8jrWXdC6iraOMkqZPSTu8
qNtUfMGROcx7tUOTQdKsA9VfAddU18Jh/K8z2kprSbsThIFjJ92pKKGRxpjiR7HndRStJswKygMy
zwCICD39MSIXEJJ1HWtXOQ0YN9wOvUwNaL9KU0imS9DXBZxCvMZUTsm4JZ4eL3Rk0WmmptkTlG8X
2IH8ycrkhSdO2+/DiIjwNFQS6ZBMJs2tHxYyY5w8lnGJYJVUqZgeqOFP0Fwg10mmWocospTYY7FV
P6TsnzeK0iqP7TKxqpvJFymjdAvwmIFDCVtCb0O1asyBmiWaU5Wz+gJVjlYhCedxedSEqKUdE9Zl
Kpyxxhan5xLJzlmVpvFLs+oLBwycn14wva4PwbC6cAzLNAVBbyF2LmgYg2axbL6ieb9AxNA00uNE
j5izqrkgBJWoXZVWPl0dVhEI6PtYuVl7CdvXvqduWWyWj1drT9u4BuoNjiettwplgwa21VVfL6mP
jrVyaNGlTR0KhJsLNMutM/QQScvIv4HEDlZTNT60CXTpqrpSY7QBUxKgU27WuQwlOa9DZS/nCSoo
ksMhmWnRXEKl1F8hPXZnbB4QOq6lDkZ5NSc/61QaAccFSRBqTN/gXgYLNntfddIN4FEn0UlrZNzD
vOpP47qQl1mz9m4fNLASw/O855kfz63xKExb7K9GRX5DHMHvJcMS5urRSGx2+lMiFs2zoJT7AwSY
zFvjubpUuiJ/ErIljdBHC4GK+hYhapOeCtkSroSy324RTbefMgS6B8Vt39g9N5OYXKW/QF1G/W7s
hfqiQs31NEpN/SWlg/I+W5XYFfV1QIYeQ/epTKzcTLF0dQT40SBt+8ufB8D/OzTU/2vKJSRAv4qD
H57r/bnOfoyEj2/5W5mkin/Rbqxooq7qliHr/7G1kq2/FPDuuDrBetJ1y0Ic9O9IWPzr8FXj7/DK
waKCUPm7UFiS/jJ0CcCHpsqygi+5+Ueh8A9HRxPnH11HmKVbUK2g1mvv6q0z5dZkBLuIzHLFzARU
VMMLUUOP+W5UfpJS+tHj47gOWCug9pbBsYC+7Hf6iM3St66KJ3KDectbmSvL9KLuO87UBm/Xr691
BO//SV79fS2o+boB+kLl0HAcl79z0ShkUAEdPHs4GbLh1W2HkXo8lb8x6/jRPenvq+DWgW+JoSmi
Jb0Td6WDYlU0bHBHmyDfakMH98+Ss/S6MPcU0OkgVr+5r3+MIVgw9JTmMVnwBHsvJytApcA4JTBn
TUFOXGbZ6qZKrh6RUbL+faT9r8Z7v7vYu0Hs6HFfNmWArSqZ2xrQAKo8FokiZm630nr3h0/MAp7G
/NM0Eacz5smPTywdRbGeNFp/6FsVbvMWuGCy4AH166v85JZktMN4EpqHtYd5/Pt380JiexxlWM5U
PLb8XGS0PfeFseMhyJb/60v9YwpyQwR10gFdUxHgv79UVirTti4cBDjrRBo3c9B6lt+8VD+7ioo9
z6FeZIUx3r28ZTVpJfb1R5CsSkExmaUjxVp++vW9HKf1H98nbkYD4IkRkWHpUFt/HDeZhltDFIuS
njhQMUArV53zstm26RgA9p6QoO2E/5ftrHXPSS/k20Ux0RAbrBwC8oPi0PcP8srb7tSD1dV+vE4c
BbK5RvJSS6AEpBFE2wHioKQ0rqNOFUsvVlJCHV1pdmyIDbiiRUpel4FIyB0VcPaONtNJoJcGTT7A
tjJS1Vo13Fm52HVRlu3gFeupQdKCX9bvPO+PO/5hhWFEmKgiDxi9Nb7cP44Iq0EywFjiiLwBgsYj
gCYYi+ax26Yfizt9NgQb0bTkD6vIQUIT6Nf49TP5yZNXDFFBOIPx1zHBfvwA40A/lLRonPBEwaRP
u19pLlmE38zin7wwh+0nORKZnAzi8R+vkuy7MBsiXIypm6ipz7J2VkaROnJX6C+/vqF/rKYsaSLZ
GPCHomzp6jEHv3s3cx0kmaal0I+Kvv5qrHTkg1dVdvqTeiW7r7VY1q5+fcmfjKEKVkhTFPo1SDi9
G0OhXbMmM7mkJLEjTeo6+1lmbr/ZJt5fBf8xVVVlBMCYV+JW+e4qmVL3mSLFxzsqAOCYtGxYaQxd
ZtP9s9uBWcIj0sRjQ5KPafHjCPb0e8Mxg8uYS3p6knZNsg11WO///Cp/BwymIjP1juf43XNq1hoc
vgAhybRWMuZTmwNonbPfTLx/DpqJ+47Fg+EqCjPwx6tUi6SOsHbp91306tw0iOL2uRRufn0vx9B/
/xYfgvFju9EkDEL5z7sRy60M7l5moFAd9vY2k2ArCfD4vkrVV3ka7LVOZe/XV9RQjr+7JvuCKRJs
vV2WxMCPd1ZDmNQWnbPzAoyJsotYU9LGYkVAwtVKMA8wm9E/qDMNNS7AvEp2WGkOVx1NRh5RtZNq
S2Ipl2HK9oXqTJQGlJ56YpJw77sJSZaqLKY3LPnI6Xuqti+DJS0U5SuZbELR9MXr3i2l6sKd6GVQ
yio4WV3Z89W2lHHoXR1YX3nSCjVtXaXNZyhLCt3VOB7KwrVc7jVV4N1QR2dTlOVes1b1czLwgPyJ
hhEkpEncQ7CylCXs5VpX7GbEUfDIb8W9Vy7d8G0DErM7wiLTgRkvS4N6s6U7HC7CfBys2DRFZ42l
DqxIXALb5ui0e5LVQpFRza6l3ttJPaUaE1QcyU+JFOUmk121rV6RitM+AbkAUM8+9rkEJ0Ovz2xi
cVjNq9Y5+k5z3JTFvXhp7mQqyFYK3aMlThRZ85FuR0Q+DQxNbDKkmp4V8lv6tJ9Ea2sQsmtiY3yQ
0/TIlcQra66x1xl1qE3S2iCtO8TuSbkuDzsbETiDSgdBp4P+j0t7WGpzcGU4bmjQ2l6kuY5+OSSw
g5JShW5r5UVhEqAxM2f9y5hW6fIkNFX8bDQzuaBR4NWGkGdud1apC1/XQjJQ3ldV9zBP0D2/tDo0
DZWQBAzG0JmchXVpuU9MbU6iNsdA1FbztNpJIlqd8AhXcOVAL2TSx1Ef0s8CDdSN01py+wmyRxZz
Mh6NAZ0YRiWFj6tKm0JWoM8RqCq9e04nrYnp63lK+oU2p6lD7j5vM6KLSZg/j/Ustp+NoiKNDm4+
Tv285GgQTHur4D6hg76wu2FWBJpoEhnE6bDH1MzzJUebmHazbFuiYHwWGmlAGqfnO6KiNGGeW4Wi
3EGBxAmlzvVu/Kpm9OufBwxWBHhCHV0/nVgmoyNY4lhCtqC5mHGX8g8ym5z40pNjGZHNQIYC2y2V
tGi1AvSuLd6Mj8la01VHo2p+X8GZV0ixtQxsbZUw0isAOqTaqzkB8yguheJ0G0hmfPngSb3qlXjk
rAZFzV8Go1wFeiDEHGll1igZvczdmF900wS7R031uf0C2b6Cb1oDoSdbOevpHmq88e3XTsSEBSr7
AkF7A2CBUxTZ9vZ2s5a09uK6wjZg0TeSiYB6tcktpFKHlz6pPRqVDo6W2+HJ9SjJiUqvZ9lW9dk6
yLV2a+1G4tHcq9JGNx/tyo3aZtUl2X95uEwzDI5g9qnGkqjBoACgQk/NgZbkR5M1InPcmst187JG
U2uXkS7ozFAtvIkSjnqDk4x783mbEzmqcmOdblhyUkQ5cy9hI1anrTZCI8hjrf80GMo0jt/6bOIg
g45My8F9e6tuJWYRpj2w9uIpp48ucdZlza7xQ8LISWoxH4USYkh5AqyWtsCOgvQs96k0ohirEnJW
5V4+U+LIISi0/bR6bStbD1bCrmmDs6IqsGxj97SaM6jVBaIn4oNGKWu/WUoglYuq90BjKlXoHZVj
gmWrb4lq9S1pbb0lsAdJEBfHLDguhHhyaL07vaXCl73f0OTRJDucxyKTUQcSpYrBts5JfKkmxKke
praYHrWdmJJZh2oG3mLGfjeERyxmnjgP+ZWwNmzZmrJoi4fjJ7WTzByMmqqK2QItWRSE5Wqyty4g
Hz59TtSygv/Pq/tx1czlTtQTjjHUYDpq1VrcDfYkqyPrdFt0K237rXgrlOIen1qoMxiuYC59k+tl
RQMnLwHRdJzd8zN0gPjTKlI1BuxYwA8wWZuhWTYx4ES8ixx84lIp2gdxrX2pbcx7RkpGHSks1cdm
SzBolwD9fRu7zqDas8gaJ9U9thDHmXWdnRQ4FF8E04AC1HKSwIEiN+DItjPWCdQDcJ0Y87R4UKR8
nHwQKJ0YjZLUYbakCfOlsMS1HIxDhngKXyP4F1pSQTc0WFWeRgPYoivmvfyw4hWEHlKaUxr0uoSj
BKB8FVHPtuvPtOShzKhEoLgOuCuM1RpSZ/auSF1kdTTP2vLAScg2hInV2pCko82ZaBzfzxRzrEzH
KpSXQ+swyKjbSzU3MGKgNAdwCDvqAQiF2FFsaVpToe2irwZuctSSxykfNDKy9UKXJDwhNf2WNbwj
j3xMrYn6ajZKJpCQax/3dNPb81iJmNtkwwgGtJKMrvRopq0RO9VyGn9W+TZUYENntJE0UF90+t7E
2cDSJ2pxEBlRT+edKCcAhgAReUqVmEACe3lpHC0uC/FyoAd+oNCjK6B2TTCQTNBCbk5mWTeGI0KN
KDzgK8IUWGRUEHnRD7lHW25Z80Vd0Ht5Nll4yGTK6kazQmxtlCBxjFIBjM4ahJ2qZ0/2DavbsqdJ
xAbF60aZ/y5dpcVXbbWOtLgqBbYFF9aAHwZ7eL0O5i22FG3/JU4bvX/F4HQag1optCpM2B1Wu2Fh
JhFMFhMjrQJjDFtgbZFCclfpY18kAD9TQcdMZR/MuPHK7PBz03CwRemVbLTD60uKZfu+jRh5d6pe
lbaQ9RotdUAoa9sYZYA/6ZTBOdZAPrGhEjspD5moTJQM1houTH30KIfQASwIpMIMDaeiYiRjfCea
jC7Z69nt0mUJzEZhDc06ToNerWNc6nJIBpsH1DeZT5rVHBqWlaBsSwWNNu7aWjS7I/931WdajKCM
sAVW8s6+FUwFzfxOvhrN68YyawIkSpNHQxJ65iQrRQy4x+h1zJxJKtuC2MKKYqezLpNZlyEjkSjq
nEWiVOtKG03EqSiR298V6lUUmIsKEO0GGBeiTCc8VdXOO2KWpcQmp5XCDvg9ofhRUs4N1H7sLqDc
xiQM021WvAZQ4uTMFCSfpmEWroeuM3VXtnr91eShkcnv9rKh/1yPke/HckxjbUzSYH2VKLV9ojCk
zw9Q+lYhEGPiTwqS5rbZM6ZYlHQJ/T4oBUWfTBPb+qJoJ1b5XaxNljVFWVH/LPWEvL0WiqDRacXC
yC2rh4PTSWlVK1MNIXg7WI95X6aYL1lpRg/2mokf4WLguWawlRJ/4m5T+UI9GWQc4kaBd1kpfUSH
vTHZQy9RGCt7zLZ8oyrRiA7zjgoVDA0tWY0w8aZrTao9QONpvqhGvORBlwDaD3pWVJF+c7gEtqkJ
uuGRWVjNW6Mmr+PryTwYVxCO2QMlWKieMmUFGO9S7k5YIKWUo+DdPuhjA5Io3Yv6eR6NmvEZV+tt
I+5pyZIP2+RhVUnW9X1fIMAeTMqlZGOUr1PXA/qqYVLVNugmiX6SqWk/9kux7hR8d8zwsrqwYCBB
vqIhQN+1jBNGylbE8b8gfWqYA2Q9JjkIBtjcjlmnUo4jm2R1wNeKRsaieFCf2klMsDPS8/I8c7Yx
fW1oRaRr6gwpRG+y7fbXRynlfcaAgxTdvRwOD0UIQpN3Z0RRIziVDkqAMBL0YHmSA/0VMSbaLpoE
XzI/S0fBCrY2hndkZAttqFOxbze7NMI96Ar8v/wtYzFx07rcodOtFXAgVW/xHypxVajv1HkAQp5y
Ytt9MxFyOUrmHDESSKPZ21dWw1uO2gmg863ORlsBDfpJF83UeIChpkTaWOv0e0xt8qTK+fqU70ps
XW9lJolBXjAvAiGOQcGRSEKqVfUYJX369Rj9c4hwkNU1vFos0iqa+C6pknZpGye1BlqilqRHQd/j
EPIWXi1alYuPJTXTh19f8H3CiDyhbEJWMQxTROZzVDu+zw7MW26IBbgPwjGxfNkFjDI5dBAnN/so
/SZH8JNrqeSMqJCoBhdU3yWnCl1BJKNSPdV6UfW6DhOlct+TaNeL+jfH9n8e2lEe4e+h6eCD6Qp/
l8OxajBjWpVARQH3YIGYudzMrP/N2P3zIjpI+Lc60VH1MY5//y6zgm6B2vy8EpikU/5a5XJ601ft
Ev36Cf3sKnTiU5DindGN9/mbyuw52nDIsVOwsaGUFTRVi3UV/Poq0j8fzvHzSakYOKNoovFuImBa
Xlja0MOz4CHRvUYCeSVEPFh0On5OgmNOG9jSocxVY7b1FSv0+5yz3O5xZh8bOto3Vb5ga+p0rJek
zYhwMS1o+cawyXJ//WF/NiT0+JskAampScq7gVesVlA5TTPwBsTxVhKiQWiM35RTfnqRg05AIpVU
+vs0oASFTB5bUGX6wDmEwLbtTXdrW/NfPj7/67oNSyJnaXwEyEofRjLvEkxFbcxdPybdgUsbfWFJ
R7o1OhMejAot8k/fQTJ0GhbZJOtMZu/7ilS6T2SutL23ySBhNgAh0Ckn86mXG/E3D+kfuToWMNUg
VSciVhfJeP/4dsjw5DJqUvRzKclkq1uzRGxn+XWWNsllrGeWPU6W+Kfv/bFqyiIYZfGo4WjvxjIx
+0keTKoHWQV/UM2qxpdVpvPb/Psj8ej/p7VziRH77xrS+/9h7kyW40aWbfsrx94cxwI9YPbuHSB7
tiAlNtIERkkU+h6B7uvfStW5VSxcJdOKozcplSgJiQwgPDzCfa/9Ehfdv67k90X5/Piv/iifKxad
pAw8/kUco1NqOC5hf3SSKhb9ojblUGbTsWOU3dufBXTVwHxJ6EJQFOPFdFVm43/QHqr+b+yajnUs
8gZMxPms//6/f5tc7eL3/yok7CjutP2v/3MEi7w5QubGOM01VI6pmQFUqpcVkmYyu6AK2mwdT/rW
mhI8BtsRq19BC4cLc+h7bpn1pyFyu6tMbcjtKakiDZnKyxgvwtcMCzeETp090WVaO2xTcmN+6RyY
xN0woCu3RIJut4R452lBJG81GH167hp+ioHqC+tS7IdTMN8rcayuOO2LELpNtK3BMbcgTOhWOXP0
O3H8qfQTChiz7h/xWLiLU4GnrcD4aD+CSP7nL/S7bR6M93eMVZs4jLr/vu1fm042r/+6fqnaf0G6
/vHSkXYtXcj+P2yRVnVeudOv9w3Fvuhfl2Xz+vK2T/rXv/oPt4ZG6WP1kNIqjQS6K4hqf7zd9Hf8
WyWs8qbSlUEvA3/yn+4QQ/+3EK6ts7DSOcK7zU385+XW7X/T9ICdL50hrL/895+83H9fsv5HA0Tt
+++hdjgClXAkDO9BcCf7OgwRpzmz+EfVt7+uvshJbXaAog2o8kMw/5J3LVK6bN6+GWf/jxLO22l5
6s4XKWGryiPSJw/vgyK5dfPKWbdYG3/w4gz72/yMI6OOckwf3BVZ8rWyNO1QhGX/j1acv0ZlsZnR
sVUwMQEL79vB0Tzb0S7JlXTv/WH5e1L258WPfnNv79w1Z6Oixye8NxQ12EgIdS9ZIeAn9Ln2j9LL
vz5isVLiCQcBf+Yj1EkCHR1Q52UiuH7//k88VnWRfjuVi5VZ4iBSycBfBobxiD0Xc+7PqfmbV+bU
2DDP3o5NG/TJPMWxe2dzZA8Nl+KTqbKRxDDizHvz96Xir6E5fvKbvL4rR+D3luHcwYSbr7OhqvYc
Nqmr0Yy72zENDLiA8hu9z+mZJPzUcC3mLwe2+thlOZBPKW/mMAM2Hhjn0sxTF19MX5qtiqIgWboT
ofVVyXCExeTz6f1n8euF/Ksw+9dQLeZv6jSVtFvZY3ymbrQ63gwzljLBQesenfmhbLBYQbmV3qZ1
sgFV5+moC+X3IDjY3Zb/lu73QARnJo12fAN+dzOL+V5TfTIAd/bAxanWVsMWbq2S3w/JtRWma1P/
hn8H3t8zdYhD7zzbNPsc651ZXV8EoJVcUA1//FL3lGuojKg0pPU2KzEcrfInZwFn7lQ9daeL4CEc
/FfGqO/vdCU66Po34PMrixHRQddyRj+g4keyrbDhmOutIhHRGbTsZOgIC/ciTeszmwJWmd+OmFjE
mYx6kNJoU34n8IvtBvrwGTkn73YqcC0HXb12GJznAF/7cKuWIy2HVyWiObWndI1WC1/Csev2/OU0
3QYa3QXizAj9arv6zbMUi/CU4+0S4yoe36E1gODd2IdhFM8Yqa9SPQEmnYnV0HCSFVXVJ1XJ4Au1
fXFHK9Vj78A/EPXPuHKv4ipHnBLf46BxLd34eWzDB6WVr5TZweaPF0MLmg3/PXwAr23ZhFQt20MX
6A/W0HxLc7EeAirHhTp+rft8AyB/7UbRpVQ4fAuCfePA+5rnG6sbP5EXXAiB0lXal0oUcp4tLo4j
FqvBeoqmm7aXYFPVu0Rpv4KpvC4qFf80DVps3+ywArmLLVd6tcIpXBbjWJw9DsqwzcZ0Q9s1ulSk
CiCpL8y4urA1cGJ9felk/Q3SjPssq7ZhD2Z7koE/1dbHouD/2v9iwY5OJK19DVNpj5NepD2TjHYy
0/Jr0RbGLUx5KM10iL4fTE4EqmNq9TbsYovN0j8lfIcGsEKMkKbOP7ZYi0VETwYtpvapVb5Bycud
O8vD0+TLx257EbyNMk8dq9Jrv641Dmms4MZx4vv3r31irVseB/bHqnNF2cqn4bhtvWk0o7ska5Lb
BFJn/sFx1/4+7nqhT7YRTq0/De6dNLIL/JrP9O2ceqSLiGw3nDlT7qp9hZqUR0HhXiausf7Y4CyC
KNBhR0nwjPF71xlWipkit25TsUs7JFPvf8Tv7x+hxt+HhiqtW9WW2vidwjG0ooyehijsQ+NuLLXA
dA3hi0CFBgUd641rhs0eNVj0oZwCYefi1p0xaR0ja/1szL5gC+tZVvj6sVFZTNScClIsItn4KqKL
VTDNPoe+1Zk16dSQL6aq7Si4tQ+EnSzAedPlzldFbn9orhru8UPfZHaJrhSl4Xa1n47udzxxXa+M
xZlc6NSNL/KsTGumxCjjzs9bZ1c0A1pztc7PBONTF/9fc3Rqa3wzO19zg23VavNqCNpp/bHnuZil
gTk2MtUdokzdRHuKywAfgyY780CPc+V/r+SGu5imeY8j00BJ3HelQWftXG77LP1EwfMSZ5mfgxFf
FF3W+2ZShP+o5fZ/klLMTv7+lFvLmmaRHgerSn/yPq30Aoj+h8bKWeQlLgZG6WB0ja81sJ8jF5hp
aRj79y9+Ih8znMWk7bTYwfhJqfxjzfClwCv3y2zPrZf1gbOZ61FskUpM9MrV2o1juw2a+gkHgtRU
70kZ6lushoPtTKfGwzhb+k1GA6pXVCl8EkuF75FNw1UzyR80nqLi61XrYy+QswgIUNNtCsGi8yvH
eQ1HoXoSTv/7Y/L7zRg9uX9/mAE+pY3b5TxMO8W3ymxs7HTsR2H0GwtblStJ8WWTVaI9vP95J2aa
c/z5mxAxd0PuFkrd+RTEPLURVFjpIfng27OIEbaG/wv8b5ZaLOkwbbAh6zjE5vdv/Tgkv5lpziJI
qLpCzV5OnW86+DaF9DReojfL161U1Q8t6IazCBUyMVuce9PGjxS6OLvRMja2VcxnQsWpsV+EiqDW
qy4enda3O0wUcTb4YeGNd+bi6vEefzM8S1GEMypTHsdNTa+baxxEV6qX3RB/t5G5eHpdzZtk7GlK
dKL0empxCGgTvd5kke2euYET385ehI7SxuxLt5rGnxE9lBUM4sL9+f6TP3XpRdwo8U5qmrzr/NI2
vlfC+CHa/sf7l4bX8PthW0xuDF10tB9x4yclrvFqjWI10QuX/aqCVVTYhPjPJqOxThP7ycLTbj3U
GODQwSYuEEXLFfaZcBTnIN3Ygys/2dSfrvMYg47BzUt2N5OyoqqeI8unh68M0mYHDAFCVCXcHY0g
n+s+AOcyDyC/cgfgkDLX+B9HpkdUx4QHL/p9lx2J7+Ogb504m1eGqOs7Z6IfL8omGhosGd8oLu0U
uhVAe9Zm5zl1FRqGIxpd9SnVPpXT2D0H6QDLuzar9ZAfOQKO+C6nFiuwwYakndJKO9OL4wGqEDss
AZ/tPh83gwZLfm4oz8Zj/w10Qr2qc3jG7w/+qee6mBDtoKAWGktMdfMRLM6EuYLS5Wci3YmFeSnh
ssAjGH3aV/6I3fhqil2oVaJ4tS2bMwenQHGcVEc394Sdx1xG/0xf+OfqvBRa9U1ktKGwKp9QDnYz
AIiuUEg/jFq/+9ioHUfzTQjXaPJMLUdUPiZRV0qu0u6j0W77/sWPr/3vosgihKc048H3MCof/Qg0
WJdWrp62W04OlOmAG2t65umcevSLYD7OaV4JOnX9tqpvZRN8FUX5+f2vcGKdWCo7R1qHnakean+I
cv0LBtD5fSEwJ2+t9FwR+MTdW4tYN+E0WdjxVPkiEldDNf1IUudMnn3i7pdCqqaacCMPyZGaLIai
KoGqTtIS1yab4zPP+NRHLEKe1LXUFlNn+fSbuldVq/R7+vSqVTU544dOyA3r+NFv3lGpSHtqJs3y
rUq1wEtMDzgM/SMh058z7Jei5c21Z9uir77i2qjRpScxzKjaj53sG9by9Z8GGVpUv3x8wjAIBTDy
/jt56oVZvO52im+yaaSWn/XdAf/Gl5Du6Y9depGzaONo1U0rLN+OXTDoAbCXBLPND974IkQ3roIU
wnFNH2tt0JAlPJBJjc4IOk+MinkM3W+epD6MfW1C+vBNpUzWTdbdBJNSnrnzY3Lwm0i27JVoRlp7
ZVtZfi366mYIKKSELh4u0lWble4akFfsQVm//xBOTKmldI+mMOwFe930nZHedjcpsZjAiPaG/qli
+/5HnBqsxaxVXDfV6BYy/aHCrtGqHym4v37s0ovZGsYDJsi0DnDGp8BRFa26HU21PjM2p278+PM3
T9mxugird8mNT+h4sIj+1NOv/7E7X87XyBW1HluNXxxVGaodcWJuPL9/be34jv/uDVpMWqAB2Gua
juWPyVXR2TtB8242brXicxAF67a6HmNzjWXvmL9q+rdMfxLGfKlbB7tNvOPv6gvEI9s5OBP3jt0n
v72fxUw3orGc0iS3fefoLDICgB2ztYqd4uRqBxFcUagw5K1dJ4e0v0HGtyoD4iMEl7HmsPlYxKjp
hHx/cE491EVcGBJcmSwrK32Sg22ZmdCkm+ScqvnExX/Z17x5Ywqjiyu2kqUfOOa1XdYXYKzOReIT
ZTQ6Zf7+OkZBag0idnIfO7jhuxkl8pBX4QuH8/G2mnXOQGtzOtAP9y0K+s+GWj1WGNHejxNN9ZUp
Iw+PNGxK0zDe9BZ1K+zEY4SJ2nDbq0Z4V2K1vmo7x96XJZiUVvQehmxfKTbAVsGI+UPDbyx2RCPF
f1MGDehEEf3UtKj2XKefz1z8RA64bMmc89Kqharmfj1m1+WEh+DExg5pef6ihf+s//PPVXypDh6o
IMX9MGS+HY4vSNG+WcPjx8ZmEW9muy31WulzPxihqrqJj3/suXHXTgT6pSw87qK5juYx849apkOE
HeSnSi+Ta01BFFlBuDq4eYuhvAsYY92FynhT6F12P0u9WbVDBdY17eK1MwB6i+Kyv3J0CF1hzNFh
x06QXgj1s6mN2jbohtex0bt6PZSDtc5Ndi15/LGKPGrwv8+BEP0ThvM9g9+pXqNFO3YU64+N/iJI
gTko9AzinM8s2ll28Wh22ZmAfCosLGKO7ZjsXLMO5yGneHUr91m1zoTWE1c+4nLeLlFiGFUb2+/E
DxsTiFNrgbdW2o/t13617L2JZqbdQIeah9jP5ZBv1LBG3ynrc5P12GX1u1VBX4QCRLpmNasjl7e3
SF5XZDUcjt0V8kDJPYcIxeK7EeWLflza4abbGGIaLjv7w7FskqrzOsrMdReB5LMeHSPamsiYQzfC
vipaleon5ulqjj6nAWcD1RONDeTIXqoDOO9xBeF0kk/qnGf86iAzbv/4WDW0P3aq9Et08WbwBqFo
iWpkmT/O4hsSLwTqyrnJfOqpL9IeqtFqoqdl6jd9Sa0cb5FY++AzP37km9uO3TS0lLRI/aAOr0qY
epX8WMbzi43y5sp6OKBGnPNj3OTIx1GsDeSwhw/NXX0RFjICTDSZVu6b1iEw/PqD6/mxS/HtaJR5
VqiDNaa+3mfa2qWt7FDJxv5YYqwvwkIapEXOhpOrlzV+tfKZc7mnDw2ItogLRVnnad4YuS/AvK1Q
KVc7Bcfv9ceuvsxEzNKxxl5L/dltynVbpqDjtH8mJvhzfV1KRKpSsxSrlok/ZeETqiBstEZU1h+7
88VeJJgHRx/msfCnqki3ISB93S4/9jh/rbxvXnDEmvS/kdX6auLCpB+ABOZuoO0/dueLiQmwgj4x
eLG+URtPeVJ8Kyq2+u9fG6nG72PxL4r9m3sPwipNJQpNX2jKjkB8xbQ3rUdirVk7B5FhFpEf2vFw
jNHj3G2i7gld6EabtNUUzuvJYIudK3dhj4ufxMcPK6Ch/aGnn7lCxsGwnplXGlexOjC9ltxz9usZ
+XTQ1as4xCpG5yUtn0p2nxaxXU8B9XaN18w+AbwqzH0pDz2sdkJ1a4OzEMmOn8y8FsogDqwftY4R
sPV1LJHbNt01f6hBGWhofeqc6ZsT/BDOg4pTr2Hcstm9YjEAxfGjGQ+2BXMedQcPyymh1ie4BslD
KWs0fhgrRZ9ru/uEihaU4yEDVZjkh5Tvo0SvARKU3P3eSvPX53BJlbNgJaBFDau8/OCgpeI+THWk
c4sj3PyPYWwzTzT6rjPIX8ZD1barvMdTeJsEr7KvtgwIqxnUh4sAtIiE2Z7jEls0+DaKrRuE/HZ7
XOMmzJbzHntaVV5yYvAUuHRaVk+aeUiH8EqyrVGRoYaa9cQ9YAa8CrN8r6nPDYBUqzC/xEZ+GRQd
FFM0hSLazCE2xt21hg0KBaQoRNvLCapsMUYW6mackQY3cn8cQhURJpsyKbYStgJ33nVfkgKO/zBd
FqKFI0r7INaY1eH4HTX57KTWNYcAnpjFGmTV+6/siSXwV6X2zQsbDZR7EY4nfptAtYTVBTvFOjMd
jgnIb7bP2iLqh1HbQ1BmG2F3w2dEzFAERtltkI/SN9ZE+MVNvXnms059j8Ua4JSN1fT0hPhpFF4h
aH4wQuuMleKJSy+bleu0rtJCtqlvycg4OGUAN3W0h4/d+K+9/psHUMnRtcLjVpeKzXM+jNdpl585
g1X13z+AZZtyTdHaNAc99rFmp8MtWiH4uGCCRdLc8P4fM542vRt49fpoH83qjdo9vv9anXj0vxpD
33yrDB19NiZB4sNq+EnNS/EDt60+55aT/tRj071BbXeuv+vk11ykcc0UoJGdrdh3DBcnbph+d0Ub
YAoSxBx/SGW8Lhx06mECf9cIpIvMuFHdQ6W3GOIx8Q8xfNwzy8upL75YXmxLz7ImywtfJCUgBk3L
brrWyfC2NiB4GPB4ZZK1H3x3js/9zSg7KTrdeUoK3xyHlzpznvMpfHn/AZ5YyJYyogygXd7QxOIj
cjSJz3bouWmPrTz+9geRNu5ecTOcX1St/NgW7FdZ+82XsUd1CpwxzXytSPoVDS5UG7MPFhrVZXiw
TS2HTJj56VB+KYrqBdbG1/dH6kR4WPYY61HTKo4hM79Op0fV6r9y3nnmZTp16ePDeTMkk1TSLkGp
7Xe2eAza5KluzHPHYKeufXyB31y7TNqmE6WKF04vnoLU3WZ1d2ZNOeHZYyw7XdXAKWXmGrGP0j+/
GCdReQId2ed2muxNlGgQL5TCobpcKrUGg2u6Q2qHW66LCnwN50LdlWWkeVkC9V2Z6h6GfomxY+ji
zGZO6r7JQ8MzwLJvU77EetDUIl1HQR2c+QKnttTLftqmnfpBrdzIl2PhpWa6LYgkCbXyIsUxqrgj
n5loqOAX0eagRagnkGoN1hPG35vE9I8Z1YyQiFW9nX0t/VzlF8kIgjHBUVls2VR3Vr5J7XxDthY1
xuaYOkBFWh2zrVj/mqf3UCvWukFNvjX2Xf9DyOdenlkXTj3648/fPHoL6XNlJnw7Et942qnnJpmG
pJpL/GbJXzb0AmVpBk5HEz9Tq+jTFFdyy+Hp/GDA6dn3cQZI33WbTarmYqMOWbgrFA37nMh19B06
92FFu3VAhtNAIEPIiBnQKPLHVIs4r1BaaAhFq8IraofmZmhiDr0hHHi9nfQ7XUYzcWrob6AWpVc6
nEy0GWa3L3oN1lhldfgDVkN6OXSAOJow1y4EJP/Ra5Oi30b0HPKEDOXBKd17keHhNqq3UdeQRI96
5GXArTzo+tkK6Hrj2VE1J6sALJtXFD2+XXGsXymRq5PJT+VWyFx/MAYDU1KtSDd6psQ/FTkkL447
WK992VevUZW0t7NeHo3r3HTjztwELdygVqQqnwKEihtmCI6oI9QgvXK0VZyM4iqgiX9rVWN20BPF
WZe6fueo5rck0qdNoCrKyrSyZp90Ee7glQI3vNCSK8RE4S6t6xeIGr1XDT12q0b+iidD+BjN0Re3
rLKnOjfMS0Nrg91gGC1IMRBPIk9o/Cj0ob8tBLyXoRvlfrKktc5oUFnNamxfGG2LRaBrk6kOs7LK
y/gxi5vqJlEAMSpZUAPDT49EQ6eyXoxaNW6TrrljuV5BkDP2U22EG64NC0R00zZFWs9foCo9lC3W
RVWJoaJth7dB2sa3cQUiP5Sd4sk4+TqMVb6BeTZuptyd930+4UKsqP0qFW37SUls5mll/KRxyNg5
Wljcclk6PRrlQWY0VKfhSJcg5DGGqo+nwzTHgaCabCnfks7V1nohq3XYxt1eV2sF9ogOmD23tXUb
Rv0e9wCsbVHpF+uxKTHoA7V/EEVm7yw9H7+IwdTXbm3gZ1yM+NPiTeNlk45HZIkgVzSW6SuOhI1e
hLq6amkI2paQKy8CCwob/d1kZfY0fc7ggESeUCLO93V3wkcgs5zWa4ittI9V1kp2Lh1IbceuRao2
+H2EyQMg2iyZr1zW0LumM8LXzoI61AeZ/s0IDWCIoGvKbymYvq2rmM1GlULsykBD/u8q9U3pHH0W
ZqE/5WYLRaZVgu4lyXQMa4cK1+Epm1ZJJKCyaLJvfyKN5w0FVH/hoLd7iRunB1jG7lL26UStGASO
rCdt21shTta6gs10l1qQZ4D+g2sZu/2ctdWhKUr5Ao/NvKgGuwhh/lQjM6IzLga7PPRNz4ZXsqXS
ayydtGdIMitXiw5NM0TrHJOAfR3bM1IZ172bYOrg5THrX1oR69fqLPEtUCc3vpBMTFLPLDxMytTd
RW3lbkJWk50YnLYGcmbnj2pf6FcmNiG7Mu4NKmbZZIPSzfRXM3VynDJ1Ibc0mLSXjeS4hoPTWL2J
IjcN9r1aWBO76jG9nHVzVjglTfA9lVpx69TwJwDtaPSOmmb+OBRmgjWBCB66toeSZ+p16Xpu5Iwb
V82xgylrqCz0JSGgmiONvVnd5POnyWXijPUw/2jNGcWKk1UTjurmKKZtmUD9oeqcqzS/OgrLj2aU
7Z1uVSHQnnjsvieKjUMjSYR8lG7KoVbaDD+rRiF4JBKAInooXd45c2ttek2DzZi5WbuWRj3gd10X
ujcGOW5i0Yx0MJDVTa3l/W7uSn1jVvj4eIbd5usZgOJFEmszNQu+DWwe/H1aHeO5wUHtM0X6VT63
3WXdqsomLxsOMUtHYNxmlMrassdw4xaDvBMcEK7HxBKbtqOrLe1haMaFDrY2bOjKSO3yNem6+QUr
lBbc8Rx4OWxLWdcrSEkx/OWrasAKwhtmmsoKXngoctDF9kkrtbWthMN6stwSx0oTx48AHlWx1qil
fQPHh5JpEKavh7CHPEKFsUZbgJau6rStbrbYzoV9thk1vdlIU0KUhBi1AUuFsL0PyV9bvD4gUWee
E8PpWxtJ21k3altqK5P//doNnXwa5DxcAYor9rUtx2rT4bnzqa/d4C7qQMwdO3NhVFWZs5aaG2GZ
HqDK8nBzwVY1oWZTKbVJX1nWeWpsqS86sv9vU25zeFGo9U3n1JhtdyEQIrhzBz0aOUFQCxsYH/MI
hkkFYVa3bq3pyP5NgSFhKkxdvgi08CJq+mKXar2xEW5ePCh1U+wjw4xvqknNfyaRhUxvHG+dNiBv
iVv9lm+lr2CfDq+gjqa7no71VVe5/bc8MZztPPXKk9EBMRlkpX+RuZrxdslwPWIn5aErt7wwEV/V
OPkucvs2SnJjlbSqfpeVxgxXo6/Rv8phG2fBp0FjAciNrAdmX8xrPDiSteU4FW8eNlNSmi8zLlCe
BuBu5Whjts3w70A5q+DTUqv5NW1y3W2bD63XzqSVfa/bzNGZnAvU7gaEmkJsHF2viiJz0+jkdjVY
Ay+HSrCOusBcSRt3W7JWb8r5eai/VEWyUmS+UpGmr4B+VXfkM99FYQkgZSVOhrmrXKOcbw453bHr
rDIdktaRXhdt69bZYYoarG2b4zcKO3y4I4xXHWg4X4Rwip1jdPZNowT91k0rcT9YmbqhcJduUiPQ
6eoVqb6LB1nw+U3KG1qI6nNRubq+LVs1I8+SWGcBuNaidS17cQhglNHIOTVbKa1hpSWutZ1050vT
y++lVPBGnDQM4ktMtCxydwh9Mf7VugP0tBrxMBYuM4I5Gmw0bey2diojFHKl0UHlM91tX4SvvVtN
q9AG7+W5TQGHOc6VLEc5CZ7ImoC1d+wE1pGKRZCorHTXuuW0Ixhxhme0mDAWLY//qM2MVWW+0NUe
rBwWaMW2akL30Ge1fkXv2r0RA3w3YoiHs6EEno6AmU6H+vWY2d4g1JWeHWiD8CIbcKXnGOwkSnwl
1m3UHEl0qVzFZmXuFD0wDlUBQ9EumdO5TIC/spJc5KUG4LGwlMtMcZ+jObEORWwoV/CPHkLRaytB
t++hr1X9i+ViIJYY6c9m6u192pWPdgWOzSCR4+g0pT+kmU3lwVAS5YUTULFqKrPYFqRzT/kUJ1uz
cfEamvCWd+SXlhtctYZa3IC1U/dOWQcPeKQ1gDfCZH3Ud7rF9IlggoEuXm0P9Syi706c4j1kjvNB
q8N6qztEbWZsibeTA0XIaN14p2etuytiKMCI7JXIU0ZduyqGvtyC0Q03o96jFHabbuXq6qd5liSK
LtrYqrWtqzK3w8sqsVLOHwv9IiE3KbyuKRyP9GF8dfNMs1cDmI/jkAEN8BTslxCroSSvjAyfITIv
9lCKg2PrYGY3dau1VxY2ZARzkJH+DH7uc9k0UnohxkLfI01gBN434WU/V7fkjNrnpO8fYZLiwU7b
/3qaQ7GeIP/eJ2lJpkG/yCaBR3oL01m+CiMdLkI3/mm5Fbb0Vaw9zFapwOcMDLzpQ0CJkTVXdPYn
9nVWqrQ0B4KT91JG01VQs6UAdxfVxzW79krZT0dsCQbYqKvWYqiFsiGUFl+wkJuxcU3TdC2MOCUW
AjmMEtcB59zeTHVoX85TGX81rDLZIXK2vDnPM8Bv0YTHU/6TM3z2N7KNLlPi7qVEYbIdO0usgwAO
i2l3K9owsIwHF3gzQXckwSfjq+Bz0nWqYrucwGesLd1FAHH0ylMtrIZ0nbBoYBoHGVZiEy7n71Ew
TxM4zQSrXrj/8SY1O8Jo5GrN1oVU1q0iY4xnCt44fEXVcy4C5yopVLJDkhikuen3su6xFJ3KeqOl
YckbBbW193pjRlleCLKLxtUuhygE9e7k1SY8antLexo3Spy+GmKw7nS9mTaSA9otHNS68yQ2Yp/d
ysiRQOScrHPfP2SV94c4CAGHa4m9HZvK2kGKyA91Bvs0NGWxxbGDNvdugAptlfrXKjadlY6B2Yrl
E6/mIB73aOvatdIPcgciqb0aYjXcJ/1cXMtRLfdN16dYUkyt19MTv0os6d7IXjcemrKrrsyu6Vct
rQDYlfFKhQgqPCcivImuhryN2dqmBH7rJRhGEaXK8CaV+nGdD5wVVQcMPfWqeHSG6pg3WOJKcAub
rIUOPcVkxNbUwOkusuZGjcKOHSy1s9pou40xltG6aI4Ualumn5KJO+Dk3D4goYniIwrVfWo76Nv4
ThVf8rYz9I1Ths5jDWE28cZJReNtiu66CYb5NiP5WGWVbfycOVeYPQ2KMayzMWg/95PQVo4YrR9h
kOJrrNnNKrWEQSeZHdGaEI3b2LSeSwlWtxfwJwxX+WnANdoChAE3OwYGMdW15bpGNQ3NmFUvysL8
MjSkdTmVQl0D+UwuB4z79ny9eTuE+bFI1FkXolBpa6kKDVOv5KkpkHw17BjY3iTq7TC3ruLBcu72
Ztz+pMXgxUzNvoS3n0WbenZ/DEEUb3Apq7xMU+W+bVmxOxjCnpCtuGEnPNMGj6QybWpzO6VEKEe2
020viW5TNZZggsPpnq2Uez9pSryKkmjcSGWI14XgAaF6sNZF1s1UoWZt2wQ2CgzDKa+L457E1KS7
aSCtHhTwThsdPOtF6eAh6KqT+Slz2NIThdjkTUpfrBzevvsK84NNgMCBjp/eZiZY+qdCr3vhseUU
K70pUaxpOeA5mvK2EIWNbR/wWmF8UT8m40jfBoHc66P4ZxhOWH11+OxEg6OuUSllWyxEi11SyH5X
9pa6GRKUwYU2Jpi4j9VNrzVxS0iufkZlED9naRxeslDaD2XdpQfF1I7b9RpyP1iB3RwGwQrONLvH
WZaHSHOmm9LNghXOYMYORN10E3DV3Sj6eU9uUK9VhzbIYO6mVSWxhUdqNNxRo2XwMXzYt702/5hq
3VorghJbDurbjyHib/oi/57Da72zsl7ZVE1pPThzHuwr0u/LmtNfzwGBvRnzYPKccSbr0J14ayRo
pBDLmp/zKguv58wI7vqmaNY9KOwr0KcOWX4WxdeyVPV7VeuCrUF/0yGs5wY5oNk/oGlmV8FO49Ab
fbOx6uF5MCxkdW3BYVNjOxQq7XbfsUB5ClyGy4CSAi5Ktn1jDVRYJSjH61bI4gqw9YDgxp0kSWbY
7yeVloMix7wQJ8FipzYcWUFQjZ+1nGHCAdX2Of0wYBvIr0FsoO2rrPxLZZntFi/F+6Y3bjUcBnfj
FGVrB4/RmxY5nmeXA+bEUe2XTi4s7FpG4wKAl4SmHgposKOtRNuudh6t0lZXsx0/O7JcaSLp1qKb
X9mBPWdR8CVts/ynk8MDbf4feWey4ziSdelXKfSeBdI4GLnojUQNLsnnKdw3hLuHB+fBOBiHp+9P
kVVdGZ4/KpC7BhoIIJExuCSKNLt27znnGwCyyskMhwmeBAzTOoHHOr2aUe2SU+8Hm5xI5DWx2f66
Z597YBoN141GzrZLG0KXk0ljCtLpaYaXufUNHuXY69WGh/1tFgmYa4FAgt3vM5LEu/ZLMW4sWLaY
GbsU7mR9m6PCo1eyVJs0ly3Pak+wd0FVtBkSoiyKoXAfWtGKQ12xWjnVuJ8nNdxZy2Rsi/S9MTmP
+kgqd7kz33A8kgAnaPbIczzRUNTPWRJfO6XmTm67kdOZNz33nSm/5x09MJ65xr/LmTwfBamOd4mT
4q+0h/KpbWPnJupbstxtooZ102abJG5RueeWd6BxYl3BGpw3tUmOeGcG37phubIT5xiBMrnwo6IO
80nE27z25mOU5Gk4EtPyWNJuuDQpTb9nQ0YfySC4SvczoYBJd0ls8iPXLA0Lp/le9JainRTAkAd5
uZrr/mnu/XsKshuyBDg2W+INHPBDX1bZBWJeuS6NsdKkj/sccyO2mmmkCzHbV5xV4LLH6rJkfSHv
t9os41JctB3P54oou+xySI3uZODpod9QTTd94c+vcrLPRUZrrfssBYAxtaGq3W3aBacAkAOkXEMe
Mh0N/BsXsNEwe1vKJ3MTA/zYZMGQPFlBQsi5f+oLAVi99755rvtITuP0ZHO77lOrbk9emXgPtPpT
Ao2hNHl9KlZtGfl8nWDXh2FXd375fYgHi+RySSJ4b5v1IfEKbztWvbl3attbcxhQq3j2JhLzK+Qn
pNMhyR4b+9awjRX5y/7GrtJ2ZxCQcjDsjsQBzvNhXabxlgYWUexJ4OzLtiGXpC3dreMDD5GqTDYF
dVDoGYYMq96Z15aaymeVBN5hEMx7hwT6QFZlV4vo5pWUGYcGMz6YTRfWbZewj1rjtsKNd4JxC3le
qOzRzrjqfNPB0ReV2gxBTxVgiGvpW5wUXZfHCwpi2FWcIKkGPty+prNdO6REV/M165YXKjbPS7U4
xyGCbW6l1qmJFeKKSoMosUrjOrLnNz0Tz1w2FCmuNPW6nspiBwhKUwEsH965C4Xa7162Q7BuehAQ
0m/tkLlSStxG+2G16puRnGWJZnqlJ6R+jDsWuqTW7VSUR2FH5BPE9tNSSmJbmmClhDypEbOQ6IYT
4c7ZuuU2WXWdOHW1k63yQHebXFsfNlubmpo1572MglEbnA2GV003xaYGtabo1nEDDu1LOe/Nsk2f
PUn/OlNVct1woLgY51ocCZUD5Ct9bw2CDidakxzkIg5ex0xXWDtluzuLrqe01GOihH/jV13N0mL6
BxX08Zr4/nU6wSlhyqDZln0zzD1v2MLQvSCnc9okCXAEmXM3m+7Y3SIwzT7Ajq6cxnzkjmALJMdw
HbnQqS1h7kcygycya6j19p4uTosZv3V2dFBFfaVKD7KYMR3T5bZbvFCa0y5NUiKp5YjawzViMBVe
u0WMu1diKdcEfa8WVZ3rvm/Ig+/tFKaunlnp5/JOg0WAzJLvZRKARqDMvC3yZaPs4NizwfW9vyW1
FRjMQvAz9zzEnvY6a+xTa1TiIMvhkeHpzRlpakXTbdfx7QPexC2Quw4I1mXcaz3exEihVsRUD+FM
PvlNngf1dpwWfe/HHh3xdPkWV6LZpsZb22Rvi01f3yHtAPYPgxGVj/hGZ5lufULe391yOdSz1vsk
ic5QRW6VhDINTkJQNE/DkJFEXm7aXhLzXIWqi6lbjepF5uoz7gqU1GwWUVVYZ1fmKWWjN2RqXRpV
fMeIZb2Uy61ozfJCCCKce8EwbVGwpv0yeZqM4Uem7b3toX5tgokDUHtHuyDfZd7oh/5SJat40ifO
dKdiNPuwWqz9hA52nedRspZdkF8mYMuuZMLbt8Zl42TmUaFkZukpiVGvkuB+gYKLjohrZjF/mCJy
OwhQL9ZKuRuije5d4oPXZ47POgrKMGjpJI1JA783Rh0rSo8eZFUQ0z/0z8rv5o2TRKQbdMkpV+Ze
mss3XFXmZrQok6jxoADHXbDWRUT3aZ4umwbxrjW9t06/p5A04EGAPC6yD6+FKL70yUAfrN37U7Wr
mvQlU+mJ8/nRndn7oz5pHiLLPir53XXFc222B9uMw3a6pjQIcxDDPF15esyyHlUwrXnONaMJEskD
G/IMcOADeFNKqZtvIZ99G6NeHh24JQcf9OyniJV9WYr6jl6uu0Ky/pDTYV+143Lo+rZHoYoN2rBA
wQk5vqSC1UXZ/WXeMA51+xuCcw9dHb/Q+6zB3r8FVU0DrAE8gPZ91VrlyVQcqdvUsi6SVvTr0b7M
ozYOdYq5RQ/iWhjI7ePWAucuZHahBrwawfJcBmYHj7bZzQhbKnKt1jBXwE04DWn6lXAORHNv4/ie
UJOjZdxYI+fayX9lub+M7M+xK5oVsmqqvWHpLydZ0H0tps/YCYZdUrNEzI7xI7cN6L6eusCjcsGR
p7pA6QUjAbbn+xjVhXHQMCHcHfaYjEb2Ess2RBdWMNEuXNBrmT3ANikeGyMALiB9GyjCJKcALZts
Xzsxfu8MRlNMOe3bROjH6PyoekFRM0SQHN+sxqFYMTTKniagQQsx5ZO085WhAJC3HNFLRQXBcT9/
oL//aRRGszdwlSovEWGRN7fmxPFXuIAUU2yaiWm6G1t7L7TGgSU01o+uCO485INWRThcnBQ9TAFP
beyoLncqek/1xIlnqENjajvaj/nzbKXw7IvysgpO6MfNtan1Ju94ZqF5xCs5Q7tmxKWL5nOg/jMF
GWcSthaVLBCBeDaZ/JjO1kCybvSyWWnXOxYDuIKYw9UyJgUWnfKouUR6HtbSTI/5YB7lyF/F3av3
WWHen7czoabjYLbV9eRNd1hlNglsTekMzzJI5aqSffCdpM+d6bHhRRyEmIl/xCBNwnGcP7O8W5ml
S0Par2HwdBjWZqLQjOLGb+M7E3jSqrEryVByOmZetNV+nW3mKNuXjRER51Mll24qsl0g+qexa+Wa
APpLZpwFyxBjElsTbBJRUNOdea8LxHADe+vC1GKIWyiUVvZCq4vemJfkJOMxaBsGFXaGvfJqXW08
L4Ek0pf3xpQ/mK7N9emubBeBRNS89tyf6071DwDK3U1SDQtu0+VVWcF7keavIujemTEuG8MXzdqq
pipkg/HWRlbfD4s4ZeZ3i2Br2qRutndQVZ+GEczmEvfuGuS78zhRrG/sDpwf6Xhh5TPUyAxb3c3K
dUNABfsyBSvBvqcZPdMXjzLGRoaliu/p1MIbKsznRht9aMAaglhVlmt3QZymbDYoKarmbkg4OMV9
JDlLzu0zp8C7iBSpXd7YSDzllLMqzc7ej4x2nUoNN92x8r036Ce3NrorE5DHBjocUlS36rfplE/3
haPyp0RnNIadpLv3Ja24JInHSyZ/3saYfO9eDlreNvXwohJnpv7wLQIPknq5meo+uuRo44DgSs0H
dgL7TsY1RZqcbiOGBST+gJYQAu48X4z8Zi5a7QBuV1xr1vLIHO07BeBo87NUDRTE2hCnz3Bq2AJP
8PVQE3Zz/WDPtbNx3eyu9geiUwikXXEqqcLFGoLb0Vv8o1AVKwlJVKvUSd+wsla7kiIZgtxIlIHF
GAsFgtgxWZgZPbvxflHlw6zgQASWrW+L1lVUhyA1goG8vqSm+R0DmumN7hIkWnH0GpmCOY+9fW1E
OSSvIcKF1Ez7Zay3i8XdOyeZsfFaO/7Gig2wfehex4XszVXdM1IJsO6GrluLDdAmdbTyxrkwJiE2
KdC/NUEMx6IUHZw0EVwVcSDoBEYDphOscw+J5VQnIZaUfBJSKWU+30JeQgWQmxjuQC+R0uhmbJQA
CDdFZl8jTJhuE2Wc1TfmD7vn+8qhcwKcq4rQBUayObPMwqk0ngm97lZjX7ScJhjSj0F0L8F90lph
4YRjxKBY8Qhmc0h/wXgkNYPG0oTHmRsoozrs3GI/iEHtLU3PgO4iKLLU95fjlHAR9eyCZIlG7mRk
MrEIHbb4sOuc9KHKu/lQu0YTFqM73ozy3HJwRrnuoqKikDLSp3EgGXOZu+BWjOMD3QVzBTJpcVjP
o2G/6DS4mhY/Pom+L4HUFugJxrHd6VQtt74YhaJwIyersdPocuqn7MKbUvtNpQBGIFyJU5oJxPm9
wySrcc6bgpskuz7lKJIzY9sx9bX5zprSOaZOlNKGjfyVgnD5PeocooF0aVEgoiOB0GEsZvQ+qii/
IO1fXPSqWy5GMTgn4qQXl2DArPwYeayu+cuNs06UuTx5uie9qejry9nrzDtZ98Wrkwv7MI0Vp9Mk
ap4df7TfGZJ5aGCicpsxyVsj72KvoGPqgCabk0s6n9DX4lhcVX4bQCQzSzrIHs3UFAfsSVTTtGMK
lmyaVGKfy7vuoh0K2nmz9ndMoe3ntjStG82XciH6qj+2VDcPOZX8XaCy9nusxSxxzqd2aJZmfx62
oce3kLikPdIZa1RGuBhDcjPRNPvhGEm5g2Zq9jAX61GvdZTT+C4i+Dd1lhfExSiDTn4/RJznWGaQ
V2fbbECWsLLg/x4WnWdXUyOX7/ZS9TwjLWmeuhneWlNxvqirYJ/PJitjnta7OI6cT+764aRjp9yi
X/TvFt13a1BeqMUd8qFm+tGu+xLDgbyEuFVtc71wxLdq4nZXTGgdbFp1PyW7WYJHXI2J14Vzl7an
0Z6Sm76KrRNoRSMsU1lvMqffZmS8A/Eren+n+Jxoc87EoUxN/tsAnWpvdTSu02E4xw2Ui2XQoBbi
1fOmhnKvqufPqEAbyrSQYWlcxW/akOOFadryAWRY1hEx44yhEN3EvIaFl4E0PT66AZ6puQEC2oC1
r35k3LlWVnVXmeTLRBbn+G8us9ZbhqLVm0i98QfESn+VZRENNsj2N30rWejVFP+YPCe/S3sISXKw
GftF0XgIEh69oq2Z5Fh2ti0dytyY7f5UOB0OnHk8Fh54pcJzkE5Muaeel5rNJyjek1jGEKmSrtgb
Qo3rUbXEswZOtM9lvhlRuW+iaa7pKhn4BurRx+nuJ1fMxZ7yhp0zyB3uEjO6L4KseQTOF2PToKtR
b0ogcB9OPNJaMvjp8TgVh0CwDmd5326FlVunyu3NtRgZB8kCGU9Et/vNNIL4qpGaMVOetmvGvvJ6
sB0iTlT7YvStalcZJxTWxGRxP52y0Njb6LNkmYZo5qfydrSo0eIxhsXRMDW5qZHlbYdOJPdd1yAR
SA3EAgF/m8MaS/1ZuL3tpnLZgk8xmXjH9UWDXzVMoNlujFxxVJe1faz8KHnLcoaQZlI8x3VlAFtk
YrYmFMwF1G5V6lXGXv08ck020p3YHfAXE6yGBGjWyGpWqVHlO5V0byNEIkah7Wvqy2mHd7q7gbII
2tEJxF6QXHlVOJ79JPO+2zvpXDKFs2lNTZBBh86dOd+0FtiDqN9IXaD0cItxXQL8DIEAMA+3KGZV
Pb8KWNm72RyjLVMcn6OzLzcym+2wyqwcNT7z4iUYp23gwxkzxqC/7JbcY2DCbAieVnyEWdavYAsO
35sIfd1YqGA9IPxZpQWeliXwk50dTTS6zDi/jKWry1Vv2/FO2A43ZVq5odcFT27q8ySwPxcvid22
1/Xkf3i92Z7EGLModJXJziKKR9Z8vUk8ep79g0kI1L0DT+rgt7V9EQ0SWnUi8+NMj+xUCabmkE+N
NY2eH2XplQRR9eVpHDNFeZuRyTmO/f2IPpO5ujs+uVOUMeA0mW8QEY4hOadRY1d1d7mIfA6tSHAS
jHj0vYIYPkEy1bXrtC/c/vJiaeYp5MQGvaHszJfcj/RhTkbGyRLtUtfHJqwzAyVn3txRjjXreQTR
GEeJcT263RQK6csQhZrFwa/IGTMihk2jHl5j7XCujjs+foaks3WW1yEegUFqD/YdI7SNTGpAbn7L
ea1pgitE/9m2l1TTBtPtdeQV32HE+zsd0LRKErPc26ZGFeEBx/TYhmombaM46nrMTs3kiLtUzM7F
VE/Rzjaib1HUi92U5MYJ9pl4iyCbEafQA5SX2r1IsGnvHDNNLqB3tbum1vFdPtEXWOnRNa5Spce1
o2390ZfZXPPZnPtgEoq8Yb2gr0nSZiejhTF+qz98e0BEzGn/Ji6yuWGy7FsnN5bZenaZSCnY6wcH
sU8Tlt3QvuV1NPEVDpwjiiD4yAerOhad492Q04kwPze+DfFcnHrFWFI4otyoM9rLkLo/mJj3dnT9
5qslM4YwLkE49ku/fLPjRMLHkvbadubu/kxLfFCw07ZjazsXRHKKcGRveEnHaovibaXbWtM6SdZO
isrCMIc7Gum0wTvbWQ1Gq64jGHKbVED7WzHQ5mfXdQu9MGE5tMQ1A6DvMfO6jaNTvW0ShRK4vGAQ
Ho7+nKycpasOzUIAUjKa+kEXs4LeO6cP6YJoTMZi+PDpUdF0W9qDmht3IyGPrGhqMIGghgDENTlP
/NPu4LLn7kl2/khQUXI9e73zorR4W8jFexydvN+yMESndtDJsUL+SeCEHWy8BdvDbOX9m4Wu4tVw
Ot/jyemisNTm08Cn2nF1nbsortv7wPOBqDbtkG5Uvagwmrowngy1masyOlqaqDHRi/keo+RMhpxj
h3IuqtvWapBC5Q2aeKH87DoOfHdPHBq1d2sNB4QL093iqjrMprkPtVDBZcdQ6pmjMifMxLHLD2OC
S7mOGs5BTSZpbQ+iP2WWnq85QT9Ku5x3hKm6xAfHgzrF1vjYLJxrhVrUWtv+m05dcWzJw0YFQ2OZ
wWPOKBJVJG7DOzJ0Xt2s/vCjOKMVkNJfJayBtoXXjD9MsTD6ycthZlGt+pCzasWCzxmDtD7zXcjI
3pW1m104TdBgbWNkGK1EHNsKPqSYWmLg+e2iqI397Mb53rc9eWUk1asxzmhAFzLq9l6Q1qcSovUO
aeN8IZsuY7LcVMxf3Vs799IbK6qZcMm0vZ27ZXpIJSF1DdM6LHdMzJMyH3d5ZsDe9rM1Six37zaM
TvJzdiSMPSM+FmBqQoaidmjHLA6Ejmp1hX75cTbcetc6TXFRkZu51tWCkXtxX1ykK8e01PY310eO
kiU62QZT9OQV03tKeF+Yl6WzQRCBGbDmlmojO7qrc39vulfjguDCS5tXwyvTKwXk8M5tPTZKvw0R
r1gLKMgkThYy6lG9x8wuoCIa10vRpHTy7feGBXnN7v4j871t7+5idWvaXX8l+rq7gp67XwYv3kQS
dSLUnuDSLCCuW1YVWo2m2dtlPnvXULHb0rcrSskRpypt/yNQJLGteomaKlkcbzPbZgcVTJHLR58C
UA8i0C5AjYfT6pvu6mJN9U/ojhlJI0T06917LIHXosuTG4UC4iVL6+WHmOvqQZgIMWQ/WHcIO3IW
oqGi327IlQG+8Nk1wNFKdH8L5bExh4juUWkaYh8NRnMAnD3gJXVFcdtDMkevR7+GsV8k1Xsg8Mci
12k2DSKsPdi4Cp12Slh27cTIgwtrjQ6W7WOsnd2MN5URl9HcJLTmLqZApPu5jridE6s7kQtOSQmQ
IOrG8lgUo5gYdUWM3eN4vB8Q3u0Qe7FjjUUElnrWD8qsi5Cqft43URavLXrtpyQ14zWyCTo+mgOO
xzxl9TOkNjJoS8RBHtCitd/9PqLRBieVNmK+GMH1OFGIj3EW7ALEdt8VM1aO4wtCJ6HzTafT6kl5
To3+sKUXsh7MIAtdT4kdLgLTPyZ+zviu4Gxxmc8dAAgMlylqG8+9TWXPXknGQ89p4kdHG/9qcLIU
TLan/R8gP5GoDeh2Iiaiu6hcvCsQV7R+0rS6H0shyL8P6Er22fweoEw91AZ2wianfahd7DhRprNH
jXCKhpQej33bIISIgtrbipaALQs4EB8EBbAxB+1lh3KVVnyG3CAu5J00SyQlBnT1bELNR6Vi7hqh
vtF8THZ0T/mhMRLyJdHfyRQp3wNz6q84g0ePJX2tXaCW+lAv+cR+lnIoabhB29Sb95yIxNqyy/YQ
DFUaDhyMnpZ0Ad/Q6Z59yCJME4bmwavz7qDbETOAzNByTMLVOz8v46sqqoI3renqtV4XbWQ5tfsk
p5qpdT0Br2DCcVhGLfZYNjTFq0c9E3BES2Y0lFMeLxntYV+9tK6zbOAt9ysvS6eTTDEqUhF5yd6l
fACYwHTTtlKURonbf/bCmNK109X1N9rV5d0EmA/auREdFfFHG2kz612sOL3vq2E8TQNiSkJF8cyU
nEnsXgfMwArvTlrJPbznaGdWGfO40npBSDNk65zN0LfbaI9itt6B3LYu+kai4HJiO1vVsefc27Gv
TjOKOe596OOK54jejhvwqDPRSiKPTr4xeauRCOFnHvLsKnIQn3JILp/6gMSBlRhhjtHJ7pJNMNjj
NXDl+DXmz9eZrzkVZ2yedRMR4zGnw8Eq/WzTERG8aYK4CcmejNeFS1cjJpmNRCvWXPr19y7S9pD8
TOaIcareO5AZnAeycR8j3F5bxjwcNYDTrUrH/KIK/G6bLsH0Q7oRz0LADrpj+2nWNVs5w9URmobR
aTwpXbbEG+w4rMtdWtCqiefnzsf6Tn/4YzGHYaNtlJWmHc/Jmtx2Y+946jURirElAqMNwh1B1VnE
Ix4R+Bv0SbF4SDV9H92lWcU5489B6iTMxjTZKZ7AKzNbcBsNZv+NkXGxqXMcoQuH1Qtz9r1D0fgZ
SoKoes3z4kWDHtyD/UmRN2PqiOr5xTDqBWuM46IN72CUo+e9y3EwYKEveJRnV7o56hFgNV488Dg4
yv/Da/q32IAPdcmvrzy0Xxhqu8/66q387L7+pf8HoWninAD2f8lM4Vv/9o/Pih7YfP4A//t//cEE
fEqrD373H2/V93/0yec/du1n9fY9rT67P5PUfv6of4MCLZB/LjN30/NtKETnINj/gAIdzxQC5p9n
m757zun/F0sNGqDtQwEMvMAWuN74k39zAsU/6VT5zLltx/SFSYjKFy7gf+ME/mSm/ceh58IJdAQ8
Ts914AU67tfUIODjrW8sXR7idyHObCwr8Hwew/uaEWpHTlnW5eLRyW37KZsDJqhi7Hxy24vuETHk
yuT4hsa5Foit3FZlO0F/9hvZdOaKblx9as7Heh5NET/4Xkl+1WgP9zMSB1SgUObY4MVvfMNfUvp+
fiIblbkw3cAy+fXF1kj4pZROhhOUNH5K75mEN6cZa/pDdrJ2Z2wiUdfJhw5PUWjOdXFpt51zyyqa
7yiuWkS+vV5PmYUtkoN5kTHaoDR4zKEtb6Klm/d91Xa/cfb+ahP/+Z4dx7O4EaRrO+gof7Vi+q1F
HTSjIMYbVm57IlUQz+IOwg6IcJ7ZOd6X3yUN/DQ7f/nqHZeb0iIH3PYsz/v1RfmSApuOXRYGwKMf
82x+aiiFKb4IBSdg+1p4MNuxOXlrx2O635Dj/ZsohZ/+/69vQQIwRroNbND/SvSTqhlnqXkLTdVK
hFgJahRE798mC2o7ZksJgYd6OJk86mCE85t8FsRqzj3zB29Ojki/7JXd5B9Nya4P98L8jaX+J5X2
yzskQxlFBruhzdfzxR+9yMooh4pk7MB+SvXlQCuhhY+i8d7oCpJRW6+L7NrrkAGY04EB/6mwv3N8
oRdbMlJ0Kd12RlzuCv53GfzQPvs4g5fZR4ziPDcT1s7O2KbBfYtL4E/r080fb/LPsMHz9/eXty4C
yxdSSFN8fesqyaqqFF7GyBAJ0kL9EdYV1qAgX0aGHkvzmySqM7z0ywt6NrevDxhVWC6tt19vKN/V
TB0DGOyOMJC7+sXRnBuiZcCub4oyZ4A22O/DWXxkFvW48XM2RzZ4VEMU/Fh5PG/XR7r4zdv662Xg
XUnSHly8vg7//fVdDYHfFubAuwraCQGJk4h13fTtnjW2xjyAmPLnZf9bO+P/D5BR+pJ/uh//sl8+
UFN3X/i553/xL8Co9U/o74HNJubZlu2cb84/dkX5T26egMXA9H0TTxJhFv/aE4GIuo4lLNOSrFum
ew67/Ddf1PyngF/Aqm8Ftmfa7t/ii/7qWpcCd4QvWYRNnho2568oF/zfC0bKElmhZZavRTYmh8VJ
AwrfQd+TVV+Ec7tMN7IyRyQj7e/yAc835H+e2/PLeyafRbIsIpA0vwYWD14zV26CYMOpE/Omrpbh
Pe2i6T5o7eaPe/UXbPCfl4i/vBRbPsUH1HWHQsM2v0TzlEbkTB0+WyADWfEw9Zm3rgvmVXTFg92f
vv3/YTX6y0V1PFjJLruNb9q++fUxtPEetO2E19d0u3SFD5D+BiJBrO7MJhgs85IPnEVLazvTrvjs
8BHZv1kJvsDfubJ8SpN7znLQ0BBG/uXjdiktY7NlSodtJcMCFIzEobmIsVzUYaDTGGUb5n1HQ+7F
jR1hrqj7m6fgLLvQY8WBJsYN/uQ6bmysvFF1YlMhgfxdgA0Pxa/fvyPPd7ItWaykJ78miaSzX1iL
h8q/kkt32aCBORilKn+TtS3++t0jOze5hR1TMKr9epsRCdcEyjr37QzMWliFpxmrg15oK7mtMF+w
4KbXSD8wunK4G5ddryP3s9W992MEVpPcKmEmN6kc2PuU0rWB9GUZMDYtVnAf55IxSxz5pDropk92
ecCsm/yY3l61sc2htw+0O2+xAXOcU1njfPz32+3XVV8K4OiU267HPsQa4/zMJPlTuAWlBjkAHP5X
YqCNiSbI3yqeudU4lyNW4mS8+e+v96WU+fmCAeWzG5i8oE1d/us2EwcZZpl6oX5KzJ3jFvlK4Hw4
66VFlL/6UXtPo3KXKQQStfPCdIV2xVk50+9Q1l0CNlxTCOjf3PHn6uTPSwlXIeAaeI4AO275X1ks
0jWoKzURS0nrpvcNy9kGU8Un9b5/nBx8Z4Uikuy/X4mvty+VnOcKXvL8mPPIf3nIFp1UE7M5Ylxy
/+wiMbH8YS/5W6ElXG5eRVKXcesClXY4Bf0SXjLg+OoygcJUFU21tsfeZsTTeb+5fv/TZ2ErOJ+L
bMo/90tdPk+OF+nq/CqasADL7b2wJgPgbxGnf34WNjqfzQ10tsOm9+tnUUGFXrjFBZmn6o3e7vhq
qdb5/puv5S8PPEWgx8sg1TBZ8M2f5dufHonJ8rra0u4HQm1WfDMZXQRTdEiaT88qXB5TM37uCBE1
97HjGGdh4CLdDc5MNAE0eYrxaujtWly5aYrAezDx3l/ZpcvYtfOyGWUGEQCKlLo+9tfZ1PbpWkxd
ipCtk4V7W+pJFQi5oQCfYhHzbx3yIJpDErkN+89sWnBYuyhDK2yfT28VyXCUh4zKrhcVa6YABd4P
LAJJhk2iDYKdIo2nJkkjwAkzl67OwzbOpvfetXIgAj0zPZyWLT1ZOtpjfN3o2N7jeZ6KZwMnh1z3
tcQGUSTlsNwNNg7axwj8i9jpoe2XzQge4COYDAM3NpEL/trskbbscTTbiKLIrdPoSszRwaonShX2
tWjof+tuLrfkzfh4qJ2lfTYbQ5fhYEYxGbxR415XCivwZm59fzhES6PpylZubYUcqKP50mk6lRBk
RMB76OIT6kInshKOzstAhKObBNaWDqrnryxnjkbiFYWvdoIIZ4amRCgMK9NWBnu41bl4waxiYHKu
LXtvWp3ZbmPIlPYFRTLXJyc44sLPJVERJpya13ouyVhpCKCOVk3uGmprTX1ShjFGmJggkbLoN7Pn
xrf9RN7KKmXjvprplBMRzCU9M3R6Ekl0DRlmtdDcepnmJv9sRxsbgIwzQi9q3v1jq1tugsJx7qye
TJBrfhjynTyyzprwHNLQTjRTM+MNipbnXKSzeTnVWdJvLEx3wTaYwSjMTlmBXu5YhA941PqRkYlN
YBjKUtVuLWbLaQhMNmeKwbnim0UaEWDjRpWKHl1bvvi2Lt+jNNHFisI0TS9npCL0B6zeddes3LT8
kd1i7aIKrD6NxsoUQrC0OKYxc851m/oZ6S9mqb5rW5HwxARBY27J0bpgy1hwGBJGcVEvCY6O2nKr
ac3NNePbhXKerLX/f7g7s+44kW1b/yJqQEAQ8HgzyT5TrSXbemFItkXf9/z6++Gqc66l8raH3865
Y++XalxkkkGwYq05v6kyte4rcuwoL7K6pZiUprnOIyYCEluptgnbFpUrmrWw24YA0dITM71+WKl4
iI8DhNuXauI1ti6gTAIbt60mxwqGow/opwYa2c8bXtoRGX7Pk6pwuthVatWbDNvJi4MSEgSsXgDC
qLNRs7wAFdVVVuHHBYUX5PUx9hl83ciUqM51pQ+5AEclMLQFVe3AfIhTg5klYUAIXicmWJsgL8Ww
ljIR+UrMpdZeSXpN4y6fulndwIYRn22tKskpaqbAfzBaJCDHqivwg+lVj/uxRMe2zpo+D9cNJip7
HaFNom/aaOPneEARg2pw7AtGqcrot42LqBJb1XBrImNiooxU22k3zlBJYuY4csdbvLS2vWEGYeCS
ISth3oVo0RCKJnOb7rBcyYJBpdEgLNd7Ze4d5gjtiuI0vNdIGsQLpHJrWBPUi3/dZit11+SlNTTB
u8AkxmZ2VYcionZOVYnLcSVSCB4c7/v8Km3SsPBqSvcUQ1ZmzTfC6cjjdkRFXFls+sbOGqco3Oqz
CD6OTtUbayrL6mtktuoiYJYUG7NkmDNChIxxmLv0d/PYKU+2Udkf+Ej+xY/pTqOIyIUPWCAFvDQS
7r2PUvgNKz2ukWj2MrfvI7NGeolUbvBsPbXQ2quctBNfZXiQyUsMvCjFEr3Wo9I9ijAt6otNPUHv
AumJeRB66d9DLOcb95kZfHUxZV1p1qyqQ+YUE4oGAAO6Jzj0o8tN3bn0TFmSt9T77WwfpF0yfcvl
gK6YZk0KmcVuqudaOtNJz4yMEQcmUmPd92H6aIyZW2xKNrHdHOWQa9I8NCv6Ik7TgUtBVYkm0WYs
ORvX8xiBxSo1SUsMWiXKxEAwfQ07yzg6kA3Ms+1q2imvmFZwI9zyNs0QI0Igq21sYxlhA3glRTqs
QIrjfIidmKTkehTaK09E84kOlP1clAVRE8OMtWil8Kzx4CLlIyoxLME8KYfh42oYgylZownhqFja
KNPXkFK6ZoWmTz65VmIIhCY9Y4gCtUW8kk3Y5ijhMu0GFgqTd33QaFjNXPMLPsfGxwReROgs55DI
rSbKaowgcTmIzaIT+hTzzsqPFlMsY01ODtwXdBPadeBnrusxei/ufTvCxhQbUcjCSbvoQ9KOzoM7
lv5r1rlxs9YqavYzJ63RAXAyRTlE3jJ4bZweoqlMzOyRqCaOQSJoZEfXbTny2JFv0qTSAsdZ+X5d
X7qOKa7Go41aNlHljV3agG5SvxcPqR+2DuP2zPk8Izi5lVqaPzBds7DYiFDItdBFCcelyPXek749
4X9BreXcqjJOx73RjVaym4ap1nbLDblCXF8Mx7BBgYbCjPRWdplq+JL1AHAYKupVwktVg1DGZt+B
a4GEYK6yxRRptyScZH3WO1zTZTMRRqdre6Q1CW+vjuVrrnwNcMm6FctjhbiAX7XPq+zKQuMc4a5I
xhx1VVRb2FPrSSMKp9RVAA7Iysd7zbAIqF4z2GzVseDvdXQuDZrNqziHisHSSm1kN94IkMY5VE0h
6RoU2OjYa6fGfAUhC8BurAInzzZNEtl25n2v9/6oDXWJvtRFU7y278cvb2Y0v2xW/Q8c1FAwO4ap
u+TGuvbSD1oajf95cPN/XqZv0Y/TmZ/++b/bUgvY/e82lFB/OUxeFHMEekC61BkO/ddsRv+LZjk7
oWNxaqYzz8n6nz6U+xfde0fphi1cmwai+qM+1PszpcnBlXMbwwxFupBLW+DtwWAMpD9oZfs05WNp
b6w+JeFr3dSBDuRgTBSbp1WwkR/CBhNZbU4YuqCkpHhZsrJ27ppEBmy7Zo3Npn5ioSB6XQ1RgrGj
TqHnBF6lh5b6++T9Rwvvf9uSokvwqyV0KdKvRf/84yL6/if+XjTmsh5M+jS2xTrh9P/fa8j+azl7
6y6NNXotzkLP/WcNWc5fFvmrDhJjqTidLwHL/6whS/7FPAVvqmMLk74c/+gPBnyG/I5Z/aEJQItH
KtPEy6AbDAHEMmX8kfNZqYrdCV2HF7v1WXN6vyfZBOxdnFTAcIbeqLSdWQY3GmNNygdlUH13i6Pe
bq8TC4XovohsREBI2hxk/E7Yij09RfNjGxQuDqL+K9glZKJtjNy3oaGE1tOBkjLKR90YSZ+qyxMF
kf8ppje3m1w/RrmeWx411kXaGvGnSdAcGfR0VKTaqyihXxv2dG835VdfWL25jfSxHFa52w5oSZoO
/ZJf4Yc+hhHu0dAS3cNcINewJIQ4FZiDfiOjgngGAwRD4sU6TMOtA72u/VL0RLp/6FommduBPvI+
qniFF6CaP/SF8RQWLvQJzYyRt+EMMnFwVv6ktkbv6ryeCihKOSODtQhkgXZtntx1bRfTBT3eYwsL
rN4JMfl3ZdEE86YfpU90pqasFcV9dEDnY1FOxnazkUkVXMdN+yCyUHx0AuwTo93UOYoKg38Y4Gil
1UizlBoV3RJQU3yjKJCH/jlN8Ojy6tf7DTwKdZ32GUEAFKr2JklG/7oJs/IFIdCASiwT1CK2tW+l
5l8HuRn2R+hZ8kGi4xZ7/BwZhw3ljx9czZC3jZUCq+MQZHzRZQ5RbeLHWVla1Rx9SDPrvE5EjEPe
RaDcdQuZJVPpOWw0eewBSoJtqcASA/yNN5VT9l9CWSeHuINnGNU1UgZfutDNEgM9Zq3sdWZr8tS3
iTyFSIKv26S0u8WV02PjyyQGSdN68JcP3wFiaoOmJqxgSqpNTW/obnJviqAIoCzmvYuNXcZPAgf+
Oh3idcrE+sKJgXamKnHANrEb7cceIUtM5Nd6mi3qCCQ2Hm1NoHN4nPe9Q3Uj9BTuapN0DIgjd9vW
I8ZRWJPbJutOY+F8hHRReOmE6nHSCxRE+bCFG9NtZc0pqpoudkJVEbmI5goGhkM5yJ1L5q+XQIgl
OGHRk2CItTmfTAhJnIZTE6f1W98Xt6AM1Jnl5Zk1IQtpouJNMlMLFg7VjAZmyZP5/DkgOAAvCash
hOW0Ky0i7Cur3842pniJAxW9JmqxeZaWR7USHcogPg+tf3QBiaa5PEw4SFagQbqV2WDUy/22PToL
ehUGhnZsxfCdQ3svw6neWQ7YqxaxrJe60DnlSJXOZNxqqaqZuyNaKS3EjVodEsYAlBAzyiJhtY1g
kcL0mLeQLGfQMDSnuEbmcz2N/tkvcBYVfTtsaUuDIKspBiHEaemDq+fRw1Ck0WGwaE/0xoOaEvvc
I65Z4S/kgahFv0qVRDZpRq/0GLJ17Qwvc6nsbdrXD6I2QElU6hZ7y6fA7Yksq1pWCFp/FJXwqFbd
iFesnMObnPPzIcgSz0knfUvxZb+0fTzvkO24MKlrfPQcY/cEA+mPKjN5AvNcPtQQG/pVUCqAeVXE
UTUZXyXcq8UWwTk86/pR7DPEphy3kjgH7pCiZm7AOQx+dDXPPOprHl7QlSEjpnDjTH36MKFrplVM
QCV4uj5pr3MHY6CRnNOi98/2NODebTLacFa6G01c6GYnbmemt7farDmclINv3VAWRyKkh70GBBJr
oK0BIBJ2uS8DNV0ZUTo8c+60T1VR7dMSPZ1QpbPpRNEVl2iYIQhi8MZ6UNozUkaCbe5bFY2kcuRj
Cj4/MYMtYoFqZVaWsREyiXGpJSie5lZ8thAsHQoW92ZEzHybNU3Er96WzhGnHZF5C/p3HYVstVvJ
LupssjLGHSTofgiUmByWVGpwzmE2tINSkq5Kno0t3G/jkFoR5TkZayz3CcdgkRaw7NrGfg6C0Eep
nVobEZJmogrwQr5DqMasEE2xZWUi3NACwzCcZgWMOrz4Ox2myybtAU7ESYf1OFHiqqzckuhkOiJh
m8x3Qa9ZZ4SOSDvpC6zKnuyPIhG1F9BbQzhmaeZdFJIrx9E+wkfT9ip6sqdZXVdj526Bm+PskImP
RYfVxmN4aZL60zAtvgp2PZuhs5FvUGlHl9K2b4hFIRlc59/1034+gZhMr50hx8AJvw6WeEEACk1Y
H7qblXkOQnNPBDFpXjlrtbXKdV212kfiwbVjqDfFTRoYcmvEk38zN+xnkYn0lNUkOqy4pl2cI9yg
SK3za3qx6aa2svK6KytsYppn9oOnc0RxK03zoAPAygp7czNVyXj2wZhs864TFAdNtdaMFvBGGtz5
Nu8dJe+jMXiJnMlcR30P9Um59U6ODaSMefG4YENw000ZihvXZOlNYXllO+qG+r48mqnVLjp/6z5O
q9cmMV57w0A0pPXFl2nuMCUbVbbu4iv4hQjnisTeS1beXaXxpcEhzfd5by59ujY8B3mubVUjxN6l
T3tWoIhvcjuLj44cu0OacuORKlXXcZ6VN1qq89mbzHgxwG6tihy0Ji2xVeXG1iVS7gfYK8VnYVTh
3m6IQis68VhrMxzSouT9FcWTWDUW1Ekz9Pdd0szsLWV1W4Hlvk/nOHicxua1i3jR4OfEH1gM/hX8
pAq3hEhXuPgWepR9B6Jr+U924Z4jSLSz28zcANuDbhEDUy7CGGHMqGFqaAd9DSGugUIWns0MKluo
w9c0w/CZAU75QeFtvU2SYekSFURwinw+6CXVEvi+4WLKLoOZVLXHWuU1xA/c6VEOLG7FjuWcfatE
vYh6BcFyfNahFfESg4xiJ3D4imlO4T4Iel+YEVe+gWugUI9xkG/T2hwAG9QGj5qb36jeHzdRi3ew
DXP1MDBdvc6piq9DmgAGifWQlXB+WHOz0niv32mTH230oC/2he4Wp5p95d5xgvE0o2becB6H1UZ7
ezHtQrb6XJm0Tz26+pbcRRDlT5rr5/dtq2kbOSUyX2cm9LDSiLIC6XgynHiS0hJkb5E+JxKLDYge
93mmGfzJGPTo4ojZGQ5tGkIYAHD2PDDr5fQ+Nd1T1gTyziaa3EvbsXjMMmndTOhIVnYo8ZBI9YAA
Se7pTqQnhm50EcdQv2WYOtGNbULqyykMPg922L8mY5AT9THpXunQ7QSmqSVXc5dVe2CXQJeNvL8D
F61OSRUjvIb/sAn5x18z1VVHtH/h6xzY3+IML3g+EPRUd5m9pevUnvVgsO9aU2JrY+tf01QQhoca
Qa6nyvTRzxZI5yer78zVLB3t0ob2AlYGKPkhTpcfPCbimnkBEInJwnzWN667zRthyk2Lko8NVYvj
A3Sp8TS20jyqJrwao67eWyq0uU9L2EHRgoPsE/NqrivxJbFLfCImolGImM0rD0kOQQcw6TaqFnsB
AmLraNfjxxFpbVzHybeWThCEb9N+xApfn1h/5c3gtC+x6oPDGFAvxIpxtCZQ6iBChieWyO6hdIsU
ZFP0WTGz3qAI6bZO33tB6DwEPfxrSz9IRgMSNcEaFa+/C0VT7sqhA/iSnLNOVNxBvfmQd8F9hTHZ
LrAWK2rqTFi32NS80k/PvepvA5QCg/w6zrhsqULS2Ya96X+Z/dDejXlzkzt6B7d5fqZpfwVnp16F
uWi2ZQzB06KuXA86IKUKZCeWIWpsoTYNeKk8q3eUIdEhZypax2a5c1QXbPD9RWu7y7+WTfPJTKuD
H2nFA6ePAGOlph61ludPpVqFalEctQkrRzrQDgWL4G/GTk+9UE3xxyLM/NUUuc12mnEQR3Yfe0yr
kFyY44upUFvJZTJG5ROssLTzUWbjy4gMFKez601sPBj17XbnQBgzx2HD1HwiyUDc5tByN7oKk2PS
+K9GXB6rEBSvz1lirU1mdh/OlX+YBoNoDDeovSzp02ObkEDeDr577JjBbZMYkHAR+jRgZ5Bbo/Dh
Yqoh2ktDO2ojq9xM/HLfS7jdzDJQlkq5gPzrFyME6GzEcBYSs9nUMu89MQ/JuerMJeqSg8uYObhz
S/TTa2ZCzwTXxpdM08xrNuSPeVvV93ksfaZlgoJrStKjgh8xz8Xo8S/xXk/hKPVUyeeSe76q3TY7
BngWHT3Fk6zGm65x3H0xWB8YOpB8Nrv72lVegVDRssxD5jO48+t43FaJ+9iyq8CJtc9GPS12nR54
38QNr4Og25QyNA+1OTZbkhLYRosOFwds6n3p5i9aZYMZVVrkqTF3zoaw/GvHmT47dpjtdTZp5Q9e
WMNX0z4CsbzICTFqhGZ1y6EJ+u5oFjtykHDnmOFGasa8rS29Yu7pV14t3HqfTuWDZc7dOqu0Ye82
7dbBZfCQakn65AaXyGkh6NDSxQLr9/0pTyYQw3YjQHgsOFHXv+NV3zOEq84Y4vfjYhOGFr13A34S
A1Jnr7QN0x1+0vxBos5ftUFkUqpU+0JRscGjBenqbgc4Xzy8KCPpRG/rxHxMY8yybYx2P6iG7oQr
ZuDgKXOILoJ3I4WGqmltGc1xVPFWJJBK1RznW0xSVN9u+iEPtI2mU+37wCRrhskry2+RP+YEsxlB
eYyGGCQsukRPF3XikUaQbjX8/Ls57mioWXx4dn7QUuHazFvo9Qw8yW6J5H7OmRWNMbQr8OkkKZb1
Ppk70IMZqJMJM8Pelm7L/o0/A6sTZaeiZJ43TZBPhxgTObEdEUFnWvx1DM2bxtpmzMxvAqnH+wHu
3D5p2k91iYXezMwnhhXKSw2ieAd2h7ObXXf9N3ykS2cC7iS6loMbE/5m+LyDy08J4fJrO3tKiMnY
zwJdUzrQzOlhouT216LNnjQlev4IB2IBESwpKiSQHCVozHuTvAydexU59kdzdF58eMkbNNKpl0Lc
aRPwM308XkhsR3YbEpNiTyAgKE84eNfzwSx5KnHI1Wve6wjkQh0SDoPj7QLohurjfDfEcJLouhZX
hNXzQBekQfR4cOdOCI/jbXaCNzR5nWxvWzvt1nHbXxlz+1kJSJRuNdyPfg4SxdF6DpcW3aUoXuV6
NQDVg20qe+eWX6fZchcwadI+6cIk2KTOfJhtCSCd8acy2pY2Ql1BxAktiooQ8nNRZEA9JkCvut1/
4om4isCgFGO3b4UiJECQDzaPJVnflKt0bYBcIgXp13HWnNL20XFRa/d9M9wI2lfseDOEf6M4pb5k
5hhizNKraT5MRabBo8pgS2Wj62mhRlHT1JxXIHm568nU5O3EDk3S39GoKmczxQl5BxpDtLC5hjJ+
HaQdhz/enk4V0Q5g7Ov7ajhGBMp6ahi/d+xOfQpzzu1swpHYfpH6fYhMccGVTASEBAoGBxlQ2lRN
6zY0nE2oz9G+qpA01tM43RnSvwaIkHP79mHjlC+liGtsqBOwZFo+e02LX9sCn3xc6fGxmpPQc+VM
cwIbyrrknLVi2bxC+aUFlOZf+nDgiEGcDtgMSzsaGlqnzGR6isDpi0HvHBFugTmtCPtVDhh8FRUi
2xUGbq1oGeCEttFsYhOyWRe14zWwetdzB1Eth40Eyir2RLMy77nmLSoKGL9+e1HzrNHyCHpQuxX3
YozLtWmID6r0LwNxQ/BNv/hVs5OxdpdxEt9XbXQH6o+Wo57eITUxUSWAusuCW4fp1IocgOMEeiGQ
wSPwwa/MyJOtgXzCq2esyynUPOCAuM6hLQwc35AuN8HkFc1HO5qsbSji+9EGCzkTolsRmZk65TcZ
FjkUNltnKsioPC4x5RgGr1LZ7CpMp/k4XxXZiDNX7Rs9P1bW8OyAG/Lmaeh3E+i6TTjG+roPOyI+
rTnfZjl7guDQC7HX+GwaWr5Den3ThM5TCtyYlQ6SfsT7wPCdYca4itml1nNe0U7qplecn5hjrYBs
q2x4ZkJ7gukvmBdE5spxfSxzFWURsOcZ9+6kPCRS0z5CJ7Xt+uA5NQkxx/RNvEh1rGtzV8YiWfeo
yu5ATKt1x0t8lenBbRMlvBUd7XPvpNBB3BvazpZXqzTyiN3ZZobmTU7QwqeGTBC3t1rbP9J0GFay
xI4x5lG2suyAh9X2yXSYMMOlc+LvcF5dtwRHjurjVBSvtV+xxSh4Pn6Y3biEr64DoYjhcG0Nc11a
YZKml8LUHWQcrHJ9anZFGWVbuwncrT0ZHCA4U4b1tAq0+qRH7aVLwd0ZgAlH0T4GNTbYWDxPWdIg
OXA4C1mCJmCk9jW9Fs+kzbXmJQ2hK82QMk3OdRqNT1iCXrqJ0+bYqbvEBX3fq1KxQJmWDwE+RM2l
bkwV3clFdgEti2DtgleXE8tDS2488Ur1nUOCDVi2KtgQaR+TH9bepzRScLGJYjMRxbTS2ring0m0
4WjQ9vUBT6xrXyswDVcPpLo+JVaMvRMs0IfULB85k7le2dmKOXB8VRXafTFbT22bf1H56AWGW61t
E6qbMUXw8mm3rEslagQr6isEWRQ3LWNUI4y39ZBd21PLpDOwAXvk1LCRkd9q/EGatsL3yiTb+azm
XPY0QG2ABj2XW4M7nVaDRcyLPqGNMWuwwRgxAWLPEDJxfEOL0HzWTaV9tfxCrUQks3WOZXmtYFGA
QGOejbnWWoWiRSlk8YY3OXZz8mHEDJxnsNjrmHc1WZWuM5/6PWAA3NEo5bDIdke0kxXg4pgdw8Dq
5JrbMMbn28TMvKcJT+tQaq8q7g9alXxzShh1tnHjj8mhVt1z4CB/EDOWECWKtWWG18Qvrmot3Hdj
C36BR26GHYtmbAC2xWv+OikKfy8dnb+Xx/o263mG0RUQ98B4c+PSoELmgLNXMjxegze7oyWxQm+H
lKQ8xFNtP4ZdfeKIBbfNGnaRfkYSswvd+iYKwLElk3Xqe7BTUeEf8bKvmvQbDL4vBmFSoexhQPBz
kfwl3I9OBn7V8u3HrCVtWqlZHQ2dd0xh+dCcwhjnqZ6vw6lLQJVMQEexjnmNyveGM+/G1n6Uwnpp
W+MRdFS4Z3zkcbec/azxmi++OdRPJdqXwEwTT9TTU1s3Nlk14hMHRUyRmGs9rZqx+cacr1v0RsAG
8GrZ5rGxS3w85eC5AjOvw9Bqh4RCHiyEHCuOEHJvG8P1QB/vOV56ulWG07/TaL+nH6BH3Tql9gkh
p4N+TSs2Qm+ZQ5QLt1POX0PMahe/1/gduifw0QsFFkkdEtxirUI/2YSRDPkBgRoD2qpWjmbVJ7rn
J1hbJ8t0z7nlGIDm5s/FrDHdR8y2KhCjAAzMErY5rfqm5gFPMMLobW3La0tBm2785JaoW0YvFujX
LvhQ+NZN1lk3YxwQjZeMm77R19IZ5n2eyeu2YK6bS1ixjQ46K+1JkYqwZO0dSomVFqObdyNqMDkY
t323EC8UULQhjD2SJtBTUA7puQsGqnTJQWwUQU02Whfdadw7FCw9beyhuC70ikkn8/Q/mvj+/yk1
MBYn3n+WFuw6nJ9vx8LLH/jH+an+QgLA9NeGSY8eAP/Yfw2Gmab9pSvDwudiSEh2eKb+ezJsiL/w
Y9gC94nLDEQuge3/TIbVX4aLIgFjCvMVmrAIhf9kMsz0+QdxOGPn5b9kA3kxFocphpq3c+G4HYPO
zMKLVg/185iS2rOuWzo1K1KuctrBUWbdSKMRCO8KrOYbOHNgJO1gjL9JB5bfAeLSkP8tW/mPjhS+
+L8+FAYYC9EF/2fy8vZD0Z2udBKbLsy3yvss1eRnLIKp69kWKnrXDYYHd0jdT1J2bNs//HY3f0/E
fzTDvLUM/H0/DAby3AxgkVik314a1gMJS9DRSYLXCAXP5RmfA/ggEek3iFXDlz+/HAE2SreFkIzL
3ynYzWxESZLGZDCmOOLCsM6+MFbKn0hNpRGBSPQ3AvC3fo+/v96P11uWww/ybzPWbGh48cUA1oL3
Ti8PdkXSkhPzl7/+Zoug4P8JDv65kuAGOrolcPy8k62EUV3SNk4uqL/aS6wl2YFco/761xf52UIh
bAQJBT5hYA3vLqIx1e2wXV7gZBY7jlDGa13BsuMwnh6E31YvXWUP6Fxs8ZtvhyTo39/OIQeERu/y
9L67jw2U8DwPwksgqIfXZW6ZWzMZgjuHNutdPnb98s7o11lia3d+XFRq9esv/tO7u/iaDYxGPCfv
nhAXafLSz74ESaFvyjoadgEguj9/Fgy8YZg4FVdx7OXu/7BYEum0cUtfNHIi+aXTJ21n6HN8OyZJ
eBFl3d78+jsZy2J/t2QMC8/dYkTnou/jz8XoJFLI4IJvgFHAyJu8iER0U+imD+ASHbA7Zc1usiFU
6OCxmq3isVEoKPNp++uP8pPHhMdx+R+Ppfmvn5cjPtumH1yYfBOFwIwRywH66s6lZvjjKy0SMSwy
DLske87be9zVWgISSp170QafzDGKDzWxjtuhiuP9r6/0s9truthXcDxZeGC/u5x/+DkBg3Ch2DxH
emR8QKjSPKkycV4sY9LyA0i4lFQYgwQX5YccnDtYSc9ITJEjxHE13/36w/zkwSUKmu9sARzAjPfu
+RllJPPSBmgIZIwyOS2tp3JOyk2mz/MFDWX2SL5udsjAMf7Gbv6TDR53DXU6LxZ8Wtby0/94F+aQ
wYJpnosABJOY3HabpIDO4oQgPN/Ig8Ovv+j3Lejdoib51bQXoReVxPL+//F6nWuFvHrFGT1x5awy
jji0NBT2r1UCJvATE6fxXKP1/RhpjrHX/BxAadx2v9kvfrJfvfkU75YZO72vulKcJVFQ8cqfQiat
U1TtOtlIjNhnaAnpbirccteabviblfeTzcrC8Cltk0WHqOjdLm3nSYjCwCAwh1iApBVyj51IRL/5
ij95ZrGbGfAT0Dwqdsa3N7odal8vS+Os+QSI+rIXO6wr+rox8vY3rsl3FtLv7zZUNVj3gNWhrHOX
u/3DGlIB2gvZG2c3JwuQVswEKk2FYbsle850V7xvggvDpeEAPlB4udUkZ3pOlU54EBnIxDxOF2lV
5tWIUonWiaxBXf5m2f1kLwUmIbBV43LFxvxu2ZF9EWo0e85GWU/nAbjF4iKgERINAC6J9rqDseWS
50M2UtkxPCvqkWFToX7LA1ie5Lfr39AhKMM24UWpDOPdBwEUpfUInE5ppA9n3wFdGeAv2nR16d4y
q4IPznDW840xvXVSK9yrqpl2yiYSjHG0M/ymYPjJ44hUGNgFflDkkIiI3/505gj/y3HQnNXMD/0p
6S4I8soXNbhAdfK+39VKdXsjzohCLkEWRJ3sH//4t8H/bAr87rZtYvF9d0vikAgzIAwn8FnNpQBW
dBakbl3JpsY8JlV+56IU3OeJco+RnQeQ7ARQENuZfvNc/mQdf78TeMW4GRJt6NubEXej2RNMefKz
Jv7q25JsIjkejCS3va5nwLGesrHdBTBk92alR6+44fpPTklOiRGa8yHUCVzPe6u+cgaiSn5zl5a7
8G7hILv+fmwCTwMo4O2HMyJis5RtnqSIAm1NtJD0AKxZB0Fs1aXKnn19TjfUW7lnjb2/YTrOJMHU
Cewq2rBaFWY/Pf/mI/1kLWNoNVDR8rEW6+nbjxRY7aghgDi1pYn9bhyt9GaOmhrWPWVIUJbp3UQj
b911zXOIfY/85YLZKH6427AOQvM3RcrP1jIfhzE2u55LKboYf3/YhsqhiREimSekAAHr1scEU4/Y
Zjp8l5uZDMMPFokad2OvMZYo8yvN5K3z61vy7/c4UTeLAB6CAJvhcoT98SN0LYAGhCEnvW/VNmJ8
unIQXNHTqczkczfZ9WEwms+knlm/W7s/XR5cE/0/6niOa2+vHOUW025lnIBCV3tLa6NdHxRqq2Sq
g7d3jSdjdGriSEP25kSPfCB/6UHFDt1jbo+XZW77m73l3/cCggL3ARu9SQX7fmtJ6cP79RyfoqKY
n/XaYKnOU0CXMgkIcjJbWDXoIfNsb/t15/36d/j3KxYPPwJ0sYCiDF6Cb+8G/FboTGQtOvT67toh
nHZ5KpKXX1/kPduFZsFCCjC5AMJ05b6vnWTUloBCw9OspuIKint/QKtNu78m2tdsibZLWQ476OeR
RxwGQRqS0RlKTELF0s6kbdZamIZzhxb2rz/ZT249bxkdSgfONLoj7xZD6pcpySThibsj9mNhZFfk
XEVA8kVACDaTPOCO+Trq/N9s5W+t9UshYMNo4IDLxRcY17vbnrSmE+LbPjrweel+F07drsthwT2G
HXMFtBl+wIIbAhA/v/7G3094b7dHjr1LsUM5z7v1/VduHZwp8whOVMnijOEXWvDAdFnGxmNTkPjV
YhXcZPN4G6CePREUgPZSm5otkzESS7Q6uakr7HfQm9t7ZVXXrpHPt7Mh60tW9agp+uBLrXcfOqbP
xyn2402OTnJd1w3UJf7yN2Xyv6tyrBPQOOylUKB2e1efMtPHqtapI7kWPB9pDXyTRABzR04FlkBT
zMHtr+/fvx+Y5YIOS4ZTiGPb7345lksmIJuiInCDTdA5KCATVPa/vshPvhVPJd4dAC7LMefdRfQo
LmctlsdMM/ybXlmIcqo8gOFsGEQIDXOo3f/6gv+ugRUlH/QbHtBlP353uMmToabqqI8tUR+e2zAs
TEPDXuJPxG++GocltpQfFyDtKqpfWof8bnxB890zV0FMGWOmqmJOiAmoAskQBBN5/hHBAfFXTtRL
cnjAiH4UJTvXClNwLTYKM3h+AKRpX8RgUP0uxNe9PiSz2DeTwAc+j2SFbTrQkdfGgAHSi3MHQbOC
qXvISEf52gHY+KaNelPdTxYRUmurK7HrNlVqPg51mpx7s3W/NNSRIdrRsHw2Rku1q1bY7bCxHIRy
m8F30i912SmiMPwQISZctviq5OfqOPi2jbsVnWBqUI+ort3/y96ZLLmNdFn6VdL+TW8aascMLGrR
IEjGwJhDUkRsYDFiBhyOGc9Vb9Av1h+orExJ1cq/ssx6UWa1y5RCZBAE3K/fe853LKZRm7otileG
Wcuh1CHPA+0w1cLUuhURGy5MogA6Qn5NehdGX0ea/SsPv/poimU6z/F+DvwsFPugJ9zyo5XV1IWJ
OTvvuASyW86q4qOtJuPGTEekRolULuQUQ9dfqk4v4lDLlwUQAieL56x20MDDR42erFKfJ4SrRWGG
ETBuhDpWftMXResxJ7e0e/oBBvjUYtX6ZWnVoqsk4mrcKNxIzNaMCRNwHPk96WtRxsVDeR90ktzX
rMfLjMJde1ecgz53NRFlAQQ2nztYzvqwdUmE0JmdzhnC+0R9Nfoe6Y+vM+vakb7ZNNvGita8YTPz
0QbB+4IEATKaCNg+sj/MhOAxgZftQVV5N4YmG6UXEGvJP6nbxbfwI89IVfQO9kCgwSg/r3EdM42m
8dtuOoFWmtkIeiZXcyQBrOSyjSjvZkQVBFKsOdimN67BwNBfGGglKM5MVKEbu0HnUKrBTIDdOGkT
krxiXFsRPvu9yobxrMvUAHx4ngGQOwRLeEEuFb9PI5A7byMAgPXGZwITnQ9+XtRbMrurfaLl3qud
GanFTLPjrmrNdBoIu6tIKrclE9gJBR00FFuR8Iwjez41W7N8pKBCQs/KE730drJ+JciX+gDCdX7a
G676wqI4TURhTeZ9WenJAzbYSZGhNZlvTsU+y6y6sW5VYRrAH7qaRLByQc3BNRTL2rSqQID2mGDu
RhS9j15i8vZ9njQZipaCkAuvKWwSZDg6B6obmvwkHpSfnqWJXzNrzjOaBRohpwv5Qy6MZkEYz6sk
RqRBv1xgjdXjWt9DWi20gAwTKJCFilGUxPUixUaH3m3D+6+t/hzOcJ3u48ylNPeNuqn2Y41MLYB7
sOJMVUmhVI5+VjJj9pwCyX7ZEyw9d0j5c0kCcVDF+fDiZIPLxA756RNBM2Qt6LNZCKLLh/hgjWLZ
o9TC+a5ZWfaFG7nH2lPFxZWkGCQgpibCBq9PYh3Mwh+Z7lZ23JzqtQ0TRM0OifW2SL3tMmuwpMVU
oUaVOWD0mi952KYeoTeIEDJCr0AJ5RgCsPSGSLewiRjg5B7JjMi6K7eLx1vSLAwCAaOU6b7JhYx3
mulFXzDcpxh+UF9ZKCKF9Ih9TVloorEHrq0Q7VI0oApGuC89SCddOvRMm0uBoHtoHbfcslX6rxJS
irUl2BjLhS+JqTjksyQTbG7qkdEfOvdLbclYc6xIei9xYyWUQPTHXxc3N85K0Xj3ZmblfqBzRwpU
3djX93q0GGqrGmeAtZCjm9jovWzvHAfJXYg0yJVBp3uZScOsYoUuGlJ2MFetBXaaYr9Le+JCN2Tn
gbwogazT7tArYgVA8n82vZZlJx6M8iTOakAqfj8yWcc/MW9Gy8Hk5NiTdpNFyD+Rl1FibyCNWkuQ
G+hje6AVFQtPXd84BLmmTJD98avQh/HRNpRxwZWyDYTZXvaZL2C4jSNX3BlpoZkbDyf4TIhQJept
XRJKuvWczCdPC+mlH0y+nlQ7g5CAO5/TrBssNQOFDfAZ4wBQcHn0e0qvoPML8gXNwQf6ndv6IoCN
AMoJ63TEODAMBFeHs8WeshnHyHxjlptewK/JkGHzCeUJJoXkDn6R/ErDxXgZRD29TuRyOlsn0crP
LkfXaytT/heNsf7lGrxkgiioyEGqWoGuI7MgmdMlhXkQCj2K8l2XjuJGJLbEq1f4fDNEkKE5U9Ly
+TbiVl8CCnKNzGijY+vrivEk9c3sK05K/Z1+bHRN/C41iEP8+20d2VG2aZbFZcRGjX0oMr650FJL
6u4p66UXDOPCLul4doQuQ4jmYxRUhyesuuglR0Pvs630CqcP065lwj9wU9ahhBtNoKNtjw/+2CLE
I9nBLU5FkWYPTebnQ8hz1Xens6076pyUHO1+1qANkVhoJvuCEIIOvbWfwSKoquJzjnUIR2YTOVdC
A52y6UuJoiGbBEmsTunCSyi9EgWM1c/6gaKF3n2mwZbZjCu7HwkAAKyg0yKVBxaCqPeJ6U2F94wd
dzUEKlQlyvaHUznl1dmSUUgAUcqv0pH5yjtKcvpC7DUkkQtR9WdTZyJ1SlITEyiiP+8Keyv+BgDR
LOkg48wnLEh5g4OyAgfTVOYMMihzhsdcOfjbjBZTX2OaVbWZBl27reBToF1El/zmMTKbN1MyraL2
Aowd7GbSxDdwz/tbTttLFvLmBcjn3i5fW5Sf485y0boi0bQB5sWF75xUTdHqOH6oS1nQCvs1WaL4
EiaHfB1TlcOdqfr8xipd7aU2fTRzRKNiMGo1qQgJ68lp3eAitzrMOk3DguNnd6bTTZcI52IGW9Tr
bAp9h/FPRXG7JrAW4kxwGlnOVm2i9pWshynfiyjx+9NolFVDJqSKMHJA4rYuSF2yqAlnDhTXGOAH
ND9aUSOiFH6UjOHEHTWgw6kKc5vLThioLbg1gwkUrx4kPR30bUJCPVGRQHyCoUklTTQmU9vCsdVD
2+hZBDgc6NBOgVj/mgrlvDnRmFabaqDsoXmTGm9W7443NhNDDwFRgWfRspVzM0SuzgpYxrkM1FwK
MBkVV3ATEfoDDnIZ2c69ZZaQAd1YpyDyTPsh0dLkMMeOd0eU6Hw303y9x7lh2adaJX12UW54FF8i
kumWqFQka3FCCl4HqQWVt0nX35rz+d1WYyfDbjDt+6lN8OR6MeE1tDFZ/xYYNzgqAbJcwQEnZBrO
SBfdNraK0cHa9sracmycdqO5oBKJEXEiJXMzeFFrYX2hUSsgt8+qde+p1XDjjnPyhGqlCzt/sTDD
2O0WPj+gPmp51pRxbCHUQio2LjV/HJZd1PiIs3L+5MkgvGWCDiJwX2Qsvxd2PwyQaSAinWbCauVJ
A2XvBsubu2eRgTJCjA0A/BjlEgMIIyG1xUJt9B4loryVBTpuaVUNDvLYy9EdjGt0g8nyOQJB0Urw
w9ncLAB1XenvlrIj894qRh0roshB+0RF73/gk5YeOWwtps6yHvj6APF3+gXxUoSyS9+KHcRjneWE
ol/IJZmXyL6rCgyYMuFf7XK2fGszaG33OJBuqAhjxB19TtrJvGxAmSEPpC1qv5Hekz13KaFPoUP2
xBA6ute+UOgCf/HbEVdUN3e0fAZp8p0Us1f3od9Z7kOtodMKNGcp70VTEqBeD9TqW3ugEb0VThR/
lemoXzBDXp4mIE1frK4yz7yiT9QGvNJ865eEa2zqoe33DuwHjPByaSh/5mHew31B8Q5qCxM74RGm
pkrESjnF1h4/sbaF+kvIx8TFueldUh9OJPg8kgMiCwluKlyK66TtemqhDARXEjDhqG/loob7yoqF
AztfLG3ojXn3Qlza8EhgzXxbclMVIaZ8lG9YN+oK82DVOScsrxGl36yLfLPg6ztnFhNpgU+jeR0/
SUW082RNb6rouB0SiwxvOFYS9n/bDo8mqDdIznpsvE1znHNHT6bcSahMXGCzi+602SZzJMYKfslY
uvjAAiCQjLmL9VAb9pBsNYJTgVXpdWWfpdk0jaFGKNV4QigcEq7YIGw5qBsijTa0s3Pc1cWEN4G4
OeB+ppyURayZ7YBMTMR8AE/Tc0dBvsx3UUXMF1txVIb4GuJ3mlkupHDQ0R1GMW16cFTWW3t3FNFH
oQ/GKZQ50IFY8KLHdRxxmXTznJ7yLYxb1vcq3iaGMX3xFY92W7TllYfWGw0OiOLxYHpagcSZsy9j
EdyPoekPzsVCmJ63ofYDfTQ0M/GKWFlfEtWSN2JJghdCEi1ATLZWbJNNCgRogw0uI/7PKLXr3rBw
ShBhJNqQ4834seRK63dq1rUCNWMyTvQofPex4k8uZvimt+1Q6NdFxKUJKiMvkXA7kf/Q9iwSOJs7
Fwj2VJeYdhG+asR0gFtDtTQ3bNVMvXcjCY0fOQjt+wbIEteuB59HuQTSEVlhka5FqO4RxmAD7tuY
2PAKIjio1bZAmvphp5V2dQZFoEBTZ/dUzGWdzi1nJFetNZ9Fmd1WyBsvlLSzcUvCw+Jvuj7xnyxC
z9otXRcwqsLX6qsY8AHo7sZLxyATSl6SKUL09NSnnCbrSZsfO4WqfIPjzyP8vM68e9UlCp4ciLHP
x1bNf+vl/sEw4ruu1b9jQm/+z79277+9/Y/ToU7V+w84lfUf/q6bM0CjrGwfhHOCGSaQ6D90c94n
h9MNuz0uWJRadLr+1M2JT64lGIjQknUNi47wH7o56xPjWgAt/FPdp5Q3/xZRBfrOT+0vmmtoVCwa
X8BVXVQiP3bcs8KcogIvRV+CdbxHcuyz1vdL7fT3PBOCpKZZOpp6dERWpU89hzzjto17YyZVMgMS
14WZNAFqvU2NlkfRLpHSrt+IGWqt9kL0pfZ5wUlGchGbtnZIASfjU1SuPCF9u7oejIFzHU/mi6ii
5KsHwKNAdm95/im59HMR8CgsySbiOA4eQ1+mD7/ziO3mV07IOkErIEMr96b0kFslj7xX6f390C+k
AZaNDgp5GUsa+P5Y5yRKJQqIhGe+L7EY8KYy2jBDLoqeX81CZuZ9rWt6/mDoKu0vwcHoJ+iJyic7
KVkpOHywa2GtH+ePpNLpcBULxM7F65MnCw+3FVj4fw+eNka0C/0V1hDlOS1z8iodeziMS2Y3oU7m
pAghidrLDZDKlDq+jXNj43Zer38x+pT6L5XmWhwW0sD1ptecineOMa3WPEJZvvYpB97zOYepvRWd
aX0pGtcBx6XHOcY0CUZxM8a2HE8XlubklN6/1l2wADdsd3qbuQ+mmepYC5tEkxs5q8QJbUzbLKXO
MPsB+s8ZHKBZ2cvOiVXebnSJp41NzCbvZq0iq3Aw9eYtcuM+3fVmIQ8lZCciA1o9vvSdNsefj53C
x1tvdvfaSJ4VOninyTfUv/UCdC+b711rYueJpklYr64BYhf790DnzKd6jc8TP1HOxqazTZ68ytAQ
uwbpmUT70hMLCMpDbk/0VsY1t3VeWHRJf8WXzpwb1X0ZEQu0jCpoRI+VsrIq3dlmel89Kq8wqo27
SM8JcNdzHmwFBscKdAjeCA6kp2PsY/yJNZf6BioMgY04Xumdrft7vjd0boqNDSUmDnD8eW808bjp
Cr8gDz2lmUBAJ7U4+VgJYd/nlpVXMSeaxb+OiHd8ltPYtptZRD5N1poiJajTdD2sS2t68jRjutWV
cJ9bbPLMH504TQE7GFG8G3sYNsFsmvgKhniInjMdi1bgsDl8SZuO5DnPmCp4nzGv0cihfSCwobrh
kErMqV+3+XvWAKkIa0YrL/GUWnczAVEjBB41nRRDqxGY1fr4UcH6mvs2RRhywtWRHyP8RT6Zbfqf
NYQWX/hJ9xoWi8KtOPTdHYIY81D6GYy4TDdBghgZno+AFnbJcdCy4p7gYH94zEwnmXERKKwHdD57
avJEGh96Y9S3lcnDvUHZYYyBoEvl4GcdO7IAiXTf2C00nB3q8oLvY26Ky5UtTLxZ1rWvEH3FVdHG
jhvODQ30zYCp+XJEjj7uVJMLQXXSUggT2tjRmXOjZ8ZIxG5Q2OCLaawuO8eyyflQmwivpoOXjnwX
yJUjkEjZfOa41fwoxrZ7MSeXg4iJxOBysbpBMfpbUCmKnB48509Rfl6wEFtYkKvCO41j1R1yaIgv
hQ/SYTXLEP8uyO274U0tmD6q4ugFKNe9MjhSfMWAY3PT6V1z3gKAeannhjK0b/h3mMST+Uvb+8ll
20TyjoPLqgkAnog9XHS3bmSZ4HyawkDam+vAGVM0V3gx+ocUsgIK/HiumjNZpU2LTbO1H7HbuFjh
G/wom1iLyps+B9jMJy6RzJmN16BXaURzAa5O1lj5Cu2yMd28DmOOaXcl/WBijtkR7/pKrudNuyvP
+dy1ClMtoSHGW9HkZHCtEUyYNaq8sHEVPPbKI+9NKxXWpHYYBSY4R4zbIS4aYuT1LD3IjhWLgFDW
ok3s1HifoF6ULY0II36BakCTzmoTl/TjSFOvuSJ89OD2LgYGX2XF+1QmeMKcBQEKfUHW0iXFgUSg
8wjlkFZv0Nf81gHu+wx7bJIkrzgjabKM+dDhdSemoMew3pC5TuW3wklo/bhwUSNvb7SR6oKZiFl6
u8rIoXo5/SMaZDyWkU1y7iaOBSaj2rHNewsML2zPJO6JApSDcUHrnmy/AkojmXCUAp+7PDJvuVPo
etNVMN98Ardx2ooK0k9c0CCfxDhtIqtuvxRrAz13W7p22EiwTYE5i17KsaE1Y6yN97GwZ3evWzVN
+f5bgz51+i/q2LbPFpfSv2NwbfFV09nv1h5/f2z3e8fWf8nxvsbj1JbxNjuOB/hv2wtsz5XQlo8j
hKotxzNQyH6yz9YZAwJbxg3wfxk9WOsUojoOJHCjMpxQx0FFromRZKF1fOGbLOZBj3VuxPBbMeKw
JfvgZJNkv+mOQ5ARSziD9nU2IoFSKZoSHimw1XF80h5HKR0gbyK1uxoV9LJOW9xWqTPCHewPWm40
Tiq9iDgJHkc1JharZusdRzilGMshzB3IO3vvOOqB7kNh0h8HQZUvzc8QkbX3FgXcPb6dnPakX/DJ
uuNMiUWJYQYviI9J7+hunDPEgjdO0c88qqpa7b4sBx6DCWY3D9txgjXKhGlWvw62NKNkxlUR8fQc
HSdfHOOZgkHxNV4YCDEbQ8jGnIxrbtxEVqN/0OfIbvUudd/VcbZGMGv+kRwnbtlx+ibXQZzUe/Xh
rsM57zinGyUG7OE4vaOcWaJgWTKmen3ZDS2n4XY5xGivXpm0rxEG4LK2+nEuGKEPA0Qdj3O/YRib
XXY1RnWupseNM6zDRcvVzHHbH2eOxnH+6K2jyLYdOcaN64BytPv80K1DS3Y9Nzvnzo+YxpVLd5HE
spN7SEd+ee73mKD2Kq+mm9Hzlzc0WJzwpU/zgUmHc2WCyouZASqyLRlIMNlx7dZ6l76y4NmayXSl
W5JQZZt1jwnbvLZMHfg38JR0KKtB72Tirus9uz4j4Ur6+1rruvNUiNgO7blQuOQUBrCUe8hklYn1
S0y9xoVMF9x0fekyCoJ8BXYpHTyyHcl5bhqIvG73CC7aO1d1NnxOpQutRnOrbF+Vy9hjASSwPmhx
QV6rnNIhZMGrUFK6cjxve6N/pAvpNayX8XhuUFPAnnUqOtvO6GOwRBqWVfsYacbXcpx5NBAwaods
MjRmwfNcPyvoP+JMVbo8nXJhPrudUrdxNaEQGzor5b4BNHjX2DNoh6TGih1AdUoAzI0Kj1U8SWs3
upptnzMDHj/ryvI//LmCzOeniOi25oRucG9ZGGA3Ff0fMnF7GvFLR7An8+TOOHN1b3yMZxi2FFOy
uoc/nd3ZXUePxcNERoeumOZtQWjiSaGJratVLjw5R3NORWcU74AYs/s+jzRxkpswHiZmsF+jxvDP
0dzQz+4KXWOg27WAx0XsjGDhi2U8gyBY8VGw+Z3rU+ZSScae9p5Jh9pANqvZM/eUHSFVLZJkF1sp
3A9wddoGjkkS7/xRZ1pIw66/LZFlEz1Cp+rgjSqewmGJoDwn2QA2A9KzAMLmRFEJFQ/aupk0nbOz
2xp82er/vVZMz+NAH6vBDZDvUe77TTqRbzrEjgZzAtT2NznC3zpN/5fjjVroC3/tKzukL+/qx+wk
ff0XfxjLTILIOJeiOVu1Ppxn/y1SUNc5PGM84ahrGJzGVzXN78hRj/Qkf7XLiFXHuKYLfn9ARsbB
0Vog6LM5JPt/x1jG7vzzAZnJGK/no3zBy+Ue//47daI3F1avdzROW1Kud4zpmdvnhccNEB1vhs4Q
3BjG8SbR3IgbhiSD/NqH1W0H1vGWYmtTu/J4o0XHm66rYjNHOLPejPlC1zZ06YYdXQSILtY7NzFK
h87utxu6jxdtg8pW7QdioZNdK1MOpFBOaj8cvEE5MAt4QiYGFj7DFJ6bOlFspP36NImxnwSVndsx
Qj8+cO7x4SsNzT8f1yeyWJ/NEnWBfmKtT6wXFeW7U9XuqXd8oEse7XJ9xqfj4+6vT75zXARmYoLv
1LoyjKlkeIIXZnzs8sI4o2u95vAcF5R6XVti1NL09Y5LTnRcfqLjUgRT0P+IWnP4PB2XqroZrV1/
XMBqUpmBjRwXNnVc5Lp1vQNZx9JHMAvLoFaa6nZe18aq9eVpe1wwodPUz7D3WUZLJvqH6ri4Jus6
OyHPqvZpSznGTFP3VGAel+U+M4fzuFkX625dtzODFTs/LubkHHhEDa9r/II0BsbTcelf3D7bZ8cN
QbZ6aGb2eEsUuHcer3tGo5uy2WTHraT1GCuD9AN6ETTH7caUtnEBGVW/bPyUYHp79tmarHWXcswF
gTBite7czGlGuEalitAuQJGdDcctzirRRXDoY+frj7ugnhRwMozj7jiM7QQjKLEdznJsn87kP1cz
/nmCWzOA7cij2GUZRzlX43HvjdZteFo35EHM00103KUZebFjp8fd22B8CXkvbjYm/ixYQYzMzNuI
UPT3alUxJRpEpNMBXeFeRgMhG+hDsyvNqYEDqaMQqs0sWJJFXpgnUVUglaKedS7MRa6B3UcxVV/E
CKvm0Z6/+ke5lUfUZrURell9haaAIMtoNFgCxtq+JO+ITmaML+a+PPY3pT0pvGtr21NfaspKceyG
AlqSlyZHlZFvrOb7FpVeX9nHLmoMG515BeeVJ/wNgh2mcmlkM3xyhgtkQWZBhMXal+1znR7t0PSN
FzrH3i3OaPz/x46ud+zuEkpBpzehAuMUdewAp8aAo3rOFhAP4tglbiBHMRIs3eh+WtvIusgMnHbH
7rJYG81rc0ljPLD2n5tjL5oJBn3pWRt9RgFrtzrhhOIEQh917kPa2fXa2FZrizsyOugGle/TOxPH
LngUyelDHXvj5VLQJ7fXlnmL9h0e7NpI7449dVlV9NeJ2dCdsFt0Wkc6CLpnEhPQ/zQGMcziW4/e
LpwL79i5jyKamScSoUXFRBWCKQfp/oR2O9IBKrVaQpFd6nsfd5u9nZmftWem0rMPgMDRVQYm2mLf
jKIZ7RE1/a1vxMmzFxmsPkwk2XqDhIrWZRKlg5fFZZ+2t2B16TR1tSf76y4xrMtmZp2+Qauaqo2v
ZjAUtJNmbztYxA508FhIiHYVNpU2KUCXNl6rHsoyVmdOO848O3U1Xs19Iy5TVSkS5bWE7srie+lL
1KN+oY5u14xwvn6+NQCouTPhp++pT169gcn+Fm+839ymzLhVmCVi+VIUg3gos4JqhpAsv75rIG2k
HQ9aLrMrqInmfIW6pph3xdiACkGUUvYhYjKQVm2xlEz7kD9cwbhwEVuYdSzbbQVOP70xNdDAgT+3
aRIurZuhKGoHTr6LzawtmFolL2RbQS2Lecie2pprFYLPoAp2oUd9kXNSNYSd2HLYmZrZcmXqhpbl
xhw65sTzovRyY9haqYVl60YzjObJFaduPPYWXpqiDVuwQvmp9PP6EdKPuImKORXnMKArnZMF7tjA
izzjfs4Gpzwhlra7mGeA0dfVQsW1x2iY72O4gdAIZcWeJ8pcEUJU5xNQwgkoMekJ9P9YztEynuuw
6CeER2TJnwp3SrGe0vKTV/ayqHEH58MSIQEk7bXGF1lsnIEljVROZuRJ2vb9XtPr4eS/5xvdfPr2
L//QXeIq/6pyu2qBZgy/nffVc4vP+bf/9cd/pr+dtgWx0T9MPb693LeyjrnGJ1yJHnmMuKYsezWE
f8siwHHyCbkmXRtiAV3XtP4s6izrk00xZ7prTCVDxNUv/zstwDI/0TzBbqRj8LGoCv9WFgEeqR+K
OoIQGMQwVVlTp6HIM5r5cerR1MiONT1Tn+0hu807hByN7qAIt7OXuuvlFsJ8Qg5JI1+wDvu7nOyO
sM8t58IxpHzGsztvu6ZadqlXEB2lxcum0lZliDk5FyhVisBpli+WORlbTrz9rlddf6IlqMFZh+b9
MJnpyWKa0D5FZJ3PjCcOKGDTfVHl/n4xahDcxDjP7eqg1fNncnZnNMMp77LwakTFS2DUMgkxIqzK
0aw4KV2i6RaCJkNCHKHckJKw0WROix8C4Gapk/OaFTTEf7NzoaAGEO6eSPJA27mk6SWGZXXqesUL
MsQbUjwOqcreyiV9YRMEn8Qf+JH4QjHLhLktd0QDPrYFMNM2b+6Q2Bw0sByBmS1gXydUZQTCPCUe
KfBD3UEpsqXcjT6EPITqeejKDv6eRxfNi86IH4nO3A5eYGrnL3Ba/E2b1HexO1xMkiM57UySWQaf
7Y1wEBaD7MW11ADPfk73XsLvL5XI7hvkHqdpmSZXXrd0MJLrZT6P7A41wUwwoLDq68rMEtbdzArz
yfX2JQBf5EiRfgAqf9nnzYwhe7qWzZPoeLe2qJ6ASMiNRXcqECNXYf2j2imeSHS5q+b4nGJPbo2K
H7btCrZms67cA1CwVK9DLLRoVnRaIDSzQ4V7Z1tCvQ68xFmzZt80RxRBq4qnZhrlzi3m6awtVMp3
j8AWmbGehzX0ne0AxWXTEhAQTEh/LgRfjwGP8mESCWdhNeBkyLMPmnFn+H75HXu4h7SIQz+mh4Ha
8ho1nADxS/hWUbXyiW68fVLrdRI0i4m4rCoh7NH1J8eFW2cy2wuc1+gb6qE/TFHfH1wntmDhLBW7
ReuWxm0RF/IFY01zky79gwQLz8EYl4NvntRN+iLXaYk91XfJKrKSU/VE8/Qugte0QUl41/LbEhv5
QM/8Wm87puj0kXYYBvNtZpQvbp+/zVD2Q8sqkjC1TC1wzXY6q+rC2lmVNAM/YQxVJkCilbzzZ24F
ErCSkGbjm1Hb97qr37AzVnubBLgdTD02vNznEs55erm2k8mtsdk4ytxGk5xVhww/8cSkDvhbNuMr
VfYJ5rg4JDzsDtrzivxLPuwZRk1BmMLYF9x2afVhMxNlyoPUwDLgqEtHcKrQrHmHABuaOpTE0C/H
C3xtTyjVRKjFVX1SZFxa8pQGiEScNU/8bgRHos3xwVlsMIOR7Wy7eLkYbe4ZOqRABzkd7AoXsWJq
dfpBTul0laK42y8tcfB+TsEn7RaQlq+MTRab9mbUPZuqjRewzWYMG4gYuwXVV1AlzUM3sSDgZotD
KSI4bXWcvHW1/2qmUM8iLf2IPGtvy6QOdBcFtpWiMh4a+9plWTQNYZ46VWmFRbtUe58OCNFDFAhG
zDsS+0gAvbZ84UoS7uKLiwL11Em9TjsHelnMCVbSfpu8Del4MZX5hwekBUqmzDi5lO3GaiK0wim/
WuuDThs5rOx7xlmnUEXgAhnqIffiF2WIZw+5faiZTbpmjU5nTdQDs+PhDqy8ZeGziLj3SFTbeDZi
IggIxrZOPVQ4Xg23eLabs16Qy5jTi76CcrOceFPUPPREnG09T1aHcqjUi2T8HQxpQ67S0F8c7xu7
S2CU57wPwx/BzGExNlqu5jWOMAsm1qMTzZtFYKWpv7et/ltE6N9qDP3HsES//Kn1vV5xMqg0xvrx
BxJpFTb88D/bqku7+aZ/V/PtOytG929cnvUn/6N/+dv78VXuZ/n+L/94rfuqW18tTuvq+5rBWOEO
v24d3T2nVffbyXvxXj3/z9/+d/vKkZJX+I3K47d7lbbdc/Xb2/NvoJ6S53/3sr/3l6xPmDppFnmY
Gn9PMfqjv0S94WJJ8XVnlT/Arvmjv6TBOwLsYOHBwwVp/FCLaJb4xJADC6BHGg36ib/TX/rJ/Oqg
vbAN7HeUNvSzMI2h9PjeebpM5YSfIzljmDgUu9athYEQbYma6oTG71B+xrQk65c4t4g+CxLNVMML
k0hQeZmBV9/8J348nc/8nR3KcQCxrJIQPrRlEF5+tEt91+4yHGPOPR/YNTQJdl2v6VHsUnCUnLEd
c67TV6IpvQ6MvA33jS1nsf0Wcu6C7jVM18gCbTs5i0FPCqTw4buv//qbK+t7qtFP7A/H4VIRjS4w
eoNIWDOrfrxazCBRiQ9g8usuM6ZlI6nRDFgMtIL3c0cSHarmRFmA3yKXpF1GTDbekGsaHpO/s11T
c28QGHjin/1ePxo3HRqOFjeL7XuCbqWBO/PH38tAbUWXOaVXbxcEdC6it6YDUFSoPttmLDSoq8ox
FsEUW+RV82UaTWs4zXXaP3AzhyziBGeO2ry4QeJXjR5aztxm96VeuF/1IS8mhlgIIRjkqcHukW9E
+ix+Dzv+/7DG3MM9r8u/DGL7r7QM6SvN4dfL0Gn19lP/ev35b+uL736ydGK5AaIYEDS+O+g4HoQz
/ghgCH/L7shS93v32rQ/2dy+jkA/ZPrfTke/H3ScT1jk+EOPhcnSEYf9rYPOj+5QzdAt+tW2+XPU
8xri6rTF5EK/Z0bCNHCevyaGM/2trOc/Xt76ac3KXOgB41S5SKgapW5HZxHxPXk+9cd3l/n/8bj/
6Dv98/XXp+27Ncgvl9xjbORsfaTcy43US18ECS1WHcuUgAhqmU0X7f76zX5xrX7u77ccYDO0zs52
wmrHYQfjA8MnMBVPf/36P84R/vww64f87sO4PpOzjH7YttclfgF9tEpcbJlwDrPXVdNecxeyR8q5
kbd//Ya/+kA/rZH4reTgrm84sFYShJH0JHdZbZ+k279+g/Vr/tM5++cnWt/4u0/kpcsoup7+3pi3
0Jud2SRQV+atkRzsPMmMC73PibdsiPsCPk9Yq06WGg4b9a0180u83i8+oP6THdnDkCTrMbX20mVw
sHEW/10ijW42f/3xftqa//x8a/Pgu8+HD63N7Xa2t31M+Yu2yttDvPuQORV1juR4HEjdnF3tUI+x
njMcJ+gY2XjsGeU/2Vd+8QnXcdn3v0ERz+VQ2CNXGDPDxlT1h2sTLPDXn+9XL/5T76NmIRhJmqY9
O7fug6jR/VDlZv+EIvGrV/+JLVJ4Weq0poJWbqbpuyCo8VBpZPD9ky/nFy+/ymm/vzK1NtpIF217
y0Rk+AK03wpAOrv/uYVtnUV+/+oKjpGURkNqSE1AzlZM2qBCdFBkfPynrv3PoAU6nToDxYzFBjMp
BnrHQZ3aNDyp4V+/wS+WTmO9bt/du6U/jEzx4//L2Zkt2Ylr3fqJiBAChLhlNWTvJtPtDWG7bBpJ
IEAg4OnPWPWf84dT2+k8W7eOKi2l0FQzNeY30kJJCMbep0oN80dYdmfkBrUmWfoOBcoRu/77j730
MZyljbYgrvWTDooOijT2dmqm2nxUsLH55de+s5JNnMyQQiW82IHCOG1VjFqWtRFA0/y9/Us7f1jI
Imewsl7EEkrmEloRlD6e7RhqkAYsWMPHAWetzPNnouffBFT1kgPAjBpEvC2aq44Byn5CRkWu8Kg3
dvWL68hZNIZ+GVANqngBE7b9CVfT+k2Hy8+T31g5q4YVK4fVUJIVABg2J/jDpNFdBSzP8EkkXKyv
DNVLM8pZPWpeAeUHQ7dilKgtD9RO3iCVNcr873/EC81fHHJ/jw7U2G0Eg8OKOR0oKNio3fkCk3v9
ysb4UvPO8jEvaZ9yAnz+AqezJyMrdYpnVHp59t7Z92Z4oKHWteVFPOFh7ISCrDWABGgDPNlveJx4
FlmQDHDY5gUKhIfuWodwhYRcFk+eb/1+wAnolG7RFAYrKzI8OHxM+TS9XRu4TXr23wm0FClQXB6T
tNARCHZXZo/WDNX/yhK/EMMrxLP5szYbHG3omBZiqnQMfTHKF3LUSY2v7c2XmfKHFYk6UbZVbUWU
xSeGUyuo4EjppelbFJ4v7KYypRIn1Ppu3WepePQVRVe2e2Ulf+nMQ53AkytqzfvdYimUXOqbOphK
8Lh3keHUyI1tY5N3pt2hqK2ZVmcI7Cu80sY26h+hQ4aZl9cEuRTS/B6gW8mClIugLFDPOx8BEUnh
JwXfxr+37qQR/vdk55JZk8WszUAHVBWSfexPe1gu5pSU+y6vNKhI25tqUv0vHcRWXcU775KHNYpo
d09TEBE+c4HEyStdeWGpCJ1Qg90cw4tPmxZjoAG9NahRBmaeV//8/S99qXkn0OZwZLxtq7io9Mq/
oJBfP0wkUH7rnEs5GpAcb4MgRZ5T4iZzmEOuIDZtxm16ZRq8EAaX6/bv02Bqhi2h68gLA89Qes3j
cSTfVw0I5LGmNenhQTzDs4Eit14Bs7/D0clv3JwAj2Czh688soLxUs1QG9JJ5dscB55L7L8z87fz
2R7vYpjZmMLvOAlPeJ0Ch+DiZefXfSeKUc8IQ4Zh3YtprkyxQ0ycs1G/Brl6YVK5qUpUuNXBirNk
AUAMVAMmbI/l1r+GpH6p9ctc+G1kcC3pedj0O+T2Q5eTOvzUVfFrJ72XGne2TvAOuniVFVxxIWcA
h6Mj2D8heGv95g1xwrluZ7AUIbotUFGRXdMF7z8lePqF12clTjRHekm0EWjdwEL8YKMUL68qbDz7
fhmz3waed3TnS4rPGhiYhYloXoD6S18jLL408k4otyQYiS2nvRjg3XueMoD5lyTez38fmcsI/GG/
JE68diU0XHsY2MIGyU/cC8UCdq3QXWEsqjD+/hsv/QXOnhzBPbFrRWmLCIH7PjN9e0LBhfC7L18s
F34ffYNHzdjuzBY9jBeueZbMR3hN+i039D/go0ZJeAm3c1FNMr5tpErv9Sq9ug5g4/OuYydFhSOK
/PCQ2JZw6Enga5zWK55jfQaeutg5MFomEezIw6CmaEWSvzJ3c1lKr6CCc9Lz3iM/GgAa25rzOFd2
eows4fINEMas9po3NHOiVoTNMlQQN+HMBlGi0MkXyDy7Vyb+nyclzS7//lvQAsMsYs7L5TSAjJdH
KDbIhwwANL+Rd4I20m1My5YvGPngy0gvxtnA1nl+VidmBVgMQQDay/90PaYDzZMF761+XXejNeHQ
sNYgu2UWSWN6aX3yHxgnWgVZ4Kc6ofW1zeoDpGigETCY43j1nTunX1BW8EhNCVqP6c+hieW5aiq/
1BPlTrSKVUneoPD5BNwMjCrhbI2rEVtfuUC8MB+5s8GC44PK7U0sp8Sg+mcFMQJMD1hQ+Q2ME6sK
xaJdH8HYqVvgw2br5ufc7qHnqDtxOu2j0X1t55NCUXXO4uQLXjipZ+NOnJISMo4NGulTOpDuOK3N
N2DoJs/GnTAdpgwUHJQ4nlqGIjvWAtsE1epriNaXPil9vsSklwLHJsjQ9WwO7yc8j7xF0bd8hY/9
UutOnK5zTLsYLReoCu6nfAccE2ZaJuCT55xxQpUOKwpWYaJYbLFCOVEA0X2hLTU/vKZk6sRq2JR0
7FeFnbWc5E3WogYA4qbt5Ne6E6x4c9dRtSVzYbLoKxAw76Y4eufXtBup09aqbQtM0dTBA5bHLxuc
Bf0mZOrEadY0KoUBuClaW/MjUOdPvYApmV/HnTjtxBSMGb+ofJsLjqhN70AFIJ49d+IUz7cW1YUc
eCG5/gNC0ieaqFccO16Y6akTpYC0VAH26w1O75C85TudoN3bpug1i46X2nfidKkSuMTGoylAGiGf
Y4N1IIdWNPQ7aaROoM6oLSey7GfYZo77sV/T73UDJYrfN3WCtORwUwe2cy5g/Qy8odLounjt5fWF
gWFOiGYdixsdKFP0o8nu+VSF9zIo9SevrruuQtRQMxqQQoqgLqFQU/Zzyhu/3dSlOqOEIWtL4JDA
jQZAIOTrFznwt379dmI0tmAGNhHahgffExCDsPCY/kes9l8+zALS9nzH6G0JhkxUwfMb5tGwPy3v
mp345QcocyI0DDXIrAEAYNB1v1Fb+oWPKAHwGxMnRIMa53TUJMyFrLt3KLiAjPO/8xH7fylHyKee
j0ms7RatSHqf+n25GmExECd+OyhzAhNaRoN6G9ztmKrueL8WwBJ6vYNS5oQl/A9WsAnRaQ20xQIb
6/Sj10AnTkjKrB3hj4SPGNfi+7jC9BgSd7+m3S1zWMS6WWYKCKfCp30zFLyYaDr6te7smuBArF3b
wBZ9CvDWTztxBZvTz35tOxEpZDNdPOFQDdDgdBsQ9i3OIs+NLXFiEhN7ANESW3LdMEjVpzg4wpfx
NfuvF5bYxAlKjtJ3EydLcBrYIwxY4WPmtzG4WKq6qod4qDdTzBxqCxtNOg8H9uQ34E5MWjyQb1tX
TiegDGAwj8f3IWqN50xxwnKcofALJBpHacjbaNY/mngbPUfFiUtIyTYy8Gw6jSp6C4jcDzj0ebbt
irpCC615tIZIG9OI3M28gjt6vDK/UXENVuopXiTOs5goyc5A2Wk/SFb7HbBcBRfwg7EVGSJ/jQBo
R7VHyXowAfew8VtaYidAtVVxibcaWAjF+ltgl094fPjgNRVdQSsc3MjIIozLPANUMcwAkKDaPfU7
R1xqrX7PEo31kiIfffE+Wte3c09u1mXwjNB/S6x+y0C1qDgCvjyaCi6iewnB4elSauU54k6EztUI
beS8mIJo+S5GmUUL8KvfiLvxmQSo3olgwEihfz5YFY6HMG5/+TXuBOiGF4WJKzNBAcC+VKhcadLk
0atpV/m0jqYUnAZjsYXS5rJPh3OnwHD3a93ZPfvEdtkCfU2BJ6Qd+vP+AYU3fu/yoBc+n4Yw7JtE
HaIctIc+BXVP8xjcBqg3f+/Xdyc8bRBhVYxnfNFl+weIo3frxL/7Ne3sngYbDyq7+6kQrHq/an1N
lPKbh674CHQdwVoZj8W+DPVpsfA7h8fsD79+OwfaZo/LaVzFVGSoWhHx9qD4a8fOy5/+n08u1JUZ
WbifyEWnYK4oSNHzMWXt/cAAdrMtnbeDX/+dIE2ACepEn4yFbKKvso4/oZbRb/OPnBBdIUmUwB2P
iP9lulomIHxDECcLr467CqOK1kkzolypgOr1k1oCsKIC/dGvbSdG63XQYiTgIIJFE9vTHs1bjAoN
WQu/Tfri1v37dhHXVcVR04UpuQbvGkWfmsHzLk6dGJVNMuDCjKbLLXtnSPOmjJjfMxTqcZ71WvKt
VMOyjUVUKloEnBrUeNjGS4pLXUElTReSLA1mInz6NkAChwIIGT9FF6VOmKq1DAz46GPRLcCwkyU9
D7byzA67YiUDFOUcA01ZYHm8XTZ6K5PVL4ZcmVJmAXduh2osUJrY5SmKbbMLhc1vmjsBmmGWkBVo
hQLF/G+BGr0bifHrtysvGhu8TjAbDMXE+KcmHN9JMfhd4lxpUbnGSlS6HQuGkQEnCry7YQPYwWtM
XMm7iQCpa/tswLtNPRzAIHw3B9kHv7ad0CQE96wuIUNRNZFqQSbdl9NMAuY5ME54tm0G2Rig90UE
2+sDnxl7Dw/V3fOLxs+Df2kTWHPxaCj2SwlsOMUP2Ek9X89dGdIcdBzmDz2mS5/FBCAxvgkA13m2
CL8cjvv6PyCPxQP4fwBt3/KvwK2tV+Bx/l+GxX+Zj7uQsJ6tjIYE67ZHSV9IRoH2xXt0Hlz4JX7z
xjmjQ/tLsmrtMG+q2qaHDom/ogTE0PMNxJVKgU038xG4noIH4AwcFqvVrzlLAfb167+zzoSKkthm
gS7GepuOqmKoFZ/q5OzVuiuWStN1RaUy0cWMwT8Q8G8OEW7ufn0nzlHASKgHJ5QwF1Ocwl0G3ELx
TWxrV3m275wE1mZko10xNn3d9oAmqg+rDP32a1crJWlvVZDOGPeO66sNDMOzlf1/Z9b9v/lWVyu1
REu0aRAJi7ZM9k+kL6srFPKCnO/3WZ31JsIan1DQwousK4HUTWcexXlS9mzw/AHnSICHRNF3esHI
RzDehoHkhxrEIL98gCuXSoWiEDCPukhj8wh7pXdWmEe/gXFO7FW5AQYpq6FIu+xr11u42wCE4jUo
qKl8vpCNGxDOGh4sBWr6QZAN9Y3oXlMx/et6/J8XmtCVGQHiB3kdh73IAixoCcBZB8sNkjYruL4q
q8SV0pt9nNUkL2Z3AYMfez0kTyhxS4e3KAqexscsVewKDnymv2pFB2BpKuFF91CtAycWwHJgQT8A
2hvMB7INnfjWg5U7HICFb+gxTJBrP6UadtBHOG3I7cDwSr1ez0PA2wKQ4jqGoXlrt0MIHETyOYCy
d7sQD6b0GKUr2rSyMfu5GrIatGRJdxBi4MWxH6dFRd3XNY3j8i3cYoL2+xQmw1DwnWYwCF/x9x5B
XU5gfLMkHBY7NASAeQPY/QqOI1V2x3iHwi0y7PSR8gyoawojZN1M416QPuPb2Sq5xMdlBE3stKQ2
Rgpb1gtow1KrHufZDOgNPjYRHIMAXw5vbVe22bWMQhMXO0bbHpJILNf7HqgHIXG3LqAAbdO8Lcdy
f5QhkLdepxAU2zszCGZPy6KXvgBGAnxkPuzIocJEx2+CuuKaoWsA6IMbepEhl5cntL2r98qvKCZ0
tTXAraNon+u+2HoNan5PbFusYLn5HS7B9n0+NmHXhHsQtbpglUrWE/gi8MQCjBGmXz5rAwgkz3/A
qMGWQW36Au8Dv6yOb5Jgeq1a87Lw/iF6ubMga6Ail2FL+6ImGeQ7ZkpXeYCFNP3l13dnPV4SgHKW
mQJjDM4f7Ej7IcLTJqfU7wk85PT54MBRTIZkrXAEBAc1n1Pbnpqm8T0COt8W5hczkOpRX7Ck7pHt
DHJaRZnfrHcVjuBib7hASQ38rvpZxuKxTBu/eHX1jQteIFdJ0e9kLospkzdlEnptgnAZfj7gyQJF
VojMaQG5LNA/QQYUsAx7zzFxPudIqogJPFYXYE2BCyOGX6wdn7zmYubssfAMzZYuJX0xb7N+QOVg
c9VHRl35te6ch2vWkLmjbCpg+xHfxbi3oax6Nl+8WudO3wFKLdsdprPIRhhgG+eQHXRgiVfaLeRO
3y1BLTOQpD0qUaW8YdGSGCDYRuan7w9dtRcM/CoImXpMxw7u3nUH5zjcaTevVHCYOsebdFXDDlcE
3HS2cr0u43IuUmJSv9U3dc7yNIKnXHOJ0rZRgPpb2DPOBsawXt/VlXyFY7jOK+7JRbB10c8aavOf
uwJ4/uDXvLN1JHC2bOtW6AI+PUtwLbIuPJDS2uSVt8MXCt/ARHy+GqAetCyZ5EBqyTAan+Bru/SA
x3RUH+3UB0+oCHsIgky2R5ziRHaoMlzozjWo6r3f13dVMzYF8qhTIwBi4xp8V62NfowBdgGvAXRl
M4Dvdj0ccFQBa+KHdNlv5VC9Qra4DNEftt4LTPL3dHG14tWFjX1XTCutb0IJHwQAoKxfSLvCGStY
wxcRqSISvAezmPPhpk6BgvKcWU7vUb/MyNzi2G+3oQbVX7Xgfqi609IrAxCmzk7ASLTjunU5mZQG
NtuqgWt0scEKmnj+Bc6SCsjQiEpg2hVRFDaAwdrWxnAIiRfP/f3fG9NvT7xs2jEtKX5gmynU4vv8
CUUTP/zmpXMgl0ZtBgT+rtAwtzusVfRrN4lnx11tXjXs4TSJVBULic+SihtKJ6/sRehK8xR8fSoL
cEth4ou/dHDx/7T7e79BcU5rpoYVUmiXrgB9mJ9m4K5zlTSeR2VXMAZXyD5iIC8WaQJr6yHjVyIO
N799wJWMwa2kqsoMcPXs4vg4jSqGqVm7vPv7wFyW+z8sNa5uLLNiW2yI/V3u8YCjD5mq7CRJ2Pcn
htNt53fYT5yNmG+sBKOt6gsyR0ZfzI3ayzcmWe+3FyfOXgw45DQsWYPVOKGPsyHvYbzrt9AnztwB
/cFwMqLvyFAlxwb+SLCoDDu/z+vKyDosv4GAKvAUpmP5HhRs/QizSr9qJtxmn+8ksoFtH6GTvCwG
/J1WUVIYuLp6Drqz0mtkF0ipOonHcGQlwL9+F8RwTPn7zHxhE0zo867Pm+m2eWskFAJAOB1QfDh8
2SUAqp7tO4s8iDGAuZtRFvuYfkfu6F6l9Se/rjuH5ngheK1GhSCKVnt4uw7TvPy00eD3uBm6grIL
p7SrQfwvMs1LvG1M/FqxZPab7q6grKftvO4jOl9WNdJOIRyxgCHxXCpdSVnG9nRL4BpdhNaE27GD
b2V3aLuuXfwuoa6kjC+wicTJVhZhzbYjrwiBxz0v33t9WVdVtrEGN307BMcqrNb+poVZygOlOplf
6X30wnrsCstYHNGVsRlTh82JejOEYTdfNWKBiw4uYjM9J1nMpiN8cdf+LthwK7jTaTuoLzSMYO8B
FOJ1GsP9GPjpcgbCawuEeKO6ZKWwBxg2uElWdbl/78utmc+dxinzMCft+iNScXy76NbcbE0NpH05
w/5tB6SiBlm+ifenOkR9yztxAUk8dQ3X0xEXthjoWTXaQw3ya/XQ6jrYj/ivp+Y+omW/+J1oXEEc
dI0DvRQkwxscTlpLJrI72lD4gPp9U2eh6QOR9DEBTh+I6J+MDu+ysHrr17SzxuCuuamAWVHAcF3n
ksbXtJ9eI11c9p8/bN2xs8rMc6CqfVpFMWjANK7HaZewuN6gejhaHFWra5YxWftlGVyRXDjA5DZe
ElEE+sIhFlaedy2rD17j5OLB6q2ccUeMRLHAPu4YlPsnUEhfG6cXQsoVyYWkamYxzqJg8Kh5hKo6
fsPrav22tmHwSobnpZ9wjggwHk0rCp/w07RGgh1rM4wDPEZHJNuvG4uKtlcu1S/siS5MZm3JME8R
zIkMGNLrmVL7QY9CvHaxemFG/bso/XYtgfqhmhcmq1PVGCHOc7LCT7UN5KlROwf9efF9QHc1enAP
W1U5SnyTjgbQ0bFPWOc898fIOZYE4Jkgz9CJIsSLmYns2UThK+v/Sx/aWSvSCFLRHSW+R1ENqbnO
5JSce57haZ5ViyRe4oXwAjj9/f6foG3WNGkACghAgiilrz5nQ+pXORu6Or0JFitNs41tkaaAo0PS
zfOyDj1v/65Ob2mQco/msC6amMdnvWzqCEtMv8TIxZzs94EhDHYEMpXlMVyaG1JGedwzvzF3JXpb
RCRMXtD0vsenMhvOqqF+CRdXorcBhNZMYMofRUNv0yS4HWAC6bVwuhI9qBZJirlSwg3YDjftNJki
SKJHv8ady0OZpPWyRQEme1hNJ63HON8y+AX4te5EKcnEWCYkaIq0mfQtRLWfhmrzY88CHP18osC6
uAoWuH4XcqPyPGemuyKD9FO6hq5KL9hW3LQUXCWath2OuuZ3QTpOJ69xcaV0dZ/B8zOGF2O3DHi7
7Yt27P02cVdKt9XrWqkKBylp5ibv5o4cdpm8sjS+sDe5SroF6vwdFX6Y5dMC+/ZsPGgGorDfoDgb
7A5Iz7QY3aBqSW2HrtL9AAx6l/kJ0sLwst7/tvNlakPNhUgyFFr1sCrlshxv+1U0fnWQoQv2mllX
dukA215lYZIs3kEF8MrI/NvEH46BrpYuZnsIOFVVF+EWwGuPNCpBgRGcZ8MnkJL6okmyPcrTYVHJ
iSGfbA+DEckChKVm23mYMzKcdh1W9JtKE7oU8AtuUr8M/L9M/N+GdQ2GENwNc7kujaa6biLC51M9
iak7+s0LZ6fsmsYw+Oamx3WsGVYQeJzAAyRhYeR39/j3deO3v2CE7de+lHo+wchCnxSP7VFnsV/K
05Wy4UyVRDpS8ym8cL9sMqBSO34N7f9CPLpKNrihwLXNoPFlBlxZTvGQ95L66eRC4uTb4hq2wM3c
zSfahvoAR8U2R0biu9dXdYVsveAc9qQlXHporXIeBCjgWmPit/G4QrYKWlMCk21z6qGsyXvYpj3I
NDIf/frubJqx1ToK2WBOQYb0eyz26tRsiefAOHtmM9qwx0OsOQEiSd92ahXfGVz9/M4prohtT2DN
bOYFDnkdkwegpUGEiUs/6sl/OIPJzER7BO/MU5Ou4zkpDQDggfAUe7h638jSaJfCTKfIqhqKK/OE
8ur1lTX2z6FEXLnvbOHGDr7ddNrgK5gLWEEeUuF3mCCuBC8RM4PpDkZ9V8C1WLP9ImPtV0tIXAle
sGuYQspoPlWonjlmtq4PWI/9Hu+JS/raUQZRNgtOPqmm32FQ/6hq6ldeTVwJTK2QUu51PJ9gz0Xy
VdPyVJaQ0f09Sv98jyOuCkbCRZKKPuJnVspkeVvPqlHnjVE5nuNRYxf8+8+8NHGceC2XqIzDFn8E
3GqC40IT+IGvMDX2a50+P7TouoShI0PrVdXBNxxymEPWb//4Ne7srKLFcgA943jSq94OjRra46RK
r42PZE7qKtMxMSpJxtMi5uWsak7hRJ/tXpVF8Ep8Pi6bihiDreV4MvUuz+EkPuxhm/h9UleQuNcq
3nvkek6a1+lBybU9QJLqJ52Hh+LzrnfplpqUl/oE49Dx0O66yyO9+ZGbiKtHLGH+BstYpk8w/6sP
e6LkgQMtf/SaMa4YcQ43pJzHip/bttufdqLXjy3pXmO9vxBKrhyxjKwN4faoT8kYoh7lcuDQNHwt
R/hS606gxmGIdPWWZec4QOocZoO97J78hsWJUoHrYwmDi/QMzlcp82WHTNbU6/TZr3knTkPZR/1O
RpgwadVBiNiurL5joey4X6y6CjA98RmneJ2dsynM24zeSOJ3EoMd/PPZDhDXYDaKplWM7e/yMN/5
KWOJq/yCgUJT1nCQPu8X9JGwYXyIa279Vl5X+dUSWZt9g5soKFxX3ajfEuZHEySu7IskULdECm6A
DIKftgvuYpgVe02V1LnkJsAI1WMEP0HKZhUWsZaou66tmj/4tX8Jrt/uSp0Oh1bOfXqO+3AF4zye
4ptLqd5rPMHLIvifN13i8r6aQOiY25KdlQ6mK1Mui3qYUlJVJ9SppuV1Bf/4+t7s5f/H5fpfZ6c/
/agTvulGy25pB4lr62q79RDKRlJ9EgJRJ891uQoYi/cKfjIwqR2wt6/tNnbpdS81q9UZF+tWqFzu
Ytmu63ILym9RZCG76wi01QLerttubY5Djh7uBAu5vl+m0obseg3idBD5uMsqaHLY7DVRlY8m1TgI
wS5V6zzJYDT5TY+1mmEfL9JGXUe7AO75uOFCn1bHbVjseBCwqV8fgZCzS5MnAh48wHxvzTp1eZjN
AYvhgg12u7gKtWBg0yskFY3KUVcgZ3QQznndB00VLjJt2vJfCtZw6NY8xMsRdnJAmM4YIXFYFkvh
s7rNK1yXBImm7luPrGo65+uI24DNYf1X1V+6JhbZD1XNcOJBIefejyoH7avdPl/UYld6Vxvc8QCN
mg7WNhP8WlMUTpanHU829BTQcp1gcouZlh0WZrdEHemyJ+Q25AvLzk0y7wq1VUO/XQHj3x1Sphd2
35K54UfSRDY61CkbcArjih+5AgA3X4eKDR30m21fV0eT4b6fHpAhWeEPbsahG9OcU5aibmRpijJO
cWzEWsLUfIOv1ddNPnKc7PIsDKQ6zqqjXwej2NFu+5r+mJt9i8567BPxsI+Us4/1APfmh8iUUXS3
lzWfq6PcUaMSnzM7hyAi7Cyd5T0qNDi+l24ajc5VZM+q+UxANcZpDP6zu7iCE/xqvw9cNX116Bdk
a69TFDtmT+GartN2gKk3nMQqHlwwkHKWnQ1QxbJDpgiCTjov82nDt+z7a5ogkUavmeh4nQsmsjMT
dXfo2WrViGzKFkzL5WS5TLdknsTJjlijHlhfze3TutKLB/k493Q+t1EyrQeYn8YUlNh6k0fca2r+
hZuo62+zdcfFr07IvI651QbZ9hzukinFCcqYKIoOcIGL2neh4CM7A7Ai1tuO2hBpZ2LAVtvxzGyW
CvVPZJuYgaSQAbJG5PydwgdwO49LGuvHNFEhP9blBGtV3H24RNCouF+OE7zbpwcxk4o9QZ41qHO7
pSgTynrSJzd7ElBxF9ZW7P80nezn+BiPQR8/DAja+tTpeqPXWoXt8KkOFCcUy5uoWJKnKs70AzFG
hN/jtiz5lpdwU6wKa5cluSFjE/efW8s2eLnSiaAavbJRmAHtnDD5ozS2ElUuBsG/JxEb9CdUl+/1
Ac8/2Lugd++3e+hYJ47/uQ/iH307Lvu1onrbnsROwvCga0TSjzbGNL+qBN0fTEaqM6EwqH3Dxzll
J8IbXb8fRL3uby2E7hQGuxTcAH68kIjZ9WRN1/0SeFqpb1s2RFvR960si4Fm4Xg7D1kKC9w4iukX
eHvH2T+hFeUDSsiDG7zz7D8g8Vd5a5PqWAEQFBzXBgb1NzB5WPYrwIOizzJr4uyoJaoF36UbvOYf
wqpswmvbN/N2Coa6Xa9gOExYkbJVkE+ElaJ8Xw9ZBZPtzQRgIrYkm1BMoNi03Cz7lIz3E9kNuY40
0/IDnDXK/s2cZGl9JrXo06NZ2wVrp034WJ+hnw7H+yFb2A8JJkB3gCdkaN/UKxmxlNT9amFP3pux
OsLOmi23ogXg+FxWMyx01yBdqqeaT1l8rbTWLDdlMLLvdZ3BwrjqJmFa2HiHJYE5EGzJ4e6uJnM0
lpLgaKaOhnknd6u/RCZDD44JqULgDFf0ogmqaczbNZi6U3dB8uQA2u3iYYBxc3xK9Gi/UrJZBv+z
CpawB1hBsHscl6qfJUI4PbSypgqGyzbpP21DlCQAHCkF5FkeiX1vrq1BpenTBn+6Efamg0lXrPe7
tn2ftwbbtM2R8V6mHyI0pnq/1Ht2C7O3EbuCALImey/R1OVrajOPpyRjeI88dZaqJEcRZZcUMgsz
cVqWKpJbXoWG77d2nSqkLlb4P2VXpNxwUEQ5W11fT/BCC/J9bJrgkSVipMc6ZnNwnMgSZkf4pu/t
x5HsUXu1mN1mxaz6oDwOlpbbXQSLrbcXL+DmEekjmKjmjZSwjgc6vjI3mcA15mFDXoyfY9Fg0zNl
mQxQHcf1eqcq0opDv4+hOcR6TAMUL4xT2ViU0O1T+N4QoVAa1MXGvG1WktKrHg+77UMP3F0z5MsW
w+YGcPF8sGMWXodRNpk3yTQE3TfarFzeMRlNmGhdrWT9TyT5jumgwG2bTn3Fm+WMv2xtT4kS8fSB
iaUub6aqaaNrVKMyeT+PFM5YJ6xJkh1haBSVP3fwkgE2n+o2uZr6pqqgtEU5CiYKB0zppm7Npq90
qyIoWCkUreQ0aVgf5ovZOvrYBRm/WWDl+pFTgYQvMOlJ+RSHtQx+QWr/eJF5XwGlQrez2cb0EfLP
9Vc/DcQewwAbIPxoO/FLo8rro0IZRnLFsDyH+ZINYrsKbfdJjHF7BA65eY9bDRhJOwlgSCjHXaWH
bKWY+orAsOFh0ety0BMOa28FxbveuTIBPdq2OVJQPd+xtFvsvdzpFh+bpp2SR5UNPDjXfaAP9drT
HG4SBNNAWXkgc7JPX8eW4lrGW4BUDgZ3wfvWoO7zbR2DpniEzKm8tfiH+72S8PTG2Qm5BSqi9djG
4/ZZjGNlDgolPtsdkIDRt3oc1zxu2X2tBLlepimICpT06+h6gALrKkt5/LiHCjCYOkPUP5EQsZhn
NFgwH2RyoBT7Psnapjti1ZmGhz2Y+WmBv+9hJuWdbgP1Acze5U06Y4k/JlJFx2bof+ykHvJNlc1X
eKu0d7GFC/rBTngSuRJs3GKcOMzab0cyJpH5NIQVykdx0NoT4AsNiINg9QnMg7y3QfxE4RVDj43V
YfeDLxHW+wA1TLe6naCdbiEarm6zyKzLL+hrTJNneAbd4SVOl+SWp2Zf/0k7Zc/VYiBdzmsA+t/w
wbD6MKxBrd/VEovh16hXZf5/mPuy5biNbNtf6fA7fIBM5ICI0/0AoIqs4iyKFMUXhCRSmIFEDkgA
X39XqX3OtWhbuu2na9kRpkjWgEpk7r32GrQJFK2yvl0dHFWKMu7GtNVClceNRFbn4BxZd+YN7698
j2Lw62DFLbVbH+VDE5U9LlUFWXqXBFNxS5Qqlj2IkcPwDpw129zDgIBfVmFdzGf9tK7rtYADgsr1
gsn5IYZVzpz2jniS0mWaqic36DJ8ris63zSUTLdK661KPSzYEVNeDNvCv4xRPUX3FomJwRPFKCz4
EHPspLBtspZBRRt3nK2ZqPVMslIhgfZY1ZvOpskJ4N3cuSITG5v30rqmOUNzsqkrD9LKbYLDVuh0
9j2oViW7Jkk/ZKtApKEuQMvD/u3SoHEF6MeVy4jeBDKbk/qw9nVW+OFjj8ivVCy1P3jw6Jpx+AA2
3pqtdIwzUsUth7mJR1yCHpMOxxcEXbIpQpi0uTUvu1ihsjcKWX1zEl0i4jtY80pX4Tnz4N+uBYai
8cDtLoLuN+s6PaU1ZTBf0Hx4QNX7zFt24yIEM0QWt2i8npjYPVlQf/Knsk6uZppk4xThzoii8Kxq
u3nItqbB9CgI4/uo99MBIWCtTqOmo2dtrJLMQep3a8JOHoNGDDoLy/EafYadz0gnGJ/xmYX9dK2q
qYJTRgQr2L1Kmm68or3yAc4KuBRcJLykeTNOdtmzqI7nm2gINQydMVlP3sdy8NV+7hC9dDuRij5J
g9ig3MQFsCVZB5Zfr4MqxD7UjSc3GGjS4Z2xfLthcddFZ6obx2BJzQm+GGLsuKD+gwMpz+ZIoTfZ
hjK5KLBlqiWTcVzerqA+BdnCcfe+M5uf4O0BXTXxGWwyizYTSVSrm9YAw8TFK7tpR1fotrs9tLjR
ThZ0GHIdFkRlUV110VXs1CkpmJtTcS1B3a3KLJEzIzkStsPI4UGgGR96K3aN7GDNlW49JILvFaS8
9LE0fLzUg0NZn1VlE2RRA+tBLF25zKnwHJsEcfCnOC+5VygqxRKiFywtJrmwJNEeGUs0DuyhxosJ
79yIGzMjjE95u1ZuOGsXnCcfWaj9vCei7SJk4GiY60VxTWW+iq76ksysTA2Ntr2TbnkahqIiaHlY
0ZhrB7YedjyNkr4+0lp5zP6L9Uaup+DdTW/0wkjZhjuJ5KQF5RtK3VxvMWWPvpuD8tDygdn3riui
+d2gXZRhNjeR57Ur/JyxpQ5y1VYPyeJcOqvgdW0hJxox6Un10lTnlVUwR4mh60exR7Nts4lKBRry
CbTf9t7qkJyTlvizZXTJzveCXrQ0ST50KKiyZW0+lzCyvokAad1WEeElYgrsPfPzcRxxMhylL9eX
SDXR4zQwWZ2TuoK8YGvMllxNAdG3oYf/MOzv2RWcQ10q+QonEhduZyhbpscSkJO+nQMFgrldROYC
UC6KgD1KOZh0HeUVxpDwGEAoLtWpCcsLbHHzYdWSPGB3L3ctaXib9v1iQY5B2AlhPshKjwSIvMWt
g+vjPPaMoj6vnSh3WBgIDOPlety4fJGytHfIaY+PPGyx4Ginszrkdx3T/UO0dcuN5Kq5K0NlwHRy
XdtO6RLWiTdpif5t3a8ILFzP+UzKRx4t6mibVSZ5M0w86ze3LftBN+y4gpAbP3iksN+XnacIGiB2
EMF50YvZd2mBe0XC+GGtwpfaFqt9YIzzNZ3rfpEgJ0ezX/P6ZKZz6NZlgxGQ1NGqkBU9TQarbKnp
2OQln6PgOEcxdNZQ7PvwqKuoSK5NsBi7n+FcET5uvCM8S9Z4thcuVqx8Ri/WTwjNIAE5V7Wq48tm
mTvkC5fDjK01Ulo+Utep8GaijqodzDvWAX4+hleHMZiT7mOAOxMhbGytWZ2Hpqls6liN5iqxTtSZ
7lB1+7SgAaVdurLV1V8Wyeh0OS/jvH1GzJpHgV9ZyXB6d7iRmUobaLGaHXyhCnKmZVc3d0sENGs3
DjHt91Zg48vRo5fiMJ0IpbtJ9ITeQK/UsAswwmmUR8nCkkMERdrytcYp2t84Y6UKszUp5+poJkND
nsJmRqL+2xrSrXcAewQBrgMS8nZhTGewE1WDQA2letz69y3gF/+xZW1yiEcMfanpvfgYGdoGzz0o
AwB+lpEhdxNjlSrD6kDlnxZubpEAo92Sz32p5QcOlwr7KH0VyidjpoQ0ORNTgGKlGFgw33O/NUuZ
BoQIiiqn0H2WFLQj12aTy/o1hoFF96JrCAV3skF45bu1q5YEFhps1LdILWftshtm+BWfJXVAxluO
+xN7cEj1qUBAPJIA/F0NcIw4b2hY+XPaVm3Y5/GmFz2mHee8RLDBiI4a7UszZSuKVBTWqHusv2ss
SkR/lrRlqx87E4zzfmwCmxyMSRzDJ7YlXucT6Zb5uU0Y9KS8ahPzbH07zXtVhn2QJa2LLuqpLHg2
gdphL9emiUt8JKKGvNVgbpRpNU/osCYOk6FHt8WJhPfEVFyOJZnOfLHIdxMlqzWpZdumbtau61KN
hNgUervSUSTmyWbcr16ifCkRqusOGzWAHKrEidRYj/o5tc56cyciL6qvM8J65G5rw7DKuYed15iW
Bqkp5xvv2ecV2Yx1k9IxSIojAsZjHmem25oAzdUaBmfLhhV8JgiLxNHiZGk+JVtd5esA45ObkRi9
q4Npc2AJBEVwQLNGbRYCGceuKO1UZDAMow90tqA8zr4q1SGpTscTrpaN4Fc8jnWGM1D1jwxDqXDf
VNVgcxWw2u/mBdIcwBgBpIubqKL6WjY+BARUr+01lA3u0BU1H3BHFu44hoDurhJSWnJAvd09y6Ya
/fXQenO0kxi6KpfrumSMYeMAuFgWzzByQTNS9thN60a3V9aGCcQRMPHyh07IKlPbiqQd6JnC81po
2l1NlpruShfOXDilxuYT0Ytsd6Ns9XvAKHTXBxRVGF4Pl4d1E7HOuiX2jwz2Oq8aVvBhWsFQpsYi
RqGTdl70e4qgc5dN6FXHTGJUPyPsUS6YV2DfNChH9ZJ1DhhIBuulZMmg4VrLNKqweKe1JV2mQP0C
6RyOOeRqTAYLwNAGW9IfhZ9Z9bT4edoutxiH3QOMa0Zy2fPa1SazdFb1xShBDIMp4LLkIW9Gh7Ty
+IYg+T2fR7E0sOQoENg8oKgQd1FFAccUBn1+yhHmeNyaIljAaJ26LW8xREeVUFjI4r4UA8JmDqQF
hJgWsD2Rr6MFrIajDI0LwiaXEByKzWJ7uwpkMtp7jNuIvvQwMkDd65FSeh07eDRlUmrlb3pMQz/H
Gzrb56FktvpQjSXUcq1VqgMRsI/f9yRBd4PMXjQBLUJSgAEhDBJ736w+VDVQD2DMZt8at0Yp9oil
qNMNWDTLW8GrqrtYvQBwkkJgFj1rowaajYBW5ptVlZu/C9UUiCdfTIO7cXOd1EdZJWhpdr0r2vow
l9USVdhvCfvaetS0z+1a+n7ebYmCTXY7TtsDJgc92G8zIKZ+SRcc8fp8aYzHnU2mR0IruseQJ7qA
uwIOEsngcZ4OnjvxgPvBd7ukshWaFhkNy6WXbmg/+h5oTIoe1sVXUUD48KqaJGnzdiw0eR+QrZ+v
11A283UxIuLtTgJSJd+AJHetDKXDVzaYRJwvUdmFWRzDKfsSB1mJw7pcGPF5wcUiVYaQLBBzsy0C
++V+hq1ReOSwaAovsLBEe3ScxgqZfeEyXCUKAGvKFfUwOleVfg0ZratrshUDCEVF2A7ncJwPyC0E
j4KPGeKbNo/BzbCqPYIXvd6Doqb6DOMQ5j4PvjcBkg03Kw9BBwjkKez6CQ0ER+WYRzpRDXoX1LP9
tQPw12ZQLljjUrj5ROQi5IShamc2GM5rECTmz56sicG74oU982Utfa6ZUu2uo1ROOUGUjG3TSfdr
tUch1aEjiOE9BtZkd8r1QszZmDdVnSzHwmLWmEHgUSYsh4VCaGCIXvQYRGOGOZZHPi90w9ZsVXyO
fXLEmH3CEZYCQI3aFErPrcmnfnDdPl5cNL2KmrVdgBIpii1FUC1scL6qtu8gxGox2rImm3sch3EW
dDo540SRdTm0kaTy0WlEsFye1tyi8MbruImzJlroeMNE3S0fArybJEgrNHuj259sqFHfz3Kb42t3
ak0uimBsF5wxILpuabMWZXmz9pFBTaYd5eGMmRJwJpFhSMK8TUPTJ8OXesWWDVLeKvrwVds5mPYu
Egx1IW5z9P6ImRn10SSjkzesauYSJ6Jstpe2whjhuWn82O7jMh4C9MGTogNSjrmu72JUNTgakFUY
s73C1j69VipmXqY2SmCz7EXs5PsImFqN3BYA9/ZzAh/W9lEFbgxuxxKTmrs5aSYDzfsqO5KJeYIh
MfRuSneHqsfACoskVnSvBeo7vkMAopsuIN0rmc82DH/GHk6OWtQiDxm38sIrjIAuUURIftm6ODb3
Q9e0+ihK6sdD4JBC/kzDEO05HxYOuczYBy7tBPHB5RjCXucucMbVT8GGQMEsQQEw7FbXS31dGwsJ
Sc9CMb/fOnARMxkaTGdq2g0wKdJlYL9IblTxngIbysiAYIJm3o7BhmBsnVOY+nUHr0q6pigzmi2L
xGLd+ToOCT3XgMf9WdfyLXyMKsvYsW4xwstU2GNyv4MQONTo7QYg9MDtzcKC/aQJcRnlfROkuOeu
uDInKGpgMFjYhxE40dO+DiIMaviA2cyadshGk+k6LYrluhIsPreLS7ZzFS9BOMCLjXiXpC0tEXKG
5itqLlmkjXlkBnbor6KMXX8ZAtQW+45VLrn3HjOVvCsB70FWCCbZbT0MHb8oym5o773EhblYiWzN
MXTIwgFQAWo5ssLXjd02TvTlcWl00j6gngWKBMSQr/UEREH2gJpjmKvVYeZwM6sgg3sEX1WOAZ6Q
yb4Fj+/kPSw+wr4vNFGWJHB/7Hc9ZjjGHUTvNS6sFY3St4vGRcOwEysBceFEJOs9xWWHbClhVbs9
YOwBYGvGnbxPtk1colfgwQUJCiCIKQ9hO0dO8zdJzsKGc3XWNmJil1s3QjIdkXW0H33tEkB3rYP5
xN4iYXqt0sgDg8VwkoAtFU5GznC307157udYktsRDiGG7E8erRFat4UhNl3qLZmbLOm9b/O116co
OGv4NdNFPBxiSHD9+TQoR/NyXtVwSQwMZtKlaMPoEG+K0cvARFGwx1jR1nknywR1tZqMAjJG+5p+
WgSS2S+KrWyWdwCUYwukvCr09kIHRsvPqh3D7hBSqBMPYe3X6QpCf23fd3CRrh7GgcXLZRQHZv26
TqxRl/XserHbHJPAPhKMp1PM6BzGIbUx4OdNNr5yYW98ZldkfR40XkKTu42QNgOdnWPMHccnRuws
9wnIyNfdjDDfh9C3pbnSdouGo0BSHSoCIN4F5AmJXZG2bkTcfAZoEgB5YjJQBuggSrDMDFjn/Q5z
pBZAA7bQUx/jT5VIEuiZZmsQRBq3iZw0FA6Kna5dotCmlylA2+TGiLkL4BBQi/rFnU7GF+GAs0H+
zcrDNCYoQkLsdN091ZpYl8UlkHudui6GB4OniHYSgELDnBIWgBBDy6m4JpWwfo/9E+6FczfU86tt
FrVcjpvo2QdUATxe0mZq3HEFFrl8kKJX8w2O65KeG9QpaQ+flClFfE+55AMFNo/DFiPHW1TFiTia
CtqAa0w1ekjUEViwoXWfWnTlDFGTMbOfnAsmmUKrQzzgTNUCsNBT9Q7EhqjM5xkxyu8acBFxICIV
A26LySyL5FGoMAE3fAgxgQLCVehptGkNCV2cjhKTf5phWq3dKxrlEnAYGtLQfkI3ttVByi24D03K
sL3aLS27EfqMFLbyypf7BYJOxPkMS8yrj9BEA5ROnUfszHTWo9eom8xPcPz2RzTCC4tyTSuQL/K/
x3F5Q7fiazz042C6XZg8NfF7Pv8tUnr41hGGdXReDHrzHa3fSfQ8Nft70pPwbVjbCLe3pKiF2OOU
CtGqJnN4ZbBZ/ixS/i+MnsK3njBouIkFkwt1d4CbYKrG2l70PhjhoWbAagEcNjew0xfJRG4XA4Ao
QwxuEGZAZdFz/PhjOemA/oSl89Y8plyAsdWBFvsRKaBdXkMMcgXS3ZShXMLEDtM2efjxM/0FCYmf
XsHvSE56MquJKeV7COkncW/XsXC5KlFmQnWNTgwIeBV0KAqXdfiJuvgvyIlvfawa8KqwmRO25xJZ
FhZ2LbsJiNZP3tBfPfob1pZCEp4RVcLAuOg/tzp69FIVP6FZ/9Vjv6FVokqeelUWbI8xF+p1vR5q
19G/+eBvmFk2iuwwOs72QLp2IDwCXo2Ab/z4Y/6rV/7mPi8WzDBYUvN9GQYGR+pcoO/G4fv3Hv0N
/5m0ioJVg+uCTg2etjZBOuM23v/4wf9ihb619OEagxq1NFgulUjIixnq3mchXwnyeCTpVaocWMzn
EAcx9bdi7cK39j6VLL2A1wnbI0aUfYgnba6bCOjMj9/QNxXen9zdb819RLNSPq9lvO9lUgHnSobV
A8LFn9c1svwxRuGLvxniaOBntWreN1v9PsJKY+eFqV2FVqGsdkg1fFlmWimSWoGK6N+v7r++M4M3
//pvfP1lVKuuy8q++fJf78ce//736Xf+92e+/41/nb2O15/6V/P2h777HTzub8+bf7Kfvvtih7LY
rnfuVa/vXo3r7LfHL1/H00/+v37zH6/fHuX9ql7/+csXYLr29GjwkBt++e1bh5d//hKdSJD/9fvH
/+2bpzfwz1+uPmlbD/XkXv/wS6+fjP3nLwEPf5WQhuFPQohk0ck6yb/++1vRr4QkJ3UygfpCkNM+
OiAutMLTxr9KIXmS0BC0OnryBjCj++07NInxLRnGCOuiyAz5n1d3++918u8PBFfjt6//Mbj+dsQk
1Pzzl29U/f+7nBhL8IIiIaSMk4TE4VuZWWdcOAI4HHKgxgCPEiGK82aFQCPl67q972cYRFOYUe8X
T7e8Kp3/wDcTv/a8Kj6pQJy7eJ2HnAB76dN4IdOHiAYIi1TjLSITg/vYGnm5oTF5D8rHlMGAtjvD
kCfJl1YNz3ByCN+PKPlfjWJ3ZSkmhNfScM4XAIQXDaRvN6ZnxRGOiOCDjbDVSwmOnmupxwKsM0ia
MQaW0QuIiOyJcqFvVyxuBD4v5r5EMBRmq7ZnoOHW1N43wUAQUqi6r6syCYghuG9YWg8xekQy0ZcN
qWNz6hPW3OmldwAiFNh5ZInjMUNKPZ1RF6Jd7OzMxj2d4TjUjdG6K2i5PQFUwYBfYqY7ou56PnFx
0wQm9wyFbiX2Dr7XawppFuYqSUteunEuz2D4uG9ceKtAdX3gg1EvtN7sY9eRKEzZyT6gEIs5bhSM
5axTYkjnpZkOHEBVl6Lz6p/kXHVdtmIIllZVW3/53Ur+k7Xx/bZ/WhocqhSsWoiaaCLe6oOGdoti
DIaHnHGT5DUT4SFcg998s/6jLeNmBkri9Os/rj4p84+9G14+WdyHb7eH73aUG/U6YH75+mrxS29/
8v/DjeRUEv71PnLQr92n4eX3m8jpF37bQ9ivCfYHaO64xGxQIonxf/eQKPwVhGghw4jyKJT0JJ37
bQ9h7FdsEIyCpwNPWS5PXPffNhEW/RqTkOJvqeQI/sC3/oNN5PuCk8Vc8JgnJAJ5UXAu3qr3AIyi
al+1Aj+TfOQR2/aJGsmu2foAlraiz393Zf5kXX5T0f9uz/r2fHjlTGIPTAR/633ZErktQ4XnM0Nb
YppWbH2mSEn2c0KGveVI9ksKeC4LynReVZw9NWyCeaWNx4Myw3qEufG7han2WINRkQeOtLumM0Pz
k7Ma11e9eZ0MyBDjjCaQ0781zUuScduGpgOELPTzNPrqWNEpyep1mn5i2PHHT0AwrA48m0C+Kn3r
rhE5E4UnUkw2JxWajWXhZ6SRYjc3cnwWS/IzidD3ZdXpExdAXLBwIqwu+Dxg0f2+AahBnQWqNOqM
tJ5ka7PFWdUOdYYuc71yHr18Tf9np/iutvj9WfUnb5JzXEcQbyIOb943SpmuAa20i2uNMBgBl/Tu
VMWZtgVQu07ndAy+/niZffPH+P7jw9qieCIckDGO6dP++LsuxxoNWmeNcBhMXsB0M3Age6iilg7p
GA7mqSERr8Apj4J7KjCEyotN8/upk+wFDLQuAdyhmjktV41ehauKiV0VgE+b4T1sC3jHMX+PSAb6
pfJD+DzVbPBQc23yvunHaDr/8Zv5s2uHBUIF1iMIym/13hpUMKCMasqWOZSXg9btWW+WDeTQdtwN
jvDdj5/vj0tfAkQkyWmBiBDUoO+vHWtGJcITL4aF9XQRjIU4kK4Jd2gd/zMXvdNalAJzlJgzHuK/
tzZKSdQt0vSjyvza0BTkluYczI/hJ11KdGp2vlsN2GJBcATFO05ibJ5vVh8DPgZlLJ4G6MKya0Dg
AgOskJ9RTUe7FkIRyEoKIEsV25BTMSJbWI1baknBf9Jf/OHeA7EeSyvGzRdLyt5GJJaC68CxXmXB
DPMfuBhPGE4M7KJbtMpNvdAckPPP7OxPN/Sbd49SkyQU/wiSfFMG/e5ewGhqnmpoAbKho01Gcfen
BbDcLLZlmxoQh0DRtUCv0ZL/jQuPrFRsokwkVIZvIwwiSFlZUOP9VjEVaQjWS9Y0FQGPqCeXOijB
10INc91wTS7cPC65bESZygKcvh+v6T+78FhjIXZySmBf8qYdjhzy9NoRlPe2x/g4qMfLvoE1YGUw
nijLJDhuIYaaP37OP153lPo8jLHdwu0hkfT7+wijhpAOkykzwTp1toL9mm02ZMehKRMYiUMgJEfM
2qq5HH4ChfzJgmeYCuA0Z1hwUfjWgwccfzH5ClPKkYsTkq7VBWbb1RkdyvoRzATg6m03YNbeVrua
a70rXQztjybl2Y+vwR/2EokXkpzKFVQ6KH7e3HlLI9te9xK6TrSwqR48SAxgkGSNRzX+46c6benf
L3OGGSSHXBoEPMHe+oV0YDoSy8SYQQbUnk9dV+wYDf+zzDHsWNgbw1PnhjgglF9vrRTWqAJjG0K6
bApDJIXWff0OLjE/C8P+42Xj2LGwV6GvQ2n4tiqzkV8kvBEx9FKY1s4geZ+BXLuC9T+Qn+z2f7wz
cKawhMYiRlQPCsrvV2nRTHPlIHbLAhBx3Q4hLMHe1pLv+oZDNbU5zKO60rQ/cdT5482BAy2B2WcE
9g3mh6dD73ebUj1p6EYIHPWNCFqw9QJ6sXTFcDlHHhR3CxuGHj01cPSf7YbJN3H+dwtF4FhDuY3q
B+07e2vCtmE4SjFKazMTCHMsSrCYQdgj7rauQ1XlbWTqs9Eh8gJ5xAtcKGlHn2Y+JhfjBNVfGsY9
ba7jFRxY0OEawHZg+Ko5IwGvQSIu+QqHEI6iYwLM80r7iT1NIPz2hzIuq6vK9KWBgxKJzRlYBu2x
NWVDge1EAwbixKIbBFlzOauklB2I3oxdDS0EcDsxWHJUVJd3TZHMAJFgmzZksaxkl44QM2DbXMfm
3eJAu1JmDj9Nco1RlcB9P4Dtma6XtF5N8g6xTlhDFObE246MduyyOVyITBeMwR5h0231blQIYALX
GfoPaKjQgnOtEtCZm2Ji5+ADB1+KemGPqNgVtDgkmp46tZlbjP3YmIEsJs7FFMZ3W4M8olN+cXgO
lStllzUynj+OowWAJetw+lwgGOAh1omA6WpVJrlHzHyQ9qKwcb7AvNHl3hfhF4yeyMcYiHz3jT8t
cqTyLT3iKNs1yCBpNSTtiw2yILBaTns61yEDTwDTlRT5SJHfjVMTAWEFhxszYQWJrUCi1YPulVjT
oAaHMwVbPaozNtB23a2rN6BxdExeBaRZ1nSbW4B2I6a79bkDj1egn25rvQNDs4Gmwgj34IlCc1At
FehrztbxR+NDWYL0C6Vftho1sx38v/RzH0aVAStlNGhflqTZgQw9FnuQrUJwcDACBd2igo25GqTB
lSADKBHYyT1Ed8MWx3tDLQZpDZgikENIUXY7AiQWjqMR6N7ZhGr10UMmW+IcbZo+5yo5Dc/8SPH/
cTh8wCR3A3Uk0cHHDpqtKsUCB0WBItfJZ4lo6SUMl8BWlmGzfMDMMAafHu6QLkVSrP/o5w2rSCfN
8kkohqxbP9jptmJm5ZghWyW31EmMFfZxPG3XIM0mEO/ZCs1E45buDJZLk82mwo1zNlsMOiB7KYtz
vm4r37vGg/mg2CSgdIJs9pZ0SVnv2tk24GoW1VrC9b72V7Xv2q/zpqYyo8hE+wAhhL8FVcD1KI/h
z5M1a1tek26ArGfFuoY+pBjBjmIwpbtRIKNisIpSfrdKAu14T/sWhMLQpf3sk3mfQDLa5N4K/tkP
8wCsStZd6tQAfkyFJo2kpXYG9Gc21C9ihnwwTXileb7h87mP/ChB6JQduNgIX16nvBLgT6cG/PGD
Kzfwf+S6sGFXNxKM/rKpwq+4/Ci7rFVsyzfIwL6CJI5hv6ZzYHfWdWuSb2LT4461lDsoTKPgApTc
aMC0pih7gG3htmV9BZc0zBcH3PHImY4vIVKbq3SGwZXJg5gj+Qp23vGUOYwDoHGCOAlOLizw5W4I
OuZBvVTrZ8hfPbjpwVTfWhAgl9Q6A95MbXpk1XE58ifoh6CeaNpOD/kwYpoqummKM+SHJi8ucnix
RVXDXxl2d3cA8UV4NiuIpjMkdJ4rzELfne7t+IyvJx42dqn5YwARxgez4YZKI+C7UerWwdeZwB43
pKvqk9dEwgYFjWLoLyb4FpZpJVcC7UKFGVLqPSYQmSnL8b6G9dOc1g5qCSxXYi7bzrIVCAHEaekK
5O3ODB47A0eAuMm0qcYHYjdo25swZC/MbvbZoi9G7MdsmEXYTgObzjKs2IltiI7BinWhWdOO7h2H
7TfUkxZQ695DckbSTkJnCcE3JpQHyKmKmzauY4MNoEmiDMrmcEqRs4WtGgrd5qwSBbX50pX0A/Fa
vldrEdozthL3nGygeRyo9TDjjSCSelqrkfC0anvwJ3oSYXBcVm6CkBJMn3TYTPtaYfp1hbtSPcPu
cvzCG2Kg2DIQNGP3Bykx70g/XyyzD9YLdGTVTShhJbkL+QBOHbZn9gLxsG4g6FTkGU7DEHhUkIfc
NBbM8nQeynXIoiAKryInO+jH0Mq3+5kzQzMQExb5FR+nH96BgYZhdQEOrs2hSlxXLKqSvDTgwGyp
xrrJF9aLBxME3fNWiRCIdBAhSnHpvAuPUIvHFjrqCqFbFlE3T+gD2wKnycZutkFXFDu36MfzYq5l
CLuBde4y/K0Jcczq5VK10vdZpAr2BSK2ptsVQLZj6JJ5AYUZDJFk5uWCLr0H2VscZD9qkDWaANrl
BcDoYZpHyPY9dB4cDCJYkoAxEoBzjmiq4bLh3oQ7QGWwU5xEFWNjF1u1pWYaguCMxGN7M7VLseaT
rsGFS9aieFiBwYDJNUwj9LWMdh9wgFnswp6pnQIcUmWNgo85NOum2mGFrve9CydcjV7jKF+jWZX7
jY90gTkDqNO5sx0cKZeeg4Mw9y30Ii1E+hN4UKI+9IXhCObrW/FZQnZOcR54BJsWsccWH1V621J8
tuRy/D/sncmSnErTpu+l1z+fERAQsE3IqSbVKKm0wTSUmOeZq+8HndP2qbJklabetVlvj6QTCXh4
eLi/gx0xRGuz9RHojzQfa1mXkR9nK4ooRgui9FxtZlPCqQO41pYLjfmlYj9JPBgB+SnzZz4EeQtv
o0o1eikLqbXXsuIZyKKWeMh9Ot+FG0bR1TKq6ssg+jonOc7yXi48wqYD+3JFnQUo0wgG8V3VCs1y
rTB9pVNMgdEbgp/h4JQKFi9dvp3dLOUtTBi+BVNr4FpjngZXsdObP8BfdtusWMoveT9bHwLQ9jAG
AHfcZqlmXGslmCqOvexZ2dp068QapGUrRrdtA1W225Jg0l2eNBwyuhmBpArLIx6TBnMUTDW92iyg
NIel1r+UVbw8g72WjxDqx0tD1XFIv7Rt4NWrvn0e2zmHHR/lvZ8HpmVfS7OQ7QEFqvHTiHRTBcPO
1K/LSRl4dSZO/2mgYPoK4qwVx6he0kdQrgZ51eC48UY9YzAhs66+qi2VfF6BnJXn1kW7Q+QChG1X
pFm8CQdqXtggMRtLT7P+oqkgNHplTx/Kx4YmzZAbcOefASRUCiRhVmLlGeX0NZJBPCzlHJggOefl
U13aWukDpJtv4LC59grY59baE0IujdfJbe4nORblZghK9VgDKyyYrLQ2hG0VWSBEW+R1GYcUQTf5
9MeCr71hNj/asU0fbVfoCMeLHhcGQO7tUx6tTZ6gbazPBK16jKoRcg5YRGYuOaalvkDZovApDWvX
l3psq02dlYDhFN46YqMbdRftYO6iIpKILES2Isri6AICX3msW32K91qimfHGyAzjszYrDkQ7h/3p
1dqSKk4UI7oyIh0EkLJS4xvNAkh0ApUDdxu7efKtdqbW8p1mNqmnbAv8D9Jh8aWc9SnbNlnm3gOE
s92DbA1UWgzdah+6gH8I8C4aYSZZyaHXhznZtDLJn+fSMu65/bg/QPbNj0J18+IPCRrTm0KPU0qx
SkGfbDU9eA6yYZAbDoKs3piZZoQH6EzFXRuXOig2BmYxJ1VkfqijVgokRIJE3+hjSH53hnB8igt7
FW+JoHx7XdLj5WZQCNReabnabZOElGurDcFxQOMWyoSmpT9kqlP8LTCy72YRGIrvZAwXFUQifYO+
hpNuqAhidw9ebi3ZckDk29SU8KgKt1puEw0FdKoDVf3QbSjam1IYATTRuF1mOBKDODqhbR/sMmv3
U+oYW8lJgs6KmO1DSTuCL9P3wy0gQSr1AGwUzdmplamvG+38AduBYfCQC3C1O2kJc9kEcMtzTpJF
vEjKxRd4II3aVGibdBsZ1nTQ0WTPi00sx7QF81bCoSnTcdq2sounrQ2htPJUX/fPTaNm09MHKBNA
/NP6pXZC5Q8SQPOmStKl8EGgxbCacgGCwh56BFpDeMMhfcICllxnpAWx1ATl14FiCIIxig9clk0y
s1dA8WLmB6z0GjRvau7UME3kATu2No3Sp9kDgDeltJzXdpyGyMCdjAOwagqCNTRAAPLJJps7qOVj
XXfXypyXHne5hmM0hSGcmpz3VOj8bSSErTGgm2YOL3YozYQrkCXAJwn0gDdTs4DTL8cmg2RrMuO0
BsV0cgDi/Zg4+XjFJDYFOEndDyK7Qphg4NJ8rIuBgAuySt73wzReuMxHPg1Cr7ktsDVBC3b19CUw
jHxj0OKqd0tNPcggoTJ2rVVDp84jjuptpcnpLlCaCjadnarH2bZhn0+lI+CKlD2SOIKxSutZ4OJt
T6MuKD09GaZ7ORdktiWW4jYsF+ulEx0lfh1ECSJ7ef7TNTtUH6LQmW4gM1bPeFb11IMqQUOYx4Rz
XNZlld+tONzPfQN5DGJsJLWN44K4gYLH8BQNlpadE5Z6n24jztwIXGGi137QVsuntmvkdAk/hrlU
m0zmDegc8Gy6SWvcy5RWH5Zm5mY3Efb2ps2UDLYtNa/gfMvz3QhZIUVOAL7YBhRi81GbDbQz+Pji
AwJ2c0oPrBn8rG+Txa/01rpg9Ad1yUiGiAcv3OjKbcNS+FEJSYzChYQMXKQsHlMrsh0/76b0e50J
93pKiu6qq8oRKaK6sRePFmf2PKpmuhvDQHtJnDqBWqJZQXphDumoMHodDKyOqFyRGlhzCu6b8H6p
k1zYcCl6SGhtVM7eqFX77EI9ag/6XMRHyEPTD1ybUVdx5qa3/dbR4tBfqhVM6ppW+E32ps4Hw7LQ
g2YHOhKP66zzAO2P6VYFCy+0Fpri2lzDSpRpV9Qevyk0d5yIru7TRNSSXedaziGSNeQF25Lp14Vd
bPmzBuAa3itvO4qG+MaQg/yZoDfw0sZGc+kADxwOFG/c5qbRjT8ai7KejAIiy8YO8iBAZaZIYAoU
i+vx4bLWg2cXHcGHlPbGTmz5s07bpPel6qbweV4hvr5jCAML67bRL+hTWGgEleECUlPklI5TmszH
sp5SyfXR1gGfJbiYeGXcgpHgZM0ycG4pOuLR4sTONlWNdjlJbMA3XIcSck88cGfWHI5LSrjqe2dA
ivKtMhxvUuRPvkxd11218ax9qadc+5LRZUa0aSrhTEFfLMyLsK5NqgJOzs7TxqqpL9Kkn8MdN8bq
a1N0yACw/2fDQ6cozLy+ykPnBnyR/lDEiZq3gzNWtBzQyvrRTY6EPuSuV+bSjIL7rIUJ4mUCkSW4
9yJ5srpRfm7ZxNMx72r5MscY29Xgt2HmZhLebtOGdkXwCasDaBE49GJqbiCbjBbNZUoS5j+npfNk
6lbu4qwgRembZU9KidgF6YbRYUZsAkdJj6M5OFdukca88QHtFRPumYDjEwHh7Yre/KbshBGGUcq2
OCo6wYOvqia5aFMcOMi+5co+KjPFSDtAEsUvOuieOzXSfgNBnDDcyVw79/oEETm/yfX6hkFYhN6A
zGdrX8P++xjAGvpQxyaNaj1FppRukF2A3qrp1ngFFIYf8UyhuVko9tBLgVl4h7yYBkUxTNPPTH+4
mcLIcc1jw2bmjCkNnVZIX6U4VaIWQktNIkQSbKzVd53qMI9Hnz91ug/wOKxvsWBks6k6zI98HfL8
JyPqCqiki2yUb+dBNm7CcNZKQhIKzB6j1eUnEzTAOpT27YZtnX/jiJuuWgHWx1/bkxEFxwgQp6iT
wPKZflnbEJpI4cuuzN0NaQnRMECgwW3dgOinOWFgq0kvJbnkQjHDiFwVsry6Ra/9SosXhMjmgZ7C
Jh2qtvPcyo0p71ddh/Rh4tmK3dhr0hODahF9g7Lg16bTwwIzh2jcAuYbvnH+9t3Ohdp7PaVBaB1z
HN6LY1JmkJ8YKJTWNgrXoEywdPmQlcn0+X+svBAQLzQ+Lh3FW9ioy/0IV/zmf4oghbaPxIMns8LI
fJ1D+9Bk9Eh2788Z3jTMQVwJALJr69g2jFM0qw04MFjGsmZqrkmaBX1xpWlmjz6XQvwo14KHILHP
yZSfgJN/Te3hREnUE21hozp30i+XdT72QQ5x0pVdNnH8rwjCJGv2jayTra5lwREgVLzLaAv7mJIZ
u6Z1z4HG34wlVrAZdDjGWZKRwamvq2Y5bWmGVuUtU29cgKwT9KlN6yazpuKv1Dr/eV7qYoBMNOsZ
t5wMjoy+sbVGkuIkTb1LmUYlyOy+OjMoezMzWh/IBQFjqhV9cWqt1FpRK2q1CsCHYtlmXak9FAiq
n0F4vF2FGtTlKiEdPhwZ6fWso+ndpKjYqUgMosBXmKu4hpUnGC29H5lvPw/TtvWNmUra4BVPBvdF
lAXmGHWlBxdNHOr1QcpQ0h3s5vjMUn/YBFQrpsVk02LsduogMqeI2wX1Or7WbVR0FtgtWpgllwLm
xjFaOnfbq+acpOibmRGDG5M+Nc7s6+hNnjyfmY9RhYoC5OGG+xtkVns3JrW9b6ziWx3gxtcyafWC
VGVnZmS/IA+nIyPAEMo2DY594Aqvv6CuBWtHkd1nDsaIPkk2IonCVLU7dgklP5cxddAmgxaZDa+z
qZr+smRAo3v14lT+okE9fv9T/7I6Of1FjmsKtqGlHNCpr3+R1eaMbhreha7S6j5tJyD7Az21cVpe
+mEcrmBzt167IH6zoLx0HGSTHVyJvCEiJKs3S1ztCk39dKeoupzdKmDKE2T0D8zCPpMw34S/w/Za
N5cyQLQZp/wKkY164HR96Sljmh4zVvTBiaaH99/In1ZxGGKCMrBcnbHiyQtBV7OykYP0ZG4410Wp
Pk+JVt39XyyixPoUgLYQeni9yABVV+h9xgXGTOVhFHV2Oyylcy7c3mxk3pgDbolhs4QwehrovTk1
Q47jCsPRXt6Y40C/lQxzRYmtbVomARvhNvrObmV0hz1q4i1tjwCKYSUI06FefcgtI7502kl7KmHU
fX3/JZw4tfyagQPFsRC6UKbUjVNtYmOYYiPgLuRVufVTj8P6ua/qe/QxykvTpRLL2rlEnbunC6JG
1V8DYC62QvXjDfIu0aaEZLk3UAD59P7vepMeeGuuC+QCpBSAn1MLBXiCs6TVXnp5JfJdWMY0tQYI
XsguphdLPbxAxsx3YnZ/vL/uH76WXENixWvS5jzVDecC4hgOOtZealN6DoFD7RjQch11VFTfX+pt
GUBEgPoGvWfpUr5xLKC5O2hLHTNmTXNmq1Wm+3k2o92QMUSGX6h7A0JYN2VbqBt8c0A8u4t2Zj8b
a5S/yj38CGA9rrHCCNdq6PUuyNyZShvWnzdII/BAYBrbDKjPRultw612To5intwLWjoTMPPO+GK6
08+mswWQHzpGyN5FH1IH2ciortUt+FPElYy8th+imRYWfGdN+HAjCuFNunR3oglw+bRhbZ95m38I
GAvsq+VixwJo5PTD0Uud9UpguFML2b9Y0OrvMarOt1ZnFfeLCrRPgvnK9WRyt3n/O67V2skbtJRY
KwLAkJZ5is+JsA+odJopHpoS/bfRQX5TBwR7D3BHv69n99zW+ENyRDIASDgkBnbJL7jkb2iLgsGr
oa9ymxlgwntwbf0HuMDniEx/2AiK92lSFjgAZE7zApiOOEGROfcKPuyDjpw0GSuMPzgoU5wpD3+5
Qp28Qc4TSKQgV2xA1ScxOCGDR4ZBg6fpsP4TJlYAbjX3lwJdLuQNQuZ1I3xgmqfsldio9s2YfxRx
cEWpElwaQ30m+bx9w0qQcqgOflVepx6vFZKmaT/kuSc1kexlC7CrAupxZuu9jRtQOgBXKCJJAwCE
Xu88FGLmzGQPeWE2xZ8KDOj8oXHHQwFk96YsaJq8H6dvvyjrWYCqgJ8CQj/165RaqoPvYj1pFPEO
AYAWSUERoHPZ6me2xB+XUnAWWBFhvVPEbkw7NIOPn3mq75ujtSKSltSZjlbs/J3dy3p+sYZrAK1f
YZHA407eYso0S2VEzJDF5c7KbbmPkOg680B//FauzSFpAKti7Pl6FVy99HQaeaCA4SKfyWouC3pB
XjdJRnOIqZ4pgP74An9bb/3z3/a4mmo9dpqap2r65aG2EZUCWZ7soik/B9v901ImZx0HrYl2kn1S
azUuCu+a4NHI1c5GSiW8Fh2eS60P5Zkb2p+W4qCzuHdCYxGndNXQgAooBoZZSdVJJGgwXDKnXNyU
Oq5s7we7ePvFwMNzrVg1u22uueul57c3mFsFU2NUPz0o9OJbjUD4fpCJc1vZhpnsyrKxvT6X/RMq
1Yy422bereX+LYoygZdYVZ1vCgS7/Q6wOXORrqp9mBXnzAPeJpr1RxJUAhDbKij++kfqHXVj1ZNk
0Zqu/EkEwS6kvXwm0bx97Y5BIW0bFFQAWE9hjjTsAWsPKoN/XOX7CH3JY13biy9Tqz6z1JurpAPz
xaDe5Rxe760nwYSINtp3+DEzm10KJICyQH1EmMplCN4hfqRnSoTe4Mznqtg/PKJkPse56Egwsu7J
uoEL7khSTHsDItWoaoVhS29fdIfJSC8VmKB7Pn57QagvN8Ygh8sZGZJ9ZSPBQNdapy2FldkPnaHK
o6hxRXw/GN/+OoDPNnWWTnOCTvPJr0N4ZKr0DsBBYzj9g4Ys6XWv00KIQu0cPP5tGeRyKSOewPzz
AU5dTKYFoYyyTLnGqmYAqoeQX921dxy6zQ0iFWi3Mb6e/FFHtfT9h3wby+5asXOSkSV1+kqvYzmp
GNPU2L8zsJHtkzOa8z3iH3ZzJhOvvaLXtQLVnSlII4pIQ+T69TKVFVilg1SoZ9JvvVhWfqDZ0/YE
aOYg69khrA0OxhmPGm3ajZsxI//r56QvQ7ksFZo4hrG+h98SS9picWmgve9RS7tbpIWSLWr24cP7
q/whZCgnFaMISkpEqNY//20VEmUDKAFztDowh3tEQu4gROSfrYzz5v2V/vDdINVAYoDIw0l9qlYw
1zh6jBoaLanuBrugyodvSnerx/dX+cM9E8A4vAVg+/R7jFNNiT5zBNKgPFADyj0D8OJMvpqDxI9T
N9zabTb70G8jehaB7U/2+L2zWmdfgW7a0ZEBNpigPCeSLvHf/2F/iiciar2AQb3l8vD6RadiZEbB
8A6haQRwWhBTXpEy0cDMntEaO5qruB0Uu8rOag+Tk7/zBKJ+4ZUQMGRlOE58hJPcQHJExc8ysRVI
hvQp0tz0WrVBfmbXvH39lNbUR3QhVu4GBefJY2pj1nIg47gHimEGih1F+2QMwOgVGV19O02dg5s4
gGQE8LRtHi1fUWof9ilIvK0W99220TI04Ji//PMB/op3eh1/B/Zc/uxO+aP/TzNNIaz9FosrJf4V
Zf2xH75m/e9M01//4F+qKS3s/6xZhhxDx9yAcPF/qKbUaP/RbZ0rIONTSOvrlf1fpqlm/YdTZv3M
FsQotvN6qfiXagqo7z9r0WXSvOafsRX/hmr6y8z7tzy8NvLXDcMliUuFyZDvdUChWFQh2WB1Tygm
Z14+9/blZAbTg5X3EhFgSNlFO+V7O2zKWwNVngtZBdUuQ0X9tjWn4bJPqQOzqNiHAMzAENTplQsY
4VGIqbhSBT7AtpjCg2yQiY0F9kZ+ZbXBVR0dUpghwblj5XW+pWlFXS/oKNmwF3SywGklJhvLDqQp
H7DAxDwkL5wt2oDfAb1rZ4rg1yf0vyvR0qIyhelPsfT6xfV56yZj1VsPRp4xFIsm57gg8LEvrCq/
rN3Ivq5WlU2OLgDJv8XX7T9f53fi5h8ekhUhcNGLXFPO+tN+O1QiHIIAZOnBA0CgYQveNLzMUBC7
Ci14Dn+5FEFGKajzjIK3efo+E+JmcIe8ftRwr9hFs/2V4aXuaZOwzqS2Xzy7/0YiL5RSBxIYYQil
mW7hehP47alUydQit+f6EY3CHYSMo+Mgw7J0V0Wtb5m476jAN5Z5LELKQ/mp1rU7UeIik1yGATbT
L1I6HgSWQzR2F3N+i+GpD3jrmMt8l2cPVh89gXX1zFwdsqq9TPL4shnC225VHu8Ncfv+e1t/7OuH
oXLikKQnzZH05jhCfDgB14k5vEhHbUcTjgFQACYZlDeC01IrzhTsb6KRBgRUIYvLB9eQN9Ro5BoV
6IdGPtKFtfdLMC0HV5uyy9U64ViBv7hLNYXFRHM2QshEJ0+qGCdSyKG8YZuIRJ58tgRzQFgB8rFX
9rgNqyLwWyPIz+w28Sbmod4bdLZhTELz4uR7vYyoBNLJjHMee5joh0SL0oNMtWWfYhIyC4dJi5W2
q0uSBR3AjpFuA5fSSNixABPim6ovzK02742+PnNnefPmqe+Yh0NgpAEMo/IkgVZTje8NgOqnOAhL
L8i6/oNC4tcLqgFPAxN/sUFE9xqYq7v3Q+xXhfoqxtZLIKXe2pih+2uelDyiW2w9sq3mqZPbpSmA
10VRRHe/uENP6hNshcckm5H1D119Q4vqG/wC6DyNj7sUkqxVfxuNJrSJWXyF/rNPe+MlFGYH41d+
K9drpbPsJ+TCgc+fCdaTjjlbnZE5F0smsAbIxDfXPK3ighsuw/xUW8Z1sNj7Mat8SC03rTteJoX0
LIRIYk1+Ev0/cfT/q5T/BTH8t/h5U6Vcfl2+plHbfX2txrP+o38qFUf9h8kljVKd7hE3lnVY94+u
jrT/I9dJOfdQvhhhTu39X0mMlbvNPyIKV1Yp/7t/6xSp/2c9n2gfmOs0H5uLv6lTXjckmO65XKBo
/xA0VMDMt15v/yKSed91w7Irw4aN7aAs+SKQlSw2cCONy85CbFDGYxz/1VH777rrj2fMvKIeTg6l
GPfyAL7bsmvtYNjolQx2eKlVB2PM7DOIhNdHxj9L/ZKH4bhgYvqLP/zb+ZcvUbL0nT7vhmpUF/hr
f8Rap0PNaxmQF9fOHFCv09a/q/1qIuNEY77ZgmMNRxMc+bzTFBqXKf0cf1gdo2p0r3fVOI5eyFjC
g9vw8FvY/aF4+cNj2mC0V7wKRQzc79dfMh4F/gulxpd0FFA8gHo/ezuHn5ksYgsKsDz8/XpkSZpZ
+nqEnI51GkrVKEj7BUfoDKVs/E4SgMPNMtzZjTNgzptnGFO+v+brM3F9uXRQYPAiDMHbFQYb5vdS
prU7O3FGq9kNWLntE6hJG6cUzv7vVoH0zMCRAQAU6/UAPjl5gOJMNuCzcWfBbts6VRcd6iSxz9Rl
rw9eRYjQHeGBFHMxDppfQ5/fwjKSrVYU9ogILTjuxTPXIQdQf4hOo1z0M8f8nxZDGkkKFkIU4bT/
10Wiom8QTjs9qOK9HU1PIbDRnRkbz3/97pTUaStzV+Pc/lVu/PZUlZkURazyaae56gMKsM2+jtzp
TOidhsH66iRsYPIWo2jS1uswIKJBOrUYEAWm/G5KrCfDJXDOpI0/vTIqTN4WWZEK7GQRsKFQGx2e
hH7NsK+W5T423PIqQz3yzLG9Ru1/6w3ibG3UEQLEwVrUypMcbBtYRGhWll3qW1rAZ7bMyf/ctKAj
gHS3gLKtDbdTOb4xGpZZ5Hm6ixRyaCDN9aC5N+1EdHdlnrXxYeqM1ZpnCVCEH6pyqD6WmRZM9+/H
xck5s/6MFRBDTcddmDA83VP4IyGGJNJdh9bv8tkpAxCuUWxQv8fwJaqDKiLzyzRUkf13of9rZdL+
2r2jM8Bl6HWwWMsM+WtBwz2IHeDKcYHAZeLMXkNwPf79Q/I5OeWZWjLvXr/Fb8Evo6EwC0wednWk
qafVMvI7Oa0/DoFc9ouR9/dp7fR/JbOifj3fuqVt8jCXylOJoyAx9FgN+G+UsSgKoGhd92lw0+qI
udgEDzE0EL1mKme+/OXDkn9tLgw0WPieFBGvHzYw9LJI8QPZhW7YPWi2qo99VBTPLeIU+7Hty1uQ
qfLT+4ue7HxEjgRCgwwyAKUyxjjV0JGjIVXhgnhBE8+5GzsHXoM5xuZwZtecbP5/1qHKApK0AlBP
J9xRHLhQtLV8p/dhcA2/WN5WTHLvonAuz+z+053BzXLtRiHMzrskQtdz/VXQZAy3wh5yXOd1X+Iz
2AFQAmui+i29mC71I5mFFoABngYditcLmL2E2EMPbT90q7aTPi/FxYDbTuyPGeJUMJyHinZKg6uj
DxvQSH386Md+Q4IVBVSMEMYSJjuUhABltSdVzbGLcXbofpYAEzQUO9oFkzHVZhWkGisMEctvQlJN
iVJ7KWHr4ZQ2Q2F3pulFYIEj/N4c4o+Yd2BwVmlFfkjGQoUezWXzol+a1rrOjEVz7kKAMl612pvt
cyhSn1So4OHBcI3uC9xqP6etpT0H0yxvaHxb39VsqR8ArYs7RL1RTFco9z/HqRV2m0xfBc3ScLFQ
w15We5aoDREDq2p+iW93OFB3zPktH79EPdvmHN8PbOLgpscurvVby+mGXVykxR3EE9hyQzFAPWvN
ITxaXWtZW1N0cetLAVT0YKNqKrCPcNVjNrS9sZ3gxNuehUGkAhpmTfJQsEFxPYCA+s3ErPhzlJkI
ceF9C8jczdN4RmrcqC8SUjv8SOQfOw/+WFnttAKdd+6iYYEJYNDmW0A02V2t7KrzqCvNy9Cqx3CT
JdYSHIIOr75N7YxL5yFohfVJqOHNd2CuWSBH18iy8YdRtY8BXNbbIgYK7rsz1sNA5PXU9KzUxu43
4A/0Tet27j4zFwa/I6XdUUEBMPzaRlZnN2ZO9QP7GFz84kU3dubcmN0RB/jsuoqBk96m2DXdwkjB
KQ4L5bK7wmkbe/Z4GnsLJ92mKA7S6cWPJbZR/8CVL3ueZsP8YgiYBRtkP+A7h8QgZsFDAY0q7DQ0
pOogFLkXTFmWX6dWHoebDiezehM65lAiqNuZ90OKX9ZOIsP3E5n9ytlkgQNnJ6J+fA5UXBpHVYZV
AmdQny5rienlHhMNaj3DmvJnij5h7kuB6ekOk1t6YFko69GbxwjqnbRbfuFkjs12NnvITLm2BGqf
m7jrHsO+hkncLZG1LVNGI35T1prOpMAyJjondf/d1AKhe2MNd9ubgNpeMnlHgROMViq8ou9hymVu
Qq8FSXbMfLBRQgCkrYXylI3L7qapKyiw4VihSzLRIoI5LtLCM2xz/uJi2IMEe4gs5xbrxQ59AAzd
qr0W14m11fB9AII1q9bPBcyVbZigib8zs7ALjirC33sD974NscQoA+nPoAgueBMzgzyq1MtgajAZ
CMpe1J4TWdkTSleQLbSi1YsLkMmE3ALHyfKWMum0LWNKrA0yM1LzPqhjYHrRuECt13oXvACyvXhH
I64RBtwhEDvKt7JVIWRIWQEkXvQu/NY0A7SovM4siWf8ZBhenYH93ueT3RWPrsS9xB8qJmZbiR08
nmxIRozQAOG7QLlR4+exQGnfs8yo/yTqpbGeRqtSH2NMSMMdDKT5h+Z21moSrgO7gNCJJ1blTBix
L2bcXky1siwvaUv7GcH8oDuGetYAHlZ28ykjv6X+gB3vjziwYHbPVmZrmzRO0a+oJP4DnkIQB756
j3rqzsmW5ROWFNrae23mLeo0kbOt3AL3eop+RJPBUZadB4Yt28O606KtBVnfwhANcyvUKqP+5zhM
msCvMsZay0BebWfhAvaC7zx/TRq99RFAqOiZGBSEQNWaSGAo1UVfUVws7wcVo0MmssBtNlmZxsZl
ahdIApW5imc0me1m3ECxmyZm/9FgHfGl1YbtlOKvif7CQo6yRdD0mwX+dX7BULI+5A64DAxaFnAg
8Op0Zpd4HB278VeotXm9K+XSlccVMmb4RhJIwxNTWfR+FuWBscVJNbi1ZZt9R4c3QutB8ddgzQ0a
gPIU9hr9Ktx2krSzXnpMOhTteIvIR/LZdbdazRhok9E6GLZ8C+QcYhh8DEwabEc81BZoWYbxgL4t
ahqdfUCdPbX2M/XvKrqEHfcG1RBYfQtSwnAHMGoeW4xaAZwGG0NNFliJrCg+VyCatlmCRK9n9YBx
UCAprrWhi7/lEnJ+FIxoZwb6h3xEVb/A5XdvLlkK/JcKY2uH9b1Zkn78MsNb16d0qZ5/NVlQqQs0
BIK51PJm8Sm9bikV+E3zVF9mczzgn5cjkr+Z8uECFLK46inHSAzlFnT210IzPrSQzLZFnv8oNPx8
nBI6E5/8h9W3y8NopD8NR+0izDXN2HnI6r7cpbP+ecY/HcTWZ8QnDrIy7i0wEZ6OHQ+OVklybaql
hsxnPUlMTjcYP0/kNhj6aMIDDDG1QxmztWZOOeTetGLTMBmQHao+sOb2oLZKLxvy5qoZVPMREZ8I
JE1+a6kJpZgkDiD2AnGthrj3ZotBQ6PyBLuror1IEIzB4DvcaRi6HUWTRx8ipI6vxhnJpW0bkfi8
NmkKRAAs9nzBVOzFrEX1w8Y4A61DOL6PjT7UF7manU2bc7vz1lJp39r4To80+b+j3I5kQKQTaxhu
18bDgkjCPSpX1LGxOz/GAHCxHKtoeCU8yB56gb4XLoRKWYfLR9mKL24aqCuzDIYPEzso9OivxJ/D
KhzVRhTYAddOEEITBYOJvkHXyR+1jePIRuDtoT8CJ4tw5cY82H0ah/lrwOAFPvS93WOdgQDQ06JZ
LbxP46FzQHOmWMbcF1VqIWgVzGgqD6a6V/Fo/uyH1vZDM5y3OqIapsCFBLAHThtpXGIPJEQstk2j
N98CStnEaw3MXj2AIXrnLUOjrxI7RYAsDp/TN4MR3HJr6lclwhZyw3AsP9SqZTeUY3vr2MIAi9DV
NxrFzze85JbxY5fPo7mN86AJt6gcZQnsmHp+WQwcabEHfSkt1W/xRu2uAzoAmNRhfjKEevwji2fr
pR2czoe0Q2HRR+XHSdjybnJoh6xbhHBLdHu8GELEiDbwX4znSsc90R2l/tMJ4y8TpNA7Y8GPCub4
gfIo2wpN4Jqe5v1V6QawDFPxOcL15RMd88FDXO1C1Do6XykWfqQpuK03Ywr9rnYddF3a+q7uxnjZ
QNorqFDc/AA/7SfWoCiuzEG+CabEwMVOLdtWJa1f9dqC9tVozI+pi89zWpjh1pTmuI9rEBzoXs0v
ibSwbKkWDcGF2mBhUdzb8Xhw9QXr7yXD6dnBqRFjRQyecKG0ofjPBcdoqaFKW2lZ/3UMsmzwzKZk
/MNUbGM3ebeb7QF/XHQz/Ngwd2NgKbJ+jIjxmGfbGY58DJ9/SY/6SvSEHIUdLLLDbFlRTbsaixp/
6G3XT/vAwhKn1Y1v+EPixhpNH4PeTh+qsoWOGVbufFHro9y4gR5upzEonk0cMx87EE5XTjJTrKaT
jZ9TYT4WKojv9QTHF04KB3JN3IFiXKvbDzHG6cum7Aiq3BnTK5RytI1qqv6iao1o35hy9O0FEa4J
DQrExDu23Ayz9qDhEZ9ChN46wzB7PHO0m3Df2sTwdalXOijnrUIEp8EvddPnfXGhh237gSKwgW6G
aEtQWTYfLsfVieJaQ5msz/CfkvnwUVbthAArdoi1F9gZ8uVVPT3HcFuQrMJlCYIBB/puWYzwA91c
aNSDOedodiQAW+HizmQNarwL/IiyXeQK+LQUgRX7aFY7jN9dgfhjZlIoL0YE1M9G+HmLO1XEPWQM
jbsE157ukMS99T0X5RBf5nngmEfT5ji9DkoyJqI79TBemTkGO34y9SUVi2DQRvu3bnFoLqk/AJoP
27jUxKOMtGKfOxS2GxR78EtGjwmJM+d/s3cmTXIrV5b+L72HCpM7ALOuXmCIiMyIHJhJMocNjEyS
jnmGY/j1/cV7T90Sy8pk2pfJtJBIZsYAwO8999zvgFquD3vewz4NWZLZOh5sIHB4D+wDF9PDzFOf
2rWWjXmzAD676eVYcin4Q/ZZTn07f+pNt3uAzvaz60wW07feSpwxMKNxJojMIW6el6GmLwE1zs++
xQ1/7Cvbe7qGMSSsh5sPi1u8zbjVYiAQD7kx95HMMyyOUHgWBmg+a3NLLmk2B79bARos7KUDTVVB
qGYKrnBTwfpGTjuYJZOsr+O6bOVh5ZCFJj8MgOb9jnO8p39tcsOIdXN90EoEj0xZ3k2TWXfNXrwo
Q7m3mYKwBPcgYft/uK3ANtx5Zq8u2mjmZ2lkfnN0d+ATdVVnJ5U6DiLz0MDPkVdmGVmg42PHvvkl
n90y4eaxH4eaACSIybJ3DwNJMpQ/kj93r/Fdq9XFhhhOOPRb2EuKNNQ5V+qRjqoDtDOwts1HfN2j
24DFLFXxUNTGy9CN7dHxNuujh2rxVZCKS1di0x0JI5/Il+62s8PzyYvRgboDn8BXZg2QHFjp9L2w
YcLRki8GkSokP1aQUVi5AQ1kJ5obSkPv6Aw9Gb8tu/dHWWQXMp0+7F0FN5Md3LnNBjxnrTSk3AYe
4snLjRcSH6cvuWXoez/1zcesZpNlvJI0qn39Lte+fugsUT8QF7X+4Mr6itI28My0WGH1Oi+7QJqT
t3XvHH0z009MR268JTfyaGsVn+2sFvPGAroV5U37lili9dj1Wo9W5TvMMCxrB6qBvBTazm6eC+UH
J0fNMnJ5KEYNy+kvFA/556maGxI2JWp6SF6u6pJiYG/8GIyr+uzX8hr4vWl1X6mUfO1rZf/OyZjx
S6cu9nmWUknVFBievuJ71MNqNukN2Xn969L1JvSqdWq+GBVsqnCxJzsioiN9VqmrL6Mv0wibf+3J
hAjR9ZI5Yk6kLo0vVgNGJyxZB8zBydRDDPnrFQpN+ly1EiQU2ZjfttH6gsLkHsB/7eGWAqsRDjv+
OVyVkky1pTv4XkXoGoFgLTAqassW7zs+YZ/zR9bmZ2Pql5/kLOYnVXcvo5gXI/IJ+IUu1WkO0tJz
+EfUHD+7YODBfgWfj3dDvXbrF3MYqh+Z6FICxvLmTXmD+zIpUoZjZ3LypB8y/7u3bmnSDHLgxwD0
taaQUng7KG1CZPGa2nxIHZ7JsZ+3P2VBOF5nKeNOeoZfE6+pjE89BHYdanve3ljiJYpVUUTcp3WQ
6iO62jW+b9nElzwzRtoKqrt3YJJuXNRb9dMm9+wOl/n2dRHafHaszgtnBCMol2IKqlC2eQX+0W71
0TQsyHcQSv2HYSuaDKCAc04zZ2Z/I9uHgNdqE0wx+0DCumInrL4x5hTkKyiV0ODjgNM8wpmDYTLa
Af4+vv2ozk3/XDiTvR5csTt2XGrdCHKd5fR19hWl/tp28nZk+/XFzUpyxqHVSc0T25+HhMQSwfep
1qaJNaS7O28dJnXgAqmWGONtfWeT0WqEHSlbZTS0c/5tdqgoo7zDE5ZuvlyZCuHmpniyrCKu923T
8YLX6yMfeajHwdpJSIILMso15LH+XAQYyEOrM+35ykpc9lguG+n0PD2UlXi9Pz4tK3v0Ec5Z9rG8
TrMlhbnW+mX4Zg30dJwssD+j1wOGW9MMzGpZmQXpbbqAV0k5YMZ9T/YdkkLZcRQU0kwqz+t+pcyJ
CaLVNSECCr3prmUYeym2jTa4KIgghNu06cfA2UuweVz2j6S2Q4whRzQjyqQfaCWo5dbpEqxqHU5k
EzITQ+ulK7RJ+4wy4o4/66qkRWEXG+DKoK8Em82d91cEGz3F4zJOl4pvvInbVJCa55UZhvdBC/XQ
c4Dvxxb63UAns2ZU7gOmJwJOyUhv9pntO1V5gMZ8d0vnyB03LhNuLTZQB3cDWb3UszUmQGFTgpeV
JS7tQlYjOpQ3kwYzjwZCzEqD5/KoBXfleRVEzhJ6zrmvNq9IvIEI5HDI2uFzRbr8GsrVQKny1ir4
ri2k23CGi5SHSH8aRRucv4iDVnYPZgGCK2o7gGM3WBeJPe1z1Iq4xOifUWLp+j135p4H6KprDRZ0
Fr+cToHhDVwFjRP8u0HeFsb9EPDZLCJWXbY7Nxg6K2Rxq3/wIG7WUWnN6js/Uf5qM5tSk3VG9Sbs
yf+FGRFMoFk368Ehc5DUWjbUtuMWXCOjh22UpMUxdbTDLbf7LgHig2YLSXJyojEtg/xA2LnzuuWw
b6JOGqY4yR7EIXxeQxYxy83oDqU5bxegpdZ0FcFQN9JuVzpB2dIPiixwPyJ8eq3jPDDgq/ZYZdGr
Rb36MRBYh9u+MXpatdEK+ptm7pVA8avcT1kpc+dGWhKYlNJYKQUYMfaH1/6KQWuN0nv0ROEMkYG4
VSXF1DKTCvqcOwEpTpphBcrj3fNy8YX3HDzn/lZSYtmOktGaB8Nw28yat+XzGjk4va50zz3IvvWm
Kif3FYgUXf1EG/uqid5tkj2VtoxtEiCf/cLe+FEKa0UEGnDaHlRT6D6qAnv+CjHQgJ5IaJD7fSPJ
xLn3jWDZ7qh6nT7EYNf9XK0Zhm+3a8sOFzYhXcBISOSRTT+Bzd9B+nLjfgT8dEzb3j7DWHT4FUDL
bupiX13nF1WqMfqweQox7pFMV8/qH1UpVZWfg9ECjRv6nhcsbWLqMQUMqwVjxOmUk7ErJRvPBPOq
U9uKquEB1RH6GC1lm7WPPofxEtrI7nTTHcm2kW02PWBOhjoy2QLy7W/82cf10TjU9nFjOh1kqMF0
9MFtx7p+gSQ/wNCx6M+Pquy1F80BvOyYkSGhrxJdDxZqZfo6Lst+puLmYc07n4idCYeiygnJ1LS/
kS7Zc0EK370iPdcl5WuS9pVaX3VHcO6NPZV+gfJIqxlnq4dCbRtLkRENv+sZ9lraDVD5XC2PmbM4
7cvkFgv1R05rzeUPCPUmc8w2exvEku1n0yXDLOk7q2u/cY7Mztku2/aHtlRfoKqQShRui8HQBUkY
A4MzKtp71l5G51jK0YeTOxDB+4J2MKT35RU+dlzbjQSHxjF7Ixb0PQYkJub4yARa9T9Ld+yMozf4
jUi6tXaCN6JhGKSWPUxvlBW3Ae/NO8puJcywFxjJPlc6UAEwIxyLeWwYxVSfDdKznFtdp24wht61
23ogcI772VeADNCuhPvZER1B3hiS15+TFuZT5w4SQiLp0sYlrdL1xd6GySVnfDbzY4pBme39PzKq
Zjfzbg3hrF6Sa+3paNSBlI9z2aondN+cx3G2AkM7mF0KqUso8mu5pghmSVTWAunSFpaZV1LqTXVx
BdC6RxdNoTxKFpa3yDFcUYZdI7dvbLv4BFs5IDqQzHAIAOArvF/FAra4DtE2ApM9CY6LcJ018Y+a
68S8nYe09z710gMokI54+Rl3Sabh5lRglAMP4RsJejbscdg6K1hfbsnpkK5115wWr19/UXbnLmdM
Ogef8mV11ve8UeAaVWeZa4yvo2kTwlknJyOklXY+MmvPqX7YKq02Cp3NCRK0TEILzRqebciaCbR9
5ufZs79TPsW+xeIWjcRCfi2ZPF32E38RxEejdcbnAFK0GwIqhXDpllBEPXDAzwBIrfbYNlKv0SSI
PDpCDQY03RM7XcRWa7IuvAtQaTcSim2MeTboz6O17244mrvzWLud+1xJ1ysjy6znH4HCxHTemZwB
Vyt647FzNECkoa7ls0sz/E3YWVvcbdmufjlmow24gaoznlKc5E8GuyL8s2kMgrfNwf/+iJy6PG+B
3cvbzpf9fiZQqlMn1q76+TIbmVseqslsgyP5HlCYMFjugNWHqvAF4Nm8el6Vp63DCKQbOKw9ZF+D
qyREM01GWlCk8w80MjrwfYBGdlzZGvYOKU/L5j7NZrIoNFeajkS1Y1/Oml240cjV/bCP6XBPHVbT
Ko/+0Bx7sOTlMTc3uVwIw+GExysk3nIHcjCdK61sQkwv3adPK8s9CWrqg9JlPtcth2u4+5Xabv1h
yPRhVW72rPqAkzloTOpHY2Ift+wNF2gD9LghaVio/tKPpHQcV3sfKFLYf0P1hXKDmmPVa1LibfvR
qXXcIpWZkCeBcwigD65MjebMM7W07+mKmYqYSLVg0jAcHcS01r9MbKpgsWDNVVyWe0Omum3qOh6Z
/Vo35VZU1UHMHbkl0ioZKYX89Vqfur3ipcpOASW+OE1B0V9M2lsfyIfWCEtw5rODlwNmfG5msCfJ
kO4T8w94cHPUBsuwQ41t1CubAk3JTJMhNbBgz9LntqlpswGbTTCLcRfDGUaDr0h5FsU7IMGOFOC+
Cd7reqZ2McupypJpYF5CeZax+85Nl+bLvbLkRg0cOJl5nsoJjY0teflT7CbMppb/XcSpOczTXTnN
qxc6u4Pd3cy8+hbUGPKZYzrrd6KmCzjRY8kMbSzNc124Hbf8svZvpmw9GmiNbk1ZuGRf2C9emnuy
URnzlBwnR74SpjcpF61MLJRDLw6McT/BBpOM8knY3CKAt4GRQKX11GXgjVBdO+5YsGWohx5RJuuy
234VTn3c2xQUZrFZcjquWpEbg66M6r+YHR30yJm4AB9u1bu91EyAmX0gs6P2oKMw4jRAXc7V/oWs
+d68DQrXX27dlAb0Zvc9qkOFE5ngE2HMfjL6WVfcXuffmD4L5FGXvIftdjU9vZ/Msa72JJsIh0iE
u4wWTOzcPC0VUfDmaONmzLBzQoLvs0KTpd2tKUdv0Z4WoaiQwamuF0h0jJc5HfjGtE9Sw0nkq4uU
KiiyDy2z25E7tacATxt3KxNAswE5WWIxX1NYiDsPkGZXtzWj7u9boNYyaQPRImiBnaRoQoWpk7yz
pHWXczh2BxyskMIHzt4nWy6NTwgAlVtsbD0Jo77nQBDNAx7mnP6dszxWuuOKNIEYWm8jldvnYeY4
cszUCE5yFz5ZGSqrDE6sXbTxRHD29DRQ4TA3S2vjJwD/xj2VvKSbquntrxQlpYgrjnUA9YVIv7it
vZUxn/W1Id1LHg6blbszZPXU3RK/tLf0NK/a3UghWq36BpWezIKQ/b9sPJVcby8e0/ctLEZEpART
hwZOb1aTDOuK5bNn+I82I37Z2Av0Myn24bAvUlTflkmm0yfBavwlzelELjMLdSraARHSzxl2vp4R
kMR7U67WFF+LyfSm7wDVJj01pD4A9xbyWRRD8DDbQi9JRXDHk8/+w4yYU3XA4SsQmDC1dxjDSy+X
z6UFm+2YmZMQt4Ph+unJwB0YnGZyHOiOOxMEDtXTrg8zDfR241n70j2UfV7wotnuXe51VW9rHLDN
QZmXmlBi83Suu2RmFQbJdRPk6RA44F2KKh28ozenY//e9SUbIlHdoEgkBajI8RVLwPi+EjExR3yO
DOwLr5U9SfW9d1eSYfahelV83vn2Vjh+m224FyG5ZxNr9Lz7rVJ7GwZya1F0/bnALCPSej7mGiXw
pi3p8Od4FihAibMtS8vxZ3rfe98l93zqrkDndSXBgjKtaL8pw8Vt2+D4AcBZdXNx1Jyk/a1dkSgQ
QZDtxC3JEa75npKQYV2MTMxiQ7FLHS9yu60fv3q7jUh8wWC8gpnu0lp99bKaSiQMFrUCHyx8PbrR
4sFzCC2SeZZztm+wDfVa1fOBlZF+ZD2lBXG8lrR5iUeM8HIipqnURAiUrv0zFTwo4yVzyg5YbmUV
NyDsFzNib6n4cKqFAWlH1jtW5ZU8gfNCsfajFEs1xHlfMWqs+kF4n+Y938WzNy7E0JM7QCQJY4Hy
J2vmmcM4gj7strz+tmkwnB8MONFghqVf+hMulbk7ImYNcyQp0WWUC7HcDutgz0+kkK9vjP6yKmG9
CdLHqDV8ys3M3F8k6RnGPbdU9WVctfklE3J596ZcPE70XpS1eu6+Y2YqqnBxvGGJFiHqT9qhHoil
24MrFt5O9I3XIU+QtsHo7JpGsv6SA9smR75jb7wplCDwoVmZi98V9Ov8xfa6x8dkw32nDENvaAVT
1wtSJ4UTdps+D7mZ61d7I1IihHp8tV4PPlGyW56vGaOIoZ9NoPF2kScWH7i8bJ5R+IcWV9hwhz0y
G2hqHWIKgEOgjTprru0Dhmjw5H09A53z+3LvD/j5ivlotMKtkg7V/7VfHRuLklUz2mOtXBWRNGyn
oab2eAxvGWfEyVSqpJ8VkoMuz/o1uODallasyqayThTN6StCw0hVUBrAASWGwh9S1Abz0kW2tMZD
aiZOWY/5QWLr+jbWVr89ZttG4WwYjTnYUbqIfjtVwWzvZ/Imyinx/IlywpCwZEkqIYvgsgFSxkzm
eot93lmtQ7FfuvaskNjr2HS1+xQYZF5FtRs0Z779IoiMTHFul+ky/cjLsYF3fI3xDNe+2cET5wFh
Gx5qtRE1OfIg6RxU4dFe9TWvmmoOCWvnezoXrkXd29g529P9zL8G3KcLcTQahplRZc/dg5zMXUbA
620CgsA8W5BDCbwI3aXsPRKjfOb57Hv2lyULjD4m+iT78D2WOCmn5/LFGzeq/KEiqpshNVPNqBgK
+47geeND8aF9wRshAHu7ZfXLYlFtPEy9j1BH9i5f2Si27T7LmsB+wIKLDs3Lyo/5VHpliCNgBPIu
DPm4airAuGna5X1GjrAjn8rpaeqWSoSkShAUs7XOlbjIuLUKHRqeRxLX5P3E7PIrlzG+mKVYyMM0
1Ao1vWc0i4BQD85n1x1ayCbMf0mPYBpKiy3b5tG5shl4V/61pKkwDYa9NPUriW4QWY2ggyPBPGJ8
yPQ8rfjDSi4wG6r7IZfu9mEKW3zynNJ56wUxKiEUdYofFujGh3JfOzdRqvmGoundlMu8bi8688W3
Rbrqp4cG2oSindxLOpuzGXfEDT+Zq1dlD03XG0iHMzdXXCC4fRhuTQ7E4O+5ZqRQyw9Rby0g+MCZ
rLAkosE+AaCVv3xivurIcOrxUOGQwgS165YybLPzO7nmCPUjj4aABtKw0ts5hzP3LkdnQExPi6Zm
KlpCIoXsz+ScZIaR3Kh+2hge74bpPcB15RhXI68xTAWcfAwmeAguDE4IfbLK0dBxVzYD96qrSb9Q
WSfu/FK4Jg4Vj/IOVzFFxrBP+S+bW5j0EZrFMcYlM3UHfF2+cTOQj8J3PObIM7VytR+7cL1OBe23
jroaZetOrMyANKa9AMa2Z19g5AXLYQsy+xHEu/kLaO0U8EDdCr4pNbZ3wnV3ngT7uv8SdVl+MTAx
67BA1f/BcTbjpjBYYQgnd1n2ZBI7KaG4HYvh88zCQZuFo1DOj8Gtip78bBToX3lemPlH7/d5mdR1
VsKQd1vCTypYvd8Zj15jNJa5XW9aCO4s1lUa81UWrNvdVaMhsWdeirse81OBzdRs8y/2LDOqg5HI
yqPXZcr+wF2g5yRHn9tf+IlkKjXmSptDaAOqJ4MRElP2pcGW07Z+jV9lnupDk+++iI2qmraaiKBx
c0+8D7RALToSFeqAANqkHlMk/VooWo3QzofeseHR8x9CDtJCJSTHcUOg7zF/Y2qTzZEw0e6xKaTy
BWBKLd5YLun9i9FUjGKJOaGSXDFhhLY9CPikwOPKG1thY/zsM0a8W7NpaON1bIlJqUYehKeRbFYq
KD3Yh0mpoI0h1WNJKFF6WrDWbTXFqcgdsqMkwO2QbJUM3rvd4Miy9Zb3L9lANgFBRBvyNLhXByUt
DQng6dP3vvL2/aQDZQ5ftUn68QMFDmtYBQdZ/QF0WbS3NUliw51RrUuW321goxiAWmW7dimNWevv
sVBaMd4sq85OfFp2/1IT/aJO+PRaAMHKn1BSBGBE6DFkUbaE6Uy4BqmUiDc6ddI0zHghM1mRxkXd
N+OEzRrFGVkKzWOPFKuSLDA9LVtOlhgNbovHQvKNfQBLL6bbztnHsQvHdSmBQw9r80EpoofDsIri
rV8L1gzmbmeMsHJ9EA2PUySemEAh2Bvr8M3cG1U9AhMKvGTBq1OfAyPLwQe2y4L4L91VfdqIElhe
8xwC5t3W2O18wu5X5Umz7ClG0xXWmn0EQUhks1LOr5GLmAwNR5CsqgCXX2eSxH7h8cAVaYQmx+HA
s8roq6eOO7GIQIz5S7wC1RYXkzP7hat3HY4pM5aflazz9GyNk8aauZEDfUeEThDcgFoesEGIQgLW
cnHUkCzpwjvZXJrMb/WqfDfeHXZjogz/c2ZyhpjM/I264/jI9SbUPcmkKcEJOp1e8LHhe3OKkmk4
fIVcnVK7hqPVEIiDh8wv6vm7mOuCUJ167yRWikw2V52j0bcNQ28fUBHjpvG0250wKIB13nifMKXU
qBK763ykyL7QmgvIIsg7DR8wSgYxZ2nWjJhgzYYIJRRvTF1dXJhYvA6up73XLHdwKBQ1XoBDXw6r
iw4tO30rKiIGD1K1XnuYUErqW2UxFjmlLm8n7uqy4qw3ymIhVYXsP/S5ucgJPFu3YEwCAVX/6E3s
C5xxFXZmBLeXAD/24hv8QTbkvnBSwxIcgSIuzts1rGlKaH+24WRvtZmd8WY3AEe3nmwRd8x3BdVG
+HuC2bGmNNoQPMM6o09/mM1JOlGFNmTi85qG8Y7VfGyRfNVmcV7tZXJxNs7XuThrnsszd0NpfTbt
9TqfrIwBCsCwG59Su+vkxTJS033Qw96zhupzlt30xjBbAEq83ciQmViEEmcsG5r7Jmtqp3lN5aD6
c0tzin4Do7v81NnpltPIOUhArd0Z9cs47sj02N/V+M0oGBI+ll3ajl+HFn/oJbCLjd3FoLsi6qwW
ctCPfNgZEYVFhh5OjHBKisS9vbgr476laUhuWVprfpkVobwN2x+ugS0HN/S0J5ZbluObRFWkxmNm
7ztkh9hV0YQ7NQ5X/8IG+Cu5D5mkBuwg2se2nXbzZ65/UxOxYlbBRBJIsNo1SZR7Ux31VuEHMrJ5
U3iGUB91HOTGMNwUJej/263yMHNsHaB8HJGD9H+0ud/mL55VmcYNBC5Df9qnYcO90qdlZj3sizUv
GETGfX5rp9Ky7zrwcj6pJbnXX0NrCZMgxhUl2I6rstin7dyqK/7+7LZqbOwHHVR69zHGkxITNzsj
kmPn1kZ1j8g2tBcmliJ/kR4umnPeZgS+LGOLYa+pgza4nnz2pd5NUuHAgwY3uQQmGUo0Up7tQUGA
Qu533on+l7lhThGHEYQIn42lBsyCoUlT9FFN0D9CXdIYhwHS7zmY4XkxGuEPzjNpU57hnagMlYeB
SeAMSI/Tmil3PaYLxWr3HBQ5ytNNMReNaE7MQex6+EbuSssdWVaYFrez31lsBuxCD/MnbZqzjZQk
6sqbvmqkFocJUV0W3fZRj0SdOIdrXoA53bqrJszgsKwTKtlK/h75Xo5F4El10JWdWbgeiOqsEl1v
Eh8oWUcBVWzWC+wA4+irnqenzTiQwxj+gIEJN6u3MW7XPWMMmU1aBXmymM4on1KiE4shZMLpO+MN
/jCxPlaObXJUaF5b8OzIPF1OA3OVPVZer5BFoeQOBOuBUppap/jalzNT4NxU5qfF2etfOUsxcyiK
RfzkWNMuFWnvv3h7k74HeHQJncNV/LmY/eC4mhYRNLVtlO/W0IuXxhDBazY2mWYfph6L9jBkAce1
ngTpSiwSWSyx5KD1CW0nT+ePPan/Wcf/X3Dl/2Fl7L+s41/y71c43s+GEmO7+fGff/79PzfxbfE3
ClWQaJaL85ete1bW/tzED/7G/2nC7UY14o9swe/4axPfcf4G98k36exY1LSunJ+/FvGtgPV99pF9
IYBwX//031nE/219m70tDJmsJ16pQVCdfydo0jzWI+F1ZLpAhYHTNq5z4jdG/uhZanj2Brn+i0X1
31bcbAliB/yMD1kLK5jr/LYWJka8v1JnZLqsVcEgnWac7u+7BrT6LzbcAM38toLGoq6LdmF6pDoA
9PJ+23A18ZHDzkK23jtCrqykolDOzOcucAyclZHT6+tSzh8wkATHH88rbs3aLIfKOtRsXMEuRbaY
Soa6qUWhuZFqjHHXWsYfzugSRcPMVqFuod1cKul0956RokgQ+ZnHYyvK53nycSxW/koUpcEJ4OAz
yav+JqsCYIyZ1c1B0hq4MT9WLKXrAbnZwyLn7ZJvxDaZdoCdpdE5NIU1VjFtUjrFletvczTWfu3e
px7gokfs/lhxSezYyruCac3H3OXjechZl/hWF2vr3hEZ6z0qkvnuus3LPyrsdjkubKteQmGPqOcx
hrfdlVFZqJGJFma+qn2oCjO9a/e1dIIw98qR1dlp4rOMJYZf+pTF2lr/ImpvcAiXQryLMaXKbAn3
VfZ8MFzeH0ppq3prjAxnxrAYxGucVzyxfbyy/MwsIUi32jr7iEPdFgqiq4ibdEtrl1WobIk+EZvs
buxOslt+w8FRtdfHfUh8dpkXaCoEM70yFFj6O4Gw23z2lxbWJIY1IXQQFj2LeV+9BTVyizrbWRn4
eHkKMTFhoR8/7IGNodYYrsaY6/Sfqt/hEBnbfgkcQgtZw3NvsUhi23yYpl7W46ccO4p3xV4JLHSR
uaS1jxfUdXEsRi2bjvujh6UEymY+FY5XP+yzN5tP6dj09YviYGWlYOsyW8Xdbizjt6oxCATkzvO3
7RNvAINEzNxvFk2En3IcoNt1WVsRC0NMakA7Z4mtf/IcVLNH8tPch3QSxngYrZzh2uruw0uvNi6i
XpOYeOgGuzVivkdSaJx8hqZT5MwGY5mjmcQ7XIP6hN908yNk71QdUHaHj73oRlpuFGR9pJR3FKnZ
f4R58tNM8l8BuM7qwVjB0kcaNlATGnzWbUyUMg643vPnMp5b3LkMCxa6EZcz7FrhivzkLONOudVf
a/1rTfbglZpzcmJ/v4wbmRM5uViCuMJlrOk68dD4zqXSQHnO+aYzFm7R9pHsTXfP1mc8cuN4Snvc
J8SHrWSz0UrU9r2EqVzQLWXMJxLXF+STlqD0ECy2jryoXFHZ/zRboI0n0VLNnUeJDwMVyhq+j/OM
hFUyOroBL+uatx3x1SkGTTZk1H6LmgoSKBkHtkmsEALiPmsm85Mh60MrViGjCakbjyEwVhVPKWka
x3Ek3oug367BIpNt0Eb+8C9tsivrOM3FRt6ujRgfXk2GbWgKIu0ONa6GaBkKyiIfFIB5uEbh1mGX
LwF1vzGVwSOVcjCeurm+DkSUre5SbmT/KMhZt57ViulzTJAd3OJr26arPDloamsWOW7DHP5tJVi1
MqIusPR0J/2GBs1cdyM/bWMhjHhmyM5rkbkpI6cgdPvSFGQjwu/0q/44LGn2o3FQAuhoBP5dWTFd
iewgU/ebGionZolhf86tSmcHITtjCXu/6c/Ib/iEFgpwTek14zm1ORDqmHH9vD5zVS5evGXEgH5Z
DBvDdciSBfGboUvuqG7eyEmg4zoOXeAW+xulqms9pZm1s5RjwOhq37NGI/a+WeyrBlyXS8HdPLIZ
3GFttcPrQnkrk3YiAHD5ofqmGXs/0m5KD/Jd9yLNHfaFN224y4/Vzlgi+/I/9dFf9Y7PQf4f/+d/
Q4ZUP9v/Uh89fhu+qfnb9k8l0vWf/IVVFO7fbEEhxE6nSd3Df/9eIxnSBp5oSgkbiz9hvgxJ4e9c
RWohnod8bUAs/vzD/1cmGbb3N8kR4vNDYWsGFFj/Tp10LUv+/za7dJmPg0MCuw8TXgJt/o2xsJGs
Zi/0XomjqmfY1XMonRprYUqo5T98MI9//sz/ngb4998EItiEOYDB77eixdUlW2NuURJohzbf4eZ9
XPbSTcjt/PfQ83/+KgfOCBQogE+O/I01YrvuPNkTb8rMrMcMNzaxmeIJSfFf0AD+uQ776/cA7AGX
aYFTFVe8wj+wBsg56THvByzyrjYH8Mi8mplIZp0R5gRtjir/Ba/hn+EGf/1CQQoDUVCBB9j8n3+h
LnA4usgwbLoO1UPQ+u/FUqAt+o57KBmj0L2P478A61igsH6/SK7kTb4zn9mZD9Hxt4uE0ObeCEYn
S8AieliN8ZI35I4nedlkJyfL/Ge9dsv9Vm5ewtHVnXJId7drp71rISdiMThVLDgVXgIrZ5SMMnSr
gcQ87iRxRi6hiBfiO4abwDS6E4AE77nQhKC01vpHD1+l0Y7WbTEA6LC06sq/lewKvlXs6yZEwAVX
90/TEsxediy26IEVs61ardd012zqO6X3ps0UFDnHC64sNlIf6D19FLXUfXf56iAA7JiMarIyWXqf
p+3yf2k7k+a2sTRr/5WOXhcqcHExLvpbkCA4kxIly7I2CMmWMc8zfn0/cFVF28r67N70IjMyPQgg
eHGH9z3nOZafta9WgZ4/AVWsSuvSY1U7gqzp1xXZxoLKYBvzPCwqdRFd3SqT4xF9UsqqhlAhaTF7
kDdlXwyrGjYoT1rPNDuWkrGxxqfcMpotHeDomgw2CfAIz/d67bQ7Q81eVRSmLP54uOGMNMETyhnx
WmNjfyjbAIetSi2NdsVEP4g81BS7i516szHQxdR9G4Vm1veuYnb0Apyo5AHTI+2uBvpuhLjVmL61
cEjWwAyqU5gaBc2yToWdnin1c582yU3o6fBoscDv7Sk2XE2ZiaSrc+3NnPHMx5Gar5o8iKRL6VY5
jVpgu0qEuKke7I7WHI40P/TFoyLx9eGgpbaOFj2LT2ZRJzsk7f6+hoCw0eYqcH0MnFSKZHJFRx/c
0ekii44yV78S/OKuyzAi4O8nErPGt+2xNaZ14oNVw/JEM77sm/aBAG0E9lmWk67V0OM5tLERfoER
aCJbs330DnSH13OYILmeVXlwLJm/0qqpsWO2sfa1R89GWCXG4N2ARhMxUFubq1Sr7R228DheVQ3e
8q4LhKtnizeiiK4Rna1mKTt+a5kCDtnodBWbioE9n5S1uLVqW2OvVgF4+oG5p0RfPyOOkx4Bx1VI
MiQgIYj/AzYALU7dmMTu5wqFIo7UWNI/78NNRxXdcmXXz27KeY5yEHmfLOJ4HkdhPLVDD+m2RJNB
0CH89aL0P9vtHK+FFpvPtPDUg02z6MlQl1JaVaUvk2Jbm6qwym082+8tdBuvBS71LAo614bZoi92
suCW94Z5MuFxfCLeWKMhYNpb1LXBwWnD/EwnyB7XE6yFT3IO1WsnS/+ChBfpL6qh8SFEB+EmxeB/
gweAMYCA3fU8WcnRgUt0jxm3ebZlabX3eltW6UbhNpqv9DzQR2kTWdi7Fp9P4Q0EqKuuNTsztcop
JC35xs5UImDutara2aM5IkIgvirkqKRU6rfcIVfNk33f+dt8Zk+29Q2bzgJ44qI4I9z2dwleu/hT
ktDAWZGFon5DPdtZ3kQQ9kTLkLDxdWUXSXBmSeF5zyil7DWcB/1lrhSzdZESWpaHprHj0Osn+nCA
TLLArAP7Tm3pm8eqMLaIfDBY1U6JFXN2JiXGfMHNvtrW1D1GfUFGNeFKiYUcTOP8as8NnZJJzyiY
ksdcHHJn6j9jBNL7rTDl+Erm7iI30huD7Dqt4QysxvBEu7yRT8Q6OtYhscL2O02J6YFeWCgfYw7T
BlGjpoIsMNNmsmoVJdHdzMrK8UiCLGoldgTprQ7oGCmRDxI0qbdqSe/D1CHQ4Nw50YVz3AlH46pu
LN+lueF7PY6pNUYPUCHFcAjs0Kv8jgGXT/4T3BeUJ1kcf9fDaUYWSqb3VDkUvBlOOGX9EkOdrhTt
NjDkoc5tf51AtSD2A76Dz/PYKz2Zw/SdTpWulHdtSXFCTTsDwL+h7QplmFYM/oeE4VW0nCACkexU
rrcVI5ajNnQem665YloDsJJh59Lx4HhZ1WzLwDxoCGOIMu3wc/u6uGr69NQtz2gOt6xAG7uqj1Y7
HM1Q2WeldaSM8DQM1TPVyWg7+tNXoxKvErsXGsutqPuTMMtPiwPvE+vQtiKTHCZwukdKD1qiijjw
DC0KlUVWhptlT9bDFgGSsurN+YmkUVpJ5IG7xLe/plF9Ij7hzCq5bZ36e1OIbSH1q44NGvPPQ1Gl
9zkyV5QS5IWachtZYffSMTfQHaG0Dw9yj84wWiV5o1/63P8e6sNjVLfAXRkkTk6zoruUllZvitD5
XCuIGahMFGiIfSz6TXNvl4wjlIqYN3H2Vlts8f16jsOvo4rbv5tWgfMOIJqOrOG44Zw+FSX2UBww
TJlp3MLmoD3vy7Wo8pNh4Ps1rR1gozUBXmtZMO8m1Kdo5uht+1r33PEsTpjmrpleH+qwQe8yCfab
5cyfqLymHjZWTE2iIX4ZCNqF7h/rvuxoq9vag27VG2pwFAHGxywYkjVY2eIMIWCX1RnjCJ+90Qlv
ohJGH3z64huoi4mAPQxDu6HvklJmYAz7haKth+VoPxSKvkW/UrjBqOCPzQdzLYZ6Gxc2diILGZnm
oJGxUwV8hbYtKsi18IvvaKZXn4Xd2+tS6vW1i6w7iZy+xNougdrN+J20aqnJd9FBj3rHjSvsylaS
PkYGW0M1yc9mrQTbJM09NF97dbaPRhO+AhHh+KlWt1APNpMFBUfXFloMBQmcCrDyogcns4+kKMhr
rMQ5CiVkllyADx/nRGVPWD+k6lmoQj1ltD9P/vSul0hRAHt0a5SZIdNpRze/IffbbIV1j92rvERq
nLlpWoz0P+pLWeLZGR2lu1fb0tk7hfHcKDGPrJmODu4Pz0zVfTVn6jYo2/ZGB8Mn4qYaPBJsd86s
Da8arrBzhRnq0E3DnR/lu0ldnGC1Np8TxdhXtlLsSILe1wg83NFSXiRr/U4g5MTZLs79bN7n9KN3
tRYQs6HH8ZdEXRqx5YXebfMcckKiipDCO2hoHPvDLc+axG276Ll1zIbWdfg8mVxx4AJrzub3DYis
Qgy3zNaPwMjQZWuILQLH35aDpl2EpZwHyyGZ12wH9gXhwzipFyH7vczKe0dO6FeaUy/qET+aWSOx
DPNhS/v+LGYUvvj9XojxOgK63BXjcC0qI/emTsNlMT6Wk/iewCqwZHWrQv8pTc2bNOQlSOoTAhzq
HdRa+rnb4E5AVaZ2tKim8auJuwV//0ZP7L3T1rtmiLdzpZ8UXtcVtVKvaJJzQWEijZPYs+3oUvTi
jYQjd+6ibd/GNqJhpiCh2C9Cr260SLK1oVvXOEkRk0lPS8S1brDWqVZGhXNWTqaaP7az+pbDV4TU
0ruhMkYwJAq6RmxZDtgEcPLwwSl80SgfEfKZKXyFcCBqeeK5sC7Np2oUSFd415u6Zi4scM9GkSFv
VtVeBL+J/rsTuzZR2vVY2w5NKupflOXQp5baJ6UR+7ywy41az9YK6cm0kCo0urjaN9XmS0xowjsK
ZWqRKF/LVFc9I+jMQywH6pVh8wmI0EMedqCCIuRm2oDSqIEciphM1tG9UdOCNDQLS7ymzeukIOS+
s/uvfVDA7+jLc2cOyiEalA2q3GWoOM9Nmr+Mde5awBce5jG1V6WsVbzALE5Ni4awHByxNAc/Gy10
BXY/X6j9njNawivLFDxbwi7XitaInT43aKDHJv6m9dYbyq7t1CjHqS5e/dyeNqPmX5mmNlT9ExQm
aeuVZuKsKlMgKQnNwMPXb+Bz6x9qlDkIqMw9n5+PYuaXGB9bOjZHWwUZ0dPXRCwjcb82i1YmwPk+
Ojr7t3ih02eYn1otbY4YE3Uk5KOyp4GNlgxoeb4z4yTfFrMZ01JVy5g9a1C5opJE3xTTO24D5CPU
vzCcdZhR8jLfaGlVbVuCRXIXOWW5Eo06Ps3pNB6aQDG+IvdJQHvUl6aJpzV2ruxh7jK4VtQFkcz6
9GuTloMInf7uSc0tQYmY/bGaNcMb9S2kEVoWik0mC/shwk/pFgFnvuVdZNQFyIKosRTvYgyJFy8j
46kPDOe7FZAn0g4SbRud0NLFM1mu7RC11sZunHkd9Gl4CyFJvyZqOu5qXZ5n6YfeoNrJJUXD9h53
s9W60mnMF8VEUt/pCnVQwbZ63aKpaVd4rva5HY7IrSiF7qNO4OKOR83ezrBoG8JNMgRj0E4OCKuj
tT4Q55JH7Xzn22bvmYMxXuqkaB/atjGu0kqyc504Xwr0NShjVf3dT4XwV360aNVNXJKw3nzMIG1x
qpkFt8SvJ6eyTsyHesqRhsjOwHOjJCsUM8Bcq7pySwW3gk/Q1DWPdPNp6pvZX+thxyFqKpuzOfTW
sYkEzeHYbvz70gmWmmUBgQNPCCaIqvscTaF2zBUh7ikOlMgNkTif8UBFjwpWJlj2qkpwemL4OI0w
JHzVhVJsShbQzyOj8Ltl4d3Gh6W9jY5MT2qCzrQzp/IY0nVPVrWxyOGdOGyosAcDkmscl+UhQe++
1YLe2lW6354NHyYNDrP3rqksL1Bx7Op+aD/G4yivlSOqh2HWFHdqBrZn2HBQtsFF6u1vPdn0GyjK
eBhnhy961GpoRWUxHY1g7m61kS1VDSseq20Ta1Xujss3dYj0gGYXL1jIrkm7S1XG7XRSM03q9vec
5qJdbMjTVow7K9SmqTsjUYsQgxJzlsSulbUqBgME3OiHN9WUxDXoLN/MNiOu6IKKlyLOTW34+p0J
teZzq2cYz4wxlvqqRwJxy/TpJAydyTUbmr0aBghYtahItq1GuxwymeSwRZNC9wfEfxaKYpO7ZyNK
iyf30bkJkVan0tbCjRnZ0AQQdm+Kqeo2IJinjagyf9tlpuEJxxx2FOTZnsz9ppYT8upQusVQ5l6S
5RYlGJRjJG+gzybX4QR6hMy+zr+rBnZLYsTjyKlt3NIw9Gec6RrNf4uvC5bKlo86HhJ0fVuO/A9T
j6ueL9jeo50x6dpXqKCHADX4+EW353czGvF1gu1d9RLKXa+E8hCW/lavZ5Q2HHLQ7h+CMhvWThH0
pzHArJTOwvDGsQ43fdl1B/qZ9blEk7TFupMeMfOlhwhXCjtMKZ+BiXwdeZ+3ASpaV1ej3CtSE9Gj
302bItcffY1N8GQ0XhfRzWJ6DNp1OTq4wlvfPLZabq8NQ+mBPVgluVV5vW8LA5Yn0DXWynlULuB1
zMEW3kgWPHr4KVkZxvzmoFN4TfRRXdMXMr1J4A5ZTRopfCjA7g1dP9bGBBdbzvRacZQblP9dOtdx
tSqconBLW90Ts2adeJVHFkyLnmQiePBJqF/rsrwgnnP2+KtbDwGKc6gc2pcriljx5wbIhVw1sLT2
XZ2+wSIyXTNtk41pix7jUlJsx6nSQQQGBiZziSWczl2EKAjXRl6s0fkoXugHEepuu7qCsLkhzzNd
qw5QO6rBypqGZFNX08vYVtDx1N7fZFrh7HjfrV2AXHCjYUtdOb3qFRlliD4XmNezvPJ8XMa43gZ/
IatcKHVOl4pKrcupMnM5YnRHIxnBeCOgX4T22OWIRltB0puQfDIwCdHz8Sjh8cc86B85qL2q4Nlq
Mz+GNlPzMGfpJR4n+xw5/tU2ALMatdZ/kY4S7xcoZ7oqeolyXIMFUhHk+8nomQXTLLgvWxw/tpIz
qc3S8Xo1Dne2bqhfgK0SUpKotdvmlXVmio/XRmUT5YLEdMNC0K0osaTrMaZrPdWWsVchiGD7EePz
THl105j2dKIOnl1jyDscdOL8TfH94Z5EA9gWsYPekkiJZFPawt/7fPhNU47zptJQC+PH4xe7DKWe
pkJGUutWvTmlES/sHgVIQKaon+yK3q2mSBOUGByePFfkkbM4IIHaqhZwz7AWSlWdsd45e8V3BHr8
mWiaCN0uh6MYJOIKF4QPmmxEvl5VT1OXzPvJB1/aS5JZcFSUCMo0lNlD+qrRCEPRpjDesuoJleJF
BKV6DYpGZV5y2JVZVQ6XIpBDGrnJ5FhPWqzA2oIFtR2dWjmAmU5RrqUZRYjiU1JSZkfcXfgFCmU/
LiA52EAfByiH7jRKG+zg/MxwiHdLB3vTIqxCRVdgUNV6tqBoPtnd9IwUnY0ycLlMLwr6g4Kis1TQ
gRTFnTn2EOHszPa6hHp9jAcMRlNp3vVViiKulpe6zFNgldakooNTzb2CZrpNxSdhRw2lT9TBfWGw
/5sqA8sd2K+RIWHXQEQlhiTZmk+VQmJJroMiymZv5pS40NGcLt+g8PsCnnAX+/JOTvZLNvZvbKUM
trg0pavBbq+hPn7Ty1n3Yn3h0eoWx46meYPmg8esnPYAKzjkVWoL0W8w7njn6vOMIPZUs8TvMgQV
bhml0y6sgnFjljKBxGcp6l2iFclhGqKzEU2fZTUhVMTtn1FYechntbnpAwWOCoX0tE7rzNxorXYt
O5yWNCmHxQQohhV8hWOndYOHqs357DfT+NmQJecoxPTnomPznEb6yipHgt1sM1qnOs3P3n6yHPNY
iCT10gx2aWKwwtUBLFZ8objNK1fzh23ZjwfLCndsGlwKuth5dPulmlhHkxBOCv1izGgPQx1tWkgV
WTLfTEx0ayrwnhFTConUAjlIj8l90QQYMdjPOoruBwwCFMAhZtluYTAWkeDvhzzaQ6O8WJHzDCHp
GA/GutS17RzEh6DSd/acPWKxtD1oOzAdul1XMF860X2jdI99WH6q8w7EjL2jprqE5G46yiEO9tKg
idw0NAHJifeWBkEj6PuazR22GONF03BVDMIlaavndIEws1I2BIVAgEJ3H1vZbu4xaYQGvMdpU7JR
T1PliBGT9ck5Sgvxjt/jWyIIY1RGcC6wBB3pge54KjMojFH9ZQqGVUM1ZliONpg+0cWvM6P0MBZ6
iEjbL31menWiPZgVUNZaI0ZH1ZzD5Jif0IjigiaOXe8YRTMewsqbEmi4cQhSk8q/qbG+WRDGKL+v
guxbJsvqMma06getcFk1DoM2lM+DlOj9623YD3s9ZFWP/HGPqNsNCxi6esIWIe9PbZFvOZgyVn15
ylvyM+ngj7CIe+40CYovZVy7QUxOohNh/C/v6IY+WzSwASmwaKvmicjdW95QQHJUCLtWzuTtt55V
CLoCgi8DUo5lnkYM+6HZQxJK76TEZxnE+AJC+katTahCkp94lGfH8B/btmaX8VUO2qmJIm+Mkjt9
gEASo/og7+PR9NO7yQ6pLo/8EKrPHHYcDSdmEJxwFdBoirIHX63O6UT1ixUd0JE7V1nvjqZarvJB
3gch8JnZeZkyBUFz5wUsHtRHFWJj442Us7Y2zfGUIHGGPMF8YZ+VrjymTQXtg3dZKfakDHuQjeAI
jjT+VuUAHoxV/h7P5En28Qug+DsAO8i7tPagxagYhGHfKKxPbANSSD4kK5qGee46fcRpthQwMU7n
RT/ey0SjrA0AArxsfMeCf4/v+lwv0lMVDaauUVrj0ydwEBLDaY+Qo29VhN2jtvpjmTabsKMQm8L3
jELHK3VxJCw1XzeDk68pO90hhzjp+M3XZjDcemN6CGGQWLF2jDpM07lshk0n63TVOsymvgKqMiwk
OBLs0lEIJ0gyrjjbbsxYf5GYgKhIIC/Wu6daZ+rEXjGTq2wddUDMbpDW39ShY3Xpvo/huK+HeK8X
DhSn6EsfWvd0jD5pBtbmdOpeUtnj+Lehton8UWfWKukN0uM8t074BsDwEBK/glngDkrJLrB9pkua
PSJyQrf2Hc8S9Q2vHlyWwcHYgSu40sXeSLJFGfTJnpUrId/NiigZPC+B/tBFOTjFGrtJkJ6HPnuP
C4lBTtuWo3J1zPDVaWD1UnfZ+zoHv+UoV/DRB6W4cjbBZ58cjTQ8+s54S8zq1iG1XIdGc8jL5sL6
91JEjg57wP6UBuG4zbSW/ZNlbwK6gutszq9WnZxqrUu2cEc/08HGr4aR2emupCPOnCt89WTPavSA
L1CslS4eL/NMV26wi4USCHkMxmv2mMQD0HefMgnMrWBCO1Vz7NJ9sbccDOICx/UJzyu+Vme+lHXU
7uyG94L3I903qP636HjsS8ocsmsrS3yalr4g0D8q9MJup5Wltc4+HfVqrXU5BR8YEuF2YDv7rMQT
DMwaWd8xQmF61gxo7knbYJIrKgjPoobmqCm26dFIpolcpclugR48ZGRyvCVSi+8AQ1L1SZwJWyip
SW4XRdoNq49xJ61Q5cNETrDL/ER973uHSowiMLJUjh/F68CfSw/J2lsajn698yNdlyvMOt0XAFS4
2fShGO4E8r1hPTp2x2KlJRp+jeiN4Eo0lFle31d0D3dFolkPMnLmz6Zi2FdycO2L4lQCE0XKidmJ
gtltesxsYZ2Od5QO5RdfCdWXgUryrhhSB8teSsSlWakkiNOGSzdRQORAZmHNgsU+3DB1w15gewOw
sGFTpbGG5U0QvToVJAZSBjrXHFswzUUp2Y/jfoQhMR6NbpQe7QSw0oXv3AwwK/SYYVNvUjYX+Dpw
w3qCKgkTez+c9R63nz0ZoNNsLPRPae6Pa5+T+6E3Bvs1xAbmYVscHwFW4z2xO5hregotr2uhBcng
PUhYBYoJo9WqHVgASNUrd42Wdwe740w0RM23OAyxJBvtNaJ6sBEYSB+7TFe7FYCjHulpUuynuUse
aoPCajlEFGWoq7pzLSAqYyzGJlw+QGRzeBIpPEJsUSsEjW85vcFhhRdo2I9Kk27LBis4tlXLw/tZ
HuGCAgKlTLapArwnhbiQ7RfDHynNGxzT5Bi1xhZhwj2tIXkLs5l9cFXzx1VUPS783XzTs9v+PDbj
vEeXSJ2sacm/Yw/bb4A3UFBH/LdpKaG6mqTUBGlFu6si3wZbamHKhv9kriy4uVjKI8JHwqJPr8Tb
0DLL9eCo1+PA2jH4y2qC4mI1lEF3iRop150hYnh9enyvFtZLVWs4SOFyYLEz0y17J4zAFoh/nFQs
7F3Qthe1t4qIEdDQbEocIzl0BhJ/Bz1ev2q6ovk2C/gf6wDJpFdZQ3e1SzXjuGbCRepmrduCppzZ
9LN944hv6dsZkWfLtiCmmV6HARPNkj109rEgHTAiYGVISnTIRTWbFDrCMum9bBzjXUcDtHadIPbZ
+2u1/ihKzKWuMUqYn45KBaANZucKzkRBNjgpEzvGdrqMSUdXSwTts8C7DfghCl0HlBQVndY44/Mo
+JmKeSn9xnINJaZKaUykddsxVJy/zTmKnbITlBIcbQoZy4Gq+czXPkcJrOri2TFJynxGi60sAkw6
W65ljqrc/40wqEpUtCI3QY/AivaGHWCTpaOvXszKatrt38Cb4HrHMk9djOwignq41npijBNeUE7h
E6ZBzsT/Z5q8/r1uu/r9P86vZfMfXpd/e22jIv8Yjry4Jb4WJaqUBTj7/3789j81cb/8z+aHWeC+
e6+n23uDbPRn9dz/9jf/aTl4nMr3//rPr0WXYyC6vQfc1i9SOyl/EqH9RZ13jOrojc/yl7/yT3We
MNS/4/630MloGA+wDPxLnSdM5++E45AkQxQbmrVF8vRPcZ7+d8R6/E2VAh8R4z+SkhuQ1+F//SdF
0L+j2Ft+2XIIUxco9//14f+pkOO5/UNK+G8Uc2LJUvofcR6XQDAoLRLoFiUs2YUfs5aiRMfM2PZ3
kz5om6AwE4qa0zfk+8O3qqJnjl/acAuAwzD/9Mbl7Jeth87Uj1rVic1Pj+7f3I22JBD9ejeoDnWT
hCSmL8l/8vs/qd0QY4HypVV/RwomC7AiD2A40qfRCLUFWoBZB0kJaylxQiW6jU0ZCoAqwtkpc/4i
Y8TrbWNnbpXZzeNIiNS2r3UQ7INUz+3oj6e8d55HfGd/0B2KX0Vzy1M0UXkYlFAsGM2OsUggf7rv
MfbbzuqV+E4tGxgz6jbPoYqn9ChcAq2T+4J83b092+2h1XrnLgfy4vlakm6H0uC42wT11y7rm6cy
9QERHzIh3v/wZH8VYf64Q0M1yBSTmkE4u/1BGtmj2NbHhDvMsNTd9Kzsv0ewfNaA+IyNY6nGUbVn
IFi4n9eiaxS3mq3EMwmgMWwnddH8VVc904d7gi+ai5XPxTZxIrkaKGKvamCTnGb6dFcwqV0rNO4s
meq01CpNplXHP/7+4xgfh60kRseicIMuUjNM4XyQC0ZdzB5TKetrIsFXrnq1prA9dcSN2Hbmu0EU
jsPaCOdbYxDackTp81YprYmoSiyxOyDDF/dourXSMnYDpWkvBkSqBGZIV6O5KpWvWawgIMlMh+Ge
KlsFmdHdjDLiPZ8aLV6FXW49lsaDxCkxFY19qqqo3YJky6AmtbVo1/4sk7UCZhHTBu32FSqI9PMU
S5SDShR4qLbl5zke9ce0akzOL1KJMfmXYf7iF/6yl2rf+b6oLQNXkwDAQ9u5WDwOjoRtVJLkNA4b
NkE+YU1EIPxhvPwqxzQs0qeoFJvE6PH6L/nqvw5olbyhhkJD8TCLSVB6FqbX2qX+hyC0j7PPXy7D
VPvze8NZrYUWFBYP9BrIusFEtE3nmj5qU+B/14V9LkX4wggM12yAs6cch/KjI7vHbFKefz+k5Id3
2DItPNPYzJiLTRLhPmZIQjihO4Kx4DZnxG920hwvBcxM17Qx6nSCxjaTeL0dRuDxoJbE98kplFPG
lHVMaqSkOalrB71yiI2ylmcGiYStidViBWJHtlYqiTDeMbeaPuwQlvCu1GZzFFkidqaOwTig44O2
t5536dwmn0O1H8/BOJXX2rbHlRVC7DLKRr1DhSZu/IO9soqrJ9Yze/f7RyE+TMMWC4FhS6xmSHEt
IHmLKPnn6Wwypd9y+LiVUltRODojmnIbqsAzgp1oMA+4uyHp0rYdiocq+1POpvjL6LP5HtiqSZx1
tkle3a/XLzXaka2e6Dd/1quD4eNVzy20cNjsV5U/pbsBnt5DRHzKBhY97aJkpLmFWtbl1+v1QBnw
lAD++IMW+9/eFvpkjfKFCoXsg+abrbjWSYIIboWYPputJi5GFOr73z/8DxM1z57PzkKMaN7WiGn9
oL+ewsTHSzHLWxDZcmuijhxRtdJcaf/w8v2qLOcVZ6fIq02GncauRIgPF9JU2rG6TIrbHGOrVgpc
zhwtktAFXzA+ZYU2/mGVXH7gT4s7F2SiRjHPx0Pnjffg12+1DiuAd0K2t0Dn/NJP1xE2bJuZ3/oo
calsuTgfsz9c898MZRMN+4+tEt5JnAG/XjQuVcouRl/eRujjw1w/hBi25rojiqp5s2JE1iAlukpi
lQu/03PY/v7b/OtnhvShWYZBe0VgCvgwwUUmPjTkcuNtgIpE2IE53ScRJSsLVMa1abU3bkk76BxZ
d7+/8Md3CMcAknEKq8jlDQbrjxX0p3dYB9BYdomsr/qQzxeoEmugMMVhsDTaQKJHZINpYd7AECB/
IMl8cOhB7xlTAugL5vory1FxF/sUjf5wY8vS/NMwYGohapaxxy5EcJcfU+I5NfFmsyO+mu083aOL
MUgbGLQ1ESD+wzwgdoUcvGppB3lp6RytBnp+Mg7f4KChVrfyaNexafFCIhGYj6zBzVTGEdozlgc0
fv844vz/N8jLAPnldimdsRPlbuVi9Pjoh1DgHgglocRGBXNNoAXE147O+Rm9lqvlBd4yzRsUtHHp
/Iev8MPYsVUbS4+OAnAx9VjGRzeLH+R5XA+ApqecRL0WCSjyHr62AbkJbEODWtQc75xq/IMb48MM
9OO6CNcFZBHJJsBZ7uunkSPSWAOTGc5XYjox4zbk+ylWs6TD2O0fnu6HNRcHNqJSYNe4zZBEMxh+
vRTCPdFakZmQNKgqF2sgZW1WlA0D21lTSF7RYB+//GH8/frxbLbqDuG6BjIClhcbq9Cv18w4ckWk
7sw33OXzCvaJ7coEa+VKQVW/s9I545QdZHtZddZ+akw8HHUA8y0XB5Vyz4qCCLbFLLa3igq2ePX7
2/sxv//PePtxe+zQURgJ7KhkJn+YJY0xjEkFTKcbqMRPNLTmDfWQCHLp5Jy6XhprLQDUoXZq+Byj
vTvROm8uUdfVLjLZ4QgSv9jMI4FV0VDS8jcnquGNsBHQkSnxRe8bUEYzos44ovsZmeUlo4aPKEin
Njbqz509CxL2uvEgmz7+02y83PzHD2dysF3WN/5lf9hWUpRUpRr08y2N8UuARe6OcqC/D/pnRv4b
6ji+M0GsmP3Wkauph+W4dpwuu2cQfYLC2cg1NbDu6++f+a8vGo98Of86qskwXNQ1P3aGPw14aVQ9
4UqTuMUQNr8ZdpfvQrrvGG6ITgkjZfxi4+H1KE79aafzl+fBlZdl0dZwhOjWx7lQtUad2mEhbpFv
pdAmlGAN/Eb8YaX/y4hnDsEzi+VGGGzlP34+vw3MQVR2fWOK67e1ND5XaJxgelDk+/2T/PV9Xp6k
ZSwPE/cYu11L+zB4pVlj35JFfTPaOEDbLpAD0VdcWEWrYWwgAtCh/sM1P6x0y0VtRhRxWmwZ2bur
H86ClFEBlhQGwhHOEh65QNqdWeWoVwqlfYiZfDZQD4enTsP9qzbYtexw5oRh6pkrAUftonyI3SS2
mj/NNL+udP+6seUdxiloAQ/9daaZh5GWU+l3N03V2YBEmniJNL07omWf98VU+sclxXVZ09BFqGV+
YGmJKR3QJaPCfSLuz/BS3YBwOcfaIW3atyKw33Xkd2ssLP0f5mL915XuH7er8QwdsrcZJs7y5f70
Gmi5YwgcVfWt1gbDm6sBz3RhqsHWqnrPrsvqwEuabRHI6x59h/HW95BmydeZwxdsDfaan9nshZjD
E7qS4MIpq30zqjbbGg50rCwoi3cgWlCg6l5ipwuILSgpEvQ6AT0QVp1TqEHV17uovNSF+qKSFfDE
xFDrdEeEdZFpyHI3D/UlHOga9G1JYxwmwKoT9KbKSq/cUOZQSRGw7H8/rn9shn+ZuCyqYw7r1TI3
M8Q+LBq2OSJmA4tzk76JrhtO2g4Xg34wcCri0SmMU6OG9q4fujujIDEUsoHzxZ/65/9m7zya48bS
rP1XJmaPDtwLv/kWSJ/JpEl6bRAUiwXvPX7990Cq7hJTEhk1q1lMREf1QlVKmItr3vec58Q2xWxm
3mYVm4YPyacaFyRxjJejosP510T29eNLfb+t//YWCftzuEppWawj82Tww1sk3i0FHKsUJxw/zdaB
ZrvQQlmga0qMZTMZ0+rj3/v5k2c3r4FPsOedvabN1/Pj7zUgSn3DK04cM9SndlSRlFH4AHdEGWZs
zJ2DKOqTT/7nCQ2bKPM0iiiHIqhztm1ILZtiDcisUz4IKv8yBPPV6KQLIIFbfnx7v3icllBVNijO
PAB+quwpXWeiXStPqHnAZ0aRT4cmJjs0iLN90nrxP/497NYwNBC6ckSjyvv+cUIHDgL2IPnJrh3l
ri96CHiEBrijSnacUKLi+PH9/bT2sR/HPK47Osckm5Pt+9+razQJYRdS9egrczsJPKp2CAHfDGvT
hfniAStM811FmuMn28xvNaR339RcZSAZwfx2JOS08v6nB7M1i8jkVgmJ6Z+HMhy+FqKYHprMuJSl
oW0o2yLUCFV5CaAXZ6ZRAPAOsO8UQkEHB+OPjKKsfYolXrrBrDUcWXAPnHBj8tcuh+ELUDjUw3ZN
PJFOF6rU2+qxJS7tsbWAcWVOtOBTDtdaiUtx5u3126Rv2kM+5RcfP+afRux8rxbF/nmnYWjn91pU
oFr6jmEEp7x2bUSFUCo6oDAjMqqPf+qnD/Lsp86272hNs8kTTAB0z4aFktRPRYZ7K+mdxyYon+TY
iE/G7LfCx9mb5JTC2Z4ygm4xB71/k3onotwc7eTEUFX3dN2xBYKIz5+A6Ipl34bagq53tqp6eo/V
1C2ZIvJLcpODRVWl+FBTm3VQQROwA466An+YbBSlqdYgX0KsD5p5gqdbHUptyNzR8CzkfM3bfKwg
uE0h8nOoJlREU040QAntshzsfE9e1mc3Kn5aIm36Lcz+zHbU0H8uYShjAZ20jU8EzqwaZsMLMSIX
7Sa1WmfEVBHwpd8GyItzuIAofPXh4eOX+9N0NF8A1gyHy2AlOq8nJAS21EpcxadBgZzmggzS39Je
79ds1pv7EZz25uMfPCug8C75RVvnxMeJULM4Cr9/t2pGA4jmeHLSQgJA7M5ba5x0jZxVGTd0tfWV
XL/MOuKJC8IcXLIraXwHw2dlsZ93eVwHzC66aCYVWumcTVQtplBKJT6W0mgMsR06wSbWLeL3bI8g
vrZ+k7Dktli5yHcg/mjJmkw1veM1ebFxg4IRoUD02ev4+bOmi8cRlmYVFRZE6u8fDsawrLYVVGIi
NIDMWXRKpp78aiNWxM3HL+KsN/btRVCN52DIeZn6yXkhAvgqtSzOC6eilvgvsJmACqfL4vpG7Wur
LoSj2AKoWQskithnFbkm5rBFjxnY+wzwJsYsRaOSkEXxRgi/drUk92ZzG1W4ppp21rzZW7SxYWwB
raK4/PgG5t3u+0lCQC2bK3GOKTWqcu+fFZ4NryByLz/p5DsSUJeFa+qc9idzkZgf+U8/M5/rpSWZ
ks7BHMwGBriRjuB0xX8LcXf0of2Yl9q4MELD37aGQlBVEHo3moIcRPFasTENMd7HFHkWiYq94OPb
/tUHZDPnW9Dr2LBw/nl/395ESyx0spxkHY7cQE+dVTzKaB8W5h37v+mYjVekHygHwJV3Mu3bbffZ
QeRs2qKIwzCFUMcuhjEqz7s5viJaCdS3vxHUDVZkb7RgTtU/U4Ocu9SqKwwLlr2GId2uUkpZadp9
Ujk/OwlxAeBBgKTo1PQNGkpnz0ADU0I3T61ORdOZhKD1UE3r6CGL1BefTCzo6wEBkiZEoUkTf5EV
f1vCOxt433/c0efiHaOCWtr7F4BNBv6uWdQnfwj/kMqoX1AMT+8+fs3GT8943vvOz5ibtDAIz3/+
wz7YNKpuKnqzReSV2htN7/01tNRsVqTklTtqaDKiwswPQvrQcENMviid+5USBN6dWUzxCUzO9GJG
eXyZ2dGw0UTsPY3g2p/9mowuwoGCtQyGdp1pY7sGzWesA8D96zDF3T8XbLYNRNYtESxXyP2pmxI3
fhgCK95YInjqzCTdaIPlrFRQB5cmkaKcMZHWjdHoEBU1ADCAFIbTwYruugHxllpLgjVk7bheCUUz
CPIvJfK38YDQrN50ll5e+OuPn6E827qQ0K2rDHmcDgwYagjzMPrhGaYdyHUNEc4JRe4r2vV+IUkX
2M8UcmD56STnM70NlD6U/cbzx+KLH9TPAEDxaSRxiPskbY5dURU3dtBgygqCmmB6gm27yDYPRUYC
vZHm/ZURAJZ2ZnWtIT2LlB4Coo9aB+sMYkeyhdyrfnJrP41Be4YfsbPnAEmR6Xx0aKlCmrQdqCfO
Dpj6okG5yZCcXv/zB0iLBXAPRCdqq/LsAUIc6x00g+LUJgPAVaJbweUoFMrNoFrborkNbHOrDPoG
H+Em7iF+ZNm1SDeZ/+DXV6B+QwgIR7sn3NIh0K3ZJlVzh6/YtXsIKxYBg2Q3Flr/YLDifzJR/uLt
U5UVgg2yYLpSz5GTPUbiiQhF+9Raebq0wGQsKjtna6/LIdkBwwl5yyO2aoE3AvM7bUK38qP8qJe1
7po6lZ0O9fSiICN0UXb9fgoQ2cKS2BitgWmJdjY8DxoMNmFSf+AVDdasQt2MQvEBpBu0OaXst3nk
JJ+s3eflAwb2vF/jDGlQXJEU898PbBxufRIEQjnBgxzXnpbPqjX/Opm64XqacARXSuA81HM8ltZj
Uu5xiV32ZTct8pHOcKiHCEJVtKQlrhbNZUqJ6B4N5jK2w2T58SA629NwraYKaMqauzSU88TZGLKI
pUNQ3cpTriiCQjPOr6qYwkWsSOWTo8ovf4p6If1OOFp8G+8fiz/2U+Kj8TjJNPI4f5XJxkEMsYoZ
XqeP7+p8//j9trgvyeGa7TPo13dzy2A0op+aQjtp0dRuYx3UTjr62M819cD51w0Aae8SO/Y3o3Ae
GmeUW0f1ymUzq2Sl4OtQo/yf7ea/XZNtsplzNDRizAvvrwm5OM27qdJOYdD/yV66yOSmM72bRIPl
9/H9nx0cvv8UizAvlMIQLa33PwXTJLAMNAinQaT3ioMCOc5CrHrENBJC6Hf7j3/uFyOeGUin4DyX
adDNny2Hvo5+OJgy5+SQkPzVVBxnIXwbUGWod4lro3p4Gnpp4akJsu3k2cofttHZkxtmA/xWkyPH
dTGSg4yU65GoDg9/YljsBMVP2m55NH7yhf688lD7oKtEoPXcpD6vffbdAD6rmKLbSQuypQJf4lUT
hbZFI6TRbJPtDuuT8cmu6HxryEthlUMtRr2VXT194vcvpSu6CYRkWt7WrTR3UU7rKQXUv8a8MV5V
DSoQ5JvaC9MydnhCCq+mNMBLjPLt++v6P/j0f9ND+2Hk/iTfPIK/eSfdnP/179JNsIqooBgSc9tX
p6DKvvE7e1oR8l+MbWkzvEF8UdnnLPOXdBNiNSe0uakDSs9g28x/9Zd0U6AEnasj30ql/IPS7JlS
8yPlJlVWRsePJx3maZ26Kzsm/p/20fzJ/7BbsoXS+G1cr/V6IKM5j6I6WyaQZZsnrefKKheh45xS
mzqTvQghevUEgPhleSC7r3U2hlkW3UkbCmkd06ixIrwRXtP9GZQyrw9W73UrBx9yu6sTGdc7AG8k
VPmlmQw73fYxcYpJDbx1QZxw+2DFSl0u2Lr1YltOVU4S09AGzlNphTmsCAzZZIjapTDiP+x+Jhy7
bEYDc6mS9DSL7+PwKtVqfJ/wevvwj6GW6CfJsK+cXYQyVb/CeRauAKyJbAGdSie2IpiGgLzNCRR2
bQTCu0MLgD6rzduBxVW5a3rnlVTLYwdob6lV8Q3hVReVFmreQlMStNmIbxt7A2pLSHBpTQOswM4d
+0FVqy+tUwh/N+gkrSzIfCe2QbXu9TB41MvG2U+lQ2ewMIaJRxpNdrppvdYeF+A8OrHKfKt2SZjU
7AfMA17legAidMQMsPUOPZ63vUWJtX7QlZmyZdYYEiaywPuHCR0ZkRjcQZXt4iHXrnLF8i5alul6
nRNKu4OS4ufYV4p0V0szqaHuV+KurnUHp0zQAWmzW89msswVJ194uIROGv5U5t4QPDQcrTwYvkb2
EGL48Qh93AyjrvnXk1Ji6EtIhfqKxMC71DziB24qotb9dAGSNiHlfJTPKH7HF1DW1Q2qK90l4uTY
e4ZJApmmYNWwSzwL+L2mrJG7MRTaW1KDfNlEAaoOcgIGStvsuGjBvupDa8AWCOo42gAhGNpjEQ0Q
nJTG6Z5QdAHXUsc63cRBUiVfonAox41XCgjeUVMRQjU2felhh4jsq6Eh5VNbio4j5huZsol4iyd0
87fx2JT9bqxqoCDJkKoZts2CcAHA0+Qppc2G3BUsL25Okm6sbWtqSWiOLRnF6o7KaShfiSwmcmCh
gG8DfUEeUfBYkKZkPVvqqIbXMCW99i2cQ5lNNsag4N2u6vKs29S2g6wGMTJxg7CdE80/4l/wrGqt
EvxZrYinmYmeOdqKr47Xt/7OgNNs3WJqrcJ7DWaW2rsheU5lQBhaXvduI8umvq5VJ0wuG/JrgYAH
ACDE1hOVLVYIOQwNA0crnE5Qa418W1nAfE4tuTPzPj/EEYi92Oiqjezr7NIukbWWtXYM8Klgxmij
EQmmb30paMsdvEjItW8Z3ZcYxAgNeCv+mvYjURZlDPyxUYkoIn2YpCY2ioiHWMGVGDNa5HgZecmq
ZdbuiFciW0RKMcfMDdNBdnaCinHM4jvbkiQfw+Rg+MZti/27rQ7McdEWRZC5zzgCLz2n/zOKdP+S
CKO7pBL2KZ+9pqTX8Nxzv6y5ZspMbtfzPVQUP64Az2l3diKtlD1EpW8Ilwr3vU0wqdt6EXFadOrW
vhjMe9WophunGOt9ojR4mseqI5+rMpe+YyubJtGCYUHPqXtE70zTBeMN/hR6FBWZGFOlbkpSPN2G
+D8k0y0Urq4cs00U2912Ksb8mVSnGLZ3qK8ggBZrK7D1jrO+VDg4efZSNCP2EowtriprZUfwkHLk
qH4tQB9isqqhVWekVXIGxeLpEdxOcdu0F/RQhjsLT8fSiehQDBXBV0lPmBKRs+rC7MbjiMv0q9Ep
/dYwyurU1EO4Jb0c+KkuCKjp5LDGGuuRM6yIAwSgZj8GffDkjzFRecDzyd41q7U1tN4uZEsSW+D4
TDg90BNMfzMZQ+X6SRtdhtDFLyKyW07kKoe7LjTH57RSPcifmqLclUHxFRRStQ6Hvn3ybau9QQ89
kPKGB1FgtuaJ9BsZ68FBzSLSqFK0Pp6SdjszSl78qQtzl9yafB7y4uhPKf+KLakpm/ieh6GV65lD
COYrj1eKoznbgATZHXnB8ogyV3+SkTQPut0Vu64Ki33jJYdOYtCeTCy8LFkGnAIEHnrt1Di+cZe1
pq/tB8JDj34eeBtNgQU4FHn1MnpdtRIQIXf0qbxlLdOW9nPz1eIVroxQylPZYyhKk+Ai9ok1Euao
HXT2ss+JCp8cYz6+ND1W8HcDmAHXz8bzGt9/dNezdX6WhEwmbkIC4IYozGyXW412LYIxJ+nPA8hh
+1pL1gphPQ96YtyAuGJFVDgsKbRhl0odlGtMv0SNyzS56Sz1tiNSa6sRmPelUnGlpaQirUMV4dYY
a/a+1zPt0RktYwlCBeSeMbwq8JiYZ7QK07jSeJG3AEHEAZ/OMdF0XqTdqjGQLgkevOKfantq+HJX
AdHmBL3k9qLKEHiUnl8ygArl2Pj2nKpGJDkRX3lzGaBhjxa6auAQVyIvoUcyadZN6ZvlhYyH6M9+
8rX6AilTFBrwRRVgT6LjONKSL1Otxx7xd9Nu+iBKtIITPkUI00eh5FfCvw6rvoVZU9a1R8ZM4COV
T6B7GWGME3fRJRWCPOKlAsvyWmRedsRBb37hVaDezq4C8FE7fCzw27pYDdpL21Tq9E0Xlum9SLMd
Cd+0faP50tQiB0RXqgzezFkPCTZs8oW/kFc5Ionro21UG+G1XSsB1uoguePwmqANCycYeRy0zXjl
0B1ZZ6hM0kWLkujUYIxbZrEnjpFjNquqMgjrIgpwXBsNadTx1CbLXuv8RW8VqAVA+rnotlqQULZW
7TAOdDuFtKaLOcD4gRNCCsirsPLXHtCID9wowOYegnXxssyit5ncgwclhUJXrL0WkkFWGXF0VCw/
eilgCt9jAKcQSEGxxbbfN/sEZjZcxgKYSm8742NdO/k2zeN0PfST8QamCPOvDJWNP1kvPdl7S9W3
xI3dJc6e0n5zslpa5C5/IcMmIsJhR1QRRAvdtjK2ZxI+cmzeFjVxTUYU4Z8g6ct+lQPkC6fprfvS
SJ88oKi38CYdUqmDyLqpZaety3nSUhVZ9m7RepAemt4A1pzXcEQHv5K3ve6lJYtOkoGx0zLt2JZo
U4bBuRVpYF8X7H7XZtDiHR6D6LqMlN4gvIX4wGWKaxP3YNZGS7My0y9Dp6fHkCzI7ZQbxVEbfUCn
JMZuErrz2zzopHStym7vbGx/F6QiNIADAXBCwjO6nR21ORFCJZCGafqqOIHhNp0g7jzTs6fGGsOF
5XUOHF8i+ggMkeD8XMJQjXHb1KENpSpxtBtzstWnVqMI5Nakncw5mZ352Nul/goWsb5nZeyyRTNM
CQ+wjS+DDJYvbEixi8xI3KFzlkcDdw5S7tmUXI0+QXdtPtx3Ui231pDOS3naB6tsVORx9JP6GGA3
PKYi9fYxf4WzgJKqXmCHMO8y0ZQHfdQgcTpkEetLMbGPKYwxuLcc4R/JVxvAkEC/vu1ELzeNUaF2
IbJgsHE1p179xTe7sFxCCNH7t4GI+RNXCiyUpOAo93rYLxU4VvnVLvGbHasSHvLV6KmD/0gco5BX
USs6m5RX057o8KtUye5EmofFUVFyj3gClKzkbvptTSpnyAlGdwgHjKNu76Ql63lbDYpxFJ1KhIif
YnDHAl0MYq/7vZWtrc6JIQdJqj9byhDJyvTqCdFRAminDr1tReY30aUsyJwLFlGN33aAHuj3HUBw
is68exZAl/1asUu1voSfqIyHvjW+xl48HMfJcG7qUo8OaQyDLE1hyTQ9ea2wmMAPWnAGE4FPtREK
hcgiOgQGNm/CdDGuk3K4My3f3BlG+tzFyU0rO1gN2IwW1tg9e5IdesFXvRzi2aVk9NR3ue8/+UC1
W5+pe6E3vXxusK3ci9KJ96CbvA0haSaGVR8/hWIA/lM0NXypTaJCBq/TXtRCt5rLXs2H16HG4b7V
K2UMOCoNvdh1I8fBJQTyKrpkF29+oairAuboBMgJfcZMX4mmjZLHFMLkmy9AyC3CgexdzHtmNwf4
eFxZVlhyS5HW+kKQX0o+qe453lpPw1bdqVoyBMsRycoOuzHPQwlzjrBTKopqpfYjuHQy3YA2tR4C
gy3exkJb2XiLW85eAUPYStmZ7dqIXcZeDkZfX432WA4vuq97EohE672GZkUvFCor0N9aY+nBn2Wl
GH0ykKgvGNx15Qj+zUpvFKvj0dk+rC4nbjWmc5Bcw35ysP+4plCBihC36VlLwDtaiQ2l9a2bxPPA
FkU9YKwbYSSWh4m9Kgzs9l5AougU9sZK4abeOhP956XN0c9c2DEIl3XbTTNJOkrmbEj4GeVSsQL9
Ish5fK6gisU6MJVJvp00x47dtB3bLeGRD0ZYJ3sP4+iKBpG3hjCmXtH7oHI8efpWelH1qk5N8AUR
MQmuU2I+Kk2EAYB0WDgNHsjuDBw8m3Nc3qW08GgHKST3ESIzMczAnLe6msiDPWTOqlTNp6QyCNAM
AHvug6pW9n4vBxrf+J1ppVrLKOM/87MyJz82JR+L6DvtNQ07s3SlpAeagmMgbTNPqq1iVM0fI6Kn
vdob3teCCgpzoFFozjJWoRSNosgKl8oKoMGsmQIk0TqHwEjV8Iyp0xwx2cbgQ33IxtKXzU3qCe+A
UbvbWAp291HNplWfI2y2/ObBAgSwtojSXqkwqQ/dnNQMV5zU3zEm/BkhaIRwoLKfHFprq0kiYtRy
pT0k6hzlKS2mjtiWfyhFU8EBM1Wgp/jKXLW0+zWudFISBauN2xptEoGbyYYFMg7O73zwayM1eSgT
YINS0oEeYZGkg+Yden3Ulxyv450VaHWzAv3tXDTw1YiN9YzbfPTje7BJ8Y5s0mnGbHvtzvDK0c1b
KXZE8EbLpB28QwAaAnQW3OpGEANq+E2xKrqwOaqJDcHY88riOSKiOo44EGStcwV0IcOUqigGMbvS
8Ie9YsBOvyqImTY2sagoNoI5Bgj5vfb5fxXH/5YGtfXfx7k8YBZ/fcn+C7zm+GPl8dt/9r3ySHkR
Nd6cVIesGRW1SWXve+Vx/hNqfZK8O2O2KVKs/LdlXPyLltkckoepEqXO7Cv4q+6oz39EtZJ/38Y0
S1vnn9Qdz2TCOEzpYdHhtpGHkxHCYf592bEpFOn3LN6swvBu25tQv/GaF4aWC16ininMG2u4VU1Y
c9srDmsnJ7ySmk+IrFwaGqSTtFhrkLkgkYBcucvKB614MMb7oL9Xp8ugvG4bQsJpBNHnHTamtxjt
GzN/ta1LfyA042SI22/P/x8Nxbs85X/nOIIfaQT/7xi+Vnmd/9mc/1v/C6EFhsA0iR9n1uUKlUr0
3Ez9/ZhcJGFRvFUAsf6Lau5L9sePA/OXf9e/6QaqA90ARRbupG8sAjp4/66R80eU8kx0H8hLBY39
/4xVCuFzv4uOBy4B0jxn28PfNXIGKsV1xiumK9wY/2SsYgp/VyP/6dLPbe8OHuY2JFh116YHUCWu
Jd7SDlJ8NlKhZaYeL1mqZL+cqaTTfemv1WzlkPtsrGgkG96eJQr5gG4tGlKE4q31Gpuuru4c81SW
16Z3OTmbAqNysrWmR7u9iKw/yF9YZPh/w+a11G+EjkHnrvN2uP98ayEw1xsvYXAL/1dpL61iX0oS
1K5xGOvRNYKNmH8egE1O4VU9YPrJFgm50qJayPCyUnIKaNNiai5hn/hkCavxV4s4Ze/UOyz/VIvf
4opyl35ZTexqnMrNunWRUN2/1imvCDLmDwYg1+yOUwc7bsnWItrKahdAU4fMV6H5Eh6xue0phZ2l
3aHHVOJHMX3p5oXp6NXbtNmZ48HvNxV/T782C0JukfdfmECEAfc7ZLlgThjcPL4axo0ZrnXjKnAu
RL+KkgOpPUOw1/rj2LEmA5FbBsF+6p6VfJ3Umat2ay26trDSaVur21bTE1151Ar7+X+YFPXHYLhp
47sCuKnCXjo9IhSu9NuyvvWSIwRNxViQ/RTYqxDEE6bBadlEm9HcV8qWCGgZYyZfy2JTBv+DtezX
E8j/wqnhW7Pq91PBnDb2+pb8NQ/UP04E3/7Lv1YoFiIaTwhMVPHv1eavFQo+iZjF5CBPZvHAvBj+
tUQJ61/4EViAmJeYML4ZTP792RsQT+jJOxaNtrlv9g8/+3dfvcJ2C7Eds8eZnkDBC5fHqD/3BmeT
KE4XJCzu40a9jHP20oO16zTlKbayy4HEQFmxD3YIkyS5bis8s3V7rXjNyP1RaPz+MJ1ef2/KvQsm
Y/X9oVf39xXN89MPPTpUB5LSKqVmjMh7WyGOKMgLzt1OmhHc2a7bvLJdr0pXijY2FxBa2RnqxHhi
cvujjORDaeONIZpyLzrxotONmFH71tKCNr8IUytdiyy5s5zGohhC5XCYIgIr8ugkLT8/CR2WtkdK
T9KGz7o27acpv5vS6JIbehgnlDRyqPotJFJQZJVirCY7b1ZRyQW2+vRm0EjyiYaPJv9azfO7QE3u
ypRZK40t2F4BYYRGRK8xDBelIl77Sn0gXMHcZIl6Oxo50Ucd/2ihbkxT/Ymc4Zut5O/m598P9ExX
IJrCVJpy4FwfEZjRoRhsBffsB3a44mjrEssBfxheVMgU7BUXYxE955m1y/0YzNKAB7uuN7lBiSLx
qGr55ltlhG7afWktmA3KcE2yk7K0iaZf21mf7nq/IPNBjjgFIgm/mghybORduwS3DA+Berab6Oad
JTLhdlZ3U5bW7uOxI9+rZP5zqz+JueCEd7HidHuyJ64TeHxVFt1wbD3ykLdNB5GnQ0sBmM+zHj2N
8Tta/bMeJtGqm/zGNZpy25swGgr/NurnWVq+tnbjbaYaoK3lJ09aLjuXwZ7dBIiRWr+c3E8unY/9
V8P+HGKAVqEbOaCX+8oj+nfqN6mxx8eBw39YWprcqLp3sisgnBxSEE0/d6b6YMYcsNNgSf12SeZR
whmf4SuIlVpCWo5cqiYXjkY7yspRcvbfN4G/FYl+Y1r8YkCdazCCrAgM4o2qfdu2tEmzJfGXq7jz
lmPXmuQo+K+U1Xe5nd8lGvKQqu4WXuCrWx0ha5UXFymfCi0a6xMBze9e+tnumrJbJyj1VHtbI9cC
er3R8mUNn72YeSb81d3OP/vDfJQFMMZ8tar2ZO5elBDca9pRLkz5Zml00ll0VkYlU4UChZNzk7WM
9gCxNFFl6a0/K03JMb3y/AZmUT33g+KNZuBDwHX8rCbxLWV1hAjW28fDiL3qLy9Wf3+xVhxXBJPm
1X7IkqXuvzlp5cacrw16x4n1mULqzNzx93c2D+Ifngnl+jqk7lTuRd7vpJm7ZpnyfPwNBUEYNPnS
qorLVm9oLoyLj+/sTNT/92+erVRe5tfZkGTlHqLdrT7ah7l/SAhNkLh1bxLlknnLio7efUzhGcDd
NgKlP5CTt1Qq+lgtAclUrg1Sknz1CcgyJYuq++rkdCZTe6xA0NjpZ9f6u9dwtoaZlOdNbyQxoem7
5yIcpStDiteYqUDb6YhyQ3R7po9BW9ZrYhHonurpY0VI5dxBKRYsL6tRbZ6g6S0JpbpEiLdMcQf2
RDjFgXnoh/C1DOWpH+m/s+dQl/i7VnWqfmJ1+yan+9WgP1szJrsu+0DXyv0UokOI9YxjKtRTzbxT
J/lo9M2S2N9NqtO29avlWJjr1mIbbShXhAQfxyRcIP2+UbCSASE89bl6SGvrlYl266UYmzWf5tDH
4+Kbq+YXl3ouvgSmnoyp55R7DAE6aFQCERAt0uWNw+7S6ScTRS87FHTgI73voSD/Iz7lJkB0g1BL
N02Q0FmdilrTB+Cb4vsk14IYFS/VVk1M4nMivXuljx40T9yPufbFETANe0hkbQ3eHr0GOxHsWhRs
86WwxoOdWjA8Df2O3sgnN3lm1fjP4D8nz3hl3Nhg1wvowfTMsvBgmt4e0tZbZ4htnrWXcfXE6zoY
k7bWq4Y+sbnOCPv+ZA9hvj8c/v3780D/4YOHw1i1kpG5p/qoLpJpTBddyqbHFDWqQ7YUINvIY89S
4LRqD89VfyXkBGwYwmSWK63acOJ2VXv0l4CY+WzbP4YUSslgiBZhQISyJaWFvSiqEovWUKbklTc3
RRHr28EnL89cakV1SJPuoBO2zGE06JdZYMNhQ5exzoh0sos+3jiKvwXo+kLsiM3WjHNlmZJIIBR2
U6o63U92stPQy7ssSgSkleopx7m9JvXgi0Hzlgqqd02DRncpX5Lb1tzHifVIsspzxyTOmTW/SH1t
WwT+aujp/ENfeP54FMv5w/rVKD5bxCy1RjPQyXavDmxocc/e1R3u7AI9hNtqagHdUjZrrdIw/bWN
hjcxw8nHpLhkJY7XNlsRssD1Fyco2J4XejonRAQrr2n2VQ/4Hai7/8lgpLDw62s9WxG7vPHLTms7
SufBZdUdre5SK7JrXeO8Wvmhq7fG3oCaQ4KYWFXsC2xB4cBBM+KwYahhyA3EDOXB9GeUgaMbnieY
y5ZCgByMrMIut8UAz5w8ktrSOdNqm4TYNXy1e4/UtyQ2lxWZKXH+xbOdbYpLhH5vBXXZOuRatzGp
sBOEuVIkpOwL5l4oiBdpB0iMiBpT4kJOVv/Dd3a22HoT81zQdxWWdkffNG1IJzujONKIKtzBD4EW
Yoe2mxN0vsgRpDAyVYSyzgb3/fSCqsnfEixeujRzklWtznyJ0k5XQlJu0fRA30Ly/8x7Ludl8lcD
7GzJVkYojL6fNvsojQ1JXtHo70IzGo9ehqkiSewrPyn7ZT5/gKrWWgs9B9YPQv0CK59/qqEQENBg
BPTtwwjif4pcCnZfdXS6TC7IJYHsP6kkvBdxRPDNJ/sZc768X132fDs/TDzj4OehYjj5vjbUZjnp
ZFsBHTS3MflIaxrC00oLCgQBkCyXIwrqZUejdO4S0ubxywvMsCer9IhMGLeGKHA6GOyZiyQKVkNr
6gsSiA3a/LqzQAXSrBJkYmuslCg4yGt1aW+BJoytYVGL8Ll1/OsmB/xFw0TfgpSIt5ospVsiFJrh
9f6iJFnKDdVxdIuGqMlqjAA1s+mbd41eneTLIK6hTifPdhVch73YFHqSHvmKdihCLgk3WUWehfHY
askG8TU1W2g46QH3xuS5IPVf9mo2bGp62pj52VSjQl91Nq9JJgkJjT3pcZ8M7d+NlrMNjChjs+Xw
Wuw99F68Uw4Tdd1jGO5TQNJdg9HE9+FeIjx5G3QcgI1STAus48XKydp+lWu1QaqteBS1sSew5YYA
3QuiaSG0l5pxNcjuQs8ywuk08ckS9btTybe96g8jZU5HIjKqSPZxbD8GHTKUgXdgqL2/zGVwDU32
UUrrMZXB1QAYZJPkGHBDUyFTNoPZWcrwuk7FyxiFp48f4u+u6JyyojHlBoOVUckoRXglxkhl+ulk
cwtXeIsPGU+QhA0ui9FYBUIXyzDKsNOXyr7SSVrZMMEY8EWpGR0BnIcbAh39T76rMwzrfxZ0qkfv
vivZgVmsG7XY+0hN+eBLNCUQSDZaAtyUTdSwizPSOhXzqvE5Nk9Oo7omXv2VleI2HGDAXwVtrq6V
vpXUE9SciTtq3E+e3G9Ww3OaoZiy0C6QL+wzPYa9JDZ97i9VxT5ado7orV/a7bTGJEDqUHDzyW/O
K+0vZppzR34qU1XIZOz3Xig2Text1BTLVBjah/9P3pksx41kbfZVatcrpGEeNm3WCEQEYyAZnESJ
GxhFiZjnGU/fB1RmiYQYjE7ufmurLGUZVXQ4HO7X3e/9Bh8MoquK68qygEMZTtS3+Hq6d+Co1nIA
xQiDNh3r8fEAh+6EbOuMFfL7A802WT661hWS1G+Ntr1TJu0nBRtDssT9wQ0BFkYVeRSgmj/hye1S
ooSCJqjKrX8RqqOGzYUQIjPvPWWBivBDGT7qpnBCJOlFm+i9ofpz4xNxEe+bbeNjtUUOx3twOTM/
I3xqbcHzVpDKUWEtOIwGQbsDhnqIq+pBBAVZBmQDWohNZy2AwxUZg2DL6bK7QnEpQF8pvtZaZYnL
4TfD4EKXInaTFn9XUo9mLo6dsuaMJjcWYFvXZrOVivZOqy1zCa/Q7muw2HmZfAPk/NB5bBDUlreq
itc88Rk/R+D4uGxc4N18XgXgLNXGUFbeyHxnEGQQ5cFPL+VUe2ImvmUr/P70U1B+Fcn0XECNptOa
rSwh1GuJ4blU4KmIxfsPFNa4PWXepc7F1y7HYg9cei9lbHfIv9CzhO4RYW9Hkw2rcO+NksNZA+Y+
l+v1S//+fy4CylPG8Him/7Ypo+o/FPv+s3gMnrLqvZT/SxN/1/oMEvuUotEDlhAgQKGR1v+u9RmU
peFPySLkOnmSwOYj/8OHofgMmpVCgQo7GkFzfuvvpL8s/QVolPs8tT74MjDz/k2t7+35XdM0C4lE
yaDKDfUGePZsk0ekH0UMMOwruYvqL0OikirvAEHqMZ7jVR08t2WYf1Gk7PHVoB1+BYg3qf03Efbv
5yLeLqoycj1Ic7yd3xjPp10Oi27FyMlkl5XyGsPBYprgzalFNIWi3yHq17O0qZ6LSDGDPZdQYCib
tm0HbxWbHlQPkg+rSpfHE4eOqcfzp1CaRRkW6iUYolm6BDYJV1SJp+jAn5Z1lXQrwwVSUoVauu2w
otoDuVvK6rrEQXvz8Wi+zTG9vKEuihSHkExAv+qlnvsqWmhwIbjW8uxe05TlhHsqhfE8E5tgJZcB
F7BczU7ktaa9Z/a6OhpyQBoskDFIyb39gAp35ToTyfd3bhEs3FREd9TE1kgrtL8LhUdD9TsjC7sQ
ZTwAHIYu/VGN5j5bohUqLIUqDw4yBBzH4nSwcTUj2gnV8KBF4g71jvgsrnXrxHvOGLC/xhbFpOkt
AXD8oR0Dvjni2ZoAIgjstp8b4xpKsULxA+UyvNdKR5GxQzZT9AWCEBC3XLeCI5mdrYzRVwv9EzLD
J0mQ7w2/IklIDzKvJ3L82+HHX9OvMsTPl6oaWyu9GGMswiQSW2RkT1wA3hsBypKoj6DxSRDTZ+dE
qQi7IIbFtWq5Cu6y1tW++xivP6Rtod0Vrdg6mJUucjFMN02EGSYgSwXyyDIo+gKPvXq8iiRXOlkl
eXtIe/kwYH0kuLLIYgLFnoUuLRFzr65UQlc/2R2XMRyWXhxMHM9yS2ILNGPzNvYG6UJpR8Wz827A
cg2I9IWVKd22kzvhvtF7fmuQKH1Vqo71cJrmoOyhS3AtMVynTjzEDUwVrLLwPYl6hDQRGkPNFv1y
ksudduP2NbjUj5fz7EQ+vRoqn0CSWM1IBzHv337dyMh8wCN83RIlipXWjs3OsEIu3xWJBHGBB6P4
3LtQpcxB6Hv0GGtuZLizyHbTAxEl0+MP5wnYXe5tbW7dwxbUB6fwkHZYSsqQLT/ur/LnCmXzAkfF
+pyE4Oc3ib5wtQFMtrsc8Yd06jLETQ0JAu7fWpnsQh+pzir2cVAy8b48H0PVPIRyg899OLi4IksF
6v6GqpDTanq5plQYVRzAupgf1GhZQJGUhRZmgerd5NnYHQJ8nq4okmEyKmS9sUNWTjsEaFVfBzF+
qTGMy0A0awdTNRXgQiVvNVPTrgPdBdkrVT1naGmwqEim410EE/sOUKT1VKt1s5KaMjwRQv7cfywR
FwkURC2UOojSb7+m0mqt5oHUXbpK0N7FOVCv1Cy0E/vP+09B931SzUGce7ZK89EPXRjq7tLysG3q
5OFnlpNw+vhL/3lc4FWwtSAWwqxlor59FQE317HQOherJ53aF3zHr9BgOB971JqCFktKWBEltqep
fGKLe+fJ4PM4DEhYH4OpmKLBqy0urNAWCOTKWraaAk3CH/AU7aLRhqmY2p5x13ml/wWVE+PEG8/q
yNNanGIM05sThIaV4yzMlL4eCH6ogA/ORDKvSm+6X5S2rB7lKqQ4bpUUvhNJFJDcQ0dsIQ7ieJb1
Sa4tQFLnld2bRr73I3H4EVbuvugS3CUhkWKemcYl3sahsMP4DtSQgImyraeY9wlRmjzpsaBeKrkV
HvqGm+jH3/HPBfsrcBoKPjbT5Hw7mhPkeshzEY3X3GpXKoSVm1wrrquoJsBDZlshsn0BCM0nnc61
4+OHvz+kLDgdMWMFBNzsW0ajqgqqWFpgw/JmXZeqD4sJu9ZUyA0ogUV7GQtJZudD5wK1ythhYUCv
xlhUDonsDssiNb9EBhyIHtcbR5XhNgCrSc/yTNWXVoXpeYJmnpOL+U9PIX3SJCWE9ty9qGXllHbv
y/d/exBCkV0lVqMSYYrGS/ns1cT0+l5q/dYwsCKTjWs4sYbtqlaAi3ot4TTelfJCNiRrE9Suiltk
YW36pMwObll5Xz4e13e7AvxPnlyR+ECGMvuqaawoASiCZVtGmN+KTfnYNtC5dKWp8NGRMDz0R7KZ
qochBJVPOxqMvaSU9fWJjkwRbT4mHIHh2WPug3TVbHpZfM24q3w6UpR7KjObcdTEDaIAwZ4TGuVX
VaeCpHj7gXrdmZJX1hotxBh7XAA6H/flnZmOjAbLWJ8AvojNvR0TXwHMJHCwWxZVptx5fmSe66zU
XSWlEyHEM9aGJz1awI53yLUXJ1I37wTlSQWfaDmZUiHS9PbpWeGiEAAtYImZjwsS0EIvDIfdX+eF
f3ULP4qz5Zj9X2+w/335P9ZQTJtkbo5fyy+y/ySP6f+q/vMHDnf6vV93cUX7Cwl7BCiZlzLyMVOS
9tdVXFH/YjNTdFGVINka+hSR/r6JK9NNnFMNixyJn1+iFX/fxPkr1BU5DyPbjS3IZDXwL5QpqCC8
WTU4SDBNJWKiRQ6VM5Q6TeVXkSRuuwYyQdQvBqnZhMG+wPEa9efvWQ6R10dXLHWDQ6Dod4gVbLFF
2hrjpADAaop2kpLrqC2I34xcgpisU6dRoBGRfQN6tVcXnO9HJzNdDJQeq1p+wN4JNnAA0qxVuRuG
bf3YBvKCknzFvmSPVbVPMfPGLNqAiFE8cm+V5bPwxkJBKVqjONFhHJWvXHOp40a/tXKnrNaauS3M
wyUuNLZhnCMZ4Pt71CaaNU72CdbHoNmpU0h2RzayXg2hTXUPKbVlnG5Ewe5z7BmdvDlY0VXQoER5
7WJ/jqdnBqTYiSLbBEBXwIG+KK2VpW7im/gmdKBwgKx5Lu4U8bo418AAegv+VCLNjsc9bMeVdi8A
Syrs5MEc1vkNUF+Yn7eCtCBhjU5BFfz0pev0BkThbRFfZMIXOQIGBiLAo8CBvQGscoA8+XkRrsXS
XI/hohJ6dNSwow3wqMTfGTvUfWkVZ3oD33gNPhEPhB2ouhhefxVCzF4jGzchEv1F83V4Eh6Eh+FJ
fPm3+PLv6U//sX7+9af/KD/Vz/LTP/9pn8NHba2t1af2WX3S1rBSOwGHG324aCvIMytrXUR7GQKO
iiUql0VbaRRb2cZ58hBfhNVK7Cwk4L4VMoUEJ2lt+Wv8qGIbj7F8dNs5/nUvbqJ66ctrW1pkG5hC
feJ03hoodOdeAgjFNQO/RhSI9Oyy5DQ+Xupo08pXtGVIa/7k/pVklwjpGRyRQFGDqZD5I0VtT6BO
7nwD3QJlFeIOipLjtuC3+Xd00y9IY8MstR7ahXppl0v+f+ZjpsKutI2HdVKehfmTbF5qEMP9YamI
64lRaiz0Hj1VZzjwnr67KPARrR31FstQ9XY4+N9dcWVVhyTYGem2l8/Snas4+ZnfqAuzam0dxV3h
CeW2RN/Lmxi35zW/nvlf+h565QPpmoMurkLhK1PVowBvAGTHvhLAe7sQQ3o4ZNh8g0z3Jxqi4EAs
jiIHHGmg7kqt5Ih48Jsz6tDiuAB1ipV4ygtn2spA2gK6PbICMNAWOQr17rninuf7uLX7lbrNwLJe
PSBtZVuSw6HIQs1oy5XNQ/9QWQzybSUcKhSl8TO1a+D24iFs7e7Zvw0uzp2VY8Zb83lVIGEnXHSP
5wLKFraFZegCw7oRyUP/CmfzVl1UF3jXVk41Li1lzykgvhUuW39JizIMfW9ZDcte9vGS2cbyPkqe
3eDexEkwGpZIwXQwIx+R0V1WCgR9UVnLHLBUQbM1GcDGVEQLUmTMRccYhTPL38Vw2aXgu2c2Tl9t
y3Af1fvUa+w82luoZruCOPXNwpTwgKolvGXgtV+swC6uk+I5MlUb1/sk7pcGllrXqBGQgWkccbRz
kwBzKatAfsSz9EeQ7ZCjUReURNNAsLMa8RamFNzvH5crL6ZrfFHAXxtM3sndiAvJeIjcYeEbPy3y
AJhyxdpZnG/QIkisJf52gLBufeleBV9SKesURe30Syp+EWPyQLvhwnyUMSpGhIb62EKGxxnvFPRl
RXPZ6LCSV5iai8NtKC/Qsmi9fXNu3HfEQ8nOrpIrSySjbw8I9L/8j/SyOa/OX37Mz379jUh4VW1i
1TgFtCb7+x+tWlQ/s/OAanS3ITCOu/Eewj9xKkLSFqqnw623t81DoV5o7kIavjPtlcBB46KijJFW
FxrOJoN8L4iwAZ2gYU0VKK6IMYEOV3vxu5SOOPtdG6VAdXfj5RDQ6YWRbipKHdw87a5LWAFbV175
+abU7pKl2y070+EsaaMRFxCs9a+VSFz1bT2/ZlRTaZEi+AH/XPMYm+9At3myYyWUFIENNFlrl9Y6
q+y4sXvbtfKvcaevYiddRS0MhBa8+aO+D7833aKIqoVanPvZhe59ydgeXWwF0jMzdAzUrf0VjtaD
nagLbSRl8BVBE7T70eLBttvt+2VgsnZENhJ5XMJaPNQG1UMxtIXisZSsZbrVWLRBfa/i6Z7DCLVQ
C5WNcQnVehV3+bOnxcgkEmJVEJ0AwODdQ82+I8v7nY39WxhDn0ZOBMp+sECawSkb8ZDU5dJt9IWo
DvY4YvqrOKaHDZwFdbaRFg2O5MDqlkKMnbwuOtqAr44QOzinLLvuufP2ZnUfCR3a7FIErsBfhdYB
xYdkqhYH9ogenzoEVyhhqEsBz44+wEG4tATVlqp2J1uXSX8jeb1NVnUZyepS5NTL6SNFB5JLQNdC
Yo7W1PGgI7cXUSjtey2+NGKczGL9h5yqe48ib/or+f+vzquX+c/0pi5//qzxtv0fwA3j9o9bxpRk
PH4IvW3S7+/Vg37/7q+DqKb9pchcGNGuI1uGQwKXkl8HUf5GmszlxBe9SwN5sv8eRGWdug+WJxa9
gKXGleJ3SYi/4vYJho7SpYS82r8yt32baTGQ5Ea5mbwAqekp6TsHUUhyMlqF1qiOIaLZ0aiV3WW4
JimoGTV+ubYyqV8BZnk1UIdfd8PX9SBpuhL+vjL+eipUy8nohsM5iYG3h19+gCJO6GuOlCMDX5uG
xgk23qJanmxbNbgYyoz4pSvrMIkPnuYbiyphg49K/y5MLaKJyJpHGkddvXTsX83V/8e71f+4Gc3k
Oj6ZgYx6/9lNf9z8n+s3hCaR3/s1kbnYvtgqA9xEKstQpzLEP4Qm5S+SnczSv0ubfO9/apvyXyTV
mMjUjyZV7Skf+k9tU/6LVBtLwrJg5E8l0X9zo3o7pf6pnUP7nU0lz0efo2zFHRLvi2jcWhzD5VMw
2GONz/IJLfpqKVJW4q6bIO9N9SUPvE2LpcKrsX5nPbxNHPzu+wxk2xo1wjVRJe4sgx0TUp8Y2B+3
/HZ5/26ZK+7r2yU6+KTc/UbcFd64jOXebkFmhxgSD/25rAmgkn5+/KBjrzCN3KtrLHAuWPojDyrN
c6ncG1ikfdzwsaGfHviqYUj7o4wTlLhrUAXrZZWPit+dOZ7gkBzr9yx7FigmKmDFNEC9o+d3Rv5r
1ztaxpwWw6sQ93vkp5+/6rcQBi4+NLm0k9RxhXDg1gKg0SbCqjMwp43ayybqba3vFwq2Wuj0HAzu
WGbNrUjL972lXXqSywHB3JlFDWGTvVvc6noW2X2Xn308tG8Lyb+7OM9T5ZrZGpko7nq4aQjI2Hno
O2P0bKnJVtLaE9nnYyM8i/FS3Eo1VtHiTsJ2vOQ0Hp5YNUdmxhz/76UCWO6KFW+IXwBK2lwPE/ME
D+LIupnD7r0+62sdA4Bd0ihLFFOMkXSJ9GT4l2Ipn7mnamnGkVnyUhN8NUu8OpONLB7Fnab81Ptq
V0CgEKpgOcSdCx0hWceCuVUyw5GyeItdA6p8zV0SpZxkMTsyq2U3iJzcO6d03XWT5ivBGC8L3XdK
fGJ9zVslnrAM1PQ8dMHOodlju1151iMj18rxss2F1SRhMqrCuvSAwra4l5df+uE+b+qV32s7N8dy
gXwITGWt9S9QB7lsoFabxbjK5JiDQn/RUSrwTM1WtG2WyRwSoiX35qURlSRFRCdArbci6VJFHTTu
h9ZqUY36kYG0bQPulqVuu8YPuJiO4YaLkbqsqV5PBfVaKa8+nubH5sksBqIlpvnmGIq7Ib0pygc1
BDZ1qiDwkvD/fZL57xp6OeG8+oBocpVJE7OG9ILCJ86Yao06UdIZi7EKz/phM9SoKKmHgJt9I/ur
PAWix3G/C/xd3kNZUwbbjIVbBUy4WTfbyEq3A3uZI3jhYmjaE2vlbWL8dzdnUTSFV9Dk3Ex2bZsv
O/lrBCO+HB6kYFhk5dcR+TIMYk5F7Cl+vDcms5jKsuwpO9TiTjFdXNylVWUe9KpcuKLC5U/YDPFP
KTRYWtqUNUy4iEqOB4pfCSjekg1oazhrjXjvxSi8+hDtPSZ8KWm7HEEcUwECidoTSrU4HgDkDsDY
A7cIw62FpJChfuOEi+W8sJcqeaHlzxKNlG23kDC/psxkR1GzSJNsLQPOr6mVeuJNJ33JsnMXjrPu
3prRz0yq7KTuThQljgTACfD1eidwBbPpmoSxl1GrD/GZCtwTLR/BY/5RpsykeOyxKuazehp513jR
oNwq9ku/5D2lZS8IC6lk308XokQiFOUFFA4l5HOaYVH6lq2P972BW4Gksb1I+zC4SnUSD5K+TGWo
UB+vv2PvP9sAoFgrBYabw45yy5mnspsJTx+3fGQDm+OsLfgILjrwbC3+Ht34JTSwQPmRFGdSIp04
HxwJHnOQQ955YWB1bDK1wI79pe0eFeHnx70/Mi5zrHOUJy1YXuaFZdlFezZoJzbcY6Myi3d5nKdh
LtGuThhxm4akQI/U5MasfcTJbj7u/LFxmX7+Ku7pcVq1UsVDOveQ6Rdh8aSHJyTfj43L9PNXTWd6
hyOdN4g7v3RSZOVPYiaOxKU5CLiwCqwS217ckbFcJGG5Tt16iekvYGNA8KG5MYJvZYX6RXkXhBvE
nRdhpt52de0YubcIBJTc1HghQPHtyuisbQPyzXC18UbV5HLlucqqHYu1kEwZKwmTBH0TNAfE/lAc
vZCBlFfJY6WmS2HY1Noir/NN4C0tcZV796oXnjjTHRu8WbARWsQKB9fgUFQKK6VYkRX6ZMuz06KO
CHAZBMl0SbkOh72SxSfiw7H5OosPue/GCc6HI0zRmkRjtBLJS/v6Ve+akKVF5+MJ+/7A4ET2dlYV
9TgKsgtmsPXXgrxBC+Xjdt/v/R8O4A221qw4DgBRQKXF24/h/Tg8o4FpR8kpiNixvk/PfrUiqNXV
WhC64y72nhpp51L6+Ljzxxqeh4qwzDs5Yacu/eXkGJ+f+KTvRwcwQ287jICihJasPO70Kl/pcJiH
1L8UvBMx+Vivp5+/Gg5F08pKCRiOpA6cGiUcRNs/Ho9j/VbetuxFopuJkTXuMvemqsiC4+mpddmJ
UTk2VWZrk/yfp6KgzWHfwj0quu3Fg68Gi5A9W+5+fO4NZqs0GJSkMfrpGeVZrd4ZEUbSSK5/3Pix
gZ+t1AABQhQUWalZ6hSs0VN3/CPtmrO16Y9tUqOGO+6aR3QA1VPHo2PNTpe7V/Mkr01s6yxt3HXi
GXVEUEOfGoY5NLm3Sq8vY7pbQ8XopJtKP7HzHZl+c7ibIOc5Sog07HmXrXglcQdTTlB3jo3FbEXG
zRB0bcdYpPlGwMknu/7cWEzPezXGslWFQjh9Oot7DV6Xp5A8x/o7X4mkoxFknPrrr43rrFl+rruz
JYhhZlUWBc1GwTnU/XZcf67d2bKLCg6JZUW7iXdFNbnofn6u3dmKqyPUUtnLiPzGYx+d+2F5ItId
Gd+5fZzYdwWsdmIoKjMqSkunvFCPtTtbczGsQjdu1XGn6jfyeFOfusAeiZ2TRt/reeYH3ZAaNQMR
5leo31w16Kv0MDwBZ2z6k/jPY72f7Yde7btBmPEUH9b/IGyz/iR3nn7+eScmzf22/3lbIU5d5eJu
pOY+bPr+c3uhMb3Jq/WX+EHEPwoTGqltNN2szy2UOaqwEXLg3Ohg7QYuDc2i9j51ioRK8ra/yigV
ghIRL7oEjufK/dylAcjW23a7GhUJrGb6XdI5GsKawol18n7iBJT723ZNP83MImMcRuuxK5/VJl5P
ZhyKWzlWeasikh7Uh0+t9Tk7CgFZCRcFY+SePEkV3560u5/m2Dtzb07lSIouN2och3diHnDPF9fy
wDagrT7X7dnKjJBgiUWPs14v6wspVhf+w+cani3GUEGzODUYeqwldOPMbT7Z4dlSrFO9SN3e5HBq
mKjUXAaf7fBsLeJbqkscZIh9+UFJNk3zr3Cl/yTvoAa+nYMlhf8Qete0F+5iMBU+CmsfD/GxmTFb
jaXqVYo1RQ8LeKrBxbaRD1gynWj9CJUZsMLbjoOb7jxIC+NOCh+qwT/4FhJsDdzfSffZQBz8LpPw
aQTe4cHGH4wAiZ7rWFoP6koR8M0ZxLMg8E71Zlqy7y2D2VJG3DQTlJLeVC0CHcAB1RzoibSFLmJb
rIw6DBaNcd1jNf/x6B7ZTSY65+vY3MLAzpskHnZu7B+KHBTdiaB/5LPNWR897iV+HvMmRrMOQYhk
7qUPUOfjXh9rfLae64rSVTPNtlqRFkWMxIx4Ewjyia9wRM3rBXT7elBiMPVlVcr9Ti7JpbSY3aAk
m+rNAtNcF9saATF1Txa28tDsdEmGTBQ6iPYDPUUKEpYTrLhVJgUXGRpHMVIdkSFu6+Hf+SD/d6nN
qS4jskY65rPTAQB5+nCDptqJYT02GWbBoR+NAlX0KeoMWIttcBv53OdS3k4yFfJV1US0G0jbPits
VR9s0T8pvnbk3KXNIkQRlkOqTzGtQzcpCONVNCzEHjEyIMiGPK77UHm2wnuxtZZh+z01blV5jQQQ
9h26kxY/4k7dtajS5/coFCyrKnL0JFrnso5SprawYmWTV1804frjsZh2hndWuDaLN6UY4lTUJcMu
F8HGBVcIl9iJBKlMUj75FWcxhHJPgxWYOOwyFTOO+Hk4JftwZHr8AQPXtNyHBj0g4LUcuJh88mr9
IuX06nw4SlgDDzlZu446iYCay6CX649H+1iXZ4EimExB+pDRHrIdlkQnbWiPtTvb96H9jGXZSAQg
Q6ey2C3M+JOJNHW29RdxYkpqgTG3TtETDPL950ZitratVhUqPdaGHWpj8sErl59rdra0BWq+g2Sq
uKNgvn3x6WZnS9oKkRCKCrfftbdj0H7P4+rp4/4e2TnU2fLLNai5ZU2htQXBLXzrkZl1scL4uPFj
s2K28powDzS/6yHsxItJYulzh8wXkuur9dEOHI2zlGb7wCaBW3yut8rsGty7tcfno1llr12jNPKp
MVBmK64ThSAvVSZE6h+QsX+IhfRUke6Fwv9O7HwREX41EKWu/L3q3CoDRf3NYmuGSVyAgtXHjQC8
36u8KzEs0ZQB950BVa5hEpo/KxdnpSxfRu6NIOSrLNtZ5hUTdzFQ4JBvo/Jex5pxqFus3Ad7yFIb
NummD/tlGiLXKmw0aTjDcENrrutuq5tnubVxQxMWXaMvY9jtVqkuJu69qC+TGl1JyGyJCFreR3LQ
vyvFr58b3FlsqDUjKc22G3YA/yt94ZbOx+0ekXBE5P/tDm1YQVAMntjvPHA1unHj+d4iksRV0n11
hSsx+BHHP4XkpujucZH0OP58/NwjC+ZFNvPVB8Xbp3bTgpu2CRUBE7/hBHjzWLuz8AGNTkxVSyDj
8NhmZ8Mnd5M5ac6w+shztanZZy3bNu2J49GRI8HcW5sdTxrgWHEGD+91DnPxeK3rT273ueK+Pocd
KsnoQRWj2xkEYR1FuROp4GlJv7Mc56rQupqnulyOPaXt1Easjv8qthpea+m3Njl1GD/yKed6zhZU
e07gJAGldu0hbZU7H0+9IxuBPNvBC0Qt21KdvmWyRsLEBqu7UL1TxaVjvZ4t1Ggwm0SP6HUGgCPD
9mrzca9fVsZ7Yz498NWKceMcTFndcLhz95KnXMkDRk2q4w63on/nA8Ya1c4RW20VZ+EhkCRczy4k
S4Bj49sYnZ1pfnmmqcM2pXCpeNGymEgrmXElCRgGCdxScjtLfzb5WRncipLvpFK16CgAjSjpxjAA
P34NWI5H5s7s3KC22L/JCrd6BCCc0euWTa5CEdEWXfEjdCF7kV/yPIXy8ORJZS5x37MxiEbebNPG
JopXxqbntF+VF23eAUlLHVNtVoIen0Vs7KW+lOE4uaIHSk11FKBbuZzu9RQWgbrIMgJ2FC8t6a5X
fyhyCObmq5ELN6rUrmALXWbRdxFjqUZeVj2GIZ5m64K+UtJymbYB9JenPNj7PvR4T1/V2cH37+Nw
ZUL/kNoRT1PwYdomFVkT41WL2XIFbjyzQrvUUFA275Q8ccr+MY6xqhS/xQhUVmJNKV7kTlniTqza
vVHBNhNsL7kbtYOR4bkbGWtcHu3URGc5Xo7iHQrOi8RTl5GoXejmF1PZw6+2h8FyrAGeULcWXPRd
YGKZob7osdQsZcnOkme0BJZ++KDU0aFSmoVSVJ+LuXOJulF1vazQpioL1tM4dp7S9ZGmo9k7U37O
2aaojEFyx1k7z28xVjF/INSGsRlMlnGVS2e4aLnZieV1ZFZOePLXqyvQ0CHpYViSDdm2jQuNaq3D
Qvp40sO+ff9FZnO+lYQGP3JeRBQkWy8fIbsEw3Os7PP4Ns42VrNxlas69pDEf6q8myzvtnF1I0Sr
REPTHWJBq6MEXhToip9zaToz4+JGbJozXyL1gI2cmUNbM69LL/vil6sYt0O90leJLC1kENUCHm15
tAaD1gGva5ZyWgBO61Ap2Prhl8C4SjGuNdYCxKoT73vkdWebcK0avTvg57azYDa5AlXwq881PDvD
YzyLWazAOCYWWuqHsr39uN0jX/8FJv0qto5I2wTFlFgxq32ISn2IWc0JrO6RFP1Lpul103JQaEPC
VtmizOFFPwrcB9Mahwo/XLVE7EFHOt4MnI9f5MiB4oXP/eppLj6kKFQM/S5CMbq6LaNzFd513Z54
mSPNz0HNphTkY5uxB7lBb5dCsMyHh8oKFnoXnpg6R1bKHNpcNa2INSObs5ju1BSZQXPjolQabvXo
xDtMK/qdoDIHNctpLTRxzQbNVU1pINEtPx76Y+3OjhXYfsZKlNNuhL6/v0rqEzvmsXanOfvqk3aK
3CATQMZTjzYILXnaiUvgsW85Pe9Vu2mel1JaesOOhCrGCCnw6WRRqYeGPNqJj3lk7r/cOV49ohSa
Fv9uut4VX+LiQRUusCW2FbGizuPZ4jABjk8dLI4N0yzmZHrUCGlIiqqv04XcmGuAZp+LOi/b06vX
aIYiS1W/QkJ/WHjBLjxVbTw212dJAymKlcGfqoJBXZ1L3bDJMgx4sAqXxRh3ZNX5eGK+mCa9M+Pn
QFQ9C+o2loluhrJPBXgqyt4yisUoHkbksYc4W+fW93o4CGDpzeBMUXtbrC5xVLc7jGRCM7XrYeWW
ki2OhdMJKP4G1qLPx9u8uEvVej0GIVpzP6PkfCKRCwEK9OUCjYrVx/1/OfC/1/95ukLvU8UsWVlp
/TUeKhvTIJzNuGMn7TL1v6MczjEHLjZFhiK/yt3LWL8yzO9lXkLDx0Ua3r84RviZFbuRvJqAXm4b
rmoPNUn/Soq+JIOTGKci8JGtZI6b7XvBLK2agqMaOfhRtGsl/FyhTZxNF9OXQqGZNimv/N70jROW
p3wc3l87qEu9DQVuDS/OL6YJYj6l2UHovn385aQjEHA05N62PNYYso8WF9ySYolcZtjJX0fdQyJd
lil5ssHDTXrA8/zhSsOBUkPXAImIL5L3gBgUjIRwUZDsMEZxrcrBwhueu4G5GULGLhawBoCpfUMa
1InRqS/WoZfC+g/tzmgXcq0tWwOneU+yew9iST/8dIV9jNFruBeTayk/15Jdnp6L43ms7erhZ12e
5epKEr7p0U0wHoSqCnDiuq2gttqiMJybqM3jE85ML6X7CHmTbNyW+rehu8Ro1tHMh7rcl7rjtfdp
PKlPojQ05tUyGZ+N+lqtkSL3z0d4+L7KBUUF8a4tCgVpffjZvoJhN0LWQX1rDLdBfpC726K7HpvG
abyDmN6M6b5w0SO5iNIzL9nnxeVQ3ITqTlcwQjEdf/Qcw9+FSORb3WWEJ9RY3kXqLld+VCoCGdI2
GHCKDlvHrH5gtY6miXFpFtX9AOnJ1+8xC1hUwhVdV5sfH3/5YzNqCnmvQmbrKV2RiRzUIJaE9UUg
fGoNaNZsk1XxFkmynnY7GTLK+XgqFL9kLv6MMYhEve1wARnERxadhkV3RVkUOwvL8d0rLxGwF7iL
JUeJvob339yVNu4F45ugPblIvY3mxjLv9eCn1ifXeRlfacKZ1kZnvnEjheVK43aaeRDsPgeMwr/1
bTddse4wVweF4SLMphk70TuxVKcF+d77z24oxRgoYQgzZjfGGrV2xy/WbX+n9NtWdHri++emxWyT
Dgolasqq5vxeUD93uJ98rt3ZvcBEok418gkpEOHc6cSt83G7R/LOUITfjncU68giTgCbFnZqGWIp
ajz67UpmS8FpwWmka2zFFOOpGLZ5MGkUNU6XbZN0WJUIzyA0VFSIwygUJ1v8Xsbv5XBBSiM2e2RX
RFhNjppeCNWFosMgWtYonIhuvAzkZ9kKz9Lkp2DmmyZNL/IS4y5pG/WIRpgjSpKtPeZ3VXkZu8sa
IQ/vUlMuNG2FotTnvtQc9GrpwiAlLnf6oriOpD26759seLYjhG0vRUickdXDKOYJNeCPv9SRgDNH
vSLGqgjJlIMQhdL29a8umavPtTwLOYMZ50IjuBRLngTv/3J2Zs2V4lqU/i/93ESAmB/6hfHMg4/n
F8JppxklQEII+PW9TnV0R9XpdDrCN6Lq3qzKS2JAW1t7r70+4zC5/BvR658zBbh9/vfbYnLKdSVm
KD7gkM5wUi6c+xEe/n+/7Rvj1v8rFgCF+r+XL1hh6oVt4SioAQhbuFtLYZiq0QmqUkOSm79hwA2T
5EmENof9TA2Mx6BTIMCqw9ARbM3aq8vK376m/yx2ezchZoF0nWLIYd5SZ/gwwS+yPv7+o3717m+i
Sq4AWbcNtUC5HsAgl3yXyn113Zuoknuk7EyO60qks0VU/P7Z7d7ElFJDu6qqoY8hzhPXNz8UJcN2
478vvDWp02stbpc6cPhM5Le9j+uN/WFvcG+W7KhXsiskbnjIIKtwl8B3Hjygkjq2q90xyMdPNuNg
MURVr4VWcUYhE7QHTI5Od8x7LyobY70z5n3Jsa0whdI8d/N4URijHJoswi6TUUz0GenkGYE+tCsB
0dv4vJDD0p7yPm2alTRSWGmDNHFU4tnM9fWPXsStarcicO/sOzww69UEv1n9LBS5NwEDdCTgfRY8
Lq0+5nDcEt+snz8fF+1bkW4xmpUxwCp5u1hHZc91UMN+xAezsbQ8WGMVP1tNt5rdXJkz4KIFwhJh
0egOiXDvf/a8bwJAKxZb79zreppWUkTuz7pc9q1qFx72+dJ6uK6h7+Sz+m7e4avnfbP8J9OEhb07
Qt3O7x3M9rIWPdIHmcetuPzsgdxEAlBbO0fPJWqDA91LgRKs/Cad+2JvuVXr2j2QJzbBvTvmS88W
IBJ33PO/2Vq+iIu3il0Txk6euF4cQBc5J+I7ZuJXN31zaCCdlQ99iRzUrl4c/7NBO4W7RfyjZ+3c
rMoya+0J/upIaDCNncEm7ocP4/rD/Ouk4+rIm90WqochsaYV69Kf3e712f/rspM/N7ojcbtu9pYb
Oyv/Ua8GWdF/r7toHK6QRCLmwfdQj2X/w/u92YO9ZUIlSK8R9IyIiMBuvhGTfvWt3SzC2cVgp+lW
qDin2Wl8+NnDvVl3pbS5DpbPvB13PP7O8OOLO73V0yrf8pfG+j93irLP3+/0n2ztD3vvrZg2Ewxn
AGOatgr8VaBloTChzi9lyLC1xKahImTZdnCMpGrMsIYJTUnR/WQ5uoinDmZIgXBa+NgdzOqsQazG
2L5njxR2dla+UsA0lvYSlbl6h1gu7mES4TawXshkaA9igR0y2QhYHtjlg1eeKkyc8LUNcA9BCeUI
5HQqYSnu8qdm7NfURHm6eoFCJGT6Yq7rwob81WngaYrRmHDS3QBu4uuspmuQmGAhCXeJae72Yjgo
wjbekA7Z3TShoLIt8pVoSEqEFIExEUhd7TxC4TLqYDa7qHZbavHsqBXBjhIIUI8tuqxBzF37Pkut
3Eg9zC0z5d/7pWMHwGI6q9Zswr+/kS9e8612qs2X0s1Ui1ZRHcHuu7O+iSNfBL9b9VQPV/JqcnEa
KIedIM+OW8N54meiBLQL/rvq/VyWHTOxOjv7Q5LLTO///jC+uumb4Ce6Wq+GZsF0xZyMnhFb8pnj
o/r7xb960td//q8QKGCYPtskxzaDOcYqKq3V36/71U3fhEBOZ96NBp50MabIxANKk2sW9feLX42b
/5Qs/1OE/9dd87LhAwyUsM9MWrCAIzgwH5H2kRdwoWVjyOUUCCOPKCWR9D415/lKMazBbLPG8Wx9
63Py1dO7CZyVlxtD5SDQ696z1j7SH+Yst5KlUi8NP4faYUu6R+EdTfmzt23fbP6GFBOtFMInEGYP
86+/v40vHgJMCP/zCbW6r5uFX6IplOT7+Zvv54s3bN989Jbo/F6Oxbx1Fz+yUNNeYFPbaPC6/m5e
8/oz/yno33z59pCZveoxmmFm4CXDBkm3p6hBtl+K+2Z+/tmzuVkGJWSl1lThgTfrfv+zHoV9K8gH
VMex6qsGFEYPDz3+yi8/u9ubz1kTug0sl4ZupTXAuPuuw3DF36/8RTj4p/T3rwXbS8UnHRPI24Gv
5WShhQRZfvXdiMIXX+Ctch76PjIZEvfNBEQ5Fx1TaD+67VvpPDxg5yKfEB0r97XXlrMHp1qYXtFv
nspX932zHGnWC8VKfB39chTzoftO03MtRvzh07ZuVqQGJk+tZeilZl4WdlCpoSkU1piioVkNRrce
cVLG/Lv57y/UrfatpD6X7eKMAl1hs0iXzo+G9nVCpc3Wp1Q1IrXoGDoAdIDvjaIsujLyVGfR31/Q
V0/w+s//9V2ZTquUKBF76ju0bL7JB//Zsf/0/G5WLa8gMvM7BB/m5dtCAgXfBtKzjwwV9awpo37m
K2bZcYfcaaZtrMPFnmnrzoLqhLF09jzMnLzgCqFiae09Uv24tJsaxrvT+Fh5cp1jKiWDgjAzxl9q
fKvFBXBgfVnLfkwmmBNz/0Nzv7OWvOF5/b8ipUX++5AqagJqZfNlaxqo9WwAUA/ajsYKFmi6ZFuo
cEBanesjpheoMMA7Ppfk7u/v54sgezsPAF9XjDxXOG3SYi+BB8+WtSBPjb9V3g/7qtbNOWMGqGHA
dwBJyONyVyd/v+8vvqvbmQDOK9E0pjdtmxrv0o3H+bs1T/CfPy/PW8GwpaC5aVqG7Bbc0EGGpP3l
qF2uP3viXUFdSM1VPh7rDgbu7ttY5Gi6b6AhgScoDyVYCOO4KuAP3U3wKntS7pPnbJTxjC820KmW
ekYbCQ2zjLBb8/WTIXauuTbxf5EnlkFRDz6RydOllakGgV/rrODvuhIwQxuKjY+/GudusrJN53db
g7+7/hiUXR0CcRJkE7xWrN+tLdbEvde4d2gHqCitA0rssWd76aR3gOLCBaIto7Gd75aJRHW3GbKT
MhhKj06Ugeuqa1nItVXm4mjlACUB5r002b4FDjlXIkbLOcSofMSrO4rCBF06WHqzcMzVXQEzd1t7
ZN3vzgVl4forP1W+GzZeE5PswvJN1pBtpspkMk/LsoOwOYTxNexaYde+b1s4ChvAR5mwi/+ctR0p
yrA1AGLPEw5rbydTQdu2cZ/91tWbmrzAcqH5NKrPDo/IgQF/Dry1ph98utJVFfO+XdVGjoEqPgWd
Dm/PWV9Pi0hnHZaG2m9Fp9OMqNuzz17f1INYmd6ruipvyxYl3MRGy6siT7Tb+up3qa9F+UjaKtRp
h0JjEc3aYfLGFBzJR5Hd1dDwc07vbIrhXyxg2MXjSJnADyFStRPZ8lO1HWgTHWYWSarbJ7+SQWke
+mYJNISlQM2JkftJk8Ns3OWhiWikZTwcgOUZ5/e62ludkQI0GXZX7MHURV4JxpJ7QdUMFaNATF6a
zUMI0n3oo09HyJbzOhjr325fHqwF9lmY5lTmYYEDoidsUOYhgfbfmimF/jhS3EkX2OC7cDDHRgo1
iNCj3o+tuLIuNjkJ/z6f7sdqNzancU4m/HK4/m9bu9pJhn0PZ8mHrj7g7wx/H+/9VMZLn6BzCp5U
WBdRhbo5VVcCSSoAJSc4Z4/jYYQOpUD/zjlQvu3J8zADY4G27sQ+PfIi6ndTvHpeOmYvc/ZiyE+w
M65oixrWd6VLw6bR9k0VV80+W14zsqrA4wAXIx9PU3PsmgNp1kinQw0P1PAzzC5DjRllak/pnpex
0u/8EuxsTLL02iGDlqIC3F2fj6jjJLnWr3oPmEH6PFYM+wsmpZBd8FdarZnk+6yZYVQ4JTphydBD
XIGhl0LzVx6bVtQ6QhAcDtrBHvcgsoXDECuKkWr65tn3bG4jVwCTweX9BOsygpoEXPL2yJPiwThS
kBU0IBkWLaT109Ku7WECq2ArWxI5eR+U9oazMQAkJtRqGNsj6mhGFvjXxmyfEAQiF7N+lRsIq4Yk
G49cwRtfCh+lEQhMFoAyiIh6LzUzONdjTRWN3PvlybaOLnzx4cU/RhCkoydmyALeCW8uPxtkguM8
uZsaqFBMABLqxwp11QVKJ3YFf8C7n13qoVz5XANYw4xhkMo09Iehwm3kHe0++FSfAOvZVE0bZGaV
muZd5tGgqXnQgtmho0EyCRNKcxUQauM8Cutwde/7c9AJK3b7F4fXmGyF/rzLoyGfHhoUUyQYZJVx
gS9vYFsKtIIHKaCBwtrzQFHwiyl0vUONJ+DTt9KG8KZ3w6qjK/T4Qw1OHxLDzKa9c6D0b/mDZUCX
J8rV1KxtzJ27Y4R5AwitAAwwH33nkpFHWfIDgfVkjnlHUJ5DYnYJpPVxJ17zEXUXJp65PgHWgD/Z
1/aTwCbAlubqnRm2Dg0yLleV3oS5Oaw5TkxjjRkEvXtpIYFvph6wd2whjR113tW7qU4scT/3LPBl
lkyzjPhSRi7gLdW8Fs2w7ZqkyJNBQ4nYSdl0WUaMpVYxk9tGPCvrKPtHh2CA/6yxJ5RQtW5jI+HB
75jAeDC1V1acFb6gPvNxfLtaxgKfAEl9bR6NK01BXvIWPXkCdO6YFjz22mOlUKh6rMqLhcVSsAGt
ehAn/C2aYyHzq8ipX6e22yBY+5g508wCFTod+msj7vS70SBphZ1vNB9MENkExJZN1ChMnvVPbXbl
zdT4k9Yq37esja0edCSYnrlkui/NV8Y3hoZybdFFVEM1DuNlUGnBgVZTr6L7sMnaFEj6unVrn7v8
3VgEVsQOJjqrql8NzS9j2FS4pTbfQCy1dsYBGeF2BJMnq+7VnGqjjObsEQoiozUi3yJB1yW6C+1V
+T5hyM5XZ1tEubj4/TP3EjodtXEjSbkehjsUe7CFAk//vlhGADBzTDQtbRZ8RS8OexM4SxUGR5HO
3YwIsVUHQ4VqTSpMVe8ZM+Cq0CL54qu8BSOjTZr50Moq6BmiF/Cnxsmo25TBDbYXS5KBJmTkeVza
JwwDrpv8sKCC3YiV0n478DCEaEdvsfoNFD55iDIhTkY2HPpyDPgxNocdBXII8WZpRZiJ4V5ikxdn
WidzfrTMaKp3BcYs3TIFQQabMbRjYV12QdlEuvGm66uJbG3rYZFHw3o0mpPZSLTHzr0GARcGmKUV
ZOQ4eh5wnc8KPhgVtkNVPA15xNkKrSSYOtyBtalh7+MenNSHDv7HC0fxFn/GFbLC8mMOgpMD+iIf
3gAIwcK0wMPgayKzqIKwrNXj0UdCNq7cVu69RgR8APHGQ16w9EfCswYf9KGh6EMga6EgAMFeOMyH
NcLzwe22EtGp7bqwBEaq8EUKmjtAgAqpFmxV2RgTjMbL7uJrOTAn+0qJ1GcaHPJk4JcJ5sjAEJqC
QqA8i7ZvWXzq874mW9r+hlWkZpyaYjPIS0ZlYPcvw5LFuQAWFTF42nfl41LCEnfhkWfGA8rWVvki
6FNFklrBbk4mEvM1Xo0IlmN7l1XiwqulVToC+CevVhhUCktW4iNyI4EzzIIIMD35/n3jrpbh0Ntt
1Jd22sht69OD0alDnUOnBWOgSQO1DJ5iA/T2Won9BXhdnIx+Y3I5nVpx1/V92GWgvyxNWozd+zD1
q0nGLn7ozOdhm/U7qhSccc9IDhEKvARqG6d5I6BBlmUZzYMWiVYkBrmH+idgwHkv3m60fxFjTbPr
czVPIiPBiDUkhno74BE4OGGUWuoAleRZAPl0CavfF+xvFNnLgpze9FCDwEdsIsPuzSJRtQ0Q0i8N
G5wDN2DJD3P+BiS60OFQ4RarBU+Z9SIs7OUobT1mlnVdAD6YT7nw9wMGnUz7w+UiqV0vzjVMhWVs
PcyAknE/7PHdVF27aoxXoHrBWR+QCITG3gDrNrNJzIcyMUonHsWK8z6aGgwTalcvjE0t97UjL5Xz
6VinzLmr6QkJ6CBEylsVL/XWzyEvMUDerVYwiQkdCezBIhHfMY1C941hR1ZVBNSx91ZbR6JHbtiS
FQUxRyw0bRtsbH2Tih7jYLaBpdGGBOF5sPDUJMFYlZWO9ofy4fU3o/EANM+T6R7M6aGbn5EzrEZd
vQIGgT/e3OZGHWIuBcFNQb/1PnepnttxhVLs4hym0Q0MgnQe/DEXaXnXj6eSApVGzkyJyANQSnZD
qCGhAp8ZIm2FA8GUGu5TQc1kkWw3MjuYiwn2Tv2Zw62y4MbJsrHlKBmIvt4Sk+Es4MZ5tS37KEMt
wm/8UIxe2FOYhDkWKsLA9yzIbrgHUpELPt6658gWa1yA4qFwEV2Ro+4EV+nuNMtj37Gkq8W+dFlI
vWIFGXmowf3Cw0Vd6DOqDkbRzoImnwegZb0bYfht4jEv2rLzGfRjlv3SIKBy2OsYSIoW8jlg0M/J
3MBv6Ro4J3tqwh4TRJOPDB9GNMRuYpNOd/WiUobF6bUjTFhkMCKTn+ri5BnTfhlgvmHaejiwD8dt
j6Tc8vZNmFnseASbl4qcWaxcAZV+cRAtZpy8bVdrIKLKGE56ONtizq1NYW0cZJ9jVkbZ8Cgdf6X3
LIF9+db0N/g5GuOpsIu0AGluik1zijPYDo1mOlPvdzXCKsdnce1OUZFH3XVieifVkLRzMrhHAGgD
D1N9TEGoLuWh79zYUXeEzOmAGlCrewGc+JKpJGfe0V0/QBDJIWH1cHDsIuIUaI49DDgi5s5jXgDY
B3E8Mscqz2Ivb+NycTGuqtaj13+68AYP1IDQ5kqx77oL3FsCh5xlW/6iVnGaEWkwBcn6tFzKEPIF
SuGLPO2YMSK5gx24gahdiomtKYxlBrM9+N7WxpwYDHYC5TDMbLVQJ3urrLsTfK9yB9HxufR/wZiv
CzoYedZAXrklTkDlAAk/ojg8gU1pHJSHOs/C89Dop8TQ26jm5l7BY8A1zAhrK+2WB4ZpyRwbr60u
sFGMOw9W5Vl7r+zpXod/t2zqEE0fDDamwkgbC38gIHD1NO98TcWjchOwIiAUCCXgzH0hA6e6N/Im
Ah0lnGecJ3CQVNUSKizBKWOxXB5dgZQArCzqOCu/MrCh+xrA1N2aIlTWA7z3+XTyTeyuhjFEvZ09
LrwOqV0cFsuPiL7W6/rk959ebwUWBjiFOUULxpMXaM2nCeg1HBZmTxys+X4xj0xl22UgMemwHu2t
n50XHMqLYkgzH6fgvI/IYIXgzKSscIGfGHeg+X5acKWHS3/fngYzcdkhNzbwhAYe74WUj2NxHn3A
wYYd4hbU7LwEoxFljV5CCZ04sNZ3wGADvDnMMhLWbXNCmwv5QxegzZs6s382q2KVzf56qPO9RVVi
5+QDCOTAGYudch/nsUe3ChmDT1GCWYKSm4lPy5BhNJbVCB6Olpp+sdEhxRLjjAM5CgzwbYM5NBiM
Jhx4KLDzOEugyZs4mbbNnIOJk4Zw0UxW99JdwKfBsd9dzDQ396ODAdyrl307BY3DY+K34FB2YY1o
B3DSERzqvULLWOlgfr0KDZkO2HC5TSKNADQwO6+T9+k3xbYXYKqXvwZWPqArc0RVBOYNxoYV2OEa
6R48i9+LIUsht8Np4eS17bErztV0dz2YhhTJcDmYYaX2DUOD2SV7R82hZw1IzwDc7ra5ww9dhm1g
eYMtYugyMyBMixfvtUJNUWEVoW4EPW5ToEU+gp6JDjF7bQHes66VnOJu4G8VyjWOZSEza6I+/wT9
AnUt0Dix1gSM6mfzbYIwkqDr6/jvmVtcvBFf8Jza0gNnE0eV3gRVG1hHB0Cb6ygNjwtqp4D3cdyZ
qz5b1wk04a7s7oCKY2jg1cNKPM29VcFcMCDH0NfKxEHpzQITsWmwJoAFGDzMaE/XwLM2c7GCW5E9
PGUOoI7254LAOWDks8ryA9XGVY6ktTFxnjBqKJCrkJTN59SJENJ0wAfO17IIYFaY6x4uFVl5/QFN
N0zBwNqM/S77N19k21IfUqPHvmPMp76gAA9+aktqU3DnsnXjmelU+GGx8FTHV1tdiYuTvbKRPeBs
bJhLXMwLYp5urnvXw7m2jSqar2gznpj/ygx5aFGNAvg2kCNy9Vw/LLi1AeOtAiiG0n2my0Z3n0ZI
dHLtdzufUNaYvYsd1bEqPzjxdj6qQrV7mIWf1MipmKox5f1K7DeabRQq7XylBpYKKxGYRdbqfY1M
bhTPFVu3KGJYMrb1fVYOwQBZrCp+MRgpV4UTdFhMvLSSZfmckLAsOF1OMOM2xa42FEDaJc6HuHGM
O6G+Btm2OlJAGjmMLWXNDhXidN8AnkCbddFjosVfAqOCHK07s3GK6tIMWpxLlwlcdnXVfu/y0du5
hbmiSOGoA2Tg9EoHudWzY1eWmMQ/trkXab2MBv/NEhZcs8p9hdaFjvvNdQdPf1wPVn3U7B6Z8Sf1
xnDIRtCtkf21IqrHMRrzElyfDOXKh2zJVr6XeuhxOaD6lG6zpfyxY1nog8drtvZWehip0VHJHa7n
SHvfF/PGFyHmAkLuQpvu0FBrIC0RFKxGRLja2nUTgjiArE4h4radUGoyMPygQoqsYOpB5/UgRAVw
pR/xAfYG5l4wqYzMibe/hWSPbn61pq+O+ezGuo2o4fiR3WcR7RR+q4yKqg8LonbKw4dC610+HybS
3FX9dOITw6Q9glilJZZRpmOboQ6A2X6mVjVCFXdfXacOeuhfLHwuREcaopW4GuKG8zRgLsvQjHNv
+Y82XF1QnXjAlG4Ir/d9v/gPNVNrSxj7wRr3czalAlJaHZVtoq1pA9t9FCCvv72yNGTjLHYn8I5H
bY3tkMy8wBkT6Vg+7of513TnDeZ2GIYXoiBFITiFykwlOQDg4NbamAfWLoVEiY1Dj2agOGIX5KRz
D9kvX7DBw5PBHcuVmvm77ncpJUvU6xjZo9aGGlo8tLaWKvq6ZNbWhtxgtoEuqWNS1jkmoDD8r+dg
wL5MAqLofj6QzIjYuGth0jG9mO4U1Nm9nT/n3N/Irt7C2+6lWBC5fZXyZQ7tCgvEefJG4G6Mz358
6sHnsAo3XjRAdIYsLuoupkQdBW9Au3eKOxxKoA6IRoaDuv9cDN5GAdQ4KUh3nXY/9/baqDkcJXSt
Dip3QEsKfSgchBQCUV1BB6/wfc2xsrTQ7XeaoXYmxzOeL/m887TjVOGVrURBi1DPHyo3bh2k+eC0
+roHrwrSOpFlc8BcFj3s+dmGh5vUqhxJlB0u2eGuL5fPzko73gGloqH6JnDO8PmQKJz7C/9B53du
1Z61vo/9mmyYmFG/7hMBW5/chBpquvhIV0Xvb3hHcDbDF3YlCJdLFzjlqxIXisJF5pONPriobPZg
BnIbOdPSRpp1qOp17lkwJ7LwAfB2RcjZWg4FtPieUlELSENsNn0DOfWdnWOMZWRv3nWysZZJ4RM0
wWRy/TVgMYmJXlWP/x7QJLj++jormrVLvCAZVIYHEG0VDCW7nnvgloQLU2kgRWzgKWld9dhrHXYt
Zr8bkDCIpTi7BPRru0At1f6cshbuQrCiEdQLnQEzLc4J44xRjbZOvVUURRiOVHoy+UW0bjopAJnR
dc4mPckl6k/+MS/NSIfoRep9OMzyApTLW+dj/oCzUNLXDC3X6dPm9272vkhsk5qbDHYHIDfKwfD6
GLsPt7vv3Q31R+y5IuYKgGKWCFnGpjw6npa4+O3d8hun43i0u40UMhW+FcHsFTMUfoAEYDtIcKT2
Pa/SfH5l87qwt5TQgLKd7zz2uog7BZLyokcaqgaVHns6ZjUNEpaOi9H8N4Fvv0OJ10CPjfjIw1sU
jGfMUhhQfRlFWmr8uRzJY6fAX52pSlH6uqPeRutWtZvHaljP9vKmI+3k0wCjKQxA5utMrbK+X0kN
xp6g9xYlqlRSJhlQ1joWwoyHLYuPqWZvpaBYYU2kOQpb7Yc3T2E7eY+lCZtJ360vXmWERg0xvQb9
2VKRPQxhkrw2kFtvRrXFtrHGB54OXF9zA3GgHj8dRKlWdKvFuM+BLnFw/z2e/lxKlBgzN5o9620Y
RijlyrOfO4E5Yo+2Gdy0WhSQloWt2OhRADitaFrOAAUZoY9y3zTNMTPLHVxbzmDG7JSod56zrIqS
rAFSXunMw6nO2hUlOxsQcg2DSDOcCUZqJX09riygdMUV593sc/Ohnp/a6t2v3iv1lmMLMOBtUu8G
861VKLUPx9w+KOc84szG4BWcoxKJgommNXG9vFfiyZ+favk5YdyKzQdrXKGGD5mg7iWooJqFHTs1
xhT21/Y1N3KMYJ7QUDSAEta0U07OHqoyvr7Whs2kzjXf593BavZGsS+NvT6/T+Tq533BZxiNXZ1I
TTvDFJQhNC16FTYZBpNrNT8XGOwU7mG0j811B7zvi/pudnAg7Wnc9GOIh/HRtu/cTjoT8kaBHXeK
p+yKyQ0RicDLRWLpIN+1UYRnBTw+86g3u3CBNAUGgRvXwgEMs7LmxmwO1+Pl7J9q7cglqkdsr2Xm
3WLynY0tLbfQClzBlhytt1TYGBtG9r+cbLXO6CdMSiG32En93dDylWliQal9VcVCe5zKBz6FxNig
VMDgGlWrq0+N2BI77UwfGOB5g+N/413f91a65kErD2I42hasS9DtRTMtR/Vyq+oNk575Ui0kxXTR
tmlfyeTvTHlniQlezAzE78p/k6082iANRv74ZuuPQ2EkOGkluV+CeAjc1RCz4Rdi/nnJ/ZWlmfur
PU4jz17xRCWE7fJBKx8p+kXDxeuiqvM2VrHxkJqvLPdDUxf7hVVrjQsgxK1U6AeDHjHKj7ZGKFJv
hNw0j/MMhj3CvJ+pETaIxyrr8d0ezGY8l/XBFUUMg/S0IdmLU5wLRATdhsEPckQ0DHDw88qAuSlf
4zhDHSuU3kVqzVozcf7R8Qd1IDPdQykZ6xJVSe3S5R80p+9+38bL6O90M986ZNmRDq1nIcywd6Ht
hQFrgzzcL73YRvgu+8RB8xEklBJVgEuNI6nFqkQNQOgMnox5Ad1SYUZkfAAXED7BAj3nrT68E64S
6KYCgtJHg0KGTfVoMLTL1H1g/KoXqGV0+DesepCqvXjyYuha/COdwq1HmFXkgksFoWAjIo2hf/+N
99gX+od/XALe3+5Klov/9T+M/1lNtMX+h+t6Iun9fef+TBl/awuml6Xe2jOuW6GRKVf6DwWT5EYu
yIAwI50HBdjMYSaNV/SNAOyrAb9/Zu7/9SBy2pvTQDVsSqazrsrXURtjwwG/Gyd8oEjTqe7DvCEJ
9X972XRpChF0qL/mPo9yjLyzX05df3MvX72TG1USpvztprr+jL2N1lRU//BV36iDxlo5Xt3ilej0
MKOVhQb4z77NGzWhtzj+WFKKiSEjklVcfif4+UIaemu/U5rcqzOC+WZsNsymqekdcGwPsmb5Rvzz
hUG1fevAU+r5oI2lpuBiinJdH8plSPMOOTaa46OxdisduHcwCE1zjRPjtrTt2CJP2dwgDT0yH72V
EXEYlREjaw86H48D/WZS48tbuxkTbMZ60YscimOKqjdwsZhVX8F7IO+6XS0/0INe93LFhgeofSxn
38FC3YGLhda7sHGogwZnCJyEQAXcZfSe2D8c3721+8HraFFM8GFTSyPUnEFK/dEnZNwIGXuPSiF0
KF0HtGZn8lv+zJfdvmV2qpa3Ll9wYSvVhgAMn5/d740c0VW1YWm+A8tGEuomjqHRz657s/RdbtW9
KjludyZRDvWhjTLIzy59s/xBxCNskZhEZMNWb5Jy+lmkv/XzKYATYPk4z1vjfXlqP/5+s+YXesL/
j1FfEs21Zxfh2II6CzKP0b660aJ8Mi0lGtfNsaQmUsDs7GvXnjWMQTj6i6rZddYLWhCatrOqTYls
oquAxSLWGp2IpAYpt18+2AhbWTUdrt35UvfT0XjWs7exv/OJnjrafZGPEERtjMWB/TAWEzXu/v5j
XRfvH/Smt95BLqkKg6Div23UZYZXieIjWAxCvZhd/1Z2+BGLbPrZJ3pLs/zfnJ1Xc9xIlu+/yka/
YxYemTd25qG8YdEbkS8IUqLgvcenvz9oe++20CLrjiY6pkNdIiqZyDx58py/GSIrseOCpeSEV2O5
ccTj57/DB6fTXJLHSM0m1cyAaO9dZOF0V/j8uR9E+7nuoW02OVqbzE2rZARiXBgVl8KSwAH8nEDs
Dy7yr+Z/lj20oWqohcUeCHV/OaY3aXahmvdZ+1LHkiqjSwN53xoXVXbhxC9pdcWxnqVPhaIAdIsW
VDEpXcfLrPiatC9SuXOdp0B/xl7dHijY4qiBE3o1dS0VZHY8SjtZvMmKd4M+KU7Ytp5znD8E0aMV
rMAyLwQtm1BuNcSXnMJf1s5Jb7ZOd61SR1TfgvDG0r7K8Znq87L1r7T+erQnL7brpJSXSnnsw8sg
A3aQFTQZX3LqO3ZRXnupAS4SBI93i5yhKEc8drO73lRXefLYuocCfLY8eM0Z1vdHmPC51KMNKawO
GzSJJm0OLoMAn2jVoK059BT6bcCPcml5Go4b2SrnJmxSfJee/1vyc5Y6i5dVLzOlg+h17IuT5+66
c1Dqjxb5LFjqmWf6CviBY/Nd3OdnzvSPgpo6S5SGQMlEWwDXT9snC3tRoKCUx5aobpkezN+KclxT
bnpPW2mDvVDVEYdpOhKes8qrvR/tue139daKB4qGTDZdDcfST142flGD6kqaKWgD+0ak/gplwa1G
cbkP7L037hLPWPpJcDFQT46MiwRvlsA4x+z+aK5muOzajLt0jDRyggMKBN3vqdCYcxmttqKbXfo8
NrikGxecU0z5NUHFnGtoTWYDUZKwYlyLttw3iBM7u/y9s9CUM55HUHVNWaA9dwxGNBjWSXgmUf1o
0LP0SFMSGNc5z/W9ZClbKh2ASbrf804052pNKnYdidogWq59pTv6W7cNc66tVCl6WsU9XBHni3tv
v31+Rvx6qZlytt0j26uUFpjOpE1Shavq925cppxtd7urMrebZmD8Ml6eU/r49YFmytluTxohpekm
5HKy2JYSPDoYJEcFJiHq1e/Nx2zrmSEBpYuN/pi9NKv0/bceOhcrClFjVgPBYiu/FM6aKs7vPXZ2
oUnKwJFqRp4IipE2lzyjzfDBLM+linTLK5VO17nCGc3OAQCcePnSqYytEZ8T4P3oK2a7L9LR1hQg
cdGVpynx3to3IUb1MjqjXPTrVNcUs6SkUUPfULSa+Dl0F73XLmTcHQXlzEG/hszzW2m6ORcwCmOz
s/sI5Vw9AWa+k7W3+b33OtuTemG2zVBpcOofvXvl9xa2mG9IM6Nhq9IisDR3T1EfTvvno/0gkorZ
prRdD+nN6bYSRLsIkBP5Vean688f/kF4ErPtqEsshRPYjlO1tmv3g/F7szHXIsqH0KIyzhRX1WaY
8OKLz8f7wcqbSxEhYVDo6IcNWMIBCq4Rro/AzN0UQ7h2zfHMl3ywe+a6QLodCa8O+RLKohOug/6C
CerLqH7voJkLBBkWfiFehaaDXVTBwja1VQbc8PMJ+uCFOrOt6VlCixrBC7Vc1OBQfjiTNX/03Om/
/6XYKNATT4aBMevWqvuqhNvPh/vjd/77/cacO3madWfJSHb9UYUTNqAJGIJJ672LEHVWpf82ei2I
R3hFFVyNoVgpvQqFa2+DuVT1hU07K85Ac13ZugAADM2j8LdhbtD0TLbd+GCmw9TpP/pCXwKWnNRB
jdx/kIm5FoO9zUaqssZWs9sVBbOliYSGm75N7AglUoEqvIxcsnBzuLAR7OvH+GiqNVDNuwpod2DT
P0dNNnFeadGvNW5ZHqU+m5aLH6fbMe73el2ua/T9RLpSRvsi9oa9DPm4ebdoptYPo+ZtfJhJbXJd
oefvmrdCB5mQ6PBRHxCwA13w9vk0W84ULX41z7PwBFVY08hNO5S7a7i2j27/YIE3UgBQZuIuG5gf
96ULla0ujf0g600dlYehsulhHJx6oC/f7RLnlLool4NPNVEu7yWt8nzRim9TVSLKDqUDmUjPtpME
SW+sI2AAnnoAKrj1TAg7fDqMV0X0LdRfoT7AcLhPaRym5m6k99w3m94ExzJ6yBuuuiJZBeC8g+5r
Bu8LCaOlWVWLGLCw0/fwgHamFm4iuhsjoKSYRr31DddouzsazXMby20iuq3lUyQBoT28ZfpbiFNJ
3+1DcBnaVR1vFAnuhp5toS3LfN/r3ynTLzu7eYiq9CpX6uMQ0VRq6VRCUq6MbFkCKXPBmEQGGrDd
41CBlG6vByDzXsJMhJcOPTkIamCkUEELkN1XmtvKL8CAmbvYN5f9oNxmNZjPV00bFg2XzdzPNtEY
Pfb4f8fBYzb266w8GvYmU+nVo+fYaOXK4cMueRyxQu6s7kaBQV6Y/LAetCBkFXVlABhvBn3BNsjt
S3SwFn2+s/N6UVY3GGgs06BZG+bXuLiwBmsV2unS6LSntCqgKYJJZ1RtYLzZyLhjNbULJKrrXdts
1BFnazgpiV/d9kU+ob8Mq7od2nolYFI0urICt7Htg2tw006SrmMEyh1FW3ZBu29B4XtOvMRWcsyx
nfDHvQLByrzEYG8VA0eXVoRRhlhqDMHiqwuQLK0HFGtqMK51012ZbrnX3GrTdjZKp/KgQfWUbg+n
Kln7Tr1r6LXVgb+OAStEZb8t7O91626CQO5StDV13/iaekCnIWh5NGhFoq7tQF+l8d1QGpNEzNJW
kPYt48tY/xY41wNUBoqkS8ohQFMl/nnJUjjNvvat5TDxDkcXMNGXWOY3YkSTiQ6KtVDgIyjKSYb1
KafxW/TrxPwyYL87BhcO8nfNjovQNfWyKzF2F5q81fz33oOtqQFJyEG2W9myN+/VrjvIaEtFib6o
u7XAW/DVi97b0KVzpL2UYNCBBckKC4dTp6nAxVJAmMW6i8f7RkAIKoCNquYi5Y2Z6VPZP6msRKBR
PU0Ct3WXiZsBlUoWlacsywENEmxfRuksjO4J3eMq8JdRD8UkAZk6JpvOOKjAHOzaB85G1zIH7RtD
AnjNIgNa4b4IjYXvGPgkIvOXwGwsL4Kh36AChfTgOozuokQAHHhvDbHAoUarDkoKOZ06Ud/ywlt7
aaAXZKi3FqxriDvIh+vIZ1XWS5UlG59uhgjvk+G2UgGYe3LJywBjddRhDMsUvL1kHVOMrKMnJSlR
JjLgYui7uBM3niXvWucIfCsB9pwHhw5F87zf2KV9agjQTvVFieEERnBFg2ql5og1h6RWKG7RNgE9
G/vROq6/9Bb7swGmg+NIa7yj2LjUVQhYg7nKrdcCdGvdP9Z9ulUDh97rTSSQzRQ7wEFaHS0bH+/I
ifzYRodsvNI4wrTgqWpAxYev0jZ3eW4DNyx30lGpzrWLDCpnbLULRWXTQfi5spObLGIZ99ZCgOtX
5W6QJ9fBrq1yUIzOlm39IDTQm2DsV1nkv6thfPD8u4T+OntpOhA7CwCU82R2KSEyXY+19+TS7aqB
BScyOdnei/CAwrPgavBzHf4wiwHQUM4WVcVjCNIjxUIni8Zru1AfEjDxQwK9uE+Jy6F8SRQiot9H
5Tbu7ZVd98vSovZsldlz2dr7Vr0AlOqjFoPGA9RhFEjtdGMEx7p908pTEJ909Vl0/SbMOJV7mpLV
JJnbHXWTY//bUBf7Kje2UXgL1nA9uOmJG8DS5L3hBlNGd1aOJjM0wFqCr61pHrnJTnPkqdRPbflW
0JH3umWNeL1do2Po5etB7K2yXxTOQy1eqC2twqBdFfajlXw37Ls2fMY3bGVCJfFIOpr0zYHHMOK8
o1fOTRle5xV2Kd5dWD4mwYYdte1cnmbFwcmLhusOT7BAOUSdA5aOCAwGF23VJR0XiHigmqKwghMs
DlWqLrsE8EBShesmvHWz+tim8DTA4tjAvAuwmzaZCZcpW8pnd7hVoxQcLgAWz7/3xjuGsVIBHami
fTNa96JUbxTzoQu2NTVhqFR90O1j5eC41ITlKaKFlANin+RSksH52mScOO17BjcvGOJN0vQXtQPV
TbJ/iy+u1Pa9T5e1AtmpsFhjVYUv4y4smnSTpa0S9KTCHYnardWcU9D7QNPCnBsx+5gnuhBiuqMc
LutKWwXE5qqEGV58N7twm5Ja1QBdgjLFBAo6O/wB3H/Xnq0sOx/uW/B91JPbyOVwc+/KJFkllkee
p68ytmeYUXcU+7ppAV1BeA/qZekru7LJQIVLuJp3MgYZmmYbuwZUBTD485TLtD5KmWcXt6z2myj3
Wyq9LXjFGNY74jXFja83u0opVgHBGKbxrjO2RT5eCO25FN/AwC702F45WbvwR7iXELFyUB59aMHI
vsJhZDFCi+hGCKTKujCbI7DCoL8J83idIzlvR9dNCmk11I/VhCXMSVBp9dUmrHgnX8bpfaTd1Agf
jHW3EpmxVt1hxV31WwIJVUbjJvBQpaJpMNxgmL7JIHIG+w6eWFBfW6CYjAEPIvWhRZrRgUwSuqfY
/wqU1srbQ2ffhpxTYZeuPe6SonFOYQQijWq+S2YFgY0+QxZhk9hBna4OKAVpi6QIoJRvSij3Hd3p
ElAQ4WAsX8biiOYPmRB0ZSd7UhWkryklTjK0jXJhFd5tTeAaYAL01UYWJ2ldluWqDm70bNyp4X7g
vVewuVwPVLGS7QzdWwJOIy84uPnWjfd6Vy1t21+NhDPLAc8J2UKYgLO1fG2Kq5SgrBbNQq8zojiQ
T4hExqvZ3HbJrQ//jCpsNpWqg5scoByKGbKUmyAiARVbxYanZqgXQXw5Ki8cGSAyu5VB5pS3t0NI
n9TbqO5p5PAsizsxipWnb5V+0d061anox4U79VrUozfe6Om9o11bUbnG7Hhh0iQPmlPjfKngZcb7
nrBmky6DE1j8wMWjJxDx3sfgRSA2EUH7r+7c7lFVb3zvrS2PQfjkwq0OWAsJ68+wLnPvTZZwqXhw
eJ+VweR4Ta5BwBVQ92lp4a/geuLah4XTO+CWMUJbNxARy0S97+ObjL66g/MAQNu1SPS91LWNsN1b
TLnXkTxihCGicpPnwO91/aLO/H3K7ccFIp7FNsgpXo8caBcUj1n1krh3VfCgJfIASQhBQOPe7Zsv
ipofY7Z05nwd7f6mxfsT5wVs3lYpxmcV9acmuzdrIoQKkcHPDi7oTyNgAmBLB4p3B8BrWUETbVUO
geEmS1ysyvpF614OuHfmIN2KV1e7bfVsUULEkA76BeaDhUBtEsCWVaMLM39o423TfwmjYZU1B+TK
JqNQ0lZQWCaBUTNOKVvRyG9wHV6wyeDAw2PGuoHN/qqFtw3phcrblw/wu/AdqbvX0j0adIX1a8ol
pPtrHSBxPZ4s8yJo+60QcoUCSK0eB86PxHwJYTr08tEU7xqWfnaQrb02u3VM7yGFrB0gM4IGSo0M
/Kpxgcb7nEAR908Pbe8t/1GLEXUY/G2ifXXrYS160gBQ4cvS3Jn+dugKmOxHjSZmbHP3rZ6iMIMQ
HYGbayC1I8PQVg9CqY5qhmlM4dfcmW13N5JeZ031xUcg25YNHCx/a0qEDOgS2XAQ2xqcZ1KvPVgH
lVnc243co6l/2cHqdwZQrfEqsZFP0yDeaXLZYbETTlfxjlQI9n9jX1uQ/333cmLRIJ7iik3dS3pz
hHEPtjLCAsnobyA0FdwBuimZw1ZPKv3GB+6bev1KQJpwqkOgXujZY08BzYgHiCLjMnLJyOFyaLa4
zUd8Qqb3KYdt2u6qdj8dQnpcfA/MeBe6xhLK+VKUECLMu4ESQkK1SYGSNcbeCsIHkhX7oAEGbe/6
/lCF4soxE4i1wckwEMmNARUW9dr3tiGiK6JKbl3N3NYwYbyyuXRN44Bu2nbwgU51mL2V/W40xd5p
1GMVsx6JSAIh5s56VqD9uCkBqrr1APiX5UtbuhsnAd98j2dPPrgXQ+rcxVG30wTIQ4RwzhxnH9QP
ZoVCmEtMBpzp4wCxEF60X75//uAfyKVfVCbmUsWd1tqdqRf9UTT1A8Hs0kWmp7fJQw2EIfCIGsj/
RQLoU7wj10AOYi8hlx1HRbuKerFXq/HRF99D6V1K9/vng/qg5jpXOC5HWYCft5ENi81FRBI0QZS7
PFt9/vgfWJ5f/c6zrpsZibYtYlp6uWqs6lF96LxDqmNV1H0PlDuv0WjM77UOpHF96DgTmyG8jJ3L
4qz97g8/tV+NYNYhQKA8s1mD/IbUUUYY9vqQwAcp1iDJDm4nYV3gMpld9fgoBDCdK86qROeUSS/q
/AjUtUdVQejq79X67VnZ0ocIFkQ0xo++stW6hzE4U1/kdP31wrVnhUvHTuFvcF4dId8vCjx2qcbB
S9wBjbjj8gw5JD2SAGHlES9Tuv5p8LWIEarXVupY3WWcKKNvrgpIapwFaxOqdA9vIU65/t60+bPh
mRvLbjbmaB78vF37yrMJQjwzxJXMvnR5uxy8YJ0kj8XoLLsINly+r6oLd3hM62KFupGEEavVV2UY
LhNERUoKzYV7bYiDIJoS05a5fQHzryieIrWhvIa2DWZCPYQyonuVQQiKxqWTPyMVEruw2Q51iyK3
ugIF0iQOySM0eaV+8gmUPYyjPkumSsLSVarFpDJQNDlZxWvkkyxGAHUR0IhrmKG+ONV2v1dMEP2T
UsdaxBdSXUNiNUfoisWln+2rwV1alAh16hC9kexChLgirgVZDZle25t5tEDQDY5qNjyEdbYqG3/v
SIHS1rNjkLYH+6g45JTYsFoKvNex/55m3jGH6FP44KdhMaLQohtbq7uQyFVn+BrQIrsYx+CyDAJO
Y/J2TtVOC9krycrrYYB30Bm9rbvxLA21KYdXDfW1fw5N/ZRm342s2MViWMXNxO4/5P59UI7PUUfy
Y8MbtLU1V85lHnDiQNOr0vs2OunRCaAo4k5uuJHDm5Fo60ENb536XfpfTd1f5R3icYlD4SPkrhUt
Sl1d9ulOyW9rJ1+NRv69q9JdrYzc2Z4d8wiQHLprfZEYxho9Ey7y5hJVpUVrJ9cjZPIOvlHZ9psu
cykgxRcQ3n44jHt+/CwAFvhxhmful4gCcTPRKxFSdMaQMpJzTLRLfzzVZI/l4D1YytMQlkeZvjs+
rForWfVGsR7gFTSdvDR941B7xltgUIEAuCHVd6U14B5jq1VZyNbmGK0/hfC2UBdr8o1EXyNNzOvQ
Uc/0QT5o5tizM6WIwpYl43ZkHS1Vw7ve81eKAELiw44bzyEcPojlc11u1FpTHRGh7lhHDwk2w1Z1
IaG1fh7JP7jjzeW55ZhySSGTOmbqLvQwzOuHc/fHX8cta3ZEOJ4WmFR2u2NfnZr2jhPgzIM/6G7N
NXFtaWRd6lApb5CHaN0RZTBE5DA7TtVzx9sHzQZrFs0tJ42raLR4sTA58qjGQ9CmXHYIkSwJwgdf
3Q6pIM4ES2mKM836j17zLM6no6Y6w/Rrlf6r4UyZIZw+JAA+f88fTdqsZSwi30/GhvfsWSpO5Mde
ryGgIkLXffv8C37QDH5xIFs66+AvDbbQrUHSWgYnoD1MkXoflMFllJtvmkeRHmvegMhaa1+dtud6
G18m7hdRciWZnPAg3KGytGpyhMO8YRfl3GjV7E3ayb6Gb0nzblO22joM42NKNn1mxB+8ZXs2J6o9
eKqb97QaYRjaPm0FO7vo4rvIf+7yL15fo7LmPY9IcpmIfsgITR9HQdKsXigdqK4camcFGUlkKi2l
11T5GiIC//nYppf+i8m0Z5NZuaGGupyglgjukENkoD74+ZOt6bf7xaOtWVWn4B6sNSYroU7D68Qa
tkXirWXd7XV72GbQ0hQtX1RZvEK4HpUf1DjS7FFCENIoanvpToTdMrRftBAkZWYc6DYtXB9MarjM
nDcvJHJHd8UkVEJZU9NIM/AEVWEId2hBeRVyWiqSbm60q0S9NvznyH2NrHwNP26XD9FjNvS7CLhx
HFwbNPNTbFYb+eK65rKS2zRA+mHs38zevMU1miqBcWZWPtoes0g+RNL3CiT5j1qcUQSJlz2CwZi9
0cn9E7/+n1/7/+O9Z9f/PcXVv/6LP3/N8qEMPL+e/fFfp+BrmVXZ9/q/ph/7f3/t5x/61+VrC/E9
m/+dn36EJ//5zavX+vWnP8ArC+rhpnkvh1v46HH94/GMcfqb/78f/sf7j6fcD/n7P//4mjVpPT0N
Ec30jz8/2n/75x8TKuw///r4Pz+7fE34sW35/p7GrymR5L+f9j8/8v5a1f/8Q9G0f5iabupSqNLC
b0RjtXfvPz5y9H+gZqNqwtYoYen2FOzTrKz9f/4hjH9YjuGojiVUy4YDxkdV1kwfWfIfjtA0Cgw2
qBsDDMH/jO2n1/O/r+s/0ia5zoK0hoH1s9CzpWuOLVV1eo6paro2z78zux6kaiHcUfSooEya931E
c7NuqEHhFOIZirgYkiBTHCjHnXD3XWLYxaMr2iQ/c3edqQxPY3FMWuIMQ+VSb8wZU45lhfCEHe1U
6J6t03DBIa0+IG/VKQ914uT2Cf/samo/16HTxFCHizZ8CuJe3CPfTWlYAq7P9iC8lWELg8gQN0ie
BOMZjMXfpkwYpm7zQk1TGJYlZrizFq8Mt7eM+KRgBAx9XTboIPcypVWXmWmAW60WeOG2Q56QrFGz
ofNWVSmyp7+ssj/f5KdvjmE4msObA2POhE3B9S8nEqVeoomI41PiRUH6Vhpt6290I0GAy0jszNkg
qdRTu4FMkSODqLZxffDqPhNvn4/jB3Pif0OtpZuqbkuhW4ZQTQDTc16AG9ahbopOHpIIl07kdiAb
13RLmkSqxzzwRv2+DqKOjkkxTMKbKcIE+1C3aTa6SFqcuaL+ajiCdaRJ3dYNQ51DL3tpeW4XGs4h
T3QnvWk8wx8WWZv80L7tZTUJqI5d5PULqTgINdPuNJWqhUseZNFNVoXGOSeC+ZAMxzA0yzSkrVuW
qjvzha1YoQStSE3NlVIr0JpBb2XIpn595A1rlLNTzM4RmGunz+I2NqisFTUViI0ZlGj8LfWyrGv3
zGnwM2fE0i1bY/HQaTSkoans/58XUGwMVA5cw9k3dhVn1E29oqQCVnsWDMXKQzMFM1/AG9DBZWMl
4XerLpU2+vdGYTjgEx1VxyLdYeMTKX8eBdX5YEALrsWRPayjjaLXRX5QtNGjq4Q1zGXvs6YXpucr
YlsIuifn1svPGanFACRdXNXSdU032NezfWR1bueg6lliLlxo9akXY6zTjBusb6beqfHJN8Kqvi4D
nf/sRH396HtRTskpjVFqqBOtQYC7oviwVQkHQ7iK1X58HoEqj8vPN9rPpzfbi/PBRAfKZFmbvLEp
Lv1lwzsISmYVQsobL1dw79aqCKEXvfArKgBJHd+lTk7y+fl3/m3pCpuXIzSiscP6xafz5y+twQIr
TucjAJmNqqBEPwY2V+1Isa7wXO/GDROQeXetgKqyw6bejVF1sMxqUeuJC+7ozHBmsZc5IMjYeDVZ
mo26+Byb5+pU2TsjrjajrcorkTXkzY0WhMl+THqNI6H32xs7pxq8S3ywQzZa1jdJWGJT7QtnfO6S
yLUxzQztk16psUK7NIYNA6YQeSS/yw3U+9AjIVn2glo5E7H1n5NSdpyjCg2XbVs4hmbIeRyoDWWk
+qCNexTE/NR9cUpEfVEDUCuJTJDvKkFON14tzCgArhSONOZ8EzMAczHYTk4AiLhPhN9VJJ3UJVrN
2IMsO0XJMmBQiucTS/ReAYrq1Y5iv/p9L5DnEHAYBwr9ThG9JqHRTttZUkh6dVtEHV/rJvdqsfr8
Pf3iNWm6KnRdWmQulpzdjrWhMDuZVeUmchvR3lDBCaemTdBTLRr7Wn8cByoIV20+Btl3JFQzmJSR
sN4/H8WP2PGXk2laLURb9rZgDfN7zoZh1liSFMRVuIl6cOgjQ7tpOkPHYc5rC1TMkUFHOynG7Du/
iIM69FCQLb1yJXu377dJobjmd/BLFT22MyObBx1GZqlkdozOAlVpzKIeHMcmRMUwpw1itc0hrzoa
C15chIhqOLT40T2pgT7GhY+IdeT6TbGqLSvwNnFoxs69aWYuMmroced3cRZH1lWvCitCO1Em1Rlg
84+xzGaR0Az3hHSTPsL8QG3KIR4cZAw2eeUkD7WDoul6iCeioa8hnIDUkdasXLJVlLxGF81awx40
b6fnTaE9OYORTIhGhMhQiei6zVBZ/sbptKZH2EFDnswsRiTg+lCp9rU7Oq8Rchz9oU/oxXaOitB7
EYgGkBiopENAkovMV5v3SniSugMmBQUXr7hzjK4BkJmbfIOTZvyUFhpj/fr5a5vWy2wmhGU5/I//
I/zMMj/uUEqZC6vaYHE+BDdqFVPPjOsSXVSDl1fs8RUFWKYqycNvfLGwuCEYLGlqQLMoLDIvaeEj
bOo0ibisW1WxxX3d8zdqkhY0AAOMqUnQtfqcjMMvdrJwCFuqIy38WeaVfyfVa1cfif+JP1r9XRJa
zpPsy+R9pBwun6npePqq7nPEbRJSn3E5uGUcndkuv5h3gqXGL284nHtzGDzucJ4JtrzexIFaICvR
4NmzVCwN+aTc0rzuJpe2ACMcUa79tydeWtzbpjNXZe5nyQHqm3knRF5vNENr7E3Ruon7nZqiuYSa
ZXtISAmtyta5kOW5k/fnus103E8XPINJ56xH8Wl28mZR1OABJauNYzXIgnh21U/3Hw2sQ94kW6kq
NEFGvEOyjac5LmDFVgE8SlrgVtQ7VSbn358Lx2Lx6aZpkzvO8sWwwvol9buKOJCl1kUkZP4egzW9
KBAVz99pi9qHUfT+uQrWLE9lIrihSpX8DKEwhxD08+IfcxSYS4szH4ZjJ1YDALd7FL6q+y4vlGIZ
dUUe020GWLLwGhsl1M9/7fm19Mf3awYZEBtAJ3+f7fpg1IKS3j/izEhAyYYqUYGQX+QEDurIaK5p
aqQi5RrquTUsC2EpV1lfRcesq8fuQP/OuGpr4FM0hIoSot1Qtfbm8yH+fX9M02PyjxCCf81GSBu5
yRXXZ4QYGiFnGNli+DL2moLloquBqOwiA+quaMszG/NXc8NVndqtQ3yggjFbE2biO40cYIPnRlfc
N17tQxFgM7lLW4MtvkrNtH+KZG1goxLG9rGRdoqpAXJOKtLHgOoGLbP8C3BH/qvetK44c3j9In+V
U/LKyMjsuZ/ODloAXuNoohi0qYMx+toaPjAda0ijbj3oiWovA0sPnwNe/K2BXQuq9QITQEMDAnhm
qv4eSAkkuuNoNhUgQvhsIDpibnmeJyXSSbavsJYTBEgXcYZqYaoj97QaOkulIF6EVZcfkCD08TdR
PeP286Uyo1VPYYXc2dSmC9+0WuZhReYheBWpFJsG56OE9mSDKGjYxnigdDJpxcqp3PYtK5CSA+2K
u0kakQdtBiCqp6ink7VlzacPXaI5zbmQN83Bz+erdExbNbgRCuFwJ/x5p/tZggyXhTcL2YhtrP2W
rqaiDuVloaoeJHQreWjqMH2ApDjkwMbqUl94UJm2GjCn9zIohnOyJLMGPNPF1VBqhmVw5zApx82G
1KuISvct0yW6ipYnvE64H7Iy45WlGR6mgj0S8Q1QqTd4kz1eLzay5Latck9OkywUpHA109cSnJFZ
R2yIu2wa4qYSZX65nHiym6bR5Tnmrfa304OD0nZ+vGnbooI4O7j0AfMszoN4A0svN8KVk3RJ8NBo
TeKviKWDc1v3fd5/qw0vjV7LLhT+dQoQu3y2Ig2OuJ4YCtatZxbf30dFHm5zgVKn+p4xL52ZOW6J
hg1AtwKmRLehr+KGa42iFyK40t0YP6qmqWBmLDGpL8bHOMPh+3bsGte21k6SjSHShqaZZnefD+yH
8s9PK4+CKietSnyXGizaWRxLbX9sHVN115aSljnqi9xdqXwaHiJH0aJ3WsvcZfrgj92ixTsxek1V
vaNaM3gJ3ZsmB1n9Gqo596kwUqNLfg7V3VyrrfoiD7rOPAwAUxHrc5U+7HemrEL1m22Lgq8qKtEr
5xqefzsRhGZQTeHANBzbZjf9vJOGUQYUb1WJwjKP32R0p7KjAiSzXEeiKwOcblwDtgaC0ll6/Hwy
5fxUMJlDZ6qkaIQZEgZ1NpuuXvYGwSTcDnnRh/Kqj6qRyZKd0vOvkDtWpix7hEzb/iUwWtNp9xHH
AYqcwximV3aBMdFz9+PGGhoVN17fbDvWCa4/UzUKIynkFtHH62GO7NQcz51mq1pqg7yjHhG7H/u0
z8LvhpMr8b2nZqP1HBacx6jQGi38MNOzQ8EA1AIUjZZwFXPvkrF13Xqp5l46PhoD35DRFItNXk01
hhIFwCTMSjRg7ajmscvIRN22RqpXDvyVLslUSDgYVRawm9QmjPjxYSgjrtbEy+mrXWsM+JNIC7cS
q8SR02LSuFc1ch3IeFo6fgIrE6Aw/Eax6kMT25UVTbqqCrZeqOQsFir4qd3fJi2t1B4RB7UdXpqk
GuonDalqLT2YNmU0gngLVmNY96pduMbWbRUl7JeekDogDSL5/2XuvHor59Ur/IsYqJfL7O5eZmzP
zI3gKZ9EFVKiOn99Ho0dpAAJkLscHOAcY+xdKJaX610lIH+i8Dq+Bp6o/na5LETVl7uwghWvD+OU
bv/WVsgK700oadQeRq53bnhJmibt7VUVDDbOTzGDTZyVwBB+9p9E6uf43ZTdsIJutlGQZfh0iiBs
w+35SG52N7PwWGGPDrSyHGngx6eVHRPJxdt5icE8y2UMQxiU3Ls9sbd0iu1rtgIqxfuEIDBUQaUK
e1YnPqi04K6ZRjVpGs5CjsN7KHEzgIscelxNsTwlQAI6qB59Jl4BJsPQL37pMOaOCEoGtvAWS192
MRhF4YoylBYuUN6zwquoLf9J87LkObWfa1/PBQ+96puGIclUty3gz5/0aicGKJZrw7ePvC7Vr17u
1eFz0vu1fZ1aZYb7FMHwPxGtgf6lRnPUvstJOctt6y7NiDOH6caMdDOsOAO6kyRn8CzHSmxviq83
xxTOLET7BV3YiSd3lRtivHTr9rQMRtfVu1srJ3yJPGCfUyux5ziMCpN50pbqko+Mbez2yQuUl/o9
1pmCt2DKipLjqfVmerHnQThun+3K0dL+g5sTJ6yKQTvbPh0MORAZiQJ5F92nqZWIET1yB0Goqzn3
vfTaCVQ6IB3RaQYDSoYGA82mqWt9sw5upElYyuK5f5zCcorUEU+/IXF2eTpBJ+kmMSQZvVn2CoQA
aSimc25Cn12hcAHXCc5QnCxEIjVGv7qIrqEFDZodaNdLgjHwOPas9n9YLbaPXLKWKHoXTRSYJVpr
mpvxmssS3/FE7pxmaTncvqZnp25z9ngVwtR6bZNBMdazrZkHnoNqfD0EHZMHpCYItduSoSEtU7D2
WFrtCd+ivPWPMhrQJsEBTLV8tm22HSEQFMn+w/l9YLKRe6aYbGGGmESeq2lRDGcv6Lr/87HK/GHa
/ijg8sy69WxKSsYXixKQ/CJg1bZ6H5uy4HOGhVxZK2wx20OXyPC2bU0b5mppSr/85pLN111SGwTT
j4mtzzeHYtZ1eimDRUJZmrwGcLTixJtRGCaJ98dZphIO85Lj6YrRadiyd6LTSiBLyWqIYIC1zbSd
dnOeiGQ/lqClTymEd/naeqNTbX700kP+VoClrphr6bX8wg44oadbfcu/xJVvy3KjRnn6Nuu4A2HP
+fGcbNjSjiGXYnLY2huSXqbnjy8siyomQzKU7pzejQiO6P/VQTv+igc0eni75zJ2D3AyaAz29aoW
xFKdbq06unM7QgbMmUO/tXE7cecaoyp1om2YmKehT+sSCeYSFVsw3qjhPo9W3FTDmBMZkNQlbLkp
p212bwCY6WVlWTWQ2lgLMYtdiB4mfw1y4/GBs7IBkv5cEn4W8qA+EVXGT3li5yqMcF9IHdlC1mxh
DLat+JBv62geRhTOHWRWfsh0vjVXxjzejkoyYjCqGWJpqncflwum4aLGLryCBRiu0ynLRJM+D10A
IW4H8LvwTOlHbH2kec7If9k1IfbjNYJpwPGRjcUOEaB53GksXicpMZeOVHdlFuO6sAFrkJueaZLg
YJuiiEYiO5d0ffdFJLc9DlqIxzGHLp7q7KDSoK9BUT8ONooLOFbnAsNcuDBDaNzise6WbP5pbb+d
15+1UuBm23b9eZZXdZlRYCoxb+uoWFef12ftb/j05/FbFnorFD4PCS8Lc5amcYOtXPoovMIh2s6r
SfkdfxYP0baJNyMt9mznWHc7i8sOa1JMkGfCzhCCZLnkcdVDVm5DFcTb0v889bTvyYyIwQVVsvfv
TbGIMBDeIY4Wg2JgVbMX7x1G3aIt+2jK1Wr++8qDt62oVC/bfMjDdWv0KdxwGcuydihihmbOealQ
1TynvYlKlmwYFQR2Pa9OZmvzUoqsw+lrdirdnQpXV0jcTIAHECBoInJ22+CjLqU/vvCFkdClSOh7
1mDiEyLHzxo7+86wQSwi0PxBTHOEM8QZQpqMe4ckSaaS+3H0VXGzzRvqmm3pSUU4yXKcvOpvI+Hj
HeLKIa74EK+ADg5Gt/V2gIY52WXOGY1Gm3MzjPR2PDVdGHXDS+UZ0davBjIpw5BmUjjlj8LLtlGH
YwufpN2jrcbWgnu4XWfj3o+Nlxj2xmnYprmv3e1Y7hVM5/akfdXwK+tUYVl0dKp0+xZU1DUD2TKl
UWo6k2/dR6+rG1O+W9X5xn3IVVgxFFpOoSMIvpsFr67ImXGo/STeT2TCMlLkxmzvX9SEy/6QIkKT
9fpZFriyksPPtl+T8WUVvs9iDLKCbM+lrLmS7oNm2LZhWcTQZxE6BltN6G8MiWEfFYFPB0eWBce+
HPXAIA9rVPE4PmsPSaw2v9+5wfYlmyKlIv4ymy6ank3S5TxMFNpk7jJXthfMTIP/7004jppFBJtA
LJRWyI17L6KjzoahgwC5iJ9usyJ01NYslp2/fbTPl4gbil19ZdpB89FCH9a1t1+LvmGJiK7QvIyr
ZRAncKPLzkx3+mM+q15vjy5PnW0VfRJC2qKJ+Fh+41MH+HL6+3awIXjJCuiDdknYaUUyXF+YzjtQ
4efQq5kh29csazP0RM+WI4ruus7RNiO9kZVDvKsv4vyeul/L13gSRn1Liyzp/sQp77cf8aQm3yON
+1Z9C9raoa/flZiBlDibNaadLu7S4jUQNnXY4+weUHkeSlo91VtZOJ1BQtJIC8el6IA5iYfr+3R8
RD9r17dOab+BZW5ITpngu1UeZdjU8WT8u2KouHbsqjTUEn2fXklkPDKhk6J+WXLSNuoXggKbLtqv
cGfG5RBX2UL8bzdOzXLsFppMUNwgjGCQUdVMqEdeNwS6KIYaaZ8cimkwSHY8SwwNY1PF7u0wJbps
nxNIOVhrpk49hcNDkCKoGM8tgj2XzU7m4ZPrAlgNlyrtt/d3cpwwymMn9PZTULttcMmqtWrEkYCq
sXlo+0k6yWXphqS310m8DsqnG2gL9Jq2N5XMMC+wQeee6IJmK2ekQv57ISbG4bMVnYICIBG3W5fu
T+MXSpg7wj62jY+4zq3G5vc5wLOPqvlzy26ll0KLobYROM2pKNr2eNo5KcktA2Yo5XvftyEGEE3W
dzlhJlyHmi9ls7ZOweZc5+GuCPswJY6wQpyzm8c6jgaYc9ZtVvwi6hkLAhE7NT71og1b9FGxnIfk
LbEu8yaSmSF7NYCyG955IdFjOEdos13b/I9Drlw4Z4i+K9eVr+B//ArkvCCpyHazAqt/ms7bpYwL
SM+W8XE3DY3aXivoHXquRoWs3lItvl0es2wJ+hOTNuVIZ6JQTNq/15MyLf+eCzV/A8PX3856fwUW
IQ7O3266XpBvp3fEtoZOIV2JM1pOAL9ZKe8/twtawIoTYWzbbden8MuMSwABXczC3PZN7w3ymXti
NiEcroJSmX3lyq3qNzGR4Otx7cVWY5ZJsx3AcZKzUtmvYnb2Yg69bPiRrREpg4cIvzw+2GY5xsf8
5Kc4keaa5efJtuEl8xhzZvSTwzdM23FiTD3Vbq3qshGtmk7VGJSmukRRW6wJhumQSggccEjh8we/
83jWI8PGrsGsCZ2sIjAgdNuFnvznMa6icrO3WMPo77h8XGNE3+dut4uiqFcH0xP0tKdDNLCzOTZl
lpEPlFr+yteQuC7ex7YsqVu5IH0UzkOeAtkY4W/MF5U6237WfGx5Q1Gn1DOfh2vWCskDIURb1Jse
sgFR2eksscxhlAhb5SOHbNvzfHQHjLKX5NumOnyU63nWbNdBTbdmu1CsHlfEpvA3qMFdlu2kS0aU
aeaS9O5WaDmdZ43GbkSkxc2MYGz1fqyYocxkPDHAy3xghiTpFyfoBp0fFBZo+Z8xJ5vrSzqtXXWx
shDEpE0lagGcv5g/DWFrRRes+xyIwjUXILoq+QNM4HztyM9cfhBrvvGgMKl1ynPQEF945U05Gpg2
qxoCWSPrW1ysBx8vC21sJ85o18NFXq8AzZ08mEpvLildKZzvROeQueNNhSeJW8Y6KCedxR17g5Zl
rkb9LJvORiW5YL5MLuDeQnKQ2XVFC6mX4N3N6sW7Eqhvyp/l4Ll0Eyw5Jspf0k5dD7XFusAOeKl/
aejIZQ+EKG3rsld5yaAvHQXeP9jPl+hWoz5R1SGAnBNxZ6mrNrysqOTNQHB26yjotwNnurzbrmbZ
2YGSrBQYGSNH8RhHtHl9+o1ufRsW5Nv+/LxxfVbZlAFb1fMBEnzcV4SfbQduMBbcKvO0pYCPfS7v
Crn4CIGOVEAVMyn7j4t6zvfVKKK3+b981FDex6paVgvcSKpQxfSQkC+r948rd5XZrdT8rHM/l0Qc
YoGjrjun2eai8IfO+Q5s0P7splXGdFiC7bmfLHIiMtlCYtS3lDRYTxObtpcwww6oRT/Lka20lmW3
7RZIBEx5OwCRlQ/aSwqUSI1wdHMdTzYiN37Nl23LANPd7kGCCwJvnwbtwuKv0PBul5nM4SrZdhXx
lQdndFPUuU3GE9ZYUbcZa6aSo5v/w75Us3XZdnVTBNKLRDrErWyuv7KkItK/oDoaB8UP5hXDVRaQ
6HLPAyRGNq80bvEoi33rAJ9EnXWOsC+X/o+fpmP/h1piLH8WSdeVr5hiOEzD3qxD+XMoyS8i2SyG
xVRxXkQGc5fROtt9Sq7zxvCyyqr1Rzs3G/y1KN1Gf0ooJLIkIaWZto1xdbZN0MmJZSVArJ0cuOUf
4FFML1+TYKRgOKI3Fu02HKpbHDZSQ8VAbUQgLj9MfWKi+4HIBH5YXLRaoIgfexgrLgGeKPoJSyNH
uh3hNpgwZynxTaERdfPY0YrkgUUf59Do+A0fp/4o543jb7eNbI237St1LbVoiDsRj6xlSQQW2fhf
aAsbrI7jpNII/IA13RAYJJq9MTLnNXTgCAKaJq13q0K9TT7ZOZrn3YxU1NnO6/0N0OiiFnfVQ0Zn
D/PgJfankcTtcMmYmMsndQkQGLuuXjQrk0djk5CiHhvTiqjV9QMDaBwFYuK6KZdo0S2snwxj6AR7
HcwMh6tkmCbnzbYSxB1GI2ZKsWwRMu+Smhrrax644/T180x1VPsXPJ0heq7HLM7a9WdGZKSL1xK0
tW3Q8nVkrGf6InxtSu5tmLJiEezMwmGVY1uU4yK15wjcTk3jeiu67NIPAIP3sfAaBsORxkUw0VdL
PeKNn/ro9viDUVn0TB/EKpqxW6UBAFGxOZhPLA8clsphGOJtE/m8LOZT1nOlaBBNW2glak6WkCSz
aWECYwqDfiHufEJ+jlC8MrYTgzxjQ4fyHkTsIr125rng4xqFA2nuOslx/ZrK7X9UovlMgHldiKXv
WhUNj85A4OAr5CLaCvxGKp67JF6IH0ShQq4AMpZTM3T79QOpkdUU+7eMu27v6wG874+VNVl3HNiL
Ra/mzRPq7RTPGO/tb0fh/yQq+Kob/vvf1QL/RV9w/qM3Sn7/v/7S/yhO+H8oPKBN9p9aL5uw4b8o
D/5VDe/m1yB/QWP6D+nB3z/60B785Wh8ag3+/v9PcYGInH+h0YVXMSQhl/7Nf1IXiCT8FyeEhA8V
34vpe/Jv/wd9get4f9l+/9Fci9A2uClt3RSucRAhW/hv7aB2dSqvLRPU0cW41r3xmuuqcgnPcZvr
3DeZ50JUxIRjbppmGlC7gec6j1kQuuIpElzx4g51qWkM+XNd1QTeUVe534s7FiYCJ3KbU4q663gt
bZDdO3IJlmEHC5xL1q5f9eCfTT3ZYKHxE+Jwi9c1DKLpmvAk1RT3my0o0sBAmTXh0jhinG5mMQQP
eljIS24RKxHilTqFeykLs5rfTj9MAFBNkK6/hmBCEZnnw9rQRLcGI64GYPDcLrVt9DWIf162JD/2
goCyDLTVuay0/t2FYzkD/UU+XAIBAO77AxdOIo6IrkpDixvh1FX37TD28rqX4LT4XALF6V/9AqHu
zeole+bh4UExk8+KWMmdveIuozCb3zaI8OgmeY5d0gwzZcrXFJ+7mA7SUzqF7QvvoN7TtGvvF1Hg
TgZuXDT7yMsifQmzeL3uXevnOwWhvTgDME+/ay53eO41RfTY2yzUzW7F4bi8DawAzoY4NX0b0rq7
orO63SSj4L0acIqc5RoV3m71N1OAxtFUaLlwSH923ddpmsx6lHRd13hv6B+sFwaL5soykKelnM2D
sJpQoVGpBOimC6PfOIvXwzCugpg3gthvlnQkUFtYYnFPc99kh7bS6pRBk6YMyENusGXYD/a8CGjg
HlF3zJ/X3lpR/tPjo1PgACW4AgB9y/hB1MVCmJcj4m5vfPQ6V5EsMeRaGz9Pb0zidRVFYNAQ0+li
8iQx21rxPbmZvIAknyVKv0yjwxFXctPZ9Jrwg7qI7K9x3uz5vQQG5IryMaGcJ85wrh43+GveOWzH
P5IO8caivTLYuzmotA00QJkjQm7AS+XF/QELLmJxM7gEFZzKKw4c8+b1wCzU56thx++c4qVJ+vkR
6gQ6tRBu7VdrFtTBojUD4m2Xe9kxRF46PakwrvbW03P/0K0+j/MoPPQk2dEndLk4KiK4Lv2aY1I2
+Euzr11/cG9dA45QWJQMd1NTEzgalRAdbuCHrP6NNLGJjjBbcoxyoCKlKKErUScDGZRAYGpv5KRf
I92o6b1xa//kFI69ZPMaFtejKFy7V9Sk3h9WcHPM1ZJdQzXsxW2R6aC/BPTWUGE7fZaQnbR5fMVN
VDwuRbUcOpP5xz72exJlB9seuzaY/syh9t9oUDUXLxzEt2kcq2zvZTCqd9Ok6zsiE+svaRuQmIoq
zD1kKWF0MNx7JueIp9whTm3/UBUQUVCsqmDee2MWKAhmLVpFQnHwCaGtH6bHdJzpn8aZyi0SjhJj
KCV7/ziO6PDtPLfHCct81v7oV8ld0Lq58+QQNYY/XVjH+a/I981b7Zd1e5PoLlkudAH66rSKmBTP
sZB+cShsYQkiUNpFMCO87BbTh/puShL57M6LfuumXL8Mqze/rdWaErMI6InrJOZAvvGqCNsEXbgl
p3hA7aA0gWVu5WTXdlqCM5V8/jjVsYcJ6NiTTky9oGtyC2fBnYkeK+yX8g7eGWZ5U5mau35Kp7dk
1vwHgy6EPhhgTthIgQVaJsQa3+N4k03kV0fQDsYpvuuLPukO0J2UPk+e3427cYUMPo2WwLsE7toe
0UB+jw9MUx8qHRCk3grl/TCBndIjZry4G7qkEqd7GrvtwzRZBPk94dpH0SzU/hUQPts9x+IhxXMz
vpu7KUSgxvaN9QH9hAOwjgf413kIJYRLS2mB3x1+B4MtH4kFwcghqyKXu5Fe3BAPA3wqb0W2NF8I
MO1vS0M6l47T6lSDu5KdWYfuc9EVwYMSefaqMnji/9hmSLD/UejpdiuSU5qbRbyStuytRBiEWD1R
Mts1JENSN3IZubnTm8te+8bHADJAg9c9dlB/OxBN0+vTPHvD/AS/p4wunpqnM/EeIa1NuOF73mN2
uHU0dDKjpuwuqiDy1lVbuLSvXBpY4SQC/CeJ4yP+1IOYudLejOUzJoDiBscDVX3P2J+uRUYrFddO
HeNjgdX0U0TcHHkAPlmfk7M6T/SDIpTgYxg8pbFgJ0/aNf+OPmJ+gVfgxQAiXW3/9L0bfqNbh/tY
7y0Oj7muSUBmMeVVmjQEUcR+BeBU0Aok3GONd+XQlw9tWLfOMVvK4i4fAxzgRDTNKR2IeGhxR7TK
v6RdjXS/1/Ewb4HdBcG0Qz/onx2SJd5iaDh9vaqEbQ5U5V4AosiKJUjaq3cp/9a6WJmFRYIxh1ty
vPcoU2p3V+aLbNKvaTeSiQ3sQQisiYNa4yZG0jVaQk/t+Wgmw6XYhz5yHcchFqFSY06S1UK1Jwxw
ej4RKslDpFqs5GgNOc12gfDJYHELsucR7dnTOLBFAIm7mAAFXUNKJrxc94S12nSd9P3iMVYiyq/y
0SkgE3tD4/yc6WlX3UE1HND7rC4yPCfq0X1cGmfLsurzeH6gZlrZ/soaG+WB0cprSc1Thn74jjAz
SM6FHkknBiBF6rE567kXXxmp9lNaMTYVB6Gi47OI+gWsNQWmFs7Y74c5K/cBTNb0hDq1uhdzU5Pd
265dxJeiFbM3mazUlbs5wmBZxyCcOXLnK9H5ekNfg+DImcRjSus8h/MyhImmJwBoSk5Mlg5XbWhd
b9eFS/BLudbklzxODWrkch2m5xG4qb6DkFeRRs62t/MBE5eLcnysUXRSe09e0bZ4RIwpO7ergvLN
Y51jChtw0r4AdTtfndby0cYySF8cY5m9MXyX56KQyQ94IuJ76cu0vcsm4p8eCraqfR0MMwSPpizJ
cre2kkc41dNjN9uGwxi1EbSTGLbvW4XC5ie5GUG0x8EMWHWtsjy4HYU3qpsEv6NhNxloKhgjOhFZ
pbnwf/NK6Q7ivFTPiQ675bzEAGtAcEHwTc/GcSb8i8C6Dq0zq/oY4pq2HAilXq/gYYQwJDD2qfZF
6PuAHOmMdaVILeauPqfcj3aMy+0amC/iNDtiaZ4nf8jrXdQkC4E9hEv+thCCv8ELYock6BznGKAY
AnziGt7jzkCbf4KXOIfnvgB0fVnLIWuPfWhTpm8L6+mUwXGsT+Vs0lse8TDu4IhEF8OierKi9d6X
CP/Jo5yQ9O5B98ywBzPv+HwCB9dDOCvSQA3SMMnEj9nCJayE6Jhg+O1T5yIxvDbRgjkxfrSpvjFO
54vu7FtrI+xl0jnT5xpeSn+Iy2j+uo5B9buPaX/t46UW9MFgVWKaWCR2Dy26pQQH9f8yeYNwr9WC
iupQOQ7WkSRe404MLdfx71cLzRCpRNHRyAB8udN1HnNop9y+6SUE+n00VUQNwtcn9Nf1MOarTD48
hqoosuuB9sJ5pX/8bJg9OLiHCJPfu4HOEkkRY6KOImIzB9EbbfdUg52ySdqlwnh58pIujaCB++FL
Z+eeEPDQFDd9mMfJforqlUDCdIHFkBkSRTEwSuafmULmcL2knq/2bafwURv1lL4MBRIuejTKA5wU
uU/IcK6wUrWCAC13ngqsgsou6vYz9/RkF3EkQYbKw6AiRcmRlxUP7uW6luN8zvywjYMd1oGVwiB5
shBDezzylLDJVadcB51s4AB9h4R4OKcuYMfncUzhbVaXbsi08OYKYYRs/5F1hUx8XqPwK3nMEbkC
aZvfl+Poy++RsC70tUB5yzEJW3LUq9bGSHGTuSuukZkkP9EwajCwMMuu47opiUw1Q5sfOZVxtsQb
vvjhKzWLG45dH5/v3MT9YwLy98dwRVQ7iucRFTv3hKu4Q6V041iRvy+6LW7sZCJUgELIk9JBMUHX
mOUd184OB+yFI1sDabEsVqKp5VUNrym49WboRjdrCcxzwMdH/G69YvSvkzF3qp9BbdT02wHcH3dl
a3w8rmmTUnHOUfNzLef1XHRTfTMZX15HdVFQqOX5z7jaEL+hb8I3f0mG4Fg6ongVsY0mXkU3T9Ek
41e+s2NoALEf7GSbdit7Uz+RDdzQGNx1ONK+TM7gYe0ZDml8ZFeSGFYL0/h3birC9RTLpe5eZz/q
5VfY3TBaIhSe1fPigBNdQ3qX9M51zp1vr2xSbTaVs+PczQvz4dgufT7SiOuo7yIOs29+ieT+HETB
+jVQ1nGOrStmKDEmKad7byEobPQY5CPqc28osTO1a3620gsX3KricvkzO0MbvixR5fVn2IIg+kNI
z2TFInS0sfOK0YH30kzReNU4ZLW/Bp2wBxN5w3ef8yl5Kg0pg7spCWfmNPJQEkExZd9lbtJhGz5o
ac56pg16lcd+J8C62mCPmqh5WKK8ugDNJ2cJlwz//gLT4aHK7twlw7Qjq9xX4TSYIHo9vJ1drDrU
ZOM49buSzm9+COMGtUfE9e0xshFdDSOtv/nKBLRDsMeqLPnCC1bwXdU7+TEqcTem1h2/U4YS7DZG
tb7QdF9vh4EqCN17E6Y5Z5cXn6iepYtWxETxPsP0oSOsu2VFK3rM9VvBXFB3m7IJo/6eK+8lbSzF
BQJhXLcz6J6nug2QXY1zhFghCECkVb9cNSKpfmlq/kOGF+uXxVGZc18uUX+MZRo9LLPb3QXuoLhA
LHiPgcQ6Pv7UTpO9JziDTJTLef+gIxK3ijGR6jrUwXI/u3oZv2t/za/DMumuPdSAxU2S9NPNWPf2
t/XrOD4Oq9vcI9OazkuatwRuYx7Vw9gD9zlgQmmfcXnCVW9XyHRFlbsMX6qlxODXgwWDBa2yaFgH
uDC/CRuAYe/HqP16o/Hlbyunm7k+xulLlHn5F7y7m70PhQ5UxqKQgFNtxvw8Qml8D8XqfhFz4L7K
VeT73Fhhj7UuhrNOvEmSMFDMlLadR1Hmlfa+XxRP1CYkKPRetdEeoZRQr9VbKpaJZvxlITDTVUH3
9LAik8ZWwsj0EMtBnHjDHufigiyF1IId3I7eGGZ7aQI1Mkvg0ey5RLh7WZqJRE9X0ioAJkc6jtK3
+haWsHDOTtIapGuS2v/J7ahiH7lUJ9kfRQvrWz6D1+7gKTfXSMX0MzzlceZK3rWguH0+qAft5hiC
lUudekdvcJxr2/iOOVMLtL9cGNrxN/Joo+hQjkkU3Iq8brerqneHkHjE/74owh8ddNirZJ0IxA4G
2XxTKeqKa+PiTOTJMH1KPPI492OF8U1iPdL+qnXR4SXvBZJVK+fxJlyzgsGedRRcZagvv9kghk/Y
Gpk95nZcYrp9PTeejXdPhcyJf7HplLwsKYvr2M/BWt9UZAZMV2qNRXwoPUHYOBYbd34kMsQdnX8f
yHn6BacRU34NpnTMhzQ/g0/nb3mbOVg1ezMhGb6bL7f5RsMdjNZ2Xy9r+KWZPXOgE7b0u3SUbX9P
SRyfOO9T96yj3GLAGufNSSLty6lMg8U8OVCMuoMdjZBf6hJLXYjaYg5n7nYFsb67LgrHq6JXw0Mx
giaMECKLL5LGBU3dufDfMc3BzHeSiYfLHVrSa1etyRffofZhtZRnQqaqqyCPs6dQJMmj48NDg6o6
NtFFOFUFiQ6ZXxqWqgU4QOC3rLp6EbZoLk0ztlgD5Vx6MfiI/ZVzOe5w5k1q93WI4tm7aXtgYDaL
ALpt7s/D1chW1eBAu8ERWI1j8bdok2Znzsr0C9wEAomxrNI0ucfaPmVDUf4QWch+u8ENdyarufyn
gcYlVQwp+iknEtNFQOBjuOZEfKekUs1VFKXqd8thdqgVrY/d5JGtDvHcwPjbZOm7FRSSyiHVZEYq
B0tn4ET3riizKTx2NJdoxwXQl81LPNTt+FBZsdh/tJ6Xx4RTab0v7QoaFtFDxaLdV/c2EwUOeMgu
MOEu5uCworztjkgFZVUebBPN5lgY9qj7uPShcJDmU9+1Q9ioF7+QJGtG/jLiCMUmhadXjCgmoaMv
IjBfLzJ/WtU4P2BmJcWpNQ4Ou0XQu/iE1FXlpU+2d2FgiQzR0KNugwGN85phzVBxyd0FtghfVxnF
94g0sJ824eS0WAILpfbJ2qOAa9qk2LvoWvY+KOXvEpSlIlOC++9ppgtZ7nSZIqyEVnaJvFytJwlK
/cBSXl9ooM7PQ5aDBOApgjdA0mIZKGFDkQDRanxqVVIEQHEVWqNMTPmxVH7wbYkJyqHduu2CUT8u
e3dlghyhmFfJpW1ntHgLOBSxOJKldpDFXH/rco/EgEkkw6NP9+ulqKEmknCVBNVVAm0l3Xc00L82
xWT63bIiGzgY66JANKaJpltZ4JhJV9T5gd+cDDA7VuV4WXtY6S+rS37P1CbNt1k7UC8KyKM4XToU
q8Zfr9F2hOBJ3Ty+FOvAnjk6nbMe/S5JLhJncnXQWY8ZMNup0k9ZJVJoBmsRV08BFEX/CFmSzRvO
QIKqAriFsAv4UuwCdfvgVe18bqA2YWKOnYggOelQQgPGJgx3SYjRKfjShKBhBwYSXmThIrVfwcLx
jmzj6vfYNd4JMK041yVciMQfxK0ah+UyqTG8iowbPkw6dX4QfzPd8r3ah8L3xGVCQH1TauXBZihc
MZ7pC4Z/aM1hVlpPw3oZ16g9r+g9/sg+CV6qTRd/B711mXb9vGZvZVOrp1yJ8pINKHl2WWr6a7f3
s2qfe/iA7xxI380O2URM4IiQAAp+7W1ulUuR/EKCEPzsKlT2PvDsVUcuBZnkqyxPPrFlrxLe1+bM
PE9DeXIjSwo5YDzLKNbuk8lgnaPMsjq4xlUppKOtxng5pkq6SFmGsr/Qqna7Q5qsJDN5kG/80+C1
Xn2ug0n34AA0ig+1KGChRLA8qe3doEhvstWP3tS/cXRmS3LiWBh+IiJYxHabSa61L7arfENUl20E
YhEgsT39fDk3EzHudtuVCdI5/xrlDvU7YpuB/vzKubdV0Md/ARqbkRs0oX4GbWFOQoyyQM8Dpxmx
a3N6mhdm3sBZ9GPR1yEqF+ar+UjQGZnwdI5sUAci6qFanJ5XzkbFy1RZ49Pk0E7zYds0GYSqMD5w
e+LXz91q7Qd6m+K97JE9c2xJiIhwmJMoC73VpxddQmsnE0Pfst+0oGanrGVZPk/eHL/QAmyHR6Gb
Jtxhe5AuriU//9hCjJbXKK6Sh6nq/WcQdr4CmPozYkjRZ74XUHvS5cK/hqWu9Gcs6+TLhnH9kNdd
fAiV6j9StF5kW6cJE+rmTMnZCxqisRGIuM1xmm+wpTvOc3vmoHHuVxwp7c6ryREnjVaqp2hL6pd6
kWt7dWhGF8Sp6uQr4PUm/SIMiIzOtbvQ8ZorjKmg/hBNGxf46OC5IcXNG5HO9rdGLaUS7pZWdMm+
W295/SP/+vJm4kKdkPGG17Wvx69tW3l5hQowS/uRk2SpdIJzmDrplCWRU97VC7KkDA5j/H1zuOA2
PVChV2CT9Acvw1xUXRJEQVSIzcN61Eng/LUE5v3xMcuAapUDoAxrtkVv2JimQ+Yk1v8Shpz70h0d
sF5HL0/eVIvvwqckZuvpeuJcoaJJ1A0xTJOT34e+U9UHwproJBurngTbrQUoOITaVnt0mrrCeNhW
8WEKINaPiKqBCegNI8o1cesfg6VGqBmD9J+Lkuq16MLuV12QdV5VU6p/lcabwKwap1EHd2nClzFx
bvn12nP/DSJCtqhM0F0DQu0nnkcSEDkNa9Gd+7QgzJpFZ9P7dAV5ewEaWRBLV7J4jrVU411NKsBy
J8dJyguzjHkKUscnA40Mg/4Z9RzkfsEvRc8YgFO6FBI6D5AC9az2HamfRoT+tCuSPC5OSTG1+0qU
jAC4rtowG6BdLGvVkBcnk/CycAjn0F2Rou/KnWwSfMp0ocaz9ok521WbP+ms8xzic1TtkUgA4mls
QDpNGd0NpUuQOwjfWMsdQKZhxFx1KB5mZuTvfEt6qniHae4IIyYoL2MfTtDatzyIHHlK/kpFP0LA
ILh9C3SFoLGtnQgxu2brKoXT8XyvEEPRpKo3qeTsZb2jPGbeKpmyKBimAzuhmVCRgslR2tR0BOeA
y1WhvyNTkBK3bInWKkU+ms4lYdA16C767X4+zbz9b0Qekeco+fOn3Tq1ZMzHxil4kpX/XxqUHvJ8
xMQf/F77KlVABUMC9gq3ZL823/i/3HRc35PqRlOJvCeUVAWFsXsf4adgQlqW9lqhWap/1jPmyPsk
bmX/EmItwYBbWj+CqIu6d0fp6CUauqm9qkogU8ZXEVO93CNZYobs9EubJk581rk/Oqec5BTqgkod
2898zP3uNxK4jcCOcdlWDiIE65lAxdQee6VV/RKkc4LIT6Z40LHcmPnP0KYk/m65FclhXrD77BcY
PNjMEKqDgI80/wanAi5jYJm/0AWm8bm7lXl4Ip4f8lAZ+bjOt/oXrhpQKSstN3ww3mKqvTWsPxHa
R1++WVnOUqSe5w7L0n/dCoeyExW5t/QsIMuuLgMweXFhDw+ueDRtuQ8jH5KjpbAoWxT15jX2D7lv
VhuObNNT9wTf4HqnQIOKvHPRxAMoT3QrOjMBlW8LqIb9gfIg364Yu5sTVpoleiyIZ4CmrPzw1rmx
GT09+H4ZpRcPhHE8Jmq8YevgHlSt+zyltB7af4v2N/864rOUdP8YcQfZ4E27vhkci3bObCJL67Dx
3pdo6pbr3PX97VZeu88cZh6c9P+A++1vuiEC8C3G5nm281vbUTCIZmP9oOiJxWgtg1Fea06L6bL0
5eyR6eDKS9Q7awRbB04RJM2s/gNcdw421f6SpZ32xSmynXrA/lXSvYQ2KFPWoMEPRnb5AdD2zqlT
73WNamdPfC5vdYKQ8EyLgDhY110uJVNnR9MQK0Ku+3h8DxGEJ3QltKXzMNzEcxcPv8ge0aFHzZnn
3sHI6l+rUTFv7zKtKT4T1XsPHh6PVyUib8o61gfmYLLVosyRC/Veg5jVnsqq+odZXIeYaxjaMKth
hxSXTVh8LJ3q7xjFIc4WHLcrXWQ6qn+gW9y+XCs33h8UCz+593JJ+j0qkfJ+6QTmnzPDjTu7u0iA
RX8UdSPLY1MHffS0sV2x2ccjOa54em35xqYa+zsdM/qd8wJMh4RrwhC23+O40QeaQRfp8r6wS2MP
zBFVGh3GnOim4r6xfjJXBzHoySGVzGuHCM9RF6X5ZxxPc0tKgRqN+G/B8BFgQAjAYPCFJdOLK7kn
tqywY1NcFtVhJQGtNHq7CjxOCM/SQoT2TpLbmHSHriAZrr1I3sz5Q5EE5T933RSXH6jb1xoRwMgK
2ux5M8iA6TbfdR7pMBaYg6J+Mqe1C+mEaUrc6SeimCnPoWCwSz/90aYdjpWSLarcr76r54Nj0xEF
SzliWxhygOnjLKxGglMtw/jWQ8Ao+F0FB/TuEbmT5yzQI5j9tZPaUSjRw1CYNZv03BXuftrQMsvM
H5j3+lMKKC3BWUNvPocYKZrxsSWrsfuP8LqcKX9dtg43pVPi1oGVBkvicREkzNc50wIEE2QZKwIY
dv/cLKFcniclq4ZmkL7OqfrAHCribBGumOwuGGskjtQtArOdHXbXbuetWLTVqShrjyF5AZz3KK9Y
KaSRQNb44cWkyjvld7184uQwzNNQu9CBjVGVp/eqGTsSrvgYxxDpnNd3Ny3tXI8EsLdm7tQVdavG
tFaWZor/diIe4h9eUgbFPYtsj1GcqIEiUxVRqPsSCHu763O6++TOzRPP8P6BL//snIpOlpttGFGh
KDnc2hDpyEXjjlCPAGnBckzNMM+XTSYmP3U1wZJ/B0Q7zYj+mGW6O6dp1AWZWMMV56xcwpscqCsk
a/0B8ooetGhRTeihrnHABKGJi5RBQi4Jm/qy1lUVnPE2yfEOAZnxb4A0eZvFDv1I+Weo4MZuw3qL
6pPhOW/8kJY5V4bz66h04W1vSG2D8ISUBi6eSYkktpMEjaHWBw9dPmAo6oOw3cUbapd9F7fVtDcJ
sbN3C26k6iCpVZbxBfbCdOc4LZb1ZKLODQ6Dqie1J6hSAUd1BjvNyR3KaMhPnA2zO54HQlRQeFN9
6p1rtTrzXyiYeqCqMbFOceTnC4eL3NCSvMxzubj/COh3wLZ5K5BMFw7Eyr+w7A0MsGjbW84Hw/KW
7rE3l11Fr5Z2C24i7OwVCs4FfMP5Oyw96tdkDlp1qtGXDEeKW90ZSBgoGFIOXG+ni7W2j0Ed8jeW
/iCX60THrfNYjauiZHLzVPqcBimNAjupiVfU+1HPVffWx1WX/nPGqFzPctBuR1IdiQX7MDd4EI1f
Sv+rihoXsisCzfLucIg6PlRqOMT/xiZe1Y5zsL35MogNU5nafJ+iinpR9mEir/bd9VmW91jp0/q/
anFNd0TnSpjcSGsW4EkLfSxV4XWXbUGJ8G4D0+TmoCSppo8KsN4/Tj1EwcHGTemeCCPUKcUXuS0+
upoh6CKkszi/bxxBdBm5sONPjkdt8I7UWv3MnZh8l7HXsUNV0OgV0z7BkE1fV7OMcwsk7Xf6aEvO
Om4LWy3TbZlI/GOyFaXuDjnK9O2YknUhsnqoV4ercpPLVxKNhf9pAEPDe4AohmcaFLgC3mpcjvUJ
x4d1lpNHv+kW7iPCUraaEyuGSIYVTGn94IUUbW1vjRl0QaLJbeoBMYGLq/cYUw1c9wfL2JtewXIQ
pW/Mx9uHxjolruTlWIci5Hbo00xPq14u6HT8/mGyIkz+8b8ri5Yr5s48JjEsFDnwbctytuB9nLFq
rTyRrD55UlHm2bTOEcv5kh8RJ6r61e1ckv9sy5bAmUiXGVCfs0xsFQHxWCwxeFOKR9TDbforIgpv
TfdYDNbxOsdF0FxHpAv5yfc4q5+XiP9zjl2ygqpd5Y5rNe5E3yXMWKlEQfBMBm2AU1sQigios/pD
fonmggrQevawaOFbaoNXzg9EFSd49q15rVQj62yd8MQAdNdNs94XTjK5zN5T2aykbcSt/Slq43R/
yeTFvBLp3qpXTuQOJkqLMc8Gzhr/nlqUXhwBKpX5yQqWFOetAGH6ioecUeWofLCpJx7yuf+xLTqt
j8U6i2F5tVIacV97szEHRkz4M7ImS0/tIi9em48Vj0bJDVStxXbdrC7DozC+8v6JeNFTu3NN8hLC
BEQajuUpLiZ/RGKCP96qp2ol03TcM7P2S3tp4slSXGqMO7QH4MB++pqIfEFixgxjc54nSykuxOm6
yuoOGEROaONJskmf1i3he9ptKE1K+a2Scpump8lSt/Xt56jn8VHC0tEgVU/M/YiuExUuTC+gVvuy
7+2w95VbER9i48g5qKmwcFE0r3vOoa4aYV4F1lPtn8j+0fmbj0lCn6XlJkWLs9Q1ubFtOrTVZzRt
uaa9CrccParoNAhiOCrywJNlz8fbBw9F6FnxyBbV1D1aGYQbOCYdvm6tkG6pM/ITTfcOd3jxkfs+
zomDNs1aQOlPY8SwOk0xATSjsPyhKYK6l2qyODqoc3bhWCKUdUvfNz9C4VFEP2xj8EfOcvicylG8
NI6M5l0gHXOPVj8SWSgwfO3bwa0oDggk7bVDIzjYUUWYrTnlSZhshyFpAlbtBgTQHCJ3cLEkWDXJ
19wPBu+Y5kY1f80E7PeElsufP307+yn3T1/gB9+NMXselqQ8ak5IJi0P7aY8r2SldcV67y2DeFya
rjwOeY9/rjIOos5SIZhzvXxir3RKeswdTwzP+IrSMwZWOPTB0ACMo2R4XNCFUX3mGTIqcGpmBotC
saureXsVVSGe8IOj9BSIQj4HVUWncgqiaxhEpQDPHIKLFzrOZxQJfnvugPBEG2kE2qZxVpJn8MW4
KU6jCr07DAvz3p00qXQLN9HRdpB+URuK60BDKZ3n1QavM5bBczs105OUjuPv6s266c4hJRdicQ0f
i4VaTz/YgoeUPgmIYzDoS5dMzZu7LP4+Wtr41fels5u2tCOyeXT9nqWb6qGJE+Jny2Z8iKvNfsTI
iPcdAZ6nuNGUNZL4tMeERPNw6oXk7hSDfmNporSZ5UJCyqZtft94vZPuta9jKnji+qPCX5k5cbv8
c+MiWp+gdohx3YZanCUpqX/Gca7NPuQZv52W0v+uxTas+zTxCjwqqxmO/PuIOwsZ81aE5WNig+p3
U1iULR5+ih8IZtFliDViOphscBkow9s3uczvfcKRxc4pEKb4c0mxrzMIb8/5qhFbdhYJTW6KAdHk
MGZSV83BhrV/rv6vzQVWpyNtXUiQ5lJwH4OFtRPHbB4/45ODRuvUPLy7JkS3y19YkvO4zP4uLXkQ
i6FuHpQCl7l4qEn2SZDj2dUq3vSONBN/3ifDsGVE3q+PkZlQSsRhc/ILVx48XHTsHB3wTQkOSlBE
3lZ7hD6JOLdzH53UmhSwbTFy7nQET4QVBuquanj5vcQSyqZO19M+lJNAdwtocqL/SnwCZaljMFbL
KUi25AhLBlhohQdOgJ/2sqDJeFrjtr2Scsy0Xk3RBj6JitXc+xuvKctd81Y7kPYgBslGvEAf1ndm
Ldl2e+o+pWRlJIMFtpBHukHjFSlr2WoU5KwctgUhAbkK2zH3wY32YeGPB5jCsH0EkQzuZl/AUqgV
z5nj68TJWOZrekSD4FIGajxPrhpo8QKcveScPRdrBn2ON2Xo0gaVrNvG3pX84gfi2fattCynySaC
bDKgwuwMiTyXTTA/4Wcs7/NEpg8usbfIvtJUPXrTDAbtRlH8KpsUSVkQOkSH4a+75vEi/nNBeBTH
C6YocVn9rnKPAQKHH11OVJWrTPfDb9f06i+DfyDPFWLUW7fizNQKq5FPkrBEY5OfcT0zZGITEoXx
tnsNdHJvZyI6oW88734upX4okbN84HyL/cPQqODQNiQ57m8Gh+QsTDoo8lhCdcU+wFtIMFzzNNQG
QVHCJSMFj/uOSG15PyBnKY+m9sZsIebbXgWKlz2DX9nukmExjwpG76MNEPMvcdidWYzb47BuHQRq
6vdEU5v2k+dZ3ZWkT9AfybRxGIi+edB1TgYc9AEGOC4ntJ3wnNwScFJnolh53SJict6Bord7y4b+
YVxR00srhgPJekx0QQc6WPioiWVeT8+pTraM8JZwT/p6dQyDKn4UjKj3ab2ZTOCAo4fTY3B+HmdC
MrAQ9NVbFyfzc8z3sOfW9oujx5nzd0XLqknhYbfqkcp9MX+l67n16WDqqsJ5bTF2nIkwZLndEQBX
7TdMi78q7tnPsl4pa8f2qZmbXNi2NE5nluo6WugLnM0ElR+F33rI8zepBwFWwuAC0jL2qX8OYD3q
/arHaTkAheDWiuG2nlmcZvYB8g9HtMJ3gQ7Sd5v4JryMYFknUtzm7mlD5uLt5lQsP2hUdR8LbC4Q
FDp98cCQLu4yzBcsfErvQO4T77hSSH8qwJv/IsAMw+dlGc0bCCTdtUWJJTCzzK4z72gBfLmtlSiy
fKynbOib9m/obdNFRqFz5f6vhvehaoI0I12g7y7ViFD3oGOdvMfoMH3a0xePNaKUkj91Cn3/RudF
j7UvRnyTvjf+N4nU+3FTRCQYYzZ56XI6wMpCtc3J7VO5ngjEdLePxui4ApNc+P1nPvg6yMDPhP1D
7rsPrVaX8IAw+6h93MXHGVLFbnkxhMWogyNSGkzgO8jQ4NEngq99IgYGF2yEElG95C7cw23D9/Io
3oV2ZY3MXUJX7rjuZsFpTIYGjOpqZ4YjB73KiLi7LjNXaB8ZcrOVhfX3XYr8nYlxMWBmwUoedMJf
DikCPCHFynzm+hdC8oZpRdne3jGBpflO2yh4xi9puxcnrYV7dOJkSC7EbknBAslZeOUWXPZLaFGA
5DE2goyckJTpyZkX9MuW5qu9U4RD/VM6Xi4R1iGfPxoOnW2njCUdmwTXES1imo6fguSku4KC6fDo
VKU2fyaWwn2dtr25cnY5Xy6jRo8v0/LTO7i093gmFS9XzyGyU/2kLCLOYqWgohKxPOf406lwbcqX
orkZRrbKNeJTm55exESWKBo2rIoNtaSODzjqJBCy3FOMwDEgbXln0WdWu7wSN+Xh4ud9f0c2+xi/
S8HHcAp9Gj//kYCtHKQDfP7Mqj3H/jk1Yx//Bqudj4AZiF6bmFw9rhJdq5/jSgrRKZ1haTNDIsyx
QOPbf+Op0Ybbeo28Vz0AEt5DvtgWlGEZyZPC+hx3l9VITE0HUs8IMN2HpM+FF1DI4Z2l1JeYPlR7
9dJISbTp5KU9SwK9Um938zQjqeq5/3+aqomDTNP3un2H3gBcSd4OXwiJwekKglYIo3eDX6ZnZhCH
BrFp5ITK3LkrQYpjPxd65+CHzVv8FTl+N31QxCrmT7Cj5MeaQX0PpI4jV3fd5qvYJnbWrQRD2UlM
woQ+LO0rMYCUExqSdym3bMf0LL2yO1rrqoVg1dvhw5talzQV9+P8TQL4QmJUlTd3ehFV/JIjv/mL
AHmuLpFp+gXGjgv6Zo/DfNEVxXczipEfblPAeIsbnUUYVX9Jcp+vkGtRdDYUpN+j/v3rjnHCQVXF
ZdB+bsuAhw74K6TTO0Knqklv2GL+zjGsFwdf70j3EYlVJ/HMr23x3W8iHE/WicfAkhwDM4uKcG3G
c7DKPCJIpwvJPNmz0qXumcQJl+5wvA3usWkErQqwkBNR2nssVEizCK6mf6ud4ZtPTbqZ5sMxeoWF
64d0U8dpicv1d+m6It4pxnaquBt/wq2F1ZjnLu7M3y1O+3HnN61YcP3NCHLAzjcEO3J1OH4Ckjui
JRxHtj1yx76160n6cxU3MehCYULnB14PshgZZuYp/aMhH7cHiviQ+1CijIZlRQKmHmQryzZzp0JV
QJabGbuTK0BhDqSr5hGzKIZqeGiU98u5HBoaxvek67f/9RvpFuY6L2gy82yOfDoBQvLCiIUYK7eL
6TUONiWa8K3GBE12SRQ7BN8cGbvs5md9DvKNOGWu2+VRjri1uj0EoehjJDxGEEx4w8HpJQg91MAg
nW6dkdG4/orGUY9vgS3q6hCFCalwO6aXqNTwHtNQX5Qy4nvjk6r5o0j0XQ4hsVbDZzsgOyANCop+
QPJP2NJuiJMV4ZKMAz0cSSdsaWcmXGTmlWjE2j55naCbJbN+WHkPxtIH8OJ2sorED8CqKjq4ySDT
UykA19mQhBlQR69hN/T7RGIouy9QKZs8q3GQNv/I9/H8by+V8JgHDPh4fKYQXgU9+wuxUkVwZfH1
wr0fA+y8ECyJHrXzA3e+W0o+njes3d5yEChfLbGqSlzIrOE5c7sbPtXPi3v0BgBS1PFLA2FZazqq
8FzdcSYV+2SCm7qi00dFqIvpW8EqZgotUpARRzbiaZqrayzz2T0OKd1FQU88EPHu+OgGbTiDDmNA
AswxlHb20uMixMgliiuN0g8843K+aC1DKoT4+5HIUDnRn41mO3XYwqH6HTvGnKaZNoMTNTtxCFQE
kMFDijl+Vw8yujlVHc/bF2syUUE/0wJB4cEC2sMXcAiFNQ9Dje2RQ6FrX5DA5ldfh90bJv8lZ5sc
lkcS5fsPQ+jMkhH/J3aTLXDyQtTq+SlwBlSy6xCRbZCggLUX9BbbnQoCTCVocWuJUYxrEogYhGDa
TU3aVafeHQZ+SW3mMtSyeiL+iCXMLH75DLofdXfUY0w8+e5cvoRhKvUujN31we/RpLBEQ5sSZLdN
e8C/0X0iV0/YG/WJYp0iSedVe1OC2bUeqBVHk0fGdJ1Q8UewqHIvgSQM40BqQN0f2wh+fh/nUmc6
9stfhL0TKpfaxGOHUTBpNWJz5zHa6vFUW1RsB1HmnUvaKAp4JDApAY4JWMtuTMZCH1vhSfuwjYIt
DqvbLSRLKKgojEQLPy6zW/q5SEe/x7JJir3FncM5SJzsdmlIsvROXCbzF259pMWdRKWj60n+8NPV
7faucVpUZXiQhrsJBRdG0C0loGUqp0zXi7gA9gbymI8r3TcOyVQ7gjf6n9FMXhTmYrv+lSGO3bue
SMbXhpyg8RKH2/TuzVEMyOLY6hTqXHZHCrni7tjERpzHsvLJ6W28RjyRvmefW1X2157Ms/Cxj81w
rWqcggQ/uRkRacvF3er0Qr1udAmjOvyO03gGn5DA40Io/cx2zNe1J6OvodASZ8d3bIvq3ODGPPOq
yAPbyswANgK6XcuV3e5CAZaPUVMNW/qgB0SC556gEnl0g5X5rZEOPKmDshW5TD5DrDepDElZkMPB
JTrO59Kc+r/EC7PassMTRLFs85aReaPvKnB53mZtnM9UQtu8eQ1apyyfRgAPgaUN/4aENuae9lka
WnPSxDnO2TyNUL2m0ExNk6LlzideJgYtSO2lI2FXZSnjwNuQVqA6QZ+DfzWxZbzUTc/k7lN71M1j
zniN0XJHyV30QnA9Nr5lWdtD3RYubWfWsc+5U1Edrpzmuk7EPs9iQndkqVRsMD/unYHsZDxBRNKu
tcLXwmvXs3HW8Zx5UzWQ4MbgAV8c92Qv+c1TzzO3DwA4M2rFS3Ud6EnOPHS9Djp/B+1mBGguIYxN
8MNyMI0gqbE4ycRB3lSWU3Sj3wsLAhzUqIoAejr3MiTksGSR06fICmyuT1QCuFcHaQ6zt8UAfEQN
g8B5iyteXyrIu32DJRHrUkV90066Bj7Zt1G4nksE4vitZ5swZfgizTwYhLNxZ+9IMQg4mfRy5w9G
cXlK60j+Dgc0ufTVuMHFtyOCmHaMu3jngyaCsQT5b7qxk59CNZasRlRTVxxm3VGGtj/cQm6rT+N6
wVvoh+WGQgCW4mfveMtl7IUXHImexWXXkHtGKSFsjz4Qolz/cayNnvt8c+ozgX4lHU6BgxhYq/m7
6fENCkyPL+2qVdagZm73clzQNWin0fsehvbSQ+Y+V2odno0J6vy1hBV9InULBw3SYnYpcnccgPw2
oBhsGovw0LL+kXTnIZ8lcp0FcG6b4Dua2zX/atsuv4dN4C1r2yAm5NMW5K/fIK6zqVCtNTuD7PTJ
Np2pML0jhXDWBcqQ06B6l73bVmcSfqKDByfE8HNrj0zJUm1Avy8VJYlvIvRYgA3WLIRgzVL+m4fR
uMSLgPXv6qDgUMW84mSJxWQoewK0jj66gTcyiRDXAqi5p2EckoJjs6OTbsBo8Z04G3Ywd0r2vdeP
T27lldGhINybT6pyWlAQRo4HHMZ6yEAw88eF2eXn3Lv8gJEJJR9QThx3UoNw+S3zxmDqcD9Hanpl
6aVXPTamuDTdENwn/rBU1xQvRXrsO7j7XTRp3EmuaPz+FzRJxYAKSzdcloAUvCPGIdoXsWW0SZUh
W0WsgCPAfch5PvozygP7hY6gvhvjNbz5QSZ6zDc6QzM/n7rpGPVlDE5QCeKAJoolpehB04qlG88z
rQdfXUD3zw7YfL3wj4PHoGvRzPItOv41BoD2HshP8h/n1JNXJxibs2Ni/cHu2pr7tU+X9TLrKQTh
1tyiuEliMePWivsClJx8h6u5LatN1+P16ggWry7jMhuQZ1f9K8nXqnd6CYd/GwpVQeQLDywexxSn
1s6pJ/+ae4wV73NsXAYFkRZddGh0XuILUDBbzdSjhUA6WZ3rZFDPhJOK4tQ0N7flTDs88CvOuv7H
KNetdHeraSLUZc1KM9cfTFP9HQkf47rHholkchzdiCwEJKv1AQ0304jrT6Y/4WDT8Y7IAcUw2Njx
DH+X4qkhLCTj1p6fGF6H4QPPCM5zBGpBd0mYnZLzJqbiuq3O8jsiHQr4xW1QCaX5R73i+Hm5gcjz
Rx9HK240WN5ub3NffVYr+MWO9XX74aGo4YmG40W9mLOPPfqy8dxMYWdAJBcF5XloYj85is5Md/yI
pC+wIQz/aOjIf/ibR/Y6TWUa7LX0BUSPRyYBIkySq4XyTXyigg8dPtECusCngXSmwIaIvmjKb3I1
OW+fHI4lHA5beVBATeCehXCH8TwXC47pUxrms8yCdkJ8l2wuaRNjLYJRZD2tK+lp88vhPz+y+sWg
Sdh2ay0AHXkUYP7JKmxeVOJFr/SG53uMgpb6+dU7OHrSB86XKlv9BK2uQUm2vIcTcoxwq8wJLV3a
vyYEKco7GUupTwEXQAXqqtbtModEeBwK0innDHrJJ7oQlsrBG3PpAulieIu7FdCXBm2bAv8GIz8Y
6RL2KUdqdy0Axr8dImQ+Bnr7DJfWlGNUTlDZNHiNju7k3o5NSZYDC4foYHxK5xiN4Ridl0pMB9xS
nDqz4w8NSf0bdhIiYPDHjG5p0f1aPrsOu8TKf5f3PuSH7qAXMlvYpKl3ebLEDVAFGTsE0uLjMyf0
GutXnI/zeegnQgUYZ8m3ETcfVIfo4S8vYitx7xfmkbXSD3Y2EfVrii7yz+wtVBSsAK27oa2n09ZN
5gFFC+TuOOfbAUeAftrAYC7h6k+nftlqhLm2A+ArfMjLA5+L82ZMiGdakkx4rBIYf6Ad0x0mE/G5
1mwCB2KC5Ydb8G7+W109ur+p+PAy32wIvQmTZyrHl9xkUzz1T5iOksvouYBIajIpW1RBnR2VeemI
OnZbwGzamWD4VbwN7DTnsZcT24xsq1MJIoyYP1wRhephcJxzHXvMFX2IX//oYIMz2daDiWOvjvhm
wzEJGZ/UxlPGL+NuIfKYqTRtHgfy0h9yvvB7dEMYzOrcC3nuCE/by7XBnNYXWE3ixDRX1k1xwBKS
/BltiCN1GEWwR4Uz5Id5dGFJCdxIcQGOMwJOnAbvYRMG+mdFvSKUUhLPOwWyUp/DWGPEVXKsORcS
jPKQxW00VLs4oH9Pe8SqwjiBZ+9iCID63RtMmECo8u1BxcMynKcgHpODF7devbcmkOm5AUom1JF4
FqQvMaw6XljyT3sPOfcs8Qf5JKlANod1cdJO73rP+Ezt9GDxkzw1UrH3JjMg/7Mbjyj4EUkKVA3w
aifPKUrAPr55Z5dgXyVitjHLviLa7alY5pH/RISRB0P1rwWy7J05EzGjEDJq7pA1l/O9a1f1P5LO
bLlZJN2iT0QEJEPCrWbJkm15tm8I238ZSOYpE3j6XjrntqO6SpYg8xv2XhuBnhmF2pfNEIa7OvSt
/pw5TeScu8UOPLaVAtF9PNTtwWd4845YVX1NUa4btIUh4ljuoua1s+ijbO7uDB0furx+byqLsL/S
8fd4ZBk++mxI8b42E8JEoe7yMc4/gTnLf27oBdcCYLu4LE5psjv6AYSM3O5TuUmZJTB4ZfZ8X8Ga
+Q3hMj70/JxXJOwDJm9ZqJCdmJhmvQ5GEMlH0C/CvUq0yO7WhXAHn4GZ+ABlBhPDGrydxVHZFayF
bDoyMHyU3kKuWDdoFIYJpenUxRbFejTtYv6F/xUl/Bq25laUbGWSjfQCnYOVUaVDFO5mGOMurhck
Jm9yQq6+D2MEL1tpR9FxHokBcr20eajHNiMjEcDkRHjEMGApQpx37CtYj2szL+O7yZfmj1wYyH3F
THL0sQqo0ODnj/NDUiMqWE/2Ai6hRgF1lgFjp/spWQzfjlujOJV1x0Y5TCWD7DhGwn5ZwqS4WrIp
5MVaXJQsPg+t3Fsm7U9iseZtPTvBqXDD+Jc4FX07hYNe3oE6dpMLzKty2cy23coN8t2iPqXFYD8U
WdVtWFnG15qks5ccSXG/gktod3c19UUIMWnxWNHlSP2CpcMvtY5Ka4S/nZfMzRJm2uZrHPmCQGbn
Okbi7oOvPLCFNw+JiuMRJ1BZw3jPm4M/VupST8I+QF2axQfL+hBddU7lAJl9xKUM8Hx4sujovTVd
fxgeZ+UvB7ZaMy64VnvPszfG0QPiCDq6psbme4nwXyyM+i13U2r8CP0UsQsXDsq6k7Fsb6csgahq
bcHZCz4LB2z3S1f11cRetAJAhB0rEtTHNX8v23LiKTBytanzgpuHgwGJgxB3DtDP+zzW06bP+hEg
NbMVPq5XB89I/KPxijpf0qQ7KcdAyBSPTQX8s/YaeWRg3eEXzTWhtDbmAH6VLv+zKe28V7dsrAg9
XuCbaDVoO7wzJoHvU6c1igos+UPPSRvGtIgZAIZ/jqfJEAwL279Y7YBKBS9U7+MRGMuFNdaKGRHZ
oSA2WW+xdXftbNXKcb7worRb3+9hFBVTtClEhPw9s8dxv1hMFFdlS17SqXKjnHirrPdPaqYeJz40
OJcYOzBVzG5yxbfboC9wKBIC+s5LEYvg24SqrTzqBXwqj8LCVHIAGIVjAPQBRuB6NSLrLzBTlnWh
L7mMKrGV+KC6zS04A+SDM5vsPNJBpPvSHRh5K834a1UTc6f3bm3hB1ZDK895V9vmC5uM7762+K++
W58PmnZlpXbNyCGICZp0nVNriDDlHQm2qN1HSRwBWuQjiF3YZc5AcLoT2LgdDUy68+gmyCsB7Xjs
OUho9L/GyQTOIRkkDTdaJzYcaR9wb9hwmud/c5g3zx0Lrhl8lOkRE64rQj7Y8lV5Lv+KoarVOwsI
OzmgbFDl/y2+0Yq0weQh1PdVtwuJVrBXud943obErDJkvS7bo0dFwUZaNDCqdx2CLl59D2dLaJsy
uqMJXjR/a7h8B7Sy53rMuveYrVT2KI0v7xkOLfmm013YweNh+9Ws8WNY/5Wm6xz0ObI7scTkJGM3
aJ0JiJi2SDwLDKMShbOjhkPXQ/IEJlTD/kDArlCR1p54tcYS7Zf2SvkNoODWuBko7Oqzj5yJpeSM
tm2cJgrqgFcjIfdCHODLcIQIgY/5DU0tyi8wXRzNO7hPqERbxrdyG9lmGQ+TL+BIFQyW3928YqzC
YDFnQESONxKncjnnTH7AerWoqDb88TU+3DhiLjMqlt9dx8uH5eIpjxQhAzopGwBshrFE4xirPuqe
v3Plt4mO4OBgSX0Yq1kMV8uRMSLJIMhQjfb8I0Hm3IQvQ3/lVZ6usJick9Jl8egbI5cVvHT/lwl/
eEErPmwKUsVnXChUlqDbkHffUF598CHa8TYRyW570HTBsnZiLpx9uk0k/RWWeve+8dmXMzohc8z/
YcGPSCpmt7ZStZc/uCWwdVTb3vQFhSS6JDn6ye2C3cTGpWnP+8mjathPJUHGQFqa1t+SUG6/9ejp
GSh6HsQ+ch7y4cCLJoHDNWlWok1CNFGeFt/051YV+qUDRBriKEkMAdspzuONr0ryGyA3VU8L/fLa
N2lx37H4niDNhv46RhgCLgJtmkQ0uB8Q62wtWv3/eP1xRVm9oPpycIMCrBrD+NhM4xQexrxly47x
a3ltFm2mfVDC8H/KO8XuLkG8SvhWBMNlhZorYBwfglH4xF6+8ML2SRBde8UUa01j3ryHfPAJ2IXN
CVdSUpyCII3xxqYWA1Bv6h291jDwPxHVD980CTnk7WGGDkfyM6tSnxFiglyNTCp3eHbSfGFewGLB
3g0YzNS2ZI16IxshJ493rmMjjlMOolIWKymacS5OfzdwQDXXJpEZyjM7ULsqrNoL0bWpd8XCpMUl
cgrv5JVeSXKNZFd2ROreuXeWE8BbitxQfCkoFaGDX7tqsCRYfklUimzD9L5AJ60+IrcOji3RAkB6
u7GXEBhIy3nSg1O+hjU1XxEl45a9Tt7c5RXxeQSZwLGBeF569rtJ6+knLmvrAOBfpOvFzPNTYfly
YNnc13/+TXa7NkXXiUeMBW6xoyi10AQWEsKTl2bpTIazRXY2tcwFcgI7g8j1yPZxNRLJY1iO8VYS
Fo8zmR6UkmsITdnsO0JzMbpbi8e01orsa+EsN3fu7BYNOiozAQHG6nkqUdlv4Jc1Gc3HtBx1HATu
LkaRiEyq5FlHoxuN9TGppujg1lH26Ptoj8ByOdVLjST7N3LjcC3QPp2zpu/+m3z4zWhtNYyNxLYv
XKSa9WUbvdtYLadV2iJH4unyzEUjXD/VTCzXIEd6DJw1E+dHdjU4BB3DTu4UpcwnX2avIvSZXeC4
lF/zYtm7eMIRSYke2/ynbZBK21Q0rDfohxB0UrTXzZngOrilmcHf0zLjENswiJb3Ih/Lf/lsrJNd
2Sw42tbzUZh1lKSRlcwumxgTPWcsJ85N3eSvmR4REPPlQznzeSF0ENvdpoTFJF9Ub7EEbUzg4lf0
kTLe/BcIB4ZBHiu20e21RS2PTlZ2xT/YCNglUm9iGOra8nZQzmzHoNU1P0vU1dclm5efVEvv1Yos
S55hNVbWhbEJpO7bNtBl7FG5ZuvbaGxeTeaFXE7MVm5YND3dsbiXDYYeLsVjmZH2lzABDHazahdr
U+DI2HOxpgknvBofuIpbNtnw+XdhUTrzKm8ctZdjMaqdapV99nXO/WBRB4F05ImyQCxG1Q8jYoij
EcYLhBD9bQaWDv1hWSJGibaGHoHfsjjyYg7oxlyij1B7eqsimmOxjSsESaCrOq5C+GZYZZJiqINN
D2kjZS/jql/bNukWyb28u0XSUEeTxkG3LhL0cN0A0bpsMcfxMEiWZXGEqTsElHpqqkiCswF2VGG4
xVRD4cYujTWRg1Nqh1tkWldeyPTSTJl+VhVZLA9JgzvnWqQDpXk8z4q0L1zuwWiP4gEMwyL2Tlf2
6XFxMGfA0QrSl4ZpNGgcp2vTC7VGciHKbjyAI6WI4Lhf7JXXRFH1yMp46R7gK6K8gojXh+epk+z3
qrls3VPNVp1nF/QiEi4raeetBxq+vYPPX2bocawKbxsZ8/MmZtdFokDg4qQeWsC3+KlQFm7QDg/u
GmQGCkmiCUT11y5hdR9wfX25qg+fyCXSB88ynEt5ipDZscVUsfytWdMT8i3uVV3A5UYsEz4MvlO9
Lb4irbfRrXlmnijTpwgvi8zWZZXZ+jNZnKgGLhZG7B4Cp2WyMYxY1rXH3OEvzJLS+/JoNf5MMWNL
7dQkP2UtsnWCgCTEkt5J1kvF6F5dmNc+f7WZlhfqZPd2YzGxKW7J24s8FDRYzWug47r7V+gwyX7o
MDLsDf2S5Kdw6TCdsxji5pXs+xaEskXo7QrSNcCFyDL8a4wfvflJCkCDTTfXPmoLngu2rL1+YRjI
m7kdcEHc+5Z24gckhwgRV6VNthcOjtB/D8LCu06Wk9cH3Rbz0fUqBBBirp+9TCOssr0I+2JvoEe1
UdwMNzr5fFKNH341LQCq3wonxk/VcYyyzAyq7tf4ZdTcx+gs3CMsQ79CWRbSC/SYQZlyVGjMmy/a
unb+h4WK4DJsyeK/1hF++ShvlA+bXYCLHrKKh2rfoRbCIh7SUK5cSZSz4uS9+GbuAzggUnxroYOD
G7mITGRThVs3DnjK+7Gp1raUxkG54XZbAAM0YPUUYZoBgrEcFaqo6aMdvaD9hLchFHXOnOivXrTG
cCtnwTtaA9M/8aQ43RsQwRZ2xBQNAxmfTAExcNf5I2cEAJjOpEg/ekb2bdAl215G0V1LHT4AQHMA
YmF3Gz3S8aYyPaZKJH9I2mW14aQWjxSu4ykikfY2946Gn7wtm49GTZguVJK0Bxwew1MPKGDfhF3z
rYE+3bfoJvrn0E4y1CuWiC7BICaC9FKCJVYEtSfAqqh61A+zeOPEu1EhVMFI64YV/5ps9rdsR/0Y
bCuSP341t/TNv3jJXKDFNTJBkisVeO1PTm7+kwsFU8zsJ/bu25TOaaZyEqfOY6mC+Gmx2boY28ns
jQ9v+i2H8ZEzfFOgKzCbSLnma3Q+KfYkJJa0aBUsMSzFPNGTNaYbCVLY7FSCTuUDE4NCBGhpT1/J
XuLpXwmcNc15xATYbKp+hknjD2m/j5TUDMxqNEMb7IdZBq2rx4jlhbpyHv1MFxTkAxPBuvNpG0DK
hxYe277zAbf2jaiPZDtUPtrXW1pxRTl+VmnIAFh3KjlP+CC+s4hde7JNWN2hUbMFO1QXnOkEfCIG
nNYXS3qlT0cJ1Xf5Lfdpmq6xCzzbrPE12QcGqGxQKqwA33XYJcszUWgl3Fd0HXuXqEjU0SkHDyQ3
QqGMIG7zkHLpIlzmiS6HL5IFg4vCilKxNKwz/z/dqtLmQo1z2jZEpTwzNyhkG18xYdXERWVQHLcd
VZrazSJPtoWAT7xL4mZW26pTUQWCIo/LXxvznvPuBouDhMGDUPg64lvI30M0CKxF0czG6QlmpXhm
6aeYtmTwG3NbRs2q5ujael7MXsJp0npPzGu3bujpy7M0ExbrDKXrtXR62a8l+WiPTL/jbJs7MGx/
CcIZeUAgiQbDntIGvwnERZpeLY4xhY3YsHZCsRdOXWpt3GjEpoDaCOOln8mVjctzXxVVc6SqtJbD
IkLLeqkGMN6k3aRJdtvZO8l5cS0Qe245ee1db5jvXwaennafE8xFHegxnt0kSTaceX6XN0BbfcEd
1CBGbgcUJ3VAOAujyaz9SaduJF/OrVSOjSNVvBah5+q97QOv2s6jY2CgqRlzhUunDrmomo/1RFwP
nDJRbCOE3wzPMHUcHdeHmC7DkV1KSYaHuyqcuN52bp2cWYqo59JvUIQQA1G+RQUQEzqcOv1mm5X8
QPW0oZAYjTQbDSe/LSySNapIF8iURWpeiYZt8Yv+K2/mQB/URLefB8w+txLczi5hZ4EHtiDJahX5
4P3ebpgzRe3M27ztqHWileuyC+WZqkVHetWiN3i+oJDhs4C7xIDptoyHGAnkq66WFSm7YfXAIB6D
f1ZUjKNDlF/ognw7Y4oicGdVzAp8jJ+wNVduvrR4HHrNRCUOZrvfLoK5Jc9VN5M7F6rFhJ8NBxLY
VkJT+2eIglb2FGQML55ZJFIRRA549gNVx5y+LpyDyVYkKcYomqZjyT4R+kys935as0vPvfmEFB/w
G5TRw4znl/gUT7HUKBwtMc7c3mTbhla/5zLMfJJi0R+0DN47mCwIRybzQ94ZfwRD2AVkm+PgaENt
X/VsWQeehueFxzY/DugRcMENuGXRywbha1hk5hs+itu8WxgqMDNUfIyEoc6J1FZ5Vkxo/ugsyQLJ
ur5gH09Q2puKRewemG6rc0qrTH+au13yiDhFoJSYDcvpxCQX5kXsy1TCYtfHB0Z2Wegx4NOedyVc
FlSk70y4jTzm4ltOLP8DxYz1VOcCZajXe5B2wY5cphHySQrOlR25aervGkTXXV91PZmDM24lzy7F
QaNveElT0PiXEH/zBnSEZUMn8zJvjcaleEjbThAGxQHK8tQxrP7ZfblbtrxzveUP1M8zze0LQvjA
3gdYHvmaCL9hLD7loP99mZ96v5XWrm5i+RDoQbLUnBM0iMgLxPCWRmX9axwm0HiMuxp5Hklad5mc
wamwfhCvLov06jiVi+luFJ8+O0A8iC9Jz+WHG+42P1sNES6i29vWOx+1hGz4TRXqRQ/EAS/dM1mv
ubwj5Y/4qTDqsv6zAxm6q5oIKG1ESKa3EQt11cPCxHcTOt38IQTeztvy6w/GIcIkuwVMWwVIrOKx
a768cqbOaKqx99dZo/IzlORgvLqTy8SkprgBeeXbaCptvztgrE3EsesoNcbQZ2/e1vyDq8Kau6/G
WqYPy8J4DtKqxY006D1QET/gaWiro7ZExTjP5yOyhZvD9l6GGr3N0hbq4oRQaJ4gYYgYJVggDtwZ
S5kgeEXDsmXgEHzaIC2u+DVzYCd1xChp6QX9IhLrTUm9ADfHysY9uAL6enDP+X9pZE2slHWekFBX
ldN3qwh9AoQZzBLSzdjvycgp9E4XIIHXI6J8d029W362gYCx2tQ4xk3hh+6KWZ33wA0hnwu6V4Qn
bornowrzHwC17QWg99Tj3u7dRyjGalNmnNNbKonl2ZMRMUWdtKq9i5t/W3kxptLYmXM8JpBYOJjs
vU2x/Zoa7OqrJNDe5zDj/6YR5mea6Os3jkW/R+9oZW82yQTPOBuaR9ww32hSzQ80+/QwQZtheJ8X
pwKpzIF8MDRardcohsfGP0opAf1kNwvzKrQHu1vDWzd3Tk9m9Xawcsmop0zsq+eFwXffclij/EkJ
0S0rCfxiFO+CYQJDorEVHA9DHBwC4bPY9m4YH2QKfEpGxenfknn5Cy7V+QfMpAXdwo9ddnyYV4SN
nBrNZBY9TMaunns+9ifs2u6RCpVSzAMXhCvNzq6FNv63UqLBICB1dIlsHcx3iZsGco/RFtvKZE3B
3mT0fiiU4GRJXDn3nlPRfFEpbL0ULf3absHvwlxFOarn5SKQ3FNpQnxmlY7ETEcpSWg0ZcvGs10d
bNAUZe912qZvBV0/h3wf3adN0T83TQY2i3omfx/l8JF1hc/XlSNo6Ml7ujhx7H3WgFxeU3fCASkH
lR0CUsuOizf/a9LQ7FWy+NeiIVr8EPLibV1uvWHV+UI+tFWH7CbAdHcebRrxrRmCEedW0B7n1uVb
lc3wQf1B5BLOmJ2ok2j68bvSDnYWzJVdDTNArZI2Yz2K7BuVrIVIrufXIsgk0vHBmqpIbKzBfg4j
j6CwW5OFboTnNzVgKBEYR3eiVPGTzSRhxSVVbLxbRlxmk2By6hs3OzKl385ebohmldRZWMw7xaqv
CU9atyNIE++qpxQAnDfXJ2vMkrdZB89YraydgM93sVE9H6rKCR8lZvL9QsigPjo1kADOooZ+Aak0
eUyuK04Zvw8EI7YHzspzjccmZnQoM7yieps5hk/g7vht2TSl7Hi6LHyv2WMuBw+ZxtXjsjqoNLbf
kT8QXYHomaWqBPsRdMuYb4zrhR7d4/CNNLN/iVSNFKgI1DtCTHEkzROJ6ii0iwofNCQS7/SXTVG6
zaqhW2VgMldBz+eqJlhWanTQTdNUbWrXhYKVSxMA4DWMg4Vv5w8YG8aNTsPoKWXZREuvSeY7gaFi
Y6+8IiWnB3oXgorSPqDJMv/01EzfrnJKytnhC73htBWFmdCqlnH0Rog7arXEui63vxQRZD0ThcE7
ciPAYLsoZcBiAQQ3oF462BE9wNDpQ07EzhpcnbhDTkEjGsppvO08lb0idi47SYw2fNQFWi5pxszS
BaUO2NN1r5loe4CpVw4JGo8sqIBFM/dREwVTJ3KX4zDpSETomyPog56cl3HoH6NkOfBdR9umXZAD
Sov1H5bab4E0YENGvXWaMnPCUs20sgkG9Rc6ab+yBsHl1/OtLtCV8+dljsJwMwaG3BOIBz1WpnZN
+0mabQiQ6yOh370VbGPX3VZClIeopB7J0Qg/rd6/pH6r78AFJOIUJQ6HqgPC+t4ekfEPUJ/WuOMh
mKKquVAsFRd/upnPA6QWP3Hj8H37BQ6kKA+DHUkhnQN9gyfacqz/VAseTGQzoEV8BjvmLpqVI1Kw
onVltQYgykUcyvI5r4l4BwpTiGPItPkzJMP3bpIjFnTK4R8q9+q3LOuH4uaw5NWNJf9nwo5WtmM5
X6YpHmqiXz9COOargY3oQxwG5Q4yupOSOg/Wda38SNsYbGou9cz7qSynuHJhTSefSqtZGbA8q7Ej
2+fQutTPFLeQ5FwJLoTYndsVWnBjvbmJDUCXWS7fYDQcmFLYDCD5mEvL7KKds/mEsge1dapwLyAK
aTdpIZkeUNuuKOmjd/J8sRKMtTwgAwLAoQostqpoX/qip9kkEKhHfOTfkKmLybZ14N9Cg///jSh1
8Y/lVFRtvTlx7lu9EM5Giom9HpIB2vwtsXljsuoH4spAWDnsbQSv7ZC+5nEs7slxUU8ea/NN0RME
vMIyrqd1izpEbt1+SdWmKMeUljVpWM/CbFix4e9ulUX6O8VieKbX/2xiN973CuwxjnoqBFakRBCU
7ReLeJNR+DXtne5V6K1TttiwARjQfZG/nabrwCfR9c7uafnbsfvHdJgs6tA1wKymsXnKAjuEOhUR
6NmwvkeWQzjzgeA5Ml31Il581xCy43dN8dUqJ90vqO/XqvMYbMM2q/czJLPHpNPNE10KZ0mgG/2P
RA+9asYFKYGuSkYtje+na84FSdwOgJ9tvwTpsLvJFdZ0lWatLWBB9dzGG4tgv80yJVgRRU7vg5a1
YpsR2CdCUYNNh1lrg5i439Y6azE0lFhVbaW7dTCNJEKoOmyHbbY0lLI16ioSuZrNCLCS42R+AzaH
/tE1xPf1JsLaat6blKBi0DxYz1E7wb5JPrTBVwpFL8Lki1I5nSYNz5w9e8BxhqfCsV7EzNrGdXV+
tqUrPpjRpJ9a2s0xGqJA750i30OIvMmPcn4f7OEifYwrhmE7KeAvdi3OnTVpY0hj4o4cHoMBW2Xt
EaybdcxYPNZ7a2A86GkZPBe4sp+l66ebCP8buVwRDDTZi/ei7e0PAkxTa0/mqfoZtYfkhlur/M39
3lwy1FgRcHdiutaCef/NL06xTwJHyckxZvfVEBR3ngkJstYho364Dxg6gO/EQ0C7XGMXytDGezcd
O6TSbGwOmQoxCmSsukqZeCj9pv+SCWEUbsmTsjGW11THKKrUB4MX/mNjdC0HNqdRXp4wCUSrJjT9
u4JGj0dlmhmtL3nSv+p8fkniW42geNP2ZNvGCIGJAp9hCm2DISyOGM+Sx5aVw6eK3VvqRikZa992
DWJKOT7xOFFyAV3fs2RgqhHaJfk6dnPfhZA/1Zy3LwY+xTrPtdutESY4N51i+nLT+r1heZjLU8zQ
g2oqSWsCgUC8nhcw6luCUPofDNiRZpmVVBxwUYYSzJcuseWesNxtM0zTb90qdpcjf8WvbzKerKyM
11bjAPp38Op8NTo3dyXTGXdPCRSC52YTjheNBxzBbVZaTHTRlcDl/oU+Mb0zP7H3YRH5LUFXvXsd
w7pLj7nDOnvXL56HkQcjnF452LT+hONxFU2ISTdjag//eHydal+ysX8VKjPVl6119bB0S/MoYT48
GmQn9HZt5ODsD01+w/SDsDmiZvNIlYpsYL0KFqfZ9NDYsfIEogvKJxpHr2Pa0XCDI3JV4iDd6kbR
i0tzpyczRV8jfZ5EKNXj3kC1ZD0vyG7nf23GK7BICWmWaRMykXFJARsS+lvdZXPIzcsPqFR5lWbU
QDiWJj9lQqYw8+rsZxapw62KttrfAaTxi0c8AMJsDTixd9LoqLU0BrhdGlTVge4QjbQaK/ngGNB7
4eApGttiCZ/TJPcBymnEfs82o9+MYwOeDdXE6JIPj+yh2saDY0VnFDAiWA9F6ROt69tb09J3oxeE
X5hnRP7taFxZLQ1u/iR4+RCZLcXRJtD9hs506B3n0CMySeLZ1neNPfXp1akh6h4sYgd2cEr63wyB
5gNzG9J7ysjzUAjHLmpMGA6sHEOsRHqjO83Mx4ZOwCAHY/96JGl83vmhXD5R2fh6Jb0leNV9MVeb
xK6C9sEM2EWJpevQ3w6rYvABBPpdpm4sOEFvl24wt7bkE/IBh4sLCq96YXVlzehxbn7fL5u2tf5I
PfQEiAoa1ic4Kej0+ccbgdHUn6ySIovMpn4teuZQLdrdpJ+PdAd8TOxQ6hl+CROoNdsNh0/HBhRf
V+rlAeQo4KprHD5VfHWTPE3UBjlVOrUUs4ycswOHgZWQgc7V4D5FqCgwCaOITF8hJ6r4LS5HHX0a
bPHDSRsE/DhWaksjzdbw52rD/UMyodijBxjMIeXtVCVbnVRb4Djq2M4uIo5dGxw1JCf4bSGpD/kx
TzI5kWG1LPZAqlLbTSUhWUNWULTxPyl05oGDgZ0CI4kxftF46OyP/aMd/GcKyCcGtEKmPELssamY
9ikt4jZGUUFHnPsA8KC9dDuGyYC/uWqWJ4Qg0c2xQvblU6Rsqz+0MbAgYlO4QFa0XQ4mu8aONmXQ
koOUoGxYYY1lEpZOCSNjZNH9Z55Mt01UIfSFnjYGog7rgpoLT4m3Gjq/zQ9jaZZhpyOv/CQ+wy6P
Vk42gYMDaNwIZefqQP9MWmIwm0XdQ7ZTcj+30g2PE2S1GBFnRZUJQkactDvSlcDlYdXk068+A+OB
9biyvGYY7simZWaDGr+uoGqF2fSEkwmtcKUDmmbBXT7e58MkyVHvqsjsQvLZWyx1tf4UYoTIu6JE
mrwz/Yo59PghEeAXneyeuxufo3Zu4YyoXB1a5Zv2l6jFOMMWj46hX+PsSIadA73rq85G5CAeQGtu
l9IXjzL15xsla0DQ1AdkpRyRg4XzsWvcIN05whTlmf9kQMAzwjFsMEkVEGJqDW+dNcsrkidtXkgl
6h8CqT3+KIJnQJO4bruv+tIFYxcxg3FES4vvIyijhC1sw2me1q+UB9X4O0L5+SWSDv+TYB0eYiDD
sn9BlNC9N0XaALNlvH6trHH4izwcIQdcrohYC0Sk90wOXfXgtYJSh7T3LY9d+o2fQvZHi3nqKmgS
9aA4Doq9NkWa7yrC7n6CgGScTYbrkGALhpXJIYfklmL8zPicEIfLOxBhAeFUlsi8zZI3Yv5jAj8+
dUlbj/to7sIfGHE2LmoyExksugNVcwBOwyZwPqiPtafqfz04ESZJtkUaXb8Y+85mr/aFg3R6mqfG
euO1Je8JfRCZZuGoRnns/di5N/Qp3q5ydH6XDtB+qccaDnd+eeXtPNLnUypLtMyrGqM/K4tWRZcC
9pq1STBi0BxyAjl3pljqNzw5AWN+WiN01I7I8LBM0qFTE4FLW0QmW3dP9oGShDY1SEWKQLTfMbEb
Z98P4tPoYx7nijY5pBunxkAY9GwqN7KygpclwcjBvwPfB+GgSQ1QaXTkmQQF3FGBBSvw5slJNUO7
Iig36Nn8/K2EhG4O5TiWP1YxIUcbmcbyzGaTg2EIJNGPp3Cl4px3YvkCtTx/5het2AJ0RX8i6EN+
OD5d24Gxn0B11GvkxlkVjruuanxrF9L11vvFZay+wYtCv+nanjftOkRvGmerjaWvx+X9SS523NwV
PjzgE7LXNPnXdWmpttZghmRrmbYtjjE4xgw2LLFrmCsm5xm0ObTtgO3eLcGT0mzE9neV3dgyAnFi
J18XBUXgyvBlAgdtAIufcjqJq0KxdWfD2Mz2jk9/QmgiXTIb2+CJOgSEqS5un3gYbSYUlVURgOOr
Ah+8GSP2FaFNreAWakJNXDqc23pphNzjbIHVzEmJn7jn5L3iHSg/nNon5ZanFwtBoqEibcgGg73G
lUggRMtBdNRJliUv3cyweTsCzBrXDAzcxwxUWL1p+RteEg2PazO5XrIGFutcrCGzcaMkS36uh4pi
q2fMWn52vtV1rwxQq7M1LCbBsWWa7ESj521bvBnDnlkazx4LsGoC+gkZ0kOAf2YGZ5+chFPDSWP9
7ZRhgXWmWJh2Orjm2P/MEC9vz1xSHVs2hOhlCDRzEE3i51WbyojuFURYMP8TcUkEyKp0GNp9K1cj
TKDYdIMDJaAOVn1nO6ikoS+nT0Ne8W3ks2PIO/KCKYK/EzE7mqY66rezwcO/cuCcmnVhlXre28aK
1V5nYejuB4sBmGh5dlaNaYef0GGjvQuKxpwdZDjNd8MEOUfCkHRkumtkYeeGCNFg72oVBNRMBdgY
wzjhqZjcED1TR5GNmVTB4QvwCRFlwp4NuglTWIevOtCJsQ8sAobsi53u2F68AIf5QQiv9p8U42V7
ZXdjsxyKuidVzK1N5R9mu1PhkdvCMALPbhjTIaEDhj4j2JC6NhD1td008qXCCEnCFBio5HvQY9Wc
Em7/P6JZ2MzwY3fPVodec9PDBSEFPansP7TI08OYGDDSTQbLBauDYz/OLfyCzWTgxJy6Wsg/lAvs
5QLPzuRaInQMT+SLLPKrhRe6GUNETwPcQqqHssjuZedpe6u5iS06IexvDkLe/3F0Xs2t89gS/UWs
IhhA8lWBypYtZ7+wbH8+zCSYwPDrZ2nepm7VzPWxJWCjd/fq9Vwk3nHxA9qPGa3Q3LI2AeMH5X1T
UijJYUApsggzkw3nsw1i7VAAwWF8GKvfycMGvdJtj2tEuxCctyKuEAN6ZwCJWBVNf20hhTBRlpoh
OG1S94V/U/Q8uSYgOO7swAQsF1HflPl+PTylmAMP2cJe/45NMx8IvCfnuhEfZsNyd9NDbLwu4wRp
hfa7ZuWCbdk2tbkQwDfsow9WMOaglnjbKz8S7yRQ++xpHkwXJBXK99ri3GXxYVhXD56QSda5lEhf
tfEocJ2fMxTUfF0i7YXKyKggvDc9tBU2rW2BMH7AIJHAFpnKYIdRjE2+HWTlx1JqEq2lTUnUbtST
kZ/b2caapAWMsL4J+F3oKFrEFj5ao9hsRUuR44VdCCDVmfWXN6SgknLiRqrr6j5N+Z93OswDP0Pz
AJSN7anNblVhbipya5WONfSyqpy/pF22oHYXsikmcZSjY9kvMeL2Nir9O6dKiyNeKTgNdRl8QIz5
D7qRA3hVj484DPn+Z8PClwCl1r1OPJtugIInDjw01BCbY/zWG72zy30+hvk4JzRblKmAmp/wDHCV
XVzgFuBumoP+T7l9fqyUKVm05pgzt0Gal+fAivJ9V2TyrfYL7kBW1ySNWtjAq7EhI44/0E+yFXeC
t01djMighqJg1fSBBSaNyNAuGeigxvtNUq5fWoq/87H2Lqkg1QxEA7uaJh7D7gQuie0sWzdyuEnB
FzykeSKvCVa3sy8oF0KPhlfkIZLirlTNz8C0MWyY2+YXvdiAj5jEA+e7RlC1GXn5h60n20KMqrks
kMbUruAjYIZ41aOa317D3TF3DcydSuVTu+2tIZ0OLHDNaKOLsgc1y2RB8oXvxjNfawoWEZNzFWov
GcyN5zQq/85nzebANSaO3AzUFgiBklLClxQvFA4bpaGR4YaWCbgOKt6ADuAXO4DldZGlJxMUQygE
X78Nj49y/uhMlVRrsXR+e52MuB/PqCtEOSQZPYfPfoCXYRVHhFB3sXEnW3ISwKlSSCf2urBGPADI
PAHGSdMJdo7SxZ1aS68P10vsPsCjuC/O+uQviMmQQQtQ873yhxOE3kNs8oA+rIj+kZCFOdW2OCRK
0GQBzWe8sgeOZLsyNf14yGT013Ulrhg9S49/vOD1eVeOMSit06RsZm6jUgwIVjDO8JRjkd5UVuw9
w89id8b/++y9qWqOs9kP1JcdsdhbQzoKuEFI7apbR7KWP+9EGed2wq1LwosAMkFUErLAQnyvG0IM
ls4z/LGAZRxejRhnX6bSXZIz8mw5s1lKZn0S+DByI7z0HvcRX3MamOF4JnqEvpgAC9o4leXMe9JA
o1631dTbO1KpVrCzgRod6gCkC1aORGvEkqbJzuQhmmbX52xVtqJT9E8EslOAUXyjuzrDvRHDp2/+
rTQU3r2eoMitcXJoskAEMQJn2k9nThJlmjuKY9AO+STRMpvSQWyfWtoULcJbVZv8AucAvFz5c/Rl
Ai7DYNI3abPJgqJg32RH7YtJDeHvMncgs2ly4r7HolvzwPcccf/ZtO+9LXFP2oepsyBD18K9PTZz
l9IbSOWeHdbzQkMQTxGHF5PF5MbXlQa6ELRkv2zwwPJExJDMGEifr142kLotiHx2Nk57Bcrin8Uf
9qtC6PUv1ZwZ04lDk0A0PXAOETseWE98vUmwelPrs6UKKHhhIghSg2oaeScC4FV4CnA3w5uL2OTw
eTLzw9gAwFrrbg4+jcgyrLWX3VNCeFcrF5rp3FosFzr1iaEUNBsTghkOPCmovrHwH1Bm3QZ96OBq
wuJp+3ON52LofBQm3jPbvnYgNFkFcKjV4BdQM3RjJfmpQxxxkbprN92zYzPMg2tJPHs6UiUYQ619
fzupno8QBBI5rFlq1TabmrK7uRmm+HtedDTB43H4cabY2IirrOJ5K5jx/Q0LLE6cQghqc2KSjRLi
NA24W34PdQ6LJlLOAbuKHT87Pma6K8v1jkoNt3anT1fYdROC97SGXV74VrDGLiJdNrEYsKjb8rvv
hIuELpp89O4iK9V66wSn8fOUFlRBktrr3V0sjdHdMoS39msKkN98ETy5DJjQXhoQV+DzucF6UuTn
AeMfACQG4WMujfZ3svs7vLycqh2DYPw8eEREtqoWJMlh0Uz+2ZQi9Uso1LqAzODqat7KqYYw6+EA
ZB3f332pTKTyH5Rh1ndMDq5/nEsr+je5Q0YLVWGnv3Mi1LmkrhopBa4Lf/fFKSIaQzFQYgIKcP+0
7FFZq0AW+8R4V3cItxaUI8KtGNSS2DBgY3jpN5qB1mizCmdS1MhjGWPGIkKh5mf+b95TgNVWbRcb
71yYID1ba2L03Q+r18nYMKo07mYwkm64ItTmCbvzvgK7KkaX12SHD+lixX7pfhgRsZ3DnGcIPE6r
qXSH/zjk6ynKhrMeyfRvZowm1RaJSTXrmGzfDRcEr9+shclnJK7zVszufGpx5XeAY5X3CJuZMhra
Npr+MDObctC2rFeAZ2EkhDM5JHv6Cbp/5lBnP0aXMguPHcbJg0WkWOxdbuuXGVjlP8BEUfNYWURj
V8oql4eBIebadpn7UMWKBUTEYQq+ZqyNp3hWtXEuu6b4TuiC/3P6mMqvRmGHRRhQFDHQ+OlsIPZL
THi6o0IyaA04atq0f+52Qb6uRpo9SFaI/0EyEr+40qtHP56xo2XE+3b4m+DUmrFNZxgrKthvLe0i
pP3SO0or8OTA4szOmdccIRhmyX3a71S19Nma0dl5KhqQ5tu8knjUlOGwzGwVUK9naJmW2rTYC3+U
ybuc6glTvQlqxrw1dRhpF7Z+x/oma1GB7i6z4Ebymn4uV2Qx4XASqnBHUtx0xIO16W28OUlYpJI/
6FUZfEdN2qKhQFJa7JmRruEnbFjOhKmS8kEanfMKFfOW1/ML6MXHIs2mR2OaqWtoJ3HGTQbdp03i
KwnZ+aHlI5UCs57yQ4H19iAtjckCf3Jy6HQnQ26ZfI/9unmm02e+sb9ftrzwKKacPOMLy6J5opaX
8xnezVZ1tHRloKZC4Xfzeyz7l7FyRpwKWba2E9s7TYSFLrLqcDrnvnGs/MncmJ37ufBB2UZu/9yA
qNlUoPZwI9Blh3enYh2L8sgGtiE2E3iJ/iCa8M6K3v8tCDc9GT1sAub7dJ/gnaTpuQi+lASOFAvN
qkwh3q6iuig4VYcunANHfrlglN6NpLrzqgarfKyEZ17sMYnWGLi+Ip86GgCRnsKkqmA+IIU0ZwJO
Lws3/qonDwBPy2g3xDMyegyn9Lc24cnN82Ac8yAGEZ7BZDCLdn7ELkgfRmvQIeT77QnndXnK8yH7
USoG95GV2b6lBfBq6GF5l3wpNzxjPTJB7vLFk30+cH8SZkgAjb5PKVlFlHz3z1Nmf4KidMdbttFv
xiS/if2lPQWN35wt8kdE5Ltqj21reBswhbHK7Zpr0Hi8rlv4kIbp9S8t5XCAM8iYANOZ+XdVP1ni
Beu+La1XE5vk2neldYC6be8d3dtvURbLv4FU26616APCdCAeLdHlr66bNR+26/O+t2ryxhZra9Ua
xTPNYM1uaUwiDOSitwYQFKmabCdK9UfdSrUFHIGIVyBJnLSGBB7VeKFdbTuovZi2dhGkBAIvTkch
D4VGu7nADsuoghvMxni20XkuLkWj0zcoQAX2aAZHXCRDOAjZ711ZjRcgrlB8B4kAQPsQQmKAukie
D78asskB3sGM1SUbfZY6k79iXA4euVlkCcl69h5Gx38eyJJc8oT0K6dyNx4s0yi+ceDeSIyoT3sg
eRMkA8bYejrQyBS91XkQGohony7PodPcldauxgJBpBS1lsRct+cD9Eg++CPtuJxFYQz/CP6RUuXN
WDhT98gZ9+lVS/qeu864AUeLFGVBfaooVYTL3KGuo3G9TSms+qQi78P07+4sp+FcgClIPtXuPHsd
0Zd0KwBHadAZ5VbUQbEHFtw80jZG9rMcvcNCGigsRH8gXmfiE1FBtqHnm0db37mvMy6QT/4UIx0L
xrMijPdp5DwZsEtUZ6rg6KVxcNGA7RuID1WUO++VlTh7F/gahd6wCVkrV8g28bj8liKZMfv3OlxE
Q3BqHN6FYeITpz9Wsn+NYSFE44BOyUOA621M52dJGTilt0b8LtsmWs+U9L3kOqECdHEb7wfuyXjN
bfaOq6pdCCWQgkORxxlq/cRd524kBCexclWfwfePbfW1qPIpUS4ggU6eG/CimGtKOjH438hJiTXm
mkrW/j1LKv3M30SuuK+9nSDnjsDs6v9Mxww+vBHrYzLBt28at3S2S4x9P4YbBukXm8ymWmLxYs8N
sQ3XItZpVRSdUn19E1mN7zqDGrdg3fSyV94gaudb5bQplgIaHtZydZAxiPJC4U9wahRYiW+hAYd5
LVyTBWhXL5/mRPPHFGHBZz1onVjI9ltnpIdQWFgsPPjqhyYKPkYXjH/P6+mWxn76D9ETx4RKef+b
eZ2FXiq9DZkC0h3MhBGaq+p/LA/RmomXRhuUeTp7Gg+4X21jLuoYVIkDCKKhNAphe1ALxN6mOfoJ
TptcBrz9UL7XbRQ0+3gs//8gJYXBm+g9HUz9QbCP2Z2FVX3kNE6+ilhap7bVf6bGjwAR7St1hH1q
LMqwR6oAwgjM3Fr0lobpUcUPrLAIf9psyTf4s0jyF+Ycmn1fPZBOATiRtyxSuoSEaJ3JqiEczWoO
oF7z3WeZc8l8HV2FO2WYAo1kbQ7uG/DX+A0BhqUzHrerYRTp54i08DSJluxgCRW+gT55oWjgSk+B
/VhoT+zaeUofbUPod6vAftvnor+DSO9wV0P5p8bP2l0QgOllELRJeAGReCBKQtZXDnqNxlO/1I6J
/zUfm20dRNYakpMO0dvkY8p3gmk5ofgQkzZ5ucXr/uUR2C+MPaN9YzsTER3XYt8gDG6soo9uS+ED
Z4jpw8OZGF20R6Ewz2n6kLB22d+kvgjSTFPHmOgMnFbkMU9wVeDc4MuY3oCn1fFGBrw4V67Jqq2P
bec8z6m6kFdkey9ia7Mguj8YsRJnuJLdaZr85kh6onn3Wh6QUnjNFiV4/mrj5AksJN7Z2H8EiPtl
Oq7CeYpYtyotQjkyqaxbBOgi7N25O9mW4vbhGgylHOyDmIvbPQ68pboKJn1uGexO+nE3B/xCRq8Y
mrUaY15mvtsFK43n65oSoDxqHA3PntuL175vJZx4E6jhNiLf2a8qyQP4JDNX7v2uMg+M7mI/zW1D
MwbP+wNvJpOxo7Y+5WJHh5xs/7FZePoErBk2bST1dsDCITAmt+3TXJf9vkqn6Z2MfrX3+wqMG79Y
D6YgC9HnqVHLJWhZopuTkZzaoLZfMsvnp/W7LEBW4g98R2gMV6PNjXVuJC9TCt2QogBQoBJCkrMe
TSohtIYqOxHRwujqx6zxHaRIYKxO8t10Ub0RYxR9aLN/ABjmPlnpnVxWelF0sjuZXIt6KF/JqWF8
LcCXBgONs6xsh/qryhBp2Daav7lFnUrV18Om9ZoCBnRNs4UxRDdKPNgowjn+oWjb+Ybhsht5uJLb
gbBxFqKcdxVkEh6KmKIrtMfB3nQzxW3HrGNPdYfsb9IotZMN+yPKGjFnYlk06hnjdWQ5KVvoctma
RR/vogkhlE9Otq4yYc84LblVooa5wF5k/Zskut+5U++99ZNOfzEE46gA4rVxiY7/myuBDYAzo131
FATvUs9+70firKtgdsdxQ768uCGT5BDCXdN4tsiefA6V1ngiXCMKZe1GD+koE5zdPBO21Bm/JX3T
U5IhnUccTbDGOMFzJr6pohfAIX2RUapBEIcNzUdEdcILT1Lcb3Yfb/Aj+mFbusYuLoX4F2QjYI87
Yh32f8JsHrkvDoXuxH6s5hnDcgtPMJpBWNDBnZZTT/8vrTysDYuByXVsb8RjlifwaQav+9lD2SsK
fUhhDTHRzR7tDcrf0CUY4dmMh2/XLs2wtlV1q1MZpNwgZrKJhWDxG/sUHNRRzXjQpgkc5kAeKLYO
Hpqsb797rqLzWHjeK6GrYTPHPUsBHt4unU42H4SmXfJghZhcryPU6+9c0RfPKmo6C8TkfUqi5JYl
tCJubNusPjPWqr/kKJOQykvWbLnZP3YK8IKVJ+mvsmx8T8Zwr8uKnBMGvexhCSZqKmfDeatwu27q
vhzCOBDe3fCn/HcMHe0rq8noYNtl9DY3w0NdL/2xz8D2V9Tc/MQ8nLdkOzg25s5aJWAy7mgUAVzH
p/dZ5EZ/xAzZ/XmdHkL+e9GL4Zs8hxuXorkBmv4RqrIbWrz1yXN581lGYjpUMff2WLK2QYK0+oeU
uUhRF3vnb+nyv3GuhocKZt/FdcmLYe+Eo25OhAqLMvtl48/pnibGnZyrm+9hojYWQe84gcdaAXmO
/1Cy8ivPAPU5T5oumkaL6nXR1hvxOdSLjrbBteoZtgPlDdcAvnF+z4JXiEOO+64NnHXE8L2RcgVX
HtsFbVNH3LPVUMY3S+nmIWt6DZJ+asoVjWvjE9BEHfIVNalaMPwjynrQ7zyUJswM/0+wNdbS3SY/
1sceyEh3pBdx2NMoU15ayJ8rOfLMWoHC7eGOFZXBuZvGn7k7UIFM9EyuingqwnSMeWEiCb+5XVsR
mc3Y08JlveXAOneUjPmwoEwaR4mBTNhNIR1pAhakRFYWsLn/t02Q3bA1zbeYWUmQMTnwKMc/VCZR
tMdXGEw3Gk4GecZClG/okYie4WoIJn0YSTXg/XsTWbsuwEiHrbRbiiD8ewWLn9EALazuP7Cb6ZVm
LDf90rPPx23incD3/7WzUn6k1u4/WIfkm4JfVrF2Fl9uM5drMUZmfvdBmVIJOsX1ajQko26PkRtZ
aXQUmoKw95Os1G4KRPeTcKn/f3fif+EKdKhMBxfJETJsF2It5WExmjZFrQ1YWrGfofCR+Ubl25Z9
41NEtug3aqGf5k0koeCVzr/YHVoEGSTxM6dOYKxcvjlkVLrm4JGql2E7eV+ASmHL17NNvRAQmb1N
oR6fqISxjV0DcTg1m8YCTBW2pAR//AcuRYlLpohLrEH+tKeFdpznsQcEQcIsOQXp1PwlbdvdoqDK
CeE27WfKqXQkP6s3MdWszxR+ZIeAGO+ZFWq/MyTzUFq6WC9nx6i2vtWn+8Js23IbOKq9CUMub0YZ
y9OcG66PFQ+vIOaGEj8eUorkT9KZIWT4ZNNPbnq0rdLeGtPU3/CBmocAJfojbzJrS3wuR9muOveh
yIweKyeTmXxUttF8pCwqObSQUFTkzARIFpXuJ8yWn10czz/SKpbHxu/z66wWlzOBJgu/McVVdJJm
aF1W7w4Fqps+cv6DaNXRRAHEtCs749sYqbuZbJ3uPehhd5t+9dlNFvr9vZUiKhOJdOUmPznGDzYB
lXWSVDiuRm2npO/JmEHoiD0gZgArHqMEx9QKUKQ8xFraAHyq7OmO3FrphCIpOfLJzoQCqEGwqmPW
tAr/kcR0/0JAub1UvPFo8MxDNWLcHew9IBh7t+B1QDRy5gudk/p76TIDWsSC2p8FmpAFDtOq6hil
EBljouWTXx1MLjMS/kGU2JdBYYkyEf8xbhbyTfNqClYA1N6JQZCfNsiXfEaR0g8klMenJYn7Q8XV
VpF/pSbEkeTIbegZeHoBObB0Gf0tjQxLOJSy2KVBNL6CTelP1FyXN3FvHAG+4WByZbnLJhF0FJpa
J4Kb4eLugNQMrysjF3BzS/LJlMrw8iZgrbM+pOTU/WKQGqewGnraAXEgi5PE4S1Cy2DdDtGAUbpl
kbcbFFxk7mznA6k2I/Kc6hEIqD9TM+FY/nkeJw90xpS6qO9dOvyCzBAW1jCZ8HvHi7dt6xQXTzBJ
Ki/uqZHQwSX1Xt359k8IzkJuAcJZR/xm7ICQoUuXoj/XNYNtyoj0wq4R5akvPbZ/aUY92w8xxfEJ
BTwWYVKPjVqPuE+mk510uHgpqYuzR5w3Fp1JvG9+bSlMe10WLFIuuPy7GtRwkn2iROJ5on40WVYE
fLAwi3xyy3Wp+GUguMniUactIYs5K21iavkIARFhHNM932OcyJQK4UwOeBz2y2RcdHEHyuCLxWDW
crPRvOTlz3ng3BuxRVqym8l1ltDCk+BjKIM2fhpxI92gJmGQSHKD8DNEli2sQIZ+z7arvcLawYRS
VH6HP0+0rPcCwEiH0hB3YqYXLH9EFUgK+Us/Hlu9iOUIvVK9gF4GAdeyrAaXUN8nscwTkf8I1pXN
L7kpbksngS4Eliw3+Gu7I4nJgNcV2ldFevFkEW3ly5D2JaVFftwXew0GDOD9BAaMzKcC9AaT3dyN
siOSklX5x4hJlbGQmJxc4UKmBU7XKjgtactfJTWtBSwfpN817D0L6YztPZ5ZnsBeGbDz1E4C26Mx
oFlsp9k3//LOoPyEdJR5SoEA8NasFThK/pFka7p0FhDxStc9juPgeQ9kcxTfeyWoTjYNzzjNQpfR
1pKiKjctMBR1KkXg7SlhM5vDmBdw77wpFd93ninTr27rf7Y7emEpKb9YZewXXli9dgvlM3ASwobS
tPGUCtP5Z+qBp0uR+OoC9sG50srivccc5jxh0UFfuohH0lZgNqbIFzzZzi1r8DUBtyusTuMTvKl5
gEirEVqtsvZDTJfC33olC9UNsheODJqNdmNTjM8Weuuv0eevFAMDbIkDtFTS62QYHFgpev4GJnzE
dIsLO8qtGVttMz3DVvFPPGkYPGKe5u/Y5alsoBAVVQ2wfJTrbQB+c1VY9jsvRwQGXRo7Ju3gLW2n
f7OdpSFtKTz25IC27pTBvsFYzyhBsAH1u0+e8F1QtooDIfmzB3wdfBlAVcufmeP6HYzT0SU4upoo
167t8ZEOh3XlkgkHB/dILPLm3wOKAUMkSdt32bl4F6expcUcEu62xGe1EYMkqAflkILF2ApxUBFr
lSrbW11XYAnxh51FDSIgStk8kGLxHlWPBL+O6OECVjCPIcmSDwyO4wXd2jxlsfIOpuuLD6fvoyNk
PDqtfCOoPxfVBJdc371SkfNSDFjZBzNI/5t52O9MUtUkaYGL1BhsioCFtKNXVu6f/cmaLgLG4Lqo
TQkrlMwanobkpWFh5q6cHn8o1MMb8rJ4QxD0L+h19W8cCf3o1/chJboAGgJZiYPDP3mFUFcmAL+9
j1LLvr9783Om0skS/lMC7xUwFKSEUnhYV1pVEqRfHPgUBXgrsNDvpd/+C9irh6Bsoq8ZcNJfRPs2
L2PtPLpgDMM8UtPK9o092zBk79LnwjaJ45wHKQiZyY6LJ63q19hwnwZGzIOAphK2NEM+gHHIWady
RLHn2sc5OZIuiIywshK1yhCs280ERv5Sabc88ZhFg/Nv7AhTvBWNPMEFjoi/JmbCXDg+i6WYnZXf
QiwuRqpLK06cLYoyOwecejsMJjwX2V2hdww4Emf3syUHseoH+81nt7RlrVOuCKxfPRVED8ZkXTJi
cquBlHUIGolfVVf0m3nxdDhPgdqgBFfbxYAcOrid+gHa14fYWfuwc5z3ZCYASQ37mjkelCTAYiZY
FguB6flnvKXy6Grsx62gNKuN8NvplpyzpYOXIoYSR3EwDBj5sxB4BOOoK/vkYaQ+VEki31mJn9wF
o7ho05ROZBdNdRCf86z/s5r80kE96Bpt2UioZnOyozLb2Z484FZ1NtJ3azSdKNljTS62cZugItbu
HNZ9az0i+fsnN51PYPTQmqPxBYSOwyy0bHXizCd8ll+JGDyCNi04bNzKIZ6nb7CPLNhiGiSxcQKI
oNbrbi+MiYIuVjw+DiZaSkHJO6eEeaR/A1fPpLxNOzmCVJ09O83KS6rmU+A5DsemhgfcjLiGTxRz
enKtPe4GvhlgWIVYTT4WXhY87g4KkvXU3L0NjK+Ms3PhbDsNamK8k/E4nnBRt7V8aPB+4kcXycak
ARdZjWZyptWNIPeMG97q98TDsKaNQq8SXfyVNh+f3l+MW8sUePTNttuDbxnXrZ/W58juXwN2j89x
ayM1ZVgcNU2jXWTvlGdPP8J0eU44/tlDAeMNBiQIqEUbQlkDo0U8bw/nKH/o4MTsVG/8aHDFK4q0
ekzCZC18KTu6MTiK9l7aej8UCuISyYuxpnyeoKup2T8VgdAPGMguRJRpFndNtjj+XNVb25mjQ+EZ
vHaZnNNjUg3IGyABdqNnClYYhBhKsP+wIrOGxlq6CRyStZRlZ4KCQ0N+kuPue4xphQtBwxMDj3Hs
mCtoXj2RUZE+NDCGQlBSzaYJVPqaCOMHPPswHv3UAJZJHvofdmMTgAyk6h2e/xrfdEqtt1FNbri0
1NUinI7Tgbmae7C2hxP8GmOfeYN6pH0l++RBjz8KiD+/S/S2VM31I+UP3tmydRjMv06dOmhELYnY
O1IM9MRC2rAmmCilJQ86QLfIzCF/9AvbXQW+Zdy4bjCujN8NxptsNyEQfjp2L//Tg493RsTzvNZZ
3FkH1r8869PPoXOiq+RWOqErhpgJ/Asph7Nre7SrZpUTDxt2Bu+VxojPDQuQqueZkNLyU04FNux6
IDTKZ58l2X9p5+EoD5p8w38IjmayqPkklip+Tw2aqv3I8tYIdD5NQPJ7tue/ZtT6qUkoLnfAjyAZ
FD+mH+H7SJazT2fBtVF4vcy4PDdl07IVtXLMy7m5LSnoWS84P4qV6/oqnMfBf2UtTJqjGHhSDnSW
7DKr5VZqvODs35fsQ4r6SJ8SGI44NsVJTS0XoHLLF/YrtMzytZ4cs4bUkeSvPK84kNi4EV7j+Hdq
5IDMZccEaFSW3pUd/jW+j40A4YpLvgzN0a56K8SUXz9Txh1RbU0R08YyqWuXMZHKknHtCz8V/eRD
/9oamOLKype0+dUQkpTHLGWyZW6CO1+E7fNtEvpoDtO738Rh0GOxqgjXLJM9QVqvFFtoq/wvtmel
aPMwYKx4jISo2Jc+zby3fKGqZZqzq+lKrqymdY/VGIVFm/90RgHUBq5/ADxQzvwxyZURbIr/64xl
OJHogbQ0cl5DctEPThDYyPRpu5uT/v4zdPFVWsn98pO2ezb8uNvFIu1euErnrTnWoD+csi8+PCnl
rzmJ7Bd/GQyVJK23tNLV/yIvekxTwjDbYeg/Onu5apkhLkxssdY9VQDJIrubtNRu6CGVeO1PjBd5
zaoqIzA1mfvRrfSZ5di9MvqOcMlZ14yJ3rpYGddcIT9McEcgpNOhXjhoHILYB6udyYxMfZyuupba
tUGrcosEW+3cwfS3Rjfc9x3qlS3Qs2zziERI3J1ys8pfu4U9zOBpKjtRSTWbwzp/rW3OVc+ICbfC
+t0PfrADwP6H1r0Ar+62BZSxU5rjr0zBeR/4mjiX2kh200z6a7SrKNt0iOCbtrJgWKfDaLAGZq/h
qtcWL86KvTkgFcHQO5klWE6Xpp7cubenF4v7QKZuNHk2w4GOus9A6T3gjZLtSlkDlwke84w4lhfh
wCDMQxOXN6cHuvKyE+NXvJswTZx19YGVBxv28GJQTibhiShSR1gUUNEXaCa72Kt9Bu+q03SzwRQ1
YOzthhG7YTXme7NrRNh4TvmkSQhu6/SuFWYlnU9dwTBcymvsZHuhSfuQI+m+8e83O9sx5pB+P4Zv
y4PONwzqopfk5sOjYSSB4VxCcFZ3GdwSbv1DKjn97fLumS+QoKezmF4qB8M7W1b3l2c6nQw2Qepb
ror2YpE+pFcU6djyh6/WdQm7rLRIb8lo4aKWQXxXNxmichCb8LQRamSqzkGvr3gIn5TA9DzTU7iC
UvIT6Ko+AZ6pt/2cMC3qe894zuL41BqqOfQyDTZTTCGxVzG3pfHPXLZcjs7khBg1XhJRXZVquUqR
RiewG7G3HxmHbgPbTHJCEy5k9lDFmPq7TnvGc0I0B/GWPbWFQff+3Rdv9h1IlwWMOVg0i73hJk8L
6x2cOHm9ifFOPxlR/1jkcHUZKswtWo25VX6T/WfiI+CY4Yvbu0G+mxCwtpwgLYwmLEpbii1dOueN
4SkdBk2xD6mNFabfLMZJdK/pS2X6oVwyK5R23Wu8m1M8s8ok+B9qfk6lHC8kUMJLLwa8ywMY3Pam
TZ1q32YJzKYIqoz0/0VdcnbwUsM6ZT+T+988B+RhgTeys0bbvXgc7TsjI/M78bmoIi5HmCVii2eX
Jy1iaT+GKvLHF9+N603q+tkLbQfHhm3OxfYa+49cDau6IYs+bMK5d7ge1Dc1+Ft2am+xbw7kankU
+WRv5gm3Tr2gqAfjPLL+wg28Me9Dx8aImFqJ4lOeHQfxEejwQ2A4Iyo79JfcphzhuJCEvhQQ84/e
AiyRT67yvoLS626tYT8o+AWsuJDmDzj+8ScmQZ+eEh8Gv8XAscLTnl2XnL3JMNAjkPHteI3aMl1P
SnQfCys65A8qt+HQpMd0iGN5KF1cqjV6CLM8mhjAaNB80Hp4blpFYu9IVhUbvmv1DrRBS6IFkp9D
uRxAZg+zMnMnHUlgR/mlTJNxhVrHb8YtjA+mUPD3RMfW2CQf7pxINrFWeVR4IkmXzFyNJ8ubymdn
ivtX3bjNQ53HZtgly/gi4P+j3yEXHTuJTuGW86nQVOjUVslsSCPwP7DVAePkeM9UeVQ5bbAFgrwq
43QoQpqV1EOjOjscOvGdB9XxfxSdyXLcuBZEv4gRnECQ25pHlVQarQ3DbcucSYADOHx9n9p0v4h+
bbtLRRA3b+ZJEfbjH8MMdyYA6HD2En6Z2HZ53b+UD7rcF5Uf4CvUGhJAli9xv6fPYWS7GsfP2LeH
c2KSIL+XiDX+bhSoQcfA6Tj2FSMzAU9UiFWqus5hNdPID016YutTEP0sMwRpa+lxemN4rH3eAUX3
ImX4xxmyFK2q9fYlBK3tFMx4kgs3EpCYg2nrM3rtFi4S+ybkuakGCTNpIkSU0PaDf10/9nX2BP6G
1C2Gdb9Y/po+07/nSv6d6y7Yl6Yttuy/0wIfYcWzjNp2WIDFvOSisr5D1cSURj0S69iHiZiGLg28
8I01g2k5rMDJ/oXWS77S5W3z4KmtCzo39wxO/Vr31Mfwh4d/kT7memb55tQ1iSJNT5TcT2hlw0Ld
u+slyo+izjDL6dZgiZ31hSMT+gBucazY9jB/doPbgBQiRcVhSbFl+TZ4rCpPchxzbBttzdcUnhVm
xT5lJ4jAQCNMxieyw7ATyD2sgO5Y1liE1gEGsj3OtZa1Zla1H/TAEO2FIuOLUwXroBmfJPYsdr7W
YNLHfQzjhCHy2mQY8ezhsmBfBrUSSLFdqvgXt+3l7pOjtlfE0t0DEpU5DgAV3ggtS3AimAI/tDSQ
+bEiVnfbjOO+SCMslz3/um13yT+Ik8M2ovzyRAj+m+RGfVgwsD/MdHTAVo8mdmuGH7qDmaLrrScb
/87tvT8XE6wxzFcIeJFxklsctME2i/heYnXHoKFGtFo3/6IZpjulhgU+A24LqFSyDiNWP5xsCKMs
09EhWfyzXmBTnmJDpICPfgxW2P+RISMr66WhuwIuRUEWbY0hKRbENRSTFZpDsWfx4OXb0sG4gZk/
dd7dwnzkc40MOc9QbQj6e5j2hP7XpRVgT7CkqO7udpTzraBZdzWk2Ix4fjZTPYRPeG2Ca4tTF2wx
WEbts/idBS1KvA/+Zt7g7OJqTtmAjR+J6wFvhSwHO4YZ7qiXZcACoooYVc7I8UQb/bLKFlM++D6O
cx7sVF47LsIHoiEebTywSAHUU56jQX5hXhtPk5OR02IZtC2pYl+8ZkFFONiaLUAdpemhDzVp6wym
t1920aZFh8Fmysn7ze0KM3vc++9x6n7yqT4UcLy5q8TKL0ssl8/ah1jYdCOWttalQHPJ6mensM02
NDN+6lzfaR5laR8Dcn50XDj/EvQP6H+PdQ76nkMwHvYEv8ljwYBozpsKjCcUFsnpy7dnbjdhi4VH
2Q03pZyGMjreIvr4dH2md2SghjIOWSx1xTZ/3ERj+ISUYUwhSgs2+w3J2FXj5dwio5GeKNjgN5XL
f/MS/vQE+QnUwCLpLVqucCiVuC17HxPoQiH7thfSZXYSeD8hEkLfzPJm54b1wzmz1PyCi3gng0Zx
eyCD7BcvkhdCnjQqOITYwZNz4afGa2GPQd90fJ+hgJBYmPvpifevfplIZs5HIuceUSr+NuMxmDk1
0AB7SmL859x1Tj3O1wOianXI855SEJdaPjZ40Yb9QMOa08Gq6yb5ecKecQ+jaZNCEt5L22P9Xdr/
LYm1N7qlt7KEq6jHEn0rdaOXeaRJQU7UjJSzOoaK9ilMYNZXkjcekMfWjnmaggVWoHa+625I1Y4+
UUAhI2zQOhD9nktoe6oWrF6UYapb2M7uoc3GB8WBerjINcQIvIgdT56f2U5Fz3lk3UfPbTY+3Fv8
sRYabjm6E5U/Gpt7O3YAY3o6NMMHYHX+VjStAdmnsv7cV/BVHpGI8LvxjJi3Uz4v1dmGcv4qkWqb
E2YB9ArTdkdTNSP40jaMn0zPY3tjoduU26kpID2kczWMOxEsxGI37P3qjthN5Z6n9nF4a6Nfp2K6
564tNq42/xEqmtR6Nrgt0Ye4+amF5kcw54Ri2wTKDh6pBCObAD2wmZgMD1UW8QOcbPF36iN1itHp
sDUi/bVh+W5ZJA+TGR3dxg6WAktftQTeEyK5ExvtaUrQJkvMPYVdYLewS2hEMXFg1JrWKc/hQqOr
mMvxUvglnDdHJnpdqrDibZuPtrvGrED99jy6HxzrzQ+3gOVTMVxO23aR0ytaq3n1F3jjOTHsg4Mi
eSot++PBxN5SKNFtE9uN3rA/90R90hFzuNd3rChtdQpsHR65TIC8KCa5xW6OYOdSy/IMUWEuySTr
nDx0El8Eb6XiZnnGGc/sgOcTLJUA61ao+gM2izFi1YGBKWdOPUgzxlfHWeBI97L4mqsy+K2oD7r7
S+l90OXKVkBXJly5wKB5igxlQWuWVQkZkZjm6wpJIAJwAF5S+e17zi/8qctG7Qbjb1Er6EdcCOru
+CO6XMuMIATNKR4vp0DG2T0Dv3YdQ7BlaGKws4BC5tMumycCK9UoivUsTfc3bNjKd1IjP3FS7cKA
Ibvhu2tV2ZxuwU2Aetfk0Q5A6zTfQUY8mmpxNFMkm2cbcFFYobNw3tjERA5ZFcmnZil+wRNPtgtx
YqJxUp/SoH2quuWtAU7lGlZGYJgopLGW9qdPUA8j2eDFDkb43oEv2S9WpbUKgkqDhEjF8Pi93uI6
K/9UWEG2kR40PqwsWgixWsVuaGP/YEN0xrNZNp9LkO/9rHoO0uxfEXAIEMAnjd3nhBNYQ/D+UqN+
FGEISSl4ZuXrJIWSlA+AdhMIoNu6Q0Aj4NdVH6YPCnZlALfRYTlgW7xMO4ux/2gbr7guhrR9h/qM
csOiSMXRocNCdiiYEiQJt/l1oN/9maLkhi/NjAo8aLPLol6ckW8YnWU17BvSzJcEpNBPBlMAfDCY
J+TkiPGjdJubnOfowFbaxYFFCH2ZtNx1MvyRVHyfqf3hygFTfc+RA5NV5HwIPMY7OXFHwNG6kAIL
mi/FJiGkeHShcKY3Yi3awTk0ofvuRFPZkGkp9a8Jew75XdhR6a7MpPuCs/yF2gbv1D1wCbEbPoXK
Ek94BNlmslimmdYpwNSn8UvKlnJDlaUrNzjpe7o/Bi/aQn+c3/XQO/8lASZgNyQfNeSNc1ODw/1G
w3G2D3XUBhvRNtWtivJp45FsuoMwFNFu5h/Xq87zDGRsTE5nlpzqwxNStztj0vG1MKX7tOQxX1cv
yw8kI8sTd0E2JIFLQBxc5WOvzuWW1RGNzqOFJyHQZW/uoxTqd98m/i/uMf2pSGZrr4yTn6O07wP0
Dsvfg9Vy/iDipz/27GB4RyQv566+yqm8jr65NSySiNJHRMbHMivvSz0UOxo8Hu0qhJ7W0Rh40Hct
6qqppzpWTLz8xa8BTdMdzVaBKo5G/2QZOCC35VhHiOWFR1yeLWGNnLNa6hos7OjcWz3xi/DM0tde
fjl5p3cj00q+tm3a7YUv49041RSH0dkBmyOiy5DN5zHV0D9Rr5plhmXEQvpQT04SE+noPetocZqT
AWv0eO9cbU1oME580bp2h0Pe87N4XQAXAeIsAiZjH8Q0FT3UZBpYGxvaRnGoxJKNuw9NZi/ARe6d
Lsa2uwjOBT1CLBPUkKGKG5Kh9AQHzp+UreUNQAL13oqP4l8ql/I4lKO02O1w3NU2jSDbkSTcLcRF
doZPFe34BpbPcyX+GlJ/29iBfpwKwIWkCtrVyNOWj4Sn58DQoQ5+ovyJBGEyMiOs4Xs0pH+5ShDE
e6cc952wDq6oSuJ79YvHbIETnkgDgg4VDYlK8bwAB2Ml4LAEcQLL3XtK86GQnHoFrk5ml5Yg1FE1
AZ9isbnDsgdIY6pxeAcmmK4LeV20IC1iBFwkP0yJKKZeGMHGqoPmkDSsD/BNe9HyJvouDbZtK7tv
o+yqpJ2hmrNNPGGCXZOI46HDHDGYD2BKmG38ZrAvkt7sU5QXVvRK/1qwlY4GwFqDT9nSEO3+cwgD
vwR+EpvVhHVpYzAWfKUdlL1VkfreVcdzT9capu9dHmVLvMfhXrdoQJV5tAyypS+mHv1kcrs+e2UA
nLwtIEzk7FqH1aazpvxLpG6x85gigm/m8XE4WkaN+c63O8pH4WnhUAs4tc/unOmXpgVPBYIrlt8Q
72X1nCJg+q+d8NkrAXlo0hfDy6DZRnGk6ht4bcHYR3P0oE6G8Oe0MyK3xENESy9dRnmjGrPce2Wv
SbTFs5OwW0FCoXVwzRyS7LKYwDIyDdXRCGMuldBqKS/kRD3qq2sr5I4/idmMiBlU+rKpQsA4Vr4s
UDxwRWLvbQwUrYwW5lD5hkh2yQy2kmqZ2vMcuE75OoFusfZ9Jkc7XjlGN+ghuLRoxlp+txV9dGcf
eNFvIqrurqxFstzwXebtto27ZH7nqkaAH509q/+EfideuPRVcl/6YUy0cUBA6irRPVmlXTh0uxdj
8EWuuVE3Tzli2bMOwN2yWhy0wfWcwlpRK8SmAdZhAewztmLCYJnr88Zr6P1Sa2vyy4nHr0eqZtyy
uXth2I3oM2+8I1FF8dv3c4rMsbGJDa8Iml7j3BmeMhaJ5SUBUIuTBmPYccnbyn9yGgC8V9oR6jvD
XyEODEAjx24xkRuOHcCiqzTlz74qQrhVkGMGaI8jr4sZOYG3ZRRVJU+r71IsMMhGORtOneyL66FH
iaKtqve5LQb9CdJO5vwEsceDJTD7Ns5ZvGvqZuMTrWG2c6zSPpkuLNpnQcMv49YanH762VRtIzdj
PBBhMXzwlyoT/njCc1Z3sOO88IAFrHM/iPfSYupTFroPuBv/yenk+GAZosWfbPKzyyh6bqiCHeoW
eEtxgmHT38rRqQ/2I0zS2PRPrSyFxI6gETys/UByPlDUCqona5nE3w031vElwH3MGUaftFdZPuUt
TVc/xt1qIMMUdHE2/psIPDebWqRS7zDgTP1/pWWi5L+cXvPxZLujW1zKXg5HE6CY0h3Ulo8s+tji
SbaS+KRwHNl3rNnTnUAi+L+2MzRiB9UCxp7qm5Tp5wnzkov9LeO4mLwM+9ci/CG71GTg8ie7cmls
TGY3P3lYxhV0mtRnS8asbEoERFobDrWdY/R1dFLgkvGSe2IiughE2ZK3H6qSXsg+ny8WJu6ehbPI
Pq2lRmn3a/qQb9qLLQywHhCtgH5vec2nJfwcBrzDK2uiJj5Ggv/QSolNPcX2PWxUfRRZ0P9O3CiQ
8E1c4WCuJBd2jha4slkG0Rbq3WzqgQ5XFA/04rzJ9ohiFPKNJrHTvesRcOBgJ27AiUOXS9/GeLbx
MzffXpAMHjeF3BD6m9jVH1Vij3+ohBq+lgJFMyXyVg7TFlY4emibwL152C6cWB3jTrtYuspuwRFu
a7s55WA5QKoWyYDYRrVLNbF2gSINMoiovLe4y3/OIPrxg76JpNvlU5M/bB5pRmuHnrIw37ej7V9b
RvHl7jnY4AoIR7JekbsR5P5p4qHMyCj9nM60L+Ajo6Zv5QwWXT91jQi0Nexq0WDR9vtzZ/WDj6CZ
yPDJhsMfA5bI3F8NwwxsRXh2zj6lS+uk0bQnPKau9Q5UDRYB9RxDCOH1QVBO163DupoxrnPBxp7C
ApO+RkLKqdAu8wRbgR03jzprp4aD50EJxqbAq3vqW/1WaPgK4mHw/VBD60X/DOHg4UbetIEgLwxh
F4vlJlaYJ2fubOTMxpalOIW0t+6aGNfkuh2gV12ycXANLQpenR5VyA3hMLDn3+JY7N+9NgOMppKG
4fVhtDlKH2IDjl0AP1RXyT9c/7stbW+YihJwms+Ry+ryrByse/c+eDgM+7lxIZG2rDbx9tH98zQ4
ZUjmOiMBTj8W5VK0BkyV6zWk70yEe7ms9dE4D2Og/XDS7HIVpf/oxHDCJ+TKoHrCbunjAo2cUBMG
dlDekSJzIQlz5SOvHpnavbPz2HnKmxclKZsV1hUbb4GuuuGSWsyXqecF+2w3LaoXRiN9ltXYfJDv
mLgq1Vb3Wdqu3hZZpZwv7m3VMeN2wuZZJAHQF8za3bsiWp6yePGCjd2ykdy7SQyFK0jDY1618V8J
nB8NfVBnwNjxiZrm8SIzp4KUw5/Ap8O481rsnT2xj5z9HmxQgZ2gYxBj2cXfgOJ5aQkvQBrs8YyO
6Q4zfTdt/FQABsRD5WMf83wWsKQV023iEBQ+11WUPjou+mEJz4HvwuAaB7IrPd8Fwm+NGMp9B32A
JVEt7fewfqCagWAhLbpLVm0LtpTVOtIzgHwSl8xxJafKOjdalvTTtd465e78kQ0yuvGfyV4P5+7w
sJnO6U2y3HJX7uD16Z6Ld4eJmJoNcWvx6R6tkMUsQfMJzyGQU7xuiRY2Kwtv/vAcP/hwU+O8FEPB
2nx8dBBcw9Zr+6tNu0l97ZFg4j8VGz5ODldynsKjo8rqwIiJ4ojWRC9TIrPSyjYRMcqk5DXB9/dg
jZnHKwdTylsyVfIiZT9a+Yq6Gqu8zjYzD3SqFBT8xLmvVl1lyS9upo71YtusSb9siKJ7rE7lx0Cg
bvyDKRfyGe9zL/2SPdeTPT52Nd7rfE4pfJkkXp5gVvOmVdR/0HMrfTI6snnxQNPOJKuZXTcBnTn8
2BriFeelyg3+rwel9XOw2nzLUKzufCdicyGp577RNkLnuM3QcMzYrkp22iL5IjbVzxscchGPFj/y
+BzDkSTJqfQWDMhAFdJoybXXTbXPlskVafAkDAPSCQxjJZYVOJUZP5ROsgdAwiP7/46wkWDX9tDj
5zgiAGun1d/ACfllXUyQW/ZZo4fniyv0IZ7d6AjsvmfFz2OytedBJ2dvYp5eF/jsq1uuA9gPSFnc
fctRB+AOe5c1nmsXcD4aGXQWDi8hJJm60CWDKzs8udAvo2BLc0MwfUfgSZ8sh5+eu0E5Hj+Gure8
ekPXVfcFHZuWcK24iHhkKrpz0mt5QiBI8zVOiIdYEPh84fzcb0kkOjAnw5UT+m52FH7gRMc6z2Sx
di3eGCs0WOyIqQzGLfGu5YIEvHwlnWO3+2HWAdJLO1P/MyyUV5FNG9eY9/xLDTAPzp9I63xT0BS6
EOCNO+sDt2d8DGUrOQzBVnn3xq319JKR92zydQmdiJxYoZNQ7JzeUe1Llc4jqwtIqIQIBBZUvgTa
gCHxzBE91lwwZLmUJM+wRSwhLhL+S7TBqiwgVORN53xrYPLBZmi5Na9z2CQzdhUni0oQVLIeT070
2FE1qSuU3jTQRSLGaDmKedjkI99Jtl80TZf0bvM4MH/tCAUmm2QaxH85qftryLf0QBW37KnyW5rp
7ls2erAeY9DnPQkUEMJl7hOvbxHkAy+a2o2Y4cqVrcZTi6t6/I8lUZr+CRUNw1dS0iXBU5c+wJ2L
kBnjwsy7on9J/YFluteHdbmH/eOIOxo5vPpRevU+1bGFJqDjimgcpXXKEJY/BDbp0m3e5M0ZA0G5
NdqWh2TCdrqpGvSnYRIwp2SdygdzMuFjXtor1cPcpRMxdt0WY523Q0of8VyxCdRwcfKheuunsCgu
hR2ODQb3xf4bpdr5i1AD0bexvMjhXwc++K15YMRmaQHZJFMPIHyVBRWr5b7030ly+hsiEwM4sdo6
2wSeudShDTbWRpWhU8OEK0tIIDHIBXw8bh3/XqZu3BooHYMPjixZIHf2teWedOLbj5wi++2BONp7
UFoq+G13aXvFEL4AXVLNHnsCfSeskXIP38887KCMTSz7mwHdBlqgn/J55O6wBTHYMtWort8JjUUd
1TIc79zg8uYddhuuA96yRpId7LnVKDHzFtAmDMJ17ePdnJsJXzmM/2Td0JeJh1lZc/FCVfQS7s3A
Ve3Y9X4sDmGTOOqtfCSLkN5ByPyezDzBBKwhTeUP57RSpwVEGXFwabsDM8GSZC+4wlv/BYDWSB7M
NyHDeJRasGqosFbjeIKrmLb08dVce95gxzFHbdzgAcJsIktsRZAN7FoX3o4dY43K0+ewp3ZwNRi8
hAUW66IhN2ezgqIchBLKbqvk2P/45WMPniPPnFoZwrlhJKXoyu31e5Ml0T4Tjqd3ieukIUYu4b9V
Uxe99kPRvzltlP5MQBXsbwGc4QF3D52/2A5HXOaFMM9c2lOQJOmEIaEQeuRFnoL3aflVuqhBOLX6
JH2zhtn6hUg036Mk92OqJUL4tmD7IH9dYnhyLzHD+o+2I8QizoLgDRw2/UdlMQ7zrQSFflVRz388
0ASPjlXfVMnWV9p3aT/VULuHIG3abeUQDF37TjmfrZz1Ir2jjnmb0jb9HeHAcnZ43NPqOVQ2gZI4
IpW1RTvmVLMn7hEJ7uM38JSWOM1+OEzce0rA3HCtRFOD+i6oRGHzwa7OHqLoStZFKapcNTVBVYBU
dq6w4JaUqVKsSeok9Z3tQFPH2VUsoAG40arNLo/33hY7YDw9EwqKvkiClO+spEezbdleH2UVQPUH
CHRfXFYvJ0bSoDolbD7/S+3WfIS2Ca8kGqwZCSOcab92gYRGiTP23/RY6lGdF40m1GCi4l31lBk2
f/QDW8r8otYGgwomnoWVGZjBmMhlZGMeA3O7IJBxrEM4DzHE+I2lzxN9uc2axTyroHToRvaCVFNR
4CvCoIU2jD9vejJOZG5G9/LJzZrqNYBlGN+sqaCR1o3NRE+ykn3kbGpHddz7YhU1WxfqZQpcX2eH
bFDiI/VppzuypJfdW8fthdB56abOJqI1RjJKK+i5K3KQI4gZCzi/Q5ngIW797D+ROvpd+C2Am9zY
f8q8jE7YYPS/PrP7S56F/lmVSVLu3chQiRQRjkCuG6vsbzV3D2yrtySGih0reJIxy62nLo3TiNmQ
K/F5FnbrXvA8d/rgGf6LcWxBNorSmpBWM4WZhobsBt63b3rrSMi+Gz/IpEU2sjsDKRD3ltTxTxPy
8r9VfoXWy1ZiaaK/wu/8/FqOQ47C5IL3ojqAVwpGu9ibeL84vPs3NYXBzioCPHYwZsnMlbEDNzX5
eEaEKc9BGFJdqhaqghdumscgyPHEjrOKaDafTXJvCZoN22F2ClDiS+p5N8wu1oAllSv/aaIkg99j
zgnLxF44PhleDy+uXOYbhcGBeqZhqPxV1wmS6hglAcSHTGUE0B4/OwC1OJVqksybjviLdfddgBf1
wUmoCgHtPreRerH8CAyylQvAeSvDmeM2jyLgHPy8SCOQHjIWDa5UOTIlrFicjhb0DiUm2F78eU8x
pFMKG4QaKvNpsRFMvbXoFfEw5KhsSg5ozeCiXW95bH59ak0vtub0wcKIIIeMNKcfCVA5Rbq8WdoN
e3Uy4Egpk3z3KUGDCI51JL/4USf7DF4g0Bm14pUVtRfByukziMH/f/cwIkqUkiZhyK9milFzmA5g
Iya/IeMMAJ7JUoiCfpCeOKbzWVVtD7ZlNmliXxkje6x7JWlNluhe4xdkJAiOYJUL/cVCjScZy94K
bejIfXfiw+ua4FA5NUmNpJ0sKvBCcfQCWXTgQ7iVQIMFfBK8PmLH6gdUbrVPRqH2nmbk/pHi8SUZ
qOQ4yshlM2lUVv2Zcs/NGe6dZWMoN5cbmrv5No6DRmhNBwrX/ltGEqyHsmH8eMosqZqb61qD3rVY
w5K1Y2q/PFrdZAfEr/1aXIukwDBJ/x7BE1p6DhPff7CY3hjYPz6W/HJPko1jM2e0PwdjAkU3K0p9
A1vNqzwu1HRt2BjY0artEx28lQQu/VfSC1WZrDA/WVusbdgIFSQrDH/R+MkmEBZDFtnY5FGMErwc
ynKvJVfvd4c7SPWy5HX2GqDYMruhG/+hmoOrXegn7YvTtXmzoVshPNc817+IOy4wk8nvbhnIEIvY
ZTpTsRKMHhMk9aYKzlmT8A+g3MMWpHUhBNTZWa16Yr2WwT5NF08HH4Ej5wNoAp+0bE0tIWKetxpk
DuG3LvSx81Rh3TpmICwcjiemW8N5ykaUlUK1bKZOJgGul8h7y0AB4ojKoro8ZezO1xHG5EFtxip3
2ytu2qz6Vae4Z7/9IDADtYWY3tdB3PXjushsK35OLQJCbNZ9bgjkYRs3+GpAekhrlcAfcz8JAbEk
w9QVFUfMR+rqTj5QG3YN4ndEJ1xMJImuY2p9OI2CvbUgXlRMOYj3V8uJi/gnatCtYJVxKIPV/Vb8
RIMDj1Xb01xQ2Y6+eh3dxx9GIIDv8sFVDiFMW8ot6yiSc0k/LltSCLQNS/ZQ4F56f5GXcIZ8AJ5i
kdeaVhXJGmhG+oi2JXoO+xvAlm/oXSn+NfagXEJCIvkkoTyGqIYQhCyGUx5iGTpyoC3BnQJvnQBH
seKOO7Nij1hS1OfdysWr1yp2sDRyYUzr8L1DpWJSV5Wc/iKfY2Nl8pxxLSA3qgIZkhKsyfx4Ef+F
a8fP0CiiaejeijKt/XWFGvQ1cxazDrWCtOIGNk9vHZfr53IxFk9Wqj/h6PgHrZxhuWhhGEszcK+7
AOxC8u479oSYsThF8JcZwye8xnrLfS1THX4uVEQkyc51FyAeE6c/2A/pFHCx/Dh/q5smiW8DGf0d
lRkA07tieR0c6HuPVmaTDO/+VDrpNjIz7FRKynTdv/DayTE8V1XdfLo64fEkBZP+4ogJv7p5lAgu
5UL5LM3j/rNjicgmjKCNQVErFwwTle+/zMwH9rGnGuO7CYcw+8RgBMFsEm1BZ3QYe3fTxC45IV0w
EqWj/+VSTX8ih0ymlvuqSN56eF3hC3WkTFs8OdHv2UxmH3kOIeVJVefWeVjuEUnLTy6w8wH5lxRl
6AX9lnpmUImA/XtIYNgG5msl5vaToEQ2vRZhOc7tqjEu/8+HQoroyNX2T88u++HcD+i5glEDOWlQ
BOvqqpXbhYmZwEvCLLhe+sjLfmKAk5dpppvx5ORRw66u6AO1d4eFCyhUPrVPsyFnKdNq+C4ul1Zi
tGy9aO6dAn9dj134RCE0V24SIGx2i6YKf7FyVi+D7xoIG6Iyndny8Vv2pY7k2P5y4PtY7yMhcWu9
kPhaKw5p/+hIp4X/1UjL0MfgmfSv5H5aHlsDL8KlD0NeELNNe/AIKJsNkLkKb1TUFeoWRuFIGo5J
yxL/0J8EwW4L0oK6l3imm60jJXlEsJgQsokXj6xXhVUmz54F3c3OJroettbS6fCe5C2RUu4w8ZoV
J+AP0F1gqzIyc9aWP59UVzXaDf7jkJOZPgXohE3MWL+JFxH+WVgpUc7MU/CegN3AZ1HAXSZPYVGV
ya3QLdfdUo3RhpnI9f6LagK8a9jJbInh/tgzl2G8+eyaIBgAFyIJiFzAiuzV6y1qKjRbULiPAWvK
0a22AkzXwE5JMgcA48Jz4qYPRq20e6IoKLvJbvQIaRsApt7aYxv3hkfeLnY5t5PHhtyew981wFmw
Vqmr6x1L6ZgAK+Wvp2ls6veqb1sWHvkwJzgrH9hOplscfbuUCyoJ3wGoCki9pPweOMGmW1hEbnF2
8iHru509K2l9KrBb8pcaIriMfcJ75wR1C3eedvjfiHjIp28QDkouxlyeb+402MWy8j1sXD+2HeR8
bhwsEUBiuGwLzZe6DwGx8CP+UgCwl0/SAkECSSev0uG1oSfwld3tlFChECb/AGwPxYvWoQ/eG6fC
vrT4DLkVS/xO1HeK6JuGJ4cOAi+bf889jcZpmbBlJRbqrcI5wYMt7YQRggXFg5uUJPlVDUnzU8Zh
hADgCP5K3CDYBaFBa3qsv+cT9m7RfrbZFP+wwgub3yMvCmoi8XVzPbLitn2rQTNAjkcDvMdCIw0U
AIJ4f7jh8ruwUkUojosdwT5ayOmsURw6YsCWeg0mezyUi63ObTrG/Rtmn8m7PyAB7b53e5AFGzXo
mTaRIeYc8VMS86/UFVXpKysml9/TLsicehZtNXvKKoIfmokYRPOwT1kt5cNOR6G8ad8UR1cWequd
3P5PEusjS48zHzsavTb6EiwuzVTIYhi0Fh7JHTkF28ZElS17p6kZggaejXDyLOQdP0ZSQXACqGGL
5aW1sFlt/EqMX3VSTdG+oKpyht0UR3QmeDlqxBoke035IIcHeAYo/rE7LV81SzCMok695DMxCN7t
a3ZSwQN+yQ1jZVwRqjcWdOFyTAiAFgw9cwhyjXNRH1JhWlZHs7qyjqxbIjmi9v4MaaDeQ2twfMA9
8ygWjDcW/2Jfz+Y5qNvhgolHHmjMscjuFC6Gi3oERTBHMnpI/jWI16g2y6fXqwyIlT2NnzZ5aIHC
RDzUNhVf4YzP1T9wWUqoIayjVxZMfMaVFeYWB1kkiHfWlJ+Tya1yp3lNIlVRsccRh1VyaLhfx7BR
TjhQURcTCNnlluvWgg8j8pW3LnDh1vtmYAua4EH24aPjLzxUwSQKnnvTil+4K5u8R23INbrAsmCc
9A4+cQN+h3y20/AFB2x2XbqqbAAbhMZ6Nks4UmGmo8C+Tdrp7RNnGSFCprD2u6X75rmwLRV/SDVY
4oGccNtjGrvuThPEOFGqOz/5/sxO1sqC68xo1X2ZgB3sGiXO/YvK0mTvtDEs79qS3NqYBeW6CflY
X+hDzN47tjhrfLBK/GX3sKgTbZnRuRro1VnDPI3YQ+UUERElptngDHK/eOa9QDSJkcCztpnUEdvr
vCLXuOsquRBhGTMe0emkQeYBAfZRfum6owWV7mgnoNwBFGo05mun5PbgYnQxJCgPRW8HMt8kPJ9c
dSsxyNd8ZLLcdMMyMt17s/WswtkiZ1w9BO3Lgp082Y85SR1qlCJhvh2wi8Xb3E1FAoLO7pAlxBgR
kyFohZqcwJqadtb/nJ1Zj9zIlYX/iuHnIYZkcB3MzEPuyVKVpFJJaumFkCU1933nr58v5JdKZiKJ
GrthA1a3IyN448Zdzj2nR11T3QrkDDJl0xklfZjKQQsEMvtS96f+mWGAYK7+ttW66xlb7MuJMUrG
otqRumUBbi2fdn0V5q36Cb7cGMVvX6G137xEAqq8L61T9OMjQB2lDH65BNuxf6B/xgUD8z0Clz86
HXhjFNYyRnqfyPVmZDgMW3WDFCILiCBO6Ikw+mBOZJ9P1PSdedcVevE9qrWiP8aGUtFA0iphdMeY
h6xjXG9kQCjf2hkQTnGiXRSG38LewGOdJtRCp/Kg5eDjzPbvf/7jP//3v3+O/xX8Lj4U6YSU0T+g
v/oACKRt/uefmvbPf+DW5f98/vU//yQNgaXStGF0IWpzTSpc/PnPH88RGm/83f8hkiBrmb4qf/hW
W1U7Mp/hmKqp9tXSySeY9mNOm8F5ZLgb1Z3IXmqHzv2Y0NeKgCfd/zX25Y/RbYrcaEW4zHRaruyg
Xv4YuneTNfDuf0s04B47zSjdvzRmWtq93mdTdkRIhXHgKgkJKd64MkP5pqmrtrAErP3CuFxZN+gB
KaEyfCVWTI51NiHLYgGOs20reMdw5E/Nh+Dq/pqae7ldAeGccDSDmjkccDZy7peLApuilGSD90YA
ZGgeHdFZEEe2hplt6MfSetoMXBtcc9mY2gdTZ+4UInzTTXmdhU1ZqKSbukPntVBPFmXamCJW3REU
IKkp8YkKAtfJGJf9p0HrfMcLMhKbd/c3sfhkQnUFlMKO6Rq6AdLKdS73oHNAsxn06vNkaz3wpHL8
Dntev290FaouQVDz16Trwfn+qvL/9ZXVCk1XNQRWqGJiKKZmSKt+ZbXF3CSh6VvFJ6geEbEocyd7
1ydMFjJGPLdbysE2/WU0Zs+hgzrHipmaN1YXhm1grTr/peqXq3dgZeumUYtPfjG0z0kmzE9BI2G6
8COuLCUtfrlR4Zi6AJhnuYYhTejVRhtdKDQEjOJT05JZ5gA/tgwT1YcuccdDbavO5/sHu/ycmm5g
kOANHRO71NXF5zQh7KlGxh+eUZ1kbiF0ZZuFOgbEclF+ouBP38giPL6/6vWBsqpJAd/QdIJwU73c
JTUONkrz7blICNE3s2L9K2yoYNM1U+afb14LM6Uy5pgavKdLH4NtViolNv+Z1rn4TKAIbwnjaJGs
RjFNd3+xG8dpCEOzHV0zaLTaC0sxGAK3KF1LYSA5zg973Y9JTuNABaQzv0ayjqxkGmnT/v662rXd
GCzsWHxF/Kgr5A97ZTemAnhUd1P/GfSVVyqiTg+1gIs3oNaCqHYDRX00zPWPzNK+GlKjZ5s0LToD
PowVNd7WYvBhIJ9z4X/5AGXJi+v2xsolvvEbLRJOqtAWRUdVXfzGKiyDoYG84nkyUCbZhJlFWY55
aeMhb9B9jNKi+nr/WJYOF+u2dfwUdsaR4EIuTyUkW56dUDGede42wEDmB1qKAuCjLRicBSxSJ8NS
6N4zftIeIiRxt/d/wA1Dx19q/A6qW5olFoae9BpjIl1gP1vdqJ9To6GSVKY+YNy+W1lq+bLjIw0J
CcLPAmiDLkNcbjaIR79zstJ6htDO3ZXM1R6A35MT0s4/5nH5UBL5bZh/FTtN82HZKArAAfWcne7v
+dpXm67mmvwYlZ2r5uKVaxFzAcc/ms/K4Orw3Y6Odi7T9C+m6Yn0C6hY+1SddszIRisrX39uniWH
RR2HJ51juDwBdx5q1ywN4xnIBx1QxRzt3Uj96eDMifmOptT7FKzRwe8sCQ5xyof7G7/+2CbPE0+j
phFSgLa4XJ4XymFmoNGe9ZhIVouHYoT0KZx3Imr6f91f6/ouWbatIlRn6Fx7Wm2XayExje5G4/jP
KnDGg9q4MqELzSMQ6Xabq2N8vL+eJi/nxcNkg60UNk6GiWQVKqnLBTMQF72jZnT5AkUrHxA3jMWp
p+NJaTjyzfpgtYN6zpC5gURqCpC5s2dLnCdE7eYPDZST/yoA24sNwFb7Wyt0peTqxz6M6mUYP7mh
6b6//4sXJ2RZ4Nm5C7al8p9Ccxdm2DdTB2Gslj/ocz6f4AurT4WSaTuacelzEKpr9+96PaHqFp8E
2l6Xiu1iPRXIEQLoSUV30kWhNh8YXIdE1Ifnn4YF7OLO4f4G/3ivV5+EHYJXUh0bNi+H2+8u/GkP
XqIAwFQ90EduP7uGkh0NQ8+3VqiO50jM4i9lMBJ04EbgIGXWJseZzvVOJX/Zm7o+rjzqSwf0799j
EzFgkPAauovrp6XwqXQ6dErgZfIsRNOzFr+GuPTDv/2SFty5DkfJ8aOm8TEHMAPJMMyonwwEihxP
oHb6eeWAFrnOnx8EBMkRAndIV2VxIWnVacAlWz5JkKX9FkJoQAoGOk0Ypxmr75GPBERMYRYyI5Qa
J3EwO0X9Oy31KNz1mUGn8f4vumEjmu26rumouiPN5fISuaoyEPSPLWAAKz24sTZ9gltqOlJ3EL9V
jYLR/fUWrlgeAO+B5loWSGdd1Rc2mXTI33SUOR4qGKOhDYbFaXjUE4vmdiXA5J+cqrbGp5rK9gvq
mn29YqK69AoLEyWO5dXn/DVisEXc3nQpijFN2DyEYzqdWyTqIAZVxy9uVD8R7BvQaIXvpW7tr0z2
akh/Be9SRbncQjj1hFQS5OL0dcaNDQYKUmDN+TvoIVgKrCHe+KEVfZqEbZ8ikYIEyagwApn9cf8Q
lx/NIWXmg0EGafC8UFq9/GiNAZchWXt6LvnpqN1YJuQ1dvSe58/easgVPN9fb/GMWI5jGa7JaLSq
0wx3/3jiV6FcqNehDRe4cnYct1cZ8qT4PNJnrAJm3TZpNvF4r9jlwrmzJNkoT7Zgn5qqWYubazGb
QK3faT2jVcuTTcUbyY8JvqLWaLaWWY17uBaLFeNYvNYs6tgmeYBm6aZkclwYJ2p5UwbcEz0Cx3bo
HGZMp5nvrZR2yalSy3o6QPilKOex0cqWhj24hm3c0flZ2by4/iGuCuWIzltqOkQNiw+cq0B7ama+
PJR91OEdfbawfc6Ak2e83FbX/GV0msVYb0fBbycCSHoyeNbacXqx+8hs3rU0XNUvVHZNCiSwCKvR
t0FItRzAvDBuPsWA/JLnCkYOf6fSV3N/NgbEm3sNyD6OJ+xq9bmEtDUkg62AykFoAYk9sOg2JEIr
pwih6GgoNfXcQA2EsE9mjPRMp7hQZA4aqZE3dFnXo98Yga7fMielBC9igJj5cwy2Pv1AaA0d4TiM
Y6dv0I+Alvu+zV7dEXJz1xQCqhrSOd2SR/zKZnXgesghAFGympzmaOIP1obuImw4+lz+oqbirHw0
aRyvHQu2T0NN1TX+cvhy0vG8WjBpGN1Giizz1GFsP8KVW35CEzVYWeXqSfv3MqTVOpeCl3axrxL2
lhi8eeaB1UDGmaLhuTYEQi1GL1B7LvWzksGxiP53yNgTciVpmTVbO5ySldhy6cn5IaSUJvAYjeqL
ayze+jER8F2iDuAFrjF8Nqo0OuTIUns5Qnw9BPOSAjIqSo9st1o5hBvXQ6cqZVEpsMkrlketQcxX
lJGGZAiThVsrz6P3GTRG+0Fa4chMxxm4j41OJPrDKdWYD/dN68aXJp8R2BURvSH+PDGvvnSYNfo8
ZQApg1wD8QocNPulRFn0dgvWwbSpPJNAeFVrESv0Q9HZCJHzpWcmE2E2Ha1H4fiTeQjiIfgKkh/y
//s7u3Fp+KI2NInETPDGLIwrbsKxDLMw9BoDRRyjbx4YHgRR3wEsM3XkMO4vd8uYoV/WVADg/IU5
X96ZWk2mlm5Y6A1WyjM6JjX+zcd5jGNygOUBlZS0hGJjist3gU93YHJa7b1aVz/v/5CrqABjpjpO
ycm2ZAV4GZb0xgh4oA4yDwZVHWn10R4djzmdMfnLQKt03lRIVonvYwNob0vypEc7q6BYvJkdUwl+
Jfaolu/9TodtFaaWeraUDZ0NU+xqzQ10sSmIJWMvjuahfJpBJPXvK81m0t9V4ThqtpnfueJU5EYN
AAdELdyc9zd49YLzmAqq7ISehMLCWGT9kESiH61TiHEAq/+WZLHHtu9hdwU3hPbf/cWWpR/eUU6T
v0wgxBRVlokHoIbciXgkIM1LRX4IoRX6yYgnLNmJM1knnJpNNor+5nzQgQ1UUpirfylR40nf8Y/m
n3SwMP7WdproEcFsrTyg4av/jIlhtRUTvGHx5GSU3G1umEUFcGGBU6Ey09tEHlSYswCnjVStEdjN
Z3PWneKxpanx9/3TueE3LU6FYyEFFPrS5kcr1im1K4k3TG6/Q1bIBBFrR16MGzuUQm/eNSJA5rAM
4s/3V74yAvTABTSquG0eKJoul3ttUg1RpirCDi1UZpni0YMM4GcXPWSgvB/vL3bDSRLgmyRfTPgJ
KquXiwmTYQCtrFDRE854bpmv3GpT8v94hPBTdI5sQ7dIrBbR/IDAQx8x8Ow1c0I1E4Az2FFVU9Dw
hFMJIoUOwaEJHJyfZvv7G7z1HQnNVEvFX8pi9eUGZ3A5bmsUsYeYUEr5Ti+OLZTDu9Bh+axhaJXx
KGMb6PNwvL/ydWxMy0H6aQyW90FbXGYw7GLo3CTxWsco7PehQvlnjyhK+EkPdJq6I0qNSFsUo/92
05WxlHzvyfKZ27nccl0aYqoVP/ZK5F32yVAqmwk0+7txjK3fIxJ0KGEEBTMt1FrLlTf/ynhloZzi
vEqjkIKakJ/j1aMLdDyInG7WPYshum3B3/Vx1n2oAGM1W0mvrs6XDIdupEYbkE1yRS+XMsF05NSH
dA85Z50JPDSdbCDnm8Bqxv0E9R4tXzV7qyPiUOWqvELg+4lbLxetU+D6kypsL4W744E0CxYrNIE2
+dxGx5bex8p5Xr+9PAkkOpZD/Uy1eBouF9TtDO2cJDN58hgdYDIS8fA4/ruykCFAvWTa5FHG7ssc
8vaQSQ8mHfVDMcJZ80Zrlk+TZlN7oEmAWS2MyrDixPAD3/CatnKPTQuyE1qKfGfUttiA1FVfcubT
VnZ/dXnlorxT8v6wpLs47ciHEnNUfeGlTWyFgHe7GbDMQLy+cQndPQgOYaO2zcw+1UBX3xrZsTqt
SiINnfAHX3x59Iaq1Xj32IRxiUb819pGPAD2j6J4ApOVwJERNMwavP2Y6f9Y+EiaeNTnLtecFSQc
s6AnmEM1jIGUKt77SuG+dxA7OQaS6g1AbBavWPWNW+vKSJJOl6FrfN3FqhoNjiFoDW9SM6HCRtU0
EDsFPsVYLQRHe3+P0lQuUjB5rtBBcoV4zHl+LlfLUruLFSU3PKPEM7ShnW9p2muHKJx+CMgMvfvL
3doceQDhIoEHD/rCcjsm2SLInwSEEVO2bfUInTwVPEsOO8FKynHLXmVtVeiEy0TKi8C80qphNmiw
eGmHSoQqOvekwNZ9yO1cnFsg75/bSNN2lC8LdcVwtJvbdPBO5FwknMseRg31AfyxoesJiNczB3Tz
XBZbmHHGelMxVuLv3QgY2h6pDRVtXbR7DVQiAndyqX+1woKj32dif8M/G8ORCc3epB7mHM6Jz6Ar
fH0FDnDLCGx4FPBu1Fhx45dG4Le+H9QRw8CzAwixB/wJU4adnfKYlGYKE2XlfK4CHYxOIicwONIm
117kMDMg/LKaAsjFs7b9hZ5jfWQgNXt6u605lqo5FjBFLGFh2kbrjJWq1obXFlX7CYGl7KFtYXeK
mtlY8Y3X35vqhSYoUhLCE+AsNoQyganASmEToPbq1g9bfd9VBlzPUS9WHKE028sLKwslKlPHjmZd
Y16SwGxqpgFtoPsOcKsAGmRbj9ovAMT7g08EvgdJ7+8mUTIfo0LKcv9Qrx96lrfpjQM7ApX8x/Jf
xRQCsiU4J3LXm0JnfpeWxmNSQnRLic1HiR7YoR7CIHB/zeubzJogi2xslMjYWYSNkDGiBzhJvgpK
dc/qPEJjZg8CfUY7fzILZJaboWcAu1B+3l/42k5l7ITlyGakxBld3ovGGcqqAg3kWXFmGY+l0UCQ
Dl1ylXy5v9At+5HZvEyqKCMsoRS9YvbVJPAXIfwQHtLd5bvICj/XKkd7f6Vb5sMxGrJqywdc5plJ
2KrRpAeOV4a1AoLNalGjjOr4QRsGKOOSvOo/JqmdfRs6Nf5t8jZ+vP8Dbp2pDCIo0Fg6ScDiBSB3
LRUlmywP5qj5vQ89IEJG5Ptv9zHka4SHDjeFbs0SbNTHtqHYcCZ4ZhjHPcymbeUcE8qLb/YyrMP7
CRyPojNNkksboXw7O3NpI2wJzPS7bcz5A6NENTmc+uv+yd24BgS7jqUD/JP/kkb06urZRmiAn3ZN
bywnZe+rWnagxj1u+75CXBvsGTE2qssmrdKVb3ZrZUI/XI5lCz6e/PNXK9PnkfBwfA4j49k3KJPi
nZu3THnwnkJZG9vZEVq/bgembK35dONmUJuk/UVDEvDF8mYUUc88adjZXujmjGEpdLemNk123eBE
x/vne/0KEm65DHnibFQKKov3IoyV/s/cpcfsMG0sf4qGU2ZQVKFODNeKglLg/QVv+FK25dAg4t3l
38tjVcrBLssY96IFcCn35rkzXbhNIoGC4lDUOxvaj/tL3tqjjZPRMFWsyBSXX5K8YajgZROe28Ox
HQCgfTB0ZhdUuzDgmEncFXdz6/MBcaBMaZGDAp+5XA9G7FmdRCU8YeigC/hFkJDNCJIMztt9NV1Z
kl1BReq6rBG101iVai+8uTDdr1of9jvHHIuV237rJkD1YVIUwqXYyx6b3miQAMK+4pUV7MmVmylf
0ALId0FfAG43G73ZwsT4PbL9N0I2cSzUIYTtOOD8DJB+ixgN+voEgT4CdQ3cb75hDNb60hTuV10D
Y22MzEXUMi17s7nohIPQZcokQVjSmb+++EVrh2WfUAOlYHVsgyTYGW7hv3SQkuwqZjOjlcjwhn3q
sCFSuXf5kOCOLheEnYAB7oEks28bA33rqD/rue6fESai1W42n+/v7wp9IU8VolcSSoiAQfst7oMa
15MZuZ3wIPVpt2YQQ3ED1HAXDQNjCSOxwaaPBIQbvWGTKvT1YyGHfAZ6v1A7hM2wcuA3nmedAgNN
Ih4vrufiK48ILU6FNQgPSduGrrmDtvsGTAojqha6kKd6cMtDwxzDqQKJ9exYcXq4fyQ3biw5p0Si
wJsDoE5+oVef3PBnx4+6WkcKZ/CPEd10b6zqZh9WRbCy2Rv+T2gAV2k5OgBf9MXTCX2ggKC00704
c9QHhkxgRO0660sRz9HvyY6nx1b06oqXv3HCgMYBAJARSK+7cLqta9q9PZqGl6sQ+cIo7nYzuhBw
uGzSCkXZTQ+l4FPQQnuzhZvdfrCNIexWdi7vzSKI5z0Fx2PSD+MuLz4z1JMxpH0kQBNqi9+iZvA/
zn2oz2+/TeBmTMqtsk0PyczltyzSAQa+QhOe5tv0XTr4TIuy0ZnMZyJP5HR63247Lt4XpApfE1d1
uR4KxQPisXS/akXLfo2KYXnoxytPBaMHK2/nDTOVjX5dZveEkktQKOx9gVIbqeGpVG63kL2OCFe2
8CcHegh3+f193fBKBB9AcGQKAnhefs5Xd8JN4rkXJa9mBlD9xe3J6jbM/6GyJNBwQObVdfyVJW/s
D+Mkx+IS8qYtzZSJmJjnzNE9ZrfUd3VhlhT7Gtj7LOhN7+/uxo2glGlSnf5362FhJU2EqJsf+8g8
aRKjY8K8MWwCVMF3TM4x4i368ZsiBuswwGlAijmZz/d/wA0/wIycQ7ON2wD6cuGEpyi188gvGa0M
h1lhPF5I6BukN9Bu6KMGPxHInWTLYJZTrdyQGyVdvC0jToCuSYrIaC8/LTPMVVMVYUoYZNoTY4I+
RHOqhfrSjHY24l2KAz9fFCZPg67F295BytuZQ+e30drW/v453PAKtFJJcUE5Y9h/Jk9emVkyKipZ
tZo8zEqi/cYysm2Zxubbg/nXqywrqT1MRB3s+MmDqcb+TndHA9kPWKFbJyu+2Kb7PEdl7XVRvobj
vvWZeVhsbhIdLsZALo/ayAFyugytPwyMhBkPUw2Nw4sbmNonmpbp93ZUoQG0tdQeV4K2G3dJNn8o
l5DIw7W1eGfiVtEtiCnjBygg6pOTN/oxjjU0K4Jo7f3+00haeHbH+RPpOjbjQcsAph34M4HSxYNd
pwZiKqBaUe2Jsgx9i67s2vKMel/nHwJkItH1HXNg3qeqYuB4RjqaiaKV5/zadYGbpPsja/Y6bnLx
nBP0JLM/ZdlDTNxfIRFaT9FWJeb7OJXm8L5r87Upn+vTlqhtnCWDGhLKvnAnTEUFpqrESNKGY3bM
UzXaV2bW7GzdWItVri1KmC7lGTmHBYTaXXxYJFpbVIYYa4utqvkRalEOkydXFEafvGXmPNSznTq5
sCbev6g3tiiBhLzg4HmYnFk4jd4quxgdWd8bIaSreUnr7LGLwrzYlklCy/7+atc5B5Ua2sHYrsZg
7XI1wcwqsiOgayG2dZ5SqND2ftmhFYPIN+y5U9e1W72UOHXK3f7P+4tf2w/tPDmMwH5tqgsL31ww
2WEP6E96ZpRR4Uu7aVObZc+MveVu0iCqVkKIax8osxs6/ZQYeQ2uJhtFBn0dojxe61cUUc1UPw6g
WPb3d3X9AXlaLQrDMg5keGlxKwZbh8IXDXNvIqj+UDTO/KQwQ+6lbe6upTS31uJZUynbUOomsr90
e3ZkpyV4p8mDY0gCOzJoqGH/Zk45WSvO3liKxElC5rlMYL0W8VeMkn07wCfuTZ0d/UBrK/2Qx0q6
U+Y5XjHK20vBpkcnENzp0s+hyFGqkF31jGAU4wcYRfKTXhj5HlrxNfzzDRNkREJCTghiZdPz8gCd
pkerz80Gr4ft6+jUsGdn0QDmo4AgcB7abmVrf6YgLn24SdtcAnJsmvawPl4uyCSxGg6W33voCWaI
bTpmdJ7C0f9UGJX5DfkJ9VgXDlx9dUbpxAp4x3Zlpg8nPUVsBldeIkWL6O59m712diYOh8wFMBI1
uGUlLKvRhtNjFK/gOoBVQ5+Cvd35iRfCJQMRx3iEG/SNw14UHZgdBL1MoVi682VA32XGkKcQc3oC
At+/FBDNX8YqhDkTNoiD1iBWd3+PN6xKhgYACBjzsnA7i5N3R6h1sqjzGniivRw+5DM1/vlk2412
/H8sxSwMwAVybbp0l0tFWjf2Yaq1HjxdKel24J+FEhiHkMRspb12a1e4GUOWUWRtcWFPKHB3EF/F
rTf2UfPBUTT3SMCrvVDocFYO8IaR2BSiKZyQE9nmsukZQbJRqpXdemo1wjiv1O5psFFUtcN4eKyr
Ca6quXh7Sk3Bja9FDA3KhYzz8igDt6kdO1Nrrxhm4CY76E58oGgpso0Z8tQhZMsIoI3hkdY9XFiF
K1L/F8QsZbPS8r3hKYi9eJc1QIlUJhbxQNelyBzXBRhwCH6njy1yB+E5ryvI6EhyFDhQO8NPt282
JEfgmCSoiXWXz7PdTBQaZqPxbJGNxwnZrUMECczJUCBOur/Urf3JIyYNdYku3cWzhSrXmKAbRXQu
CXd81f2Vz5G/B3c3QWGg9If7y10HHiZdL15HmlJ00JdoWr3rSRtDs/Zcbj5s/Ey4T+hlnMq8+Ii+
UHRqpFQX9D7Nyt28uU/CABJgighXwAvICvNJQZzXGxszeoHZI/1rsMxgB/uCpFUs6/39jd7IAqlQ
y1tD5AskYPnExIQZZdWWvWcyhQUALU4QKk9RE9tOQwvNTFOjUBJMkQO1ZDaPJExZ8K+kVpLvo5Y0
5/u/5tpdcJcYLZL1VpBqS3cRThCaQ0czU3erhmCHCNv85PZJNR3VRivWbOr6I8ubC4GDnKyVtnV5
efuwjicjrVRPqwqkzOIEHvgdSnXi8wSH+ItrQbmN6lSc7OouKVcQj9fuirbAn242fpH3dnFhgRpp
E9RKqkePpNraTVx+14Y6+l3kCqwyrpQKNtvY+fHmAwaKTkBNaYV5qiXOMoar1TAHVHkDDVI5I26d
93mmNzsnaLIVS77xLSlwAlyiVEUEuIQQOY1ZhYZJcWooEvE9t8fpDGkK5IMq5Hv3dyXP6jJqYVRd
zmgZ1M9VPublhwx4IyWn/uQFIKYPtFVNqJtz85SC/juheQswoFHAwMTlCMtEma/coRs7tYG/8zl5
C8gWFo+AAx1vJodKPUKm4tiQimwGdEk2sMqtBWg3lgI9RDcEgBRjeMumUqMqgtgzqbwSMPxec6f0
U4Y8EgqodbTiAm8YKEUh+oIUp0gZlv2ymvIPytAju4IZFXj/qDQemPcM9XpYor9mJRf5oea6FG9+
yui3wqqgkV8y1+7IM3hVCwIfG01hiPijQB4E+FJgTzbBtT3PuxauvJ+lWw/pG4dtwTqDl7GEQUgv
B6kWa7ZoEqooYude5g5ldpwr1c0OVZjA6phZHSIoBVXfFWd364DBZ8mmq6R2WGI4qQuWPfPcmTcn
yKX6lfkjgi5643TMA+pW+StXULi7f1GuXxe2CZEE8Af5ki47adoo1YdcP/PqSjSP1tyUh3bUM4aw
quw4KM0afcByPeDGsqonp6oo6jnLqETroNO1Rsc4T1paBLDTC1Qs0bcNg+4pbtW0yzeyRaWuWNDS
H8hlaS3ItrnkClrmuGpR5CHz0uKMzlXTn8oJotptJmoLMuwO2tg80BiEy0xnF9LA3w/OOOzvH/TV
s4rxw/NIAQqsCS5hiQquK1R45yzQz2gHtRRzqzEfXmoT/NLBnaNK/TCi2GkdfMX1/UMJbQjSWWmZ
BI9DSY19H0JOH63E4lcFOn4TBRsh4bPMQjEueXmxwsAKALGW0zktK3NTBEH9MNJZ3ZqMzQClCBG6
YcJ16yApRQ0vCY4lEmtvTWnlj+CplSEck0pgVC5/hMYLr0RMk5wHYDp722FBxMRHz7bbnypixish
6vKNl8tRWCf1kPP0hKmXy4XGhL5Rpvfn0BrG+kOSuSnTSeGEEvihwUxiewN5bYJwM6pv0UTLE1WE
FXOUW3r9PPEbgI1RmuCSqyD/Fs8TjPURIhpGf0YiT//bmqf0S1qH6VPdhP3KduUnXCxFARLLA+VA
gXM5kzqj9Kc2g9lBkpfbiE1Uzd4iAVt5Gq6vNaUW+ocyjsCBLWNGNzNzOvFDf+77cnqsU8Z6oapA
lSYd1Y0Du93m/m268REl7QqPrEzFqXtefkQ3Zj4z1+buLPh6w0ufFMTjXSamMUPtMLNSjxE33Uch
EeHiTZC2hrrSOVj6alryREuEMgw2A4ZTF2ZklYkN63jQnDGyGI2C2Min9MB4HcMkSWXDfJUrUYcE
ZSbQ8F4jVboaOJPLs3WeKMozBDrygF49iV3u9jai7PMZIa5Ad099TWKfbBz0n9IDdNq18+DQ+1M/
5wZUeZTTnbZ0h209q73zrUNpRXsaZscRx9TSI+WbAsFeeRA99Od7RYW+4NgwYBbU22CkXPAz9Os4
/aB1sY02RyEHob47LkrMzw3S5fBoRiEsnG/9wqBKeCY0+jNck2UIZURuBN43oPcVVS952CEF3SJq
0ygp0xR9nz90tt4ehBYpK1Hq9YUR4HElHA8PIbP4y5NNBKLVozX5Z1UFSRqTe21Da8q+vHl7rEJn
2CCpw3oW369GNbjQjc4/o1mnx5ug6SRXlNEPVA07s3SOjgU4fG+PiW6AJc2CT29dH0AJ8xuEGeBm
kT+53GVoF/nIiJV7nm2f2VA8Vb3penpOc5j4P5AHDHZJkHYuXF1Wuzaffu0tYLQhnaF0xygh4eTl
4jDylTDbzO557DX0gVQzexdXTvah1yB8rBxWvb/ZG+tRiIGPT879ML0g//zVZXEhue3DeLTPTVKh
aVwI0SN2WjNc1pQKCUATVCvR442XFb4cAg7SEIlpWD5qluUTgFe5fQ7mVo6CoHY+F6Qf6kSP3K58
AXtlFRY0MgDTRBHB8xQxrTpoYfaYNG6ar1ynW0cAtpwCNbdT0ipdHkGdwgdAk54jQILCU4LxBbbw
au/3avKYlUq0Eu3cWI4OicXgGMBWOXJwudyQx3aL+pN5DsY424QtgyFFMFl7LdDGzaTSXbj/ha/j
O4BuFC1I33VZXVy8B6PBWaJKE3hdgZTBZi515EhhENF+WIWfv6t600LjazL6zzDAo0rkIleSn+7/
husXgdeA9RlYhOXiynFkFo1kXzTgs0atOHUNau1JFKaINFAkyQMYDlPc3RvbudRQaedC/Mh/y3RT
erNXpp3R5KJIMAQebHruLqNnenQLOz8w2L/GbnEdtLCUTE9kfkIPbPFNhUrdGc2YwENMXNEPkFAG
xd5UmdPc92njvhXsys6oW8oEHsYR2ce53JlWJiVaRjrazLbSnNG6VDZ5ZiXfkDVeK0zcuq2Agigv
Ue/CYs3F7Sh9gX6o1iHZZprzQSQIeOYWUmWlBn14PQzGNh5hRoVODj1zJpFQ4HXDw33zuXG8vDik
1SQIEga72K+fKoFa9q57bruuOAyD+dGZ5vidDwLl7b6AiIHgBcfP6S5LPlHqmrMJjc255zyOTpar
5aYWaCNs8z6tt2mQRW/km8TrwNvDo0r1lySebPPyY0azATf/oECbNmr6I4gHk8l8rToxUdau8Erc
+JiygEeZiR64vIwLO9WDIdMCdBTOc9lQJ6iqRv3tl5X2l9UnSKNUzE17xtSOaDxPnfo4G0r8FSVA
Y8UlXbvAPyNkGDHQLNIb6bJe3cyymFvB2HJ1HkvFoVDbwptVJ8mjU9T1WSPDP963nz8Er5eRPiNr
hCwkUrSKybIvFyxaRA6RMCnPLso1UJZYaaYUHpzktvUyI0fBhoWfQVAuuWmOrWtUyvOIIEr1zhzU
pPrbr5TJ9KxoUqznAXFUtGvqJhM/7LizApR5BhFGW8Pvouw86lPZHVxtyCFojmp0jDaxrqPjifAg
wr6bkXauGm2mIHDF19C1Ee85anXVhAfTSHrw+sxS6N9UFON+wrGFxKIDTbi9T4c4SD44eZF1m8iv
c2V//4iuPTQMxlgFTwUDF4SXlyeUi0LnIPj9UVP6R3ecn+mYjicaI9mhmcDzqqM/rsQe19eaUF3S
91HzlF2oxZqKYiB0bSXQuCLkuItq5JvV3LSQt6II+dbtAZcirGLwgkyP5vdie/GU5aGSpeexmvQv
BuoVwa5NnGbc+rbejceyH8EozzX+dGXl63SMnj4DO3QqudvgVy9Xztwgq+kCd2cLBqCRmfVABX2i
BAi4UAxJDo4RoRtZ9Wi3zvi4Fc95/VnJABlVoLBD4Ywq6OXqTH1VNc/WeDb7TMDMzSwhlYRx31PZ
ecxTZ/6Yy0Hs+4d947u6tCTorFF8ZWJ08WR0QKXpuaNDbetjWJ36nLHBk6oXIeTYzdvfQijWbAHx
pux60++63GEUoP4waU1/VivV3FsNeuEEOO5mjsVanerqMP+AwnS4AWzSAppdl0vZkDZPYxG25xKs
JUqaabVH5294GgNV8/I4TVBTTdYwpVeHKbEn1H7oboESo62/WJS80hiKqDm3fgDtPeUw88muJreE
P60MPt//ctIcLvwkDEtE5KCVAJTy+RY7jKYYyU2EWc5dM7j7kf7WUzaU7iaAomw/Mbm4mxKiR6fL
pUh3Zay8vtfvk0y8JJJCluwRDli8T0kELAq5o+pcCAbWYcR3j0Y+pBBOz3X4HkLjdDvRdzL4BQiK
79AirnRkRd4Mbic4B/9HNZ/+AZa85KxJ3AIFZUerz9ksYKFoOxPlA4TANylsti/3z/zqMZRrSfYQ
QWeYmtvCC3amDr0mJLxncxIgWXNEM+NN3kJiesCjmAcjrHxt5YbeWhNMOZEOTTV4p5duwYBho7b8
6lw1ZhmeykwLx89WrSBoXVAWerYZm39r40eeqUGrEk8kW8VLwlTfTkcl6cyKwl5X/LaYodpac2B9
njo4Pu4f6XVBmbUILjBkYisi78WZlnHkW2bW1WeFLxx3dGfLPA22ad02lGwVf9JOBARutnfK0v1M
oF6a+zCJ9OZZQcDUjzeNqIp2xRffOHQCSyBXoN5llXXxo2AVaVtUrbNzjK7bVyCJ/Xfy+1DZANvr
j9Slgubtn5kiNomm5CWS9/rSd5T5bNpKIbJzl2ZVQ3d61KJdiDjb/N03EuOLaFGNXIkxdXlHL30I
0y6UHxmaEJj0MjlRk0FEJmWy8wywI7M3MxcnKrcmgoUTJCayTKaHaTmF/8fZee3IjSzr+okI0Jvb
YvnqbrVabqQbQjMa0buk59PvL3s2zlaxGkX0GWBpFjCAopg2MuI3Z8PAquijbRfJsK8xaLOeplpH
zKa1pqH8R8Nkx/ArS2vDV6PFBHOfzqYK4sWh6nW7IfI8NOewABusTVThWPZZdcZRHOvZrtrD/RX1
xtxJLVxyCNcGdLTsUESl0TjFWGegcsv4WCiWfkwVMe70yvpSuVGy0n2QT9PFGFIu5skqZb55UC7O
wSrPS62Kk+ak0t87p2PbXApnWqsjvkqiLsJA7wM8wZXGTb2stYvIQ2FrrocTriu9c+KFWyDFouIu
sq9dhyZ3oIDlt7ejgknC5xq9VO0ckquhJG1kRfo9nXEaecYkegi+Up7xog+Jif3btLW8wtB3eAmG
WP2lZMrSsnWs8GTDN9M+WcPImQ4f1EUUfqozY2fFadAeQNnHyhHKKBW3QhQ1TEAgB/oxrsxewwe6
cqxNOmeT8xFZWxWFnCDz5h9tiUktJpi4ev1dKJoa7fJAN6unyNPieJch2DH4cYMp0DZz63n8mpkm
ki+xrve/sZ/Ip6e50Nrukk2RYiBTa0SzRn4eFYVyFl6N3NBG05HVSDfgOizvCcnDwKUeOeFCdH+R
3V71ND7IFaXsMoTpJaADLAu/gUfAqUVMdzw2lT5i0h1GceZDmWn+vR/tJjEFJAzkgFwYdTiWwSKx
gEEeTh5N69NoZ04dbZETN+tnrOod51BMY5z+29Zh0mlbF88yZxePeKu83P8Jb3wwsGwInzCVqSws
zydlEBlw5KmmtjAW3wwoFd8EnjO4nuKs8v8RSu4kOj4wOZY3nlfkzmTHhTi1yEJr32YIE8N3JSVD
/T2i02V+vB/uNlVkaOEmUlJ81Rdc1LCHrk4qgAD2CTe45jEXmMHBcD1lmuge8VzNNqAHrZWT942Y
snDMs55zFzLX4tAwEzCqmFLhCiumotvqXasL31bM/EsfNoqPOE33KfJwvbn/qTeTKKljYB8kJQfX
mOVjnrTGpnHs2ADZCvPRwe/6HNOtxs+yXbvXb07h11DoCEKsldy8xZIVSRQ0CGjYxyZS6p9m481i
h81m+qwjhnLKjblf2ZFvBuTQlxrvFOOXMEmjjBrq9Ip9tM357wC168cBt66t5s6/cl2Nv9wfydv0
FwlBDnwYIcwhUAB5LfxRF8GYZsZe0jGPpaqkH7XOUr+bHcnELkkLO0I+uSjxSU6GNjjpitNqGzVA
NGqL9ay+u/9Tbh4CBu0dSm3AQyHhcJVf/xLVDZrQbRz9OPQY7f6rTNHUOLvcdYekfahGKwmlHlmm
Ps0JIBffrgH97ZPUyIdv93/I7eryeDSjqiF7XQ68n+sf4nUNDcwYu9VhbsJNaETqQbea4tCDpTm9
OxTPR2naw3JWQcdeh8L6Fhv7CidQDG/dkrJNlBn2J12E9viNNM31Pt+Pd3MAo6IkpX9AaNJ/YY1d
x0voGU+jqnQHO7GHXZPb0d9Ti5kUpR9xiMwKurbbhhfTrOLt/ci3LVK2EFYCQC1QEtFuWh5ZMbsC
iZv2EDkNvm2IirzEuP1eFCOodgxRtYXjisKP5rQAnTUHycRyfmgaNT7ZXYmRnIl+KMCEfIs+HWJe
eVWeMpSdeZh5NW6nfWd9tKohPKkDJodZIPQnU0uclQPvZnfKr8DZCgI4bHdaodcDGANXCU38Dg+M
k32J6ro+ZaWa+AkOEHsczdZUY28A/yRAYEIQVeUtDjRhedSRDNjFUCWAukwzqvaouUe00I2gy5Cb
nOdaDz+NKI12Z+EEafihA2mfkSkA53lwcehQP3tj5CoHfDUptW0UxJTMtZfdayZ6ldPxGzk+kFLg
mQXUeHFGKmgEW+3YiUODPcNZayZ9I0QkNk0dl340KPHfdq4bO3UejMexDHhkovOwbesEa9sqSQ5a
p7pbzQwxo4qi5CMO3Oa+sax628xlekLNP33AfhAXULSSv3htpe89EVt+xuF4qqLG3lj4qu6BjChH
/IKnlZV7cy7Jr+P6dsEsIbi2lCFD6A8BoVIRhzx0ii30quzh1TC8rIS+DdKufRzRjNqqbdc+0AyL
3ntEyPCUmxDfkQ345QWUCg1Z4jFqDnk5ATmtY/cQiXr2e9tYe0fdng6AS+kKGKQsPAWWhFMNjt9Y
2UZyqnPVE/1WSxMn2A+WGJO9MZdB+eTqdmL8CMKomH/OgvKfujLYNwkFLCR2l0Hvh0QGjNZif1np
oGai4Cek2XiJwrLxMQ5tHq0hr8+NzUZX2nk+3j+b3gzKB0Pqkgf+Ulx8QMBVuHaYnjyht33sixal
cZTF7dI5qtiLzP+kup4nqV+kpmjWlMZvrhuEgFhdsj0C6pdc8fqTp0FUeqmpwVEZ0ALrLAd8d++k
O+pM6cro3oaikkgPjyKOzYGylAiJeMzYcT55x7KxsyMlRP0jChqOP+PEu3Kb3xyUXDIUvnnoyfo+
tejrrwonDJBVJ/COYxqHezVHJM7tdfsCH+CrSPX0ve0dwlFrpodGciT7odfh0rHEZwkL3mMGUX6n
oqbuZ4ipHZUIlyylQqD4/pIxFkNJDx1EARnva/uC98ki26aOqQamMSgPJjCRHHRoWQ8PeSzidB91
vVtTPswdBHkpp4ViIxy1Kv7C7ndQDykGkfbFHUwVdVn8SRCahbGo7smju/l7xaP0N09KXFqT2QKz
PPN8TXamndrTwQIaMDdbPKfSh3FIVXuvjVUabTyU/2s/aMdxwvBqDkblyYO9/Iwqidkdkwm+oo8Q
Nx0PMwDZcHSSyhq3c1UH4SFuAyfnCZ5rs7GG9FgcKDBswXdIywOJ3JHP/etZ6S1c56n8hA9qZgQH
IcTXvrXsz0YwOr5jdvY26R3wPFO/Vvda7GgC88Akf4OWSqZhmovAGq/Y17oyUmUhQhqq9hOOjbKr
01Y/aZE5HKWYx/7+kngjJoKcnNGGXPiIt1x/LF7JcWXNbv0whq59DGP0Coquci8iMSdExsN0C/xu
jWb8mhX/cfciAY7QKiElYBPxyuUDPuy53i1hzRcKOKa663t31rHlabOSHpo2Rb9KEQx/1ali4Kdc
Npnpu+iRv4S4GyPgkMCz9+vabprNhF7ok1nXhdgHeeQ4j2EVul+tWejhtzLJlazlJAbMh7x3Fhk4
lOfRVOPkxlBUGy/EWfkJnaw22fZT67if1Vpzi22tlm310XCrWfsqhrLPHxwcw1JKKsGUln6RgaHO
EcX1OlaiFIwPkQcUuFZg7DCAOn2hsodeh6/WdgVEx6m8sd5qYVOIbYff0KVp4K7tuUfSb32FTN2G
vvlwQoZ+Vncx1+aHESrdrxRfu389CIrupsEN+30nHTNAb+ZVxo2WG0fd4soqvWjwZiStL7mnCXTG
tJ/TFMRPJuyc4xQnxkoGerPMCEdSSDKAEhFP0kU4AQ4uGIE0IhhpJZcm6E2as1iCB5St9nNn/Sq8
8J1cS/mJwDHYSmDeAQ0slfk8+kHNCNf2UnVierGqufyr1TtxsQ36tZ4U67u/lW4OVzQApVECOHH8
W3iNXW8lC+HROCQ1fKojazogrJY8zHNUHgA9z4d3huK+56DA1xBTHMmGuQ41p0FdQA4OHmre259U
MU4b7Iva79k4rhE2XvWJ/tyrwFmYNdREXgV+ANtdx0pzt9Z4WjYXzsqSN5hhtvnZ0gflh6EkJn5l
qSv+bYTofgKvGjpfQYvHO4jcGb64mR6mkPewQTm2LoVsCFBoftRTp31rp1Zbg2Uvrm95rEiRJc5u
CYckN7n+qXNYUteue+NSl+b0vYCZ8w95hfEy6cVPJRHVSqlMfvmfI0P5CCYJea4Fx43S8OLsLNLG
zofCnC+gcfrLgEPx49Da9XtPaBA2dBkBglBagQgkt9YftY6yq3CoTKvhoiVl/TVJB6x/qyw/apXV
PoddHO/NYXRWgt6OJEHJTegTUz/iSroOmkw9AJFZ7y/mME+IiFSa5zPR1gHN3HBfiNJek/i9PSEY
TXhzvMU4JUC7XEccp2IulYL02YlqVfUrA7HzODDi3B/zdvqghvgO9ZOXrnzozabF5Fjm0JxLslO9
PJgUDbV6WGrapbHmfquktr3hVfW7nb01Yeg3ItERkbuVLjw8ucU+amFepkXWtRcrQP1oM/XwcCyT
Z+JGsyOxckC8oiUWa1MegHQsmUS64ovhVOFY2W0WtpcgUYJtp3PF+4oAoPZXZzit2Og4XLYbd5ii
731r9uWm9TrTQ5dVD4yNTBa0zyG9sP5Yd21fb83OSvHt0JVvXIVeuctbqzvPXotzma3FIZpqQmjm
g4NxOl0regLJzsn77m+zsNXUR4Wn/IgGqp7uVXOaKsSQO0HTxGnGtT15O8oQ+XmW4MoIph+Sz/Uy
gsY3WhqCAhcL+7ZDjpbopneC/on2xbCSTd/uEQ40iuRI+CDbgCbMdSjR9Jo10QC4lE7/u6h57wcD
l5jk1ycbq1LLf9556POeBySCjJGUnuF4u44XgOwb7GhAVjLTzd8j9kO7vtXrcT854bSm9rqoH8i1
wx0mTUPBYHLQLU4dZzKCWJSeebEQe95WhYlwANv+YpWhgwx/PyV7nD0FcGM9mw9GFa3pltyOLlUL
ms6vwhvcc3Ki/zj2chrT5YRl78UM3fEsus6sfC/V51+uLawPZiHiYGU+b5cOdwe9FfCiiBdCibiO
6KV5kmHubl+Cupt3EX44p7Ab3F04xvPKqXN72GFZhcKtTurtqIj3XocKrd41Q40HlRGk2k5FNvTY
mSM3Y4XyhYofzg9XwZD2/vpZmpWS76H/ItkC5HsqGYQc8j+GNBFlELpeUF1ImrMEEKMz5H6P1PO8
E4YyVw+Ivjl/QRILVADAQT0fKjXUTR+177zcxpNZpRsxl67xlESDs69UCPkbKnqOvk/qIlYPWaCL
fnf/Vy/XgfzRsMtwLAUOIRGg1z9azxEhsCdIZTEpYvKx6FJX2zYwyP6uoqiqnodwsN7ZPpGGrtQE
ofjxLpcQ9MUhMruj1ff2VF/itM/+Ju1x860i2urRS5Ku2XtBP/1471dyB0kMBuV0CB1LPJEDDTab
xqC5iL4uH/VmVo/UwcW3JFQ7NByNNQWN5RuXLwT5wZmFWi5g/qVoNPPZ62WO5WYI1D3kEa7F7TZ0
jTw4lQIzrI2NSOgXe64Uf9C7+du7vxaMIUIECDVS9VjqwbhWQYFq0OpLNoy2uevNynJ9r6u86HEc
SnWXZBY/5N0xJckJ5BvdGsopiwNNWl7ngWPhJjZl5dd41GtkuVtX3Vhak3+MXaV5uR9weZxwR8o2
jKzCkhPfvKwb0+Za1JXpIlmxx4wG/F54oCm7rFl7DtzuEd4CIKI4SSgb3ED7qsDTG+RCxstQacau
Ns3SLydPPYRF+M9MYXLlMffWl5HCEA2cnWT+Xm9JCfEYDOjplwLdy8gXsOK77RCZ7Q+rit+ruYkn
ukw3JBZbNtkw47yO1ntTbLpgrw/ZOA87R8+/DZDLtj2qeg9p35krnczXrfZn5kQ8aE0kOLROJfNm
kTm5pAsDqNP6UGpDBJM4Mbz8qe1cr90AwMpgUulxdRgrTCU3YVEY9L8UFH2OOVygTzhqehGKj1WR
buoqdyGqNPrw0dVS91utiEbfBKifflIbTyn8IldGGs/QG10fy+hsFybofAKYVrpdWEAcp9Ikisif
QsT1/Mip8i/3l+jykn/9VFkylygKaICLc47EDvPWvhaHoVPEU9gkEThmtd7TCStoDuG/M9qUeLXC
zA6OF0wrF+51eGRlpEAk0tnU2OjEcLxfz2yhZa3u0ojaT6OdHgM918+TMiQ7g6JLux0UzLCVKS4A
WVjV9zBV1+TCF+i3/34A6BFYGxz48CAXC9mxai9MAf7tjQZf1UKHtZxos/oSAf3d4oc8P466a31o
9bw/Ca0JdzVwz21iK9XK1Xx9HP/3Q3DhoSAmuXT8muuRyOuoU7zZVbELDwADULlCQzJEQberm+4c
wJh+rjsn3EPvMA/314D8q/9vuXNgyConSYgk3EoxtcUYzNhwg7iI9EPq2OHnNJiDh4YsfmWqr4+M
1yh0BLniKOBTBVqWGbO4nNXOnI2Da/I8x7FSe9EmXWy9JFgrWFwfhv8bik48qTkNYx5c12MZgKgq
ncg0DrHT6R9ipeUKE9r4PQhHdz/PwVpadfNplO55biB7RZcNsa3FALpK33qCStQhLnqYMCq8F4xI
lf1A8cC/P1ev4pJXk4XcJ1cmSQKzBdV+sWOskLscp0D9IKy2fZ67LthqiutuoJpqB7VNfqV5VJ14
JY9fMECcN6EVuY+qG6ef7QLHJXK85sA6BCFhlO52Iuk6Tza+57qTxE9xlCsvs50CYRqQcxbQDA99
6ObQoKXJJHoGu8Lu6o/3v2nRK2a+5DdJiQwOIvk0XnyTZjUTxeZOP9QIpn7ijk7QCnDmo5EagjI0
KGrVLPqj3gvFj7LZOWaFLWjGKmLnGhOiBi7qqvd/080S4idJFCOtLfkSWA6zWkWa0dNnOrhGan1A
gfljOzXTURRIu5bl/Pt+tOXmlwNAlsDVRmmUQVhs/tKeR1qohnGAluN9Tj2EzFgDVKzVRj1Us6lt
athj35OKo/HdkWlAkQaiSEcxePlYTiOyNIglxqFia54jDdBMYkTBxnGq6ZNqxMolamb9FCjNWifq
9pshPVAOgevIeUfb43qTGlYgKJZO4TGjXrzV2q7fGwlWfqWZ8bx0RbnLshzf3s5YE2e+nVsybD5X
ymlbPC0Wo91XViFAuKXH2YPfVJVOuSstI3pMXbI0xLnW+EKLeLTUpH+CzF54THD6LeJlo4nqTFjB
EDIq+PP7IVXIzHKed66H8PE4I3dKibU/3p/a27CUtWCwca+zqGADXg+wcGLUlW2hHfPAUHCBxLEL
8/RfZj2M+3gO1/Bfi6ucr5Qlb5dJtSCuUjO8DgfZoQtNpKWP2JGJbeM53S4te+ObUcTRD0vx2mM6
uvaWkVY3ObO9ktwvltNreDTj3P8My/k/1+FtTKK6CbGGY8Z9fu5AK27aWBkOdZV8iPNW3WVx+h0a
o7G/P8rX73hqPpQKALmQn3IDcJIt4oaFGntNaGrHrA7iby72kL6ZDuEz2mf6YTbI7mj/5isZ6ptB
KZACvpJ2P8vTSY9RxHO9XD+OwjL2Sm67SDJwYJpNBAuf59y2brU1p9E3JhjpGbYLr1TYEDdiWGB+
7Tk39WMEvOyAPWGwSTStPhgJuhQ2jyvfC7rmGJSltYWho/++P9C3y5kSu2bwQIYbhlTV4pIY0HzV
49mxjohAj7uss3Jfd4bk4EZWspnV6H2egXJi+ZHwB0n/qSHewNinWDfSoU7tY+KOrm+XrvsUAeaA
7lkjPLlyrb/1cagYcatjGiif49erF/2LQpn7zj6mrOEjvs7iSR8kenIwh685G2cl5VswD/77Oih+
kCw4eSl7L3ZrXc4jmiixc5xhF2zqxJgfqmHIP+llICvDmnEQkV0c9MzE4Q3Q5GHiDtwkvFwPfd7O
D0mg9y9Ngrs6b4Ty2aiK/Ll14IpUmhb5YIJy4CgqKdEQhEP+vlRSTg3vMx5m/BuQxhLoSIm1N8og
wcJZG/Jnq8st39AQ5q1Ft6Z7c3uscGxLFxMV0QOydP16YuY+0IrG6e1jXbrJ0dNhxmjAUZ6HxgaC
ADXWL7PY3cc1qo331/siqXz9SMhsXFE8GKVV7XVku+GGjFyQPDioWH/NHj9gUxs14juFpn2+H+uN
5Wf+GWuxtypUW7Edb52jE2pYhjvQ1Sens882XAJfmL1zvB9v4RHD8pMUdTBhQMTYXxQsrj8unqvO
DmjBH7mauhel6p8LrUu3ehO1nwfhRb9qL7noXWWdetRDNki0jXsSFUlEVert/R9zM9AAzwGDk7dz
WyJNsNh7To8ztAq5+jg6iu2j8Gyd4Ws+Rl5jfHpvJJJcKSELHhtjuqUULxA001HIbknP0TlQklnZ
DZWjn+JUt995oNA+IwQcCwaXBtDyozq3ncu68LSTbtf5pWijn4pb/YqzMX/RcnXave/DZLOOFFay
EamZ3ogsYPRTO2FmmJCPbNMXjZc8eAWujVmfrzmKLa8+QvFI4MqTaDB6hYv7theT6J2RhRGrzbSp
ptaWa2L28zbQdtFk/C1y01l5oCy3x2tMXkLSRRBmmLpYIdaU0Jc0G+sUIcS/15tS22IuWvixLeJd
O1Nruz+cy0NHxpOUJmoiIIE4LK93R5Oh9V/wKjmBK6+3nVYZvjoCItxOFEv/6RVk6dUx92ZIej1b
9X5w+Zf/8cBE9EAGJzagZ66AZbNZDQqn60fLAkxZq9+NqlK3XSCwx7of5q15pOrAowOWH/8sjpwy
r6zOcwfrhGObsren6YuhQOFJHPSpEVcJH+vQqVduvbfmke4HxR7koG45NDYSuFWbxvYpMdzwgop8
/zGxvZQjfCp9PR/Uv+9/4/JkkUP5R7xlHcIsKt1OqSSdyrH8ooqhf0CucPq3jx13DffwViieGXyc
PMFYNtdLhpoSjDsxQGipqVRlbZk/OVxUW8nKWDnF3hpFOOsAxoAtSimX61CJOhSBCxDg5AZ9mmwC
O3T9Os5S8gZUrja9XRQr6e5bH8ddD+uOQpVUSbuOmIeNaWRqZJ9whRAHDhrlsdMD65QCUH13KISd
ZPfF5ZDWeBVfh5omo7MSETknLc5/ZZkxPakJHlpVUI0rw3j7UXQGZF5BO47n0ivB5Y9WXNcPblM6
nXOihxB9gC9v4FkySIXG+n3ACt64MGjp8AAulJVOXtzXH5V2STkFoeGcDL0725m0TXaHFqSaC2rN
gZ9vRPb85f7av10ldHfgSsKHkWiOpfHO1M24E7pzcGpDoW9seK1nVWhSBaAxD6A436e39vqNUo2G
AhwsB5zPFvdCHvTj2JAhnLlL7e1UiPDZMVNjpSz0Kp9zfTp6soNE6kwPlZLNIoyhhZk1mWOIZaCX
H5wsa/xmzvqXWJmmzZDk/VNV0zhwkiB6qc048UlRh8hHxjzeJfyxaZpeP8LI6ehg6r2zcqq+gvZu
fh+5I11LCRpa4onNfkSiK9OUU2L34aYBJvALH6j+QXTD16xEAUnJbGMPu9rYGm3l+FZeeAfLKprt
FET6uR/G9liMqXnUk8aQ+jLP9TgDDa2zEJV91/DpUIq/LGwLfdz0OLgz1PQUxQ53tpXYv9JksB9R
zUp3lWkOj4o5OKdizMdjXzXe1hKgqYfECVfuyze2Ei17EMmyosS2XWza0s4bEvVOOQEZHc9ZhGri
lBTWueWVuDLAb4eScHeaAjTAFldzmYrGtMpJOVlc0E8Q0dGdBtFzDvtCrIS6uSFtiX2gVUlHAIS4
t1hqGYpvKWIo8dnpm2gbJ4p+8qJG3ThRo5wMFz6faSIkdX/b3nwfQYEm0XIjoPQcuj4qIAhyjBhj
ckaCrDnEndUcDDfuD4WZrN3Gb4Wi5ClFg2ntUdK+DuUoEF8iO0jOSlviSDPa4+Ogj60/NnmxwhG/
OYz4qj9DLW7HLuutyRrdBHkzt9uISCt2U2REW8b/7zCkjXl/EBeASQ4jGc+VuCuuEfLFxYL0Jniz
To0wYN+Vll8oZbkN06ja6eOM149ThA+DBdbDKhxnPylGB/pfmQEQo6OgJ1rxwUN05/MU9hWCMDxM
yioL35vS8gsdPPAAn7C6mITrwQ+cotISAxkWjv/8Q9JZ30ZdC79nxNx7Zla+T8jwvxGhWwFQktYq
C8y4jofTSzigiZ/itNIX+6SYxVNSdIiVFI6yQcigVjaDHtX+TOpWbEazSS42lnArCeCCNfr6M2Dp
ANWCswLqb4n1091aLYpGTc+eMaPgqKgI5Y7VOJtPs57GuC9lwvtpN33cUvHJ538aPaDB4kHCr997
Zkmw4asiONVvuCaLJQmuHsHXyk3PnQrqcA7RuYLFn+8tdvdKqGXhjtWI7wFpBNwOXp9LrIVoyz4p
8eM7V2mmP4V55mws8Oe7SHOGxzGobd/FFuE5siP1EoQYft3fDW9svldWlgUY79Xr+nrqR5QFyxYt
sXOh9ePebdToXCZqs6umcvpk0dRciffmJFMg4koAci7l7BcBhzmYq7zPzr09GizwdADBMrf1ZvDs
KOPPyPJnyAChP2ed7pcj+jlsyjUfxLeGHUC07HGQAlnLlDyohNcjSpidndEZP41AwfYh9mlnM+u+
8l+Gb4biZb49NbFvtzj0rFwfbxyvMqsEwcCDmfeOnJY/8st2rsMpqObsbHZZQNGocZ8au4rPQCjW
HPpuZ5glzMufSilYWuoo16GqHgZ/P3r5WamjaVMOzkB52FN+Itr5We/idE22+aZ8JIHowK1BJ5KM
Qd5cnF6wzsDOal5zHkvH9dUEtcUGNWG4S1G5UYoCJZUcOqDaedmuN4zu0Bi1+5H2o/XN6c21nuzN
giP1oB7JkmOTcZMth7ouWjublHE8pk7WepsaoMgxo6nus9QqRELm/ClmHE5T1ZvfafPXhzhW/nnf
LqMUKuuUiEMwHBCX9Os5wDrLKocS5lhneOOThgPAxnLK6IImx3gZnXqtPL7MTiiNc3lQIeDy4Fm2
TBRwNCbZKizt7JmFtTXBwW8NXXQbDIp0RDn0zE/Dwl45v2XK80d2C0RFaj8CBSX74iJZ6iKZddCW
k5UqD+5UGudidKJnpVV7tP472rJtbx3HEreOvCjWCvRvRpaCGJIwjOTf4rgex5Dy0ARtTkst9VyG
nnvAKrA59SUa0gK9xE2rahEPGyz87k/soh7DN6PMRAGPKp48QZfF7gRhkainm/PYgI7apr0W7JNB
vLNHKaOwqUAD8hzlmbjUd7cap2m9Ys4fx1HrjpHaGpuwHaNH0aizn2qzcrr/VYvT6TUe9QqD56GE
wS6T2xy8zxBaU/6YuU6ytS0RHsXY4gc+62vt3jdCIUtGTQRSH3C8JcYIInrc55mbP/LKZZ6qMnCc
TT4gXOrVibv2QJRZ6/US9a6iLfYhMOlZaXLMK2mEGI4fC8iw3WBntPHLTyTyxjM3dP25MoX3iLKY
scHSWVvJPxfnsRxcWVfgcuFgAte0OB4HnFvSLHLyx1KYebjNUa7yIWwan4RhXkwlRxfz/mwuD+T/
IkogB7VZWc5YvFWmlk92JsbYCufpklrTI4ZT3u+iU+pzh5Ee8Dey3CrxvrWeE6h+aFHpQBG34MdV
ayTKBcqZk0l+P0903oMIn3BFXJ+FXdQ0Dd7HxWM6WwqdX5HZfl83JkTsFEBbmzAbuR4e9MHJfSXI
2nCjwTV9BFjc7KzIRGXaoEoYVq79tStRm3RQCTC2QT5pu5WBe2u5aNSZ2HVsBibt+qe2g0bbXFGL
x77HyTKFUYsFQGj7TmCqD7FCptKCj/tRu435pSkTYxe6vduvTN/iLH8dL/nERJ5dlrzURcKUyWzZ
TeziUVWtGUTEYPU0z+3qYNV9ugmSVtk4evrOfvJ/UaFzO1JTi6fSYpUGSu70bs4shanhPAFf/asY
9RKQyzTvevCkfmlG/5a16n6ZRT+v7NO3DgWuyv8XfJEdDUE9IjPRFI8VjbynFiW/LRw9+xzr1ff7
U/zWZiT90tkcUMXQLrmeYbdSgqispuJxqoPiB7DkdOek3UANiIt6k/MS2t8PeHtVoQYA0o6eFlof
N90KYSdVR+GneBRxXX0QEX5nQWx3h2FqnxEsj1E1dcfPPTO9cqa/tYzAutDTU3lc0aG5/lLVGKZG
TbziUcFj5hCrdby1BtiyWu5EF9VBMn8OQYXc/9o3gwJDdlBopJe9ZLEihUwPZArLxyju5k+J7VQP
RoghoSNyax+YofgYV/aaSPISNvq6dnlfSL1EwGHcm9efWmZqEKZjxfKJMvPnhCD/kZtr2jV10rw0
mvUbe1X7yW2UbzVc9kccPARFZNtYo1G/9fUIfEBTIDGSPbjr3xGMWoKeS1085pmn7c3J7n6pkUdn
esjiH6NnBQ9T1w0r8/w6kYs7TpakgHJSJEKSeDHRgBLcdJoo8+sCHXeM1ZVPdWdB8HeT8YsxqWrr
h7U6/8zNzNoDPIoOTuxNTElZnoKgrPY0e6MHJm6tzvPGcCBaTfmXi56XyDIRr2waq52dR4/0clBa
6txp61jC2DkCecRJc4PDNGXD4Z0rUF4ypKNsN5AiN83PQKnCPMWK57HpoxDHKyDVG7UrcWsgGcif
+qFDR8YS9sos3HwrYUm7+QPkETn/YhKq0FQsmOHRY9Zq2u8MK+kTcJX0nBXDX7E81IxxWstFFzGB
IcACpnrCYqO1gmbF9XKrxiY1hqwuPlR4vMQHEbiDm21A1ZZW6dPOc9pnNWi7bO/p7WS/r2RFcFnb
RWoE3BOc3aXtejJHOQUrp/tQ1nN54R33lQoXHKax0TaInIwrl+Li3AYKyeOSJhC4D8kIMxblya7q
bas0rfaF/x1EB0tysFJ033G6OYJdNJ7vryKPoftjTxEOKD5ATMnGIdH3FrehKB2z8IzBfFHxTfNH
nRdMnqAGYCPVRqI4jbtBFVivR1nxkJaD8ul++MWl8b/hWVK85OU1tVhNYAggdRux+dIYc7Lz+rE/
KblQgUNO3jYZ9c/W4Nr+SNV5ez+w/Itvv/v/Ai++22hCo43Cynxxk7TcNmhgfUx03f18P8py4f43
ujBj2CioOC7LjyFuD2ZdNeZL4qXKX6KH0Kjw0txPrhMeyzrzLrkw+pVPu11BTCkCSFQoUEECZXu9
W4TXpKEazubL3JbDHt84e2u3IJrxQrM2uResYT6Wt9LrJL4KfCOowU5dNn+y2IkLe7bNl7qvOr/Q
7NrHBg09eqOctpCGwr2diGSfoe7xuUTa1tcjVXysEXBZKcEtsiv5Q14tGgwySumfICf9j9pT2riT
lsaJ9RLZYbGzujo+6w1s7rks16Ra3hhkHLTgr8B9Ajq+VLmyw6wGDTZYL2PfPddOr52N0LJ+ZH0K
UsoZ6zXK7xsricYPZVRerSBel7iFQm+8YBad9TLBrT4Weef95gJQtgMKHbvAnDz8AM017sQbu9NA
iwYSpDR74+y7Hk/c64wk1Tv7BR89AKVe0p68sUMAu2zNxzmAT5GW5YupjtOasePyrpdTSbWeNFIW
lSTa7jp0MOAB1hWa9VJNEGEzu6aFayKuHoCY3E+BioNlGsY7y8F3iFZ5ty/BAG0iNGo/BG1i76Ki
Uo9NKNaA69fzAG6Ei57US0LWeeHxMLn+XVqSRhG1GvuXJEp4F4qdmX4JYlXU3jYwDAC/fdEm/de8
K0Prfar9r8EJCzca3BM0kyV8LRoMqqvYmP0aKyfep9gxnBnEaJvazhoJ+vpe+C8UfQooqJgrOmDm
rr/TTMhYXGP8H+7OZDluJEvXr1JWe6gxD21dtXAgIkhxlEhJJDcwiaQwwzG4Y3r6+0GZlZlS3s7s
bLO7qLuRiaKCEYwAjp/zn38IX1Zoaqc6sIbjbNfrWeRrDBiMAH1/VJnmh5AoMFESYPqXTl0gUZ4c
utoOtsEtQSH1/fN7tbVo4O3yVS4IRs4ibBbN27HPJ/9T1efWnAoD74DtT0rnD4DC/rSAi1jUgdpy
6uMm/f3T2kXfrsrt7ddtbAwUclHuVwccqfz+PKiHbhoTCESmvnMQHYa30EDN8nodm3wUrp1CecdG
Ij2olAn6T9qu7+sNr2gPOMauG7ibDR9GUd+/MDouKHt+Yb7CkkRe41aVdSzTVk2JNzb9Q9h2058J
8b+vpuDYKOCRkILm77zr35ElQwMbvynw8q/AHSOR2cv8gVjCRVhNk7/8lXPy56faG5E9+4Zm9ofC
nSvNDUek/VfEeoVzWUYarhvyprC+t+wyuF2nnCxC7rXA+5NP/Mf3lSsdEj0iCQA6rDh+dBsA2yZ0
KlrKTFRToC+KsHVOK/b+jigC3zjDeKD9M8v3372v0HoxBQL3IAOSyvrDRzmlxEI1UU5+rBGwZjcy
5cVdRlXXpsxOf/zGfl/BeWOxpdlLN1gHWz9uqu8vG4MaFhiqHzJRen56JtuGvX4tZ7F2VnEzb4F7
g3daJfJga87++Kl/985Csd1hOS7a3Q/jx6cetgmcEINIIsfdcL2WDI0xKV8dQBNWSHbPJvCPn/B3
7+vO0Y9QcyGhgo7z4/Z7LAwNs6VN+V11Wj5hftj5AsqYvmy2MRr/pE///bP5u04fdRSYH3/+UCAr
qwQ536o5Z2sM1xCqUdWIsayjSMycVH/ybL/7HBmBWPCQQUV9wm/yh2czNzfbMrv2c2FmrjnzbHiH
isHLU5clSO1VO6MXaULkrfLKWd3w4Y/f2x92TVxIvLM/mTgAGbLY/eEOnYFva2dy0lywCrFNrIWd
ck26uQnrt3KJSPkaZFYS4W0O4UseYvkvKhWZD0qN6q8lgPFa9tTf3emfPeOei/zDa8lpmbcgmoNc
6MApTtqu1YWS3cRHHrTkE21/5srwu3efFSOQFjFuqLcoEj/cRfakswV0EsVCO6vxPetUfcRryhBu
XafneSX1u8x35sSjE/mTu+jHfgO34z2mh1uYXxuQdD+nf9PSEnISDGEz8dSLUzaPa9O9J4rZ+SBb
kxVyYK/nFebzf1I1vjkC/TodsW6i8aLlw1QUjBTy3g/H4JQWnETSMXPh0siPd2Y/j0syLM3axnzt
3jt+vsizpV7sR181xTunsXX72a+t6XLEnXEWnqzWD57ZFpZYgmbtLouydR9g7nlXFuY7t4PO0a8X
mTcbpxHV5fJESZwvlYnuOFZ0cMNtgIWX/mlC+I/n5T+zV3n70+8w/vO/+PoZdHMoslz98OU/r4rn
QY7yq/qv/WG//LfvH/TPm+l1UHp4/dvV527821G3L59VIdsfH/Pdj+CZfn4lyWf1+bsvDq0q1PpO
v2L49jrqWn17Ol7z/j//p9/82+u3n3K/dq//+Puz1K3af1rGy/r7z986f/nH3+lRf3Nz7z//529e
f2543OXrl8/t/+URr59H9Y+/O/4buAN//9v8+u0r7w0iM7rvfRPIKnBXT7dyUDn/0X3jc6GAxe1y
Hljq1P9R6m/fct7sQwoEAM43cCJ0Yv/6bb/7hH79xP7W6uZWFq0aefnf2DG/Xo20oNitw6xkU8i9
RyH64R4Y1BRKsC4rXvxCDYdyqrKXOnKmPG6CsLoyjSUTQamqxyaQ2N8FqHoTzeLpKQiRRx/qMpMv
JARbaNS6uv5QqDn9UoGIu8mAhfFtmgaVG5MlkW5J0zbtE4J/Jex6WKQwK6O6JJStao/Z0GytaEZL
b2I1tmWg7Z0gVE9dCe6b+daMqXGUzl/x5fY+tHVU3qNQq+7TdsonPBuN4E4Gs1sJievIJcuw+b5Z
VXFtTHpV+C0U2aUeLOUf2RuleeL43yTWizkIWGTDg3KsNI0RfEcte0udXSOQxQw08Ef/g54Ad5IB
BsJyQuLSdRdQXtJD5OJtJnJdS6KVPc1pOKxz9ZgV3Us9DxUY1ioPfIb2cOgNfITF1JghTpK7N0FM
EKH55G6rcxX4i/zk5NZ17bVefjBcqGJxlVbrMSQr5tD2elcn5BgnGKHq8ZmobVAx6otnsSFfJz8e
F9N829VT6xwdu0GWWZvZLNp6AikMtcWepx17xxBOHtYOBaYtFcpc8gNa1+hlnDGE+3FOFvjdVIbl
9Th65o2DWMHgl1vHUdQywm3YVRQELGLxBj4FI6N5Mbbr034URSds7txFpPmGFXoftfOhqSVJIlmm
s1tGEB+jOSsgVKjA7s5M+sDJHxct0zVu/RHD2HSZAZLBKCXCq6Dpz7Sl7edaTtXJ3KK0P66RVX1t
mGReyEwt+7fbMNZWXLWG/8r71bPl6fWe6drnSsXB2pw79mK0oot082VYyfE9+pwd3cFdogh5SZlF
zXEoXNSFu1Igj4n5YqMwbtYomC4cL8nw/783mQe/Sgc/xhixFHYDlVeN9263NXd1sCdvGqXdWMJ3
uv7tsHnhw7LOnnsirtkcfjqn/l8U1u61vVPD66uisv4blNNvJkz/8a8C9rtyehhnDoa2+G0F/vaQ
n+up/Yal1Lc23IeYyRD3S2013+yrcviQLLBBEvaq/XNtNWzvDS7XnPYID/Z+y/u1uBp28GbHgXbW
zTfSDZSbf724/0l1/Tbh/Fpdd+IyABYsVV4MyxUO/u87DCebHLtbUgPCUIZsubt3F2PiwocCup5w
yt2oHWQSRlnrCq1LQPixLS7msq8earOKnjAqWZ/xkh7xncE0NqEk9/a57IqbSRu+WAnG40bYvTDK
/FPoF0k3FV9g9jhHr3TftgoGopOGh2YaklJ59zyXd5I4mtvrcEStpxPS4i9KWz/oob/VmePHa5jn
ibvYZDtNzb2jWewjeHY/NobfH3KzXOskU6oxD6mxTvrk1KHK78vGTl+GwlrGuHCx+71b8ra2qSr+
ZDNO1+GdbOr8QNxxKUzDy9aYZU5/nbXs6pdiULeG17CVttelwZ0hnadRLJPXZx9t6bT63jJGggSK
fliRZs25NSF4x7NFGOM0qWTvU9oY4p2BzBFmoleJXbAK+51N/JXMrf5S+anB71r71fRJu84aHfwy
8E9o9KBUdR2RlAd7WOxCZJ3O3uWuN1/llKZaEIQRiKFz5jSxHbgQBza/2f1mRb1mF9Pqk50GGFhI
SvuVK+flo51O0UFGfnM119aJ536nPbmJ4FtBXE2H+cUYzwgLwIfajA5zlfIpdmUvDDlE54ap8Wm0
x/SsD4t4BohpyyLJdH7m4tN2xCuoSuY+cC8izgqYn6I3S6S81X0f9Fkn0uEuMjAjKKZtexdYFRaN
RvEJP+D8yibM4DQUUWTEOH7bbaJW1+zifs0H6xMRq1HzITepsYNQDdNzQo6NWhMUck5f/S/axJt/
szrFlL1rov77SnVHf0U3+3lQr9/1iz8/8Kd6Zfg0b2z19oEd2BfI+ZeCtX+LyZo2EEYvAj0ELb9U
LCt8A0UNTj0kJOKCedgv3eD+rR3F3bmK+xbE+0vl6vuxezf9gosGso9sFg45QN331UpBKMaf3XWS
uclqMXD3isjrP3qFcGX3UWUGxBHZ3ut2nROOUTeuarK5AnOZjoU1nfsOjceq8+ZPYKQfq+j+uki7
wFAF4Jp8zh+Fr2wnF4JxJyfpqnkWapzaMw8vUF2vX/K+Mw5mnT4ZijwgjGRuu264rdA7Mj/Kj+tm
roCLiHo8Ixm68APue6aYuxkZTXYVkQV9icjVFNQ5jwzx8BYnoTEJ5qA+eNXUx8PglEd4/m6NfcnW
CZpZSceVn2yEqn4IKmF024pow7zoNgLdv11Cf+nc/8M75bsR6994qNrp6//9vXVdZK9D8fm3TQBn
NF9+G6osZqWAG4rtFEACRt3cpz8NWDbf2F2cdh04y07oDb/eUs6bXYTv7Ojozl/fId+fByz3zQ7J
I/QAHcA4FMHgX7mnMADlpvm1BcCSc8cGobfyfDsX7Mc04KAebRfMTNRTWXTLaTWXshaOLc2IhEhz
Da+7IGsLzruiyq+0CpRCxVVDQy3ZwVfY8PktS1rbH+4D3Rbjfg9k800kPYgJhlf0+6mlYVS97XDe
LiOwctuuJY+oTCexRi5LQYSKwUrDDobyLCDBFUjULKV/5bbjbOJIJg0psiKdfRH6I1vpyMrDIV4M
S+4mIBbN/ciYg1EeVIErlyyop80ofE/0eh9smHDXKxed3lNVFk6JLs5eJ3r7prOEbNx0Fu5cFbWo
wizoSElTeUNPMDdbjOFEWcTOXEZDsvoLbP68DMiAVUXeM81MvvQPvlmgbTQw7VjPXBzrHqKgIk0p
d6V1UAC7N8Omos85XPYHmanwpUvtaIjH1SPPmr6JrgK2jOU/pDZP+SmzeuUBks5Lc7XaNfT2eapq
JkjJQZ5oSnB47iIplneszEmE37pttg9VsEVjHHRBuB3MKQenKz0dfpRydKw7T+Z6u0Jgqi8jPw0X
Pj0Do0BRjHp7i4FMP97AXDTrc7tEwQ9hyK4uAAEXJeQ4Lw9tlob62EdhPo+0L236kSI8ucc5MvLm
bEwB5ETmY+Zx6IuxZ55pJa5dxFM+4+WR5rFpr+5HUtnUo1kowztYNQbJOuy7Ps67Nnwe8W6h+ZuL
eTwNhOrOsWk10hVt6DWmCEMsWEvPM2Zh+QRXHwfYVivR3MVYC5zCEDOCLsB5XSxe1skb/WUSjFvj
mZKG8ZJPRjGLZS6KCysd8/eGKsavIPQfFLnUAN8jo2GMHWdH8mUZFnd6lm3BG1T1x5ollBMb2zAY
wt9s55Mtl8oShII3qwhWz3uv3am0xVRqM4sZ/Ki+U+1HhiCHDsNFhQLxYWlBNeKl1+2zrYyCNaoD
q1psvrexAvc9XpuF6Pdos+ZqRd1OWxVjMj285naTPqdz095AaLa+FOZGhvKYyQVvvqBvp8SfUq/i
z2J+op22e9g/pj2cUjPVnSjWyJFCLwQPQdjpbiYHzED0/bBsbDokkV/mkHqM3zmeLCK3i1K+RVbo
jKIgBryAKTs6M+F182oK/G+s7aGusvS5mS03gMUq7fbCCzUN3aqbbrxrM9vNE/JrcLbCGrq6tUrP
fp+uXXVpGZtKk3yozJe+n+wNNYq/AJUzyj+UXua/U76KHmQQ1K2YOisozmXtKBLn57q56TFprERT
2ylM94IcljhSYfbK0WYS7jT0IaZO9bzZ8diHZLl4jpzxlF2W+sOcZ3lEEcs3/aGUdfZIEBWfT1SX
2OSRAEAUk7/OFL2lqG1L1IActcidsKc8WVl/FYVl88G0ebYD1hnrx22dnfxmasbB5zr0dfV+WNwh
TcAh/CpJwy07c1GSzScgfE8dWBliK+BBmV9jTShAljhGje+57H1O97Zw6wLOFhJzUbH7soURaSLd
3JblGgNSmZvHos1yLTJZ7b9dVBgyMVw59fy+E5wvaCSukGwzMXHfwi5NwsFJfQy5jemRLFD5SFKo
rcU8Y3IiDGLP5kQthbOJGnZayZ+ZWoQfjP5NPbbzlzFUw0W30GyILPJaJaq1W7pk9F3nPRfsYh3W
FK6fyEhVmw/F2vt1UuxNX9Jxw7XCcTY1x6mrnTZe/bDELjXouvwmzc38fKg0K8vNDrL3BTYBSiwp
C/vW7qnJvctHEK610Ygm68fmKt38VsJVqctG9GuZ6YPL6aMJlfXK5giYo5iMUlC6Iuy5KHSR4Yih
+ih4P6YgeMLr/NxPasVJx2W9FI9FYRYac5AWiIwRuLgnWEGNAjtG+TZtbGs8VFnolXHmdqkSVFOT
7sus9UDEC8s7QRopRO3FIlcrqTOmWUwy7eZjMeZpmwTKBOXq+WPFK8PsPtqFZH4ZdMXFNxUmHqp1
23iPucorwq1lWiQQZbf80FsdGh2soN2XJYKzKjjly8fQS32zPXfn0Zvnj6nfcEMLPPqtl1k17bXe
toIR1NqCc2+smumUFnb1FZpUfe0tvvfBJu7oEW3Z8Jwb1MJ4ldJ/sYjfTBnDTfPjQqzdKpxxkF9d
DBpPyxbIi9ratqfCsvVVlFq9FHkqnUgQHzPIpO+xL2OqlRa8k836hNg6ywUwa8WWi0c/pL0zSwH+
sb2vCmP7WhlqeouDUoENE2P2aa7hZsT5FEQ3rt0Uqyh3TqGYBptoMrPPJYzvfLLOPR1wzei58imN
3DSFSPU8Odwok39fwVSv4mpIg0nUqav6I8F2nQYCGPB4mrzKvMrrPn8eSS8PxdJ3jht7db2G7zJn
s+p4LGBsXI9KdVlsZCQPVGIpifkGnqymwvlcRabKeeBGqMDFbGfNQo/deEsnbH/W4WUWEUNy6WfG
VHKyLFva3vt1oZhzw9LlGqiCJT3ThE2zmIuyxrTOVwOI892w9qEVB+5QQ6BjrmohajjdVSj7sN69
cfwBh6HSeg7CbJ5frHXN+ktZp7WRUIEbKlMd6QLzlQrnUB65YryCfPhLVhvlHDvm2owppchNYQdq
Mm2SbVFmej5q5ptP/qYMhGnG2Jb3ap1aScQj6UVnaTFnfiFgEthW3Hgrb0yk7JWPfRun9Em77kjy
4NxGJJxqGQZSTFE9uSGFq4769jh43mS+9hVlTKDLt83T6pfGvCUTMlzF3ids3PAyIiVr/aqixayu
RwrEcFRYDQ5XRZXJ4So1qzLC1AZ9j0cQdKiXOdlMnLmP+dzp4CKrSgcYmlCV7NKe3Dr7IgdjiJJc
4VfMR+c1Cgwn5YXauU7nsyUFMIHTvmSO+6IXiKBvs2paKyQvETKigUbaOIEwKxND25WRyVy5dnHO
M3r/CGG4qmMuU+nEzuYX1kekR3ZxyvqAJpgL2VsguZRtKFrPm4telHbfB4/RbFkPoGaLfWpCnX41
NTE2p7Yq/ZUqURHp2KSmWQp742JOiOHU6ojXYoDNQT1U6znvOcut1ZxAx/yh7NUNrEuzvshBul4N
GuircEmDp6BdzeBohWtVHK1hxH/VCfGlPsxt0drxFljpFkvPzzyyLYMi5E2b5HUHAdw5EHUDeiJ9
L8suCeTdp2DDsVYR0mQvAEZB/4WaUOijN40hl7qFf2yMKH0Kb1Sguc0twHj2A7QdPd0ayBvnu93r
A8pP82vvmBW9e1S09N/V1jsHX7PTF7LNqzTxrWCp6UEmVZ9oENxB9N7C/ZYCCnUCEVL6wY0KuADc
qv29dOmmj3oNIEIM8+yOcZNai3+A5FS+74Y1/9raPgB/Pfm6ERG53heqS5tejLTUKpFt4GZCDqOW
Yuz9mTzzCGvCt1a+7w+HwMw/GVbHrkSTWWjGUCHLJm49XdGq9JWZ3zp6yPR568liob1dtbxwmedL
seYpBj3bjCvSWTRLbCvIottcMWmNfKRfBtbxksBy+6KK5MoOyBmM/DDpgEzEEg9vIzFMPgWcE/zK
O7hyC/O44ofVCVvOnGWOS/C6QHiC6CSbxzVIgEjnVeDRPWO3tNV00SPRvhmO39EBGUdffunqzmXL
0WcGwwUa3m5LNt8a5Rb3hIGEOnYy5Q/7kknppRebF3TWdGTsiLwaUjrqbwC7xTHSA54zyo6bfpyi
Dz6HaHqsKqfAgnpYU++dN+B9o+Ju6nhLY7ctnfEDrSfafZENHVZ8/wvE7X+4mP03w+UIKv4j5OBD
9pnV8m+Bg28P+Hl74IGd4VMBD87BZwSC9i/AQfQG9QWez3j5QEDZ/ch+Xh4ADkBJCfaQO5CyncP1
C25gWG8gcULSBWjYN7TMDX8FOIBw8R1wQMYZ5pE7t5nXQa3/HSt1JjVwhLHynoq4tedDoUKDkUzn
s8izxbgiPOOOG7LtYoNzbQDG9uwreAVMSEQh5I/GHAzUbX+mUALlQe1Xtq49Eg4tzFqMICI5py6t
GUeZBi41WAJ7/SQvt/nBrKW3nnMAr4EIM9afxAgV6f2k1MRaoCc1T1hm3nxe/QbKWpa5uMn0Lh1H
eiKgWoHRcfpM6bto23AwoDbO7WixnYQ32sWVbw/uKU+7jkNS1qpf7+Y1y+uLfSqK+8lvwBu8eeWl
zl3RIJtjvXw3IKAbTuZAZY+neZpKwRAo88NSbQtpfYXqGYVZsTaiaKzmYdZGwNw8tSZ3v20ZYZzb
aclBYrsPvV/01xXhvA7fSiF/sB1u11iN2ibkaKvhxJvMzD2hRvYSiXXwgTqAhzMOHHMu20MzQn/F
D6SlR6R0PkNJHnZ0ccsKMWP0bh2n2XSeHA6zD8i2sjgPOZmPGCf1wUFmNhPRTLz1qTZd3g9kgB07
mAIXpNNQh1bxiA9W9UycVJ0n9dZv46dinufo0TaN7rFc6qpKygzQKVnzqT5Hv+jOh0U13qe2UNvn
YCH0Qhh5uzJ5N8XeOoN2LLFBcaOp8soknW2SEQNUaqmoGqe6HAKrAZ6RA/M3i4Qtw962lxRFUI+b
GYHWkAxc9VBhjYW47MZdN6ITle0m/dws1ZnjLO6STL2lKH+5tXBojfuAG2Qhmy/gNyySIqsNGYXL
zdLHqqlwUDHY36ZJF8F7Er7nbsyT/QqctC7eaMIVYOMniFKdo4PVOjCeynXMX62mZcszZFvbCTTd
fR3P6eRjLT4bGzqdjMheMc5zeD3YNpATIArQEoIqlV/tdOsvVtdatwtb+4bcCaN4CUc1gzFEbV4c
ptGf7osmsN/PirAIzJSqBhX4oSq4A8aYRsSpQKjqqk8f1yqL6q9Z04MrC3v2N0KFioyrQ+Thgjxu
0x7+vZI7vLoySAZ/zkI9B0KbuKCcci43FYfWtN7Uzub4B/S1g3dlKMpBnEs9PQz0O1eRbKyOFTg5
4oir2sI7BA20zZgTecByqVgh4BNF8UKPGIA+aOXZHzNOdesUBUjYzlp2nN75hsX5yelK9SVVeXCf
bwUuYRBw63eE80yzMHzsDQ6SoJTqQgWGLuhtjOXM7uzMFIOOCox4veU6XAqfUPGqK89wfBlmGrNs
u5/n0Q3YX9nRV7PLqmu29dt6FRhhPyYD7Pc7ZRfzI5AZII/ZR3o9DCyiPs5mFYBa2AF5CIHbH/TY
ywEP1lLVIJN5d8mKsu/fS+JIMuEQD+8dSki4jx5H7N6GTM5j3vrlp74BfY13m7UiriqffjpMTf92
9m2uO68fgqTGVTJLxsirPmRR6qbXJbu2lh5mqN8Osgi7EyQMZzmiWB9cMkWLao0ZHpvqZCm1fu1Y
Py7jJQOUnvxj4FSSZMS0nZv3Zh7Qrmp6yc/En8sbFgx+m2RBvgWx2nIixUOlm6tSuzR7JGZT8py2
X28yVSkSerU590ePTAOGqXQY0zj1yD/lRxcDMWpQE8Z3LuZ4xoFBb9UCZwb2DaUVWmNizGNTnkHf
5ucQOzpMTxhG1x2YD5anpXAZQr6Ar7jq6Kt8ee6p8w+YyQVfzLax3vttHh4d3CjrQ7QM23grvY7U
rXh0UOuDA6ctySVF9OwxpniJDCBhvg3VLHHfykZAJAgY7cxOGTGKqHtvO7OiKY0OXtrxdixLCRmW
l+T7h7LS25MKGm6JIMrtLdZZLdvE9reRQQ6CkD4sq2Ps1ptujpq11j1mLh5CDEQuhrrYdGVZ8SjN
+WNHFHgoTG8M3zr7WwDiPICrQVZFJfbXNy7/f3ZKMBz3PuYPtiw79YwV5vPrCyDsd03Tz4/9qW2y
2WHSA7FQwVdi51782jaZb1xsslipsPPAFGp3DPhX32S/wUeGlQqyWtjgNFG/9E2u+SbkH5FSoTN2
EW//la4J7uh3XROSbIgd2MjuKx8MItji8P3fcDrBrHubWbamw5FTeEZGoXVZrvZr0V3n2fpQcopz
d60xjJ0ntiMPeW6c+/7sf94MKBltPrx4pL0Kuv1bwi08sFQkg2dOQ5nzhlTo6NHJDJtKaEFUsN5Z
KxHYXn+LnuSh41a6kbPKv3ptT6ba0MMfHUThdUesXq9lDQOfjqyrx/RAJF1xp1Qgb7b8rVmdj2vV
3BG9V3XoHtlQbJgYUPwid63ey3445KOdVGFzkn55ky0KsI0FgrVIG7mbsV1RcKKrAt+/WrjTEOdm
C5ep/YAD9Me+2a5UVV0Re5RR7XxRtMYRY4C4KYJVaNkyzQZjlSzgWTeel9tX5A5C9K3Om2jaLXjP
9VB/UJkTnXAriYvCfXYUbyAhyxZJ3Vl5M8r+lYhvDDjGLZ7SITYs1V2qHm54IF/ywnrpQ+Osg/0B
QtXg1mMemrCw7vt+c446Yz4mbvXOseBsaU332gzGsV7mT0OPwJdTpq+6Vyc3pkujbu8rGTySZv7W
A5EgXMJ+wYqQeB+EOstqvMMX8UK20SSWIVtF29VlvEOr11lB5LRK2/KouyKZu9d0MJOx+yrN4Vio
YHxtiIhP+jRHzzb2VxsPtuomv3eQsgjHHc1DoD2WDkOfeOg4X4KGMdDH9vB9btf3+fC+tvmHtE5J
3Cz65a5YwiCuo/GeCeKzYsFUu+VxkaxZyoGX2lhqOyIvbmJHgpt74UomEv7w42Crm8Dd3ITg6ulU
NJN1SC0frLjDP8LW2VmO78UhL6uDI1UQh6AsoguaKC5M6CbLvGc7WS7enCg+DjSMIc5JLPHMXmNK
MudPa8EV7Rg762UObj0jOyzZFF4Y2EAeFAcjDCD3YNmbLaBqK+6Cxk0aWWax7JovRS7PZ2sbz6pu
AOsKr4N1u9Gh4QrLnk5rz/Sb6fRsLumDfVLVy8If4wE6yX5OwlmUX2TQhomrJnJFtzYk1WBAMGlP
qf9oh+NjALBacFpkJZ12NuhTurzLZfCuHMdPc+1wbFouAKu+IJL3xGWeDCZZ8m5Q3oOko5Kr6v4L
iy4fts3mJ5lnuI9GbnD+SPew9MYd5njg45GhF1tEFeqezuYTMAzs5uVNnaePsh5BUbq3IW522ydd
2UmU5wc2CedWqe1kNIL82su3dySXr2dpaKU35XAGw7wl5W47X9viYEZDI4ZGvhoDOnnB53EIxi4m
CPEpC0xQbLiXHnB8UTx6E6iRkclV8KGghjIr94AXQlIpu49L2KVnbOK6M7ar863TeMFJLh2+L2Nf
n5zJuiMu56Ajk94ix9zTNw/mEHwl7+UqsmV2XZXbZ29Ng+u886I4lddhlbn7qqeP/WxIXFrKpYze
YiKKZ51zZpYwoMqG/kBvuPYtJZ6/JFFXl2MFB2nwuMVQlyRV5pxLl5DvadbPfV0L7RrVsRu8k4+V
fdxCtGfja4X8rXte7dxJQj2SJYmwaije6jy/Bah3yUOQWDMvnyOVtwcyKxnDJvOGGThxLeMiJe5C
FUBRkYboPnDLZKxMSF4/GdHyZPVWLUJ7W3LhhOqMNSfXiu1rHDsdWKrj/CksSTKY+0ZoYE+xbsFb
7PAeHDgb5mZgD1eu76dq5WOtjDO/xZuFfy0uWACfQp/131qPXlzvdlS1EqPXz4kRBdsTXOW3ygme
1qa5WEgtvh6aPQzXa1jYqPWR1IXEU8sl8PEU4yX7HNE9wxU5Am+L0N2ujBxaDG1aEA/SO8vUeFvo
GXLeSKHv9HRvppOY+y3u/Kess+izut6DHHwKNuNhyQMnzpftrDcWkZvj57APT6qf7hcL7vG6fDJk
NB3Mfnlc9XRVFn3CzkfIIuuTLTeiqyyY9XXttsZbOMTJVpQLbIMWClg/I/Js2/ZZTkQEQLvLuF3n
zwTJ5AhSoZCNI2YL1nTgXf9qTQ6xw31r0xXarAMWR/jZxzlbyyvgyuWp6KsGLbL/qfXZ2sglvWWc
gutHcItd9yJFgQZC7GPjVvfqNiQuz21y/0jUSpasECDPlyjgU0TtJ40sOrQuR6Hv9zcuBmRy+VJ7
/4e989rNHNmy9KvMC7BAby6b/K28V6ZuCCkNvYkI+qefj1l5uiRVVmZnAwOcbsxNoYAqiaIL7th7
rW91Pfve6qMX0HrzvI81rry9nfUuG+ttBzEsiEzl0RUk8spor9AMnmaN+zVpBVtgdzBC2u4nWc7z
HIgg2xQM2RnpD5/abHbCjBozghx5n3idsReu+2lWndzh+LFvdTDc1wlaibA3sIiEBmPLY9EJe2PF
rXZfMvPe4qbVtg0tmE2Oa3Yr1yctsNP2gcin7lzFRX/l6NoQLlklLty4kDdTmmtwGzNA4oPSr5PR
T7/GZleiVZzrK1HGdXqaaonaB0FHeqsxoZpw+8U+M5RadlU6p4+t6Xjwrlrak8tivQQqjs/YwkhK
ikJDAjHxtKLDNjCQcsHq/jGhD/EshWafCCuIGZO5/YlKJ307OUVx4w+ozMm+6aZIr0kiBydZ3hRL
bF76mpadlIO/yU0aJU4pnUOfoTNktsZ2xUob9TXwcYHrKFgRcsfFs2vn00aYyjmxq0pd4nA2Txdr
ftaCuPtcBAUzv7wSd0Gv+g0LBcvuJE9o748bUefjNQ77FDYCM3rGF8wdFW6Io5hhieWdWIfTJpQf
fUzbUwt479Z2hH6pL2V6kvBWs65L2V05VSbOdQQLEfGOO6d/hpATxUnAx6muunIrGgjdzDgup9zH
4iWFu7JtpJTX4xRoJ6rtlnDqTWdvLOk4hLlrjxdB3qLULGIVBUsGJSWxkyDMs0AytoxxNMSZ02z7
MnM/dFMyXaaFeO6CYNiUSFFfRsdEB6yZzb5LZmegDkP5simR99yA91lOTC8WN1lPSdeNhfMRoW/F
htbCZB8y/dsnaZORoq67Ud1c4Ko4jX21sxgH8A0L1PNgTPq+76pP5axH2uxuGPed4taIgtosj3hZ
u3uSIi5KLrHjj095VZ5qs8WHuhyPphzzy57IFUauiU1J1rIoOd8ubBfGlb6PzdLcdFI/a1JvYlEx
ERuNdYjP4cxX9JKmrrn2mqY/bctla5fqpre6yBocY+srntuSr8SS9uN+zMvP7mSYUT955f0cDw+K
aXVEJlwSsmuutn2VHqy6TnZABU6bxKh3ojWbSy1ozpvKP9CwvYeH0gfUVuJ2GsdtMbjXQcpgkZdw
iUnfxNkdqrrWL8hNciEytDt6JFdCdJEuz42moA5FzEtUMjIODZ2UsrTmHqJYlDRGZGP56rM+bJkL
0S/L9rGW3YyJssORLv4O18YJCdYPC/CHjddirchpgZ54U+8yt2iC6ynpqy3dh71d6FvfSR8sV4oz
b2StJHyOZFGkkx/YVHzgI32au+20oWtzMP2vgliFS3hcyXFqFI8+/++zVvtuONV8JdDu4A+bmW53
nxJhLCd9cDcVyRnIkF1luYqtvBoPnYaOkS5R2k86XbqAYa+Vh4V6nGhvRRm1YAmvm33dFcjieqOz
pakacQnv5cTrPKaLhF19Cej3UQPl56JbPy7dg5EK7czCCVQ72cIQmUz4PDl31L2l/IYR3nCud8XZ
bC8n1tLX0UJ0Dvae4jZwtBQ9ycks2GV47PxrIzgpjZnvo97NxvCl7NEc0Zl8KqTI9ra+nKICCKnG
2ggADYeCXbiVMi3oFw70UJz6BBK6CUh40BI3FLzE29ZFUqMkiaoJv4KsCep+18Bu5F4Qv8QKvFwq
AoJDr+bPDLpd4tjZIxAL64zxcd7+N5oHP5Vr/hv62cw1uPGfmwK32Rcpn//P2Zem/vJmjLL+2J/9
AM3QUUxCF//m7WcCshoe/xRgaob1ByAPnSYB+mmYriu86XtHIPgDpTHNA2YmGDDxHfxnQ8D9AzTd
2j3A3Mz+Hiv373QE+D2v5JfMYYgsQCKNBwNqN07/d5pmOXd1FS/+EXSh8TxXNvV20fXdi2Gzm3l1
ab7bP16b6TjP94fCymuBj6AN4eK2f9t6UIZB11JMR+kwZR2x3NGz6n4VIfXjg6zoCJob2EvenY/f
xGmXZ9MRCdC4c2ivMslF0vjzM/nBRVvnWKjO0ZWvGTlvzwQwor+IajxycbvPLnKLQ2Na4/UErPXi
50d6fzoM3jwguwCS8NvYf4NMujVf8XhsjjnzOTC/CUK4qC0atfnvHIYcFSbtvk73/O0JdQyuETq1
xyzurLs+lXGk63V3+PlB1l/yl9KX88BLjCiDp9qhP4a86O1B8mDp8YDZBzYF874fO2ugvndxaBf8
Vcd5NYr9/IB/v3hEtiDnXV3bqPXfB5uYKpASl/bBRbMVdagZmPJIf/vzg/zorHi16fXhi3KAZ709
Kw/OUaoq6zBkNsZFPhKhPtpoeim00cUVv7pTPz+c+z7hsqxgGyyacYDi4Oz03ASWyUT8EqWhvWMd
Edc/P7t3buxvNw0+BXYLGpf4sd1Vvv2qX7hg8eybqT5QGNVPkCmzl7ZfkpzAR6ZGUcEAbZ2S+cXV
5A5usjFjGTArnXp5r1NOA/i3nUGyRS29j21lUHdZyYSsa0LfcGWrgp8m9CF7hCNSqbBVqTr0TaEP
z1gnHO0a05HJsZUSv6KQvn+FAayw4uEycdFE8havfdJX59UFVWxnAuzvrJw9hn55jrvHPsxWnP1W
EMN6BbEjk/7GesSiBELl7ZFi15d6OatDnQDo0azEi3o5D1/Y5DsRoSjtryBuPzozDoOGChM0WIp3
Hd5SzPRtE3moM09tlnGY974/jYdSn4q7nz8cf3+/OLPVv8eTT+f6fTDMlKvcRVt/cJdliVTdaJsS
zVz02wdZl3G+gHw2+Ci8u1GoXdw5j2kxE1W3J0uuodyrjN3PD/KDa+YYXC+E5eRDkIH89h6ZVqYZ
vVcBKG2YwE+tTxGHWScXjvgFp/iHR+IAjm6gNqQgf3skB4o2oV8NCZsyO8sxGlPK1+22HFPrF/kT
P7g7GDVdQBVArld01NsjMSw2J0OrDrNJBxIL+xBlXtr/4pv+o9PBckRu6Kr6+BuRMXMKoSuvOIw1
AvLRcZnedgbfkbq3r35+i354OtQnaxQqeLn3p4PlCpjsXB60IJv3jD4Rs9rVr3IU1vv89hO1nolJ
WgbfjZWw+vaaufrS2FaXHxoveHbacj5vvb49HyvTvanNYf5sIEx++vl5/fCQ6FioIpDZYLV5e8hU
TxxznPMDOrY0QuFa7/TRqA4uTobDPHdYA6j5f5W2R731tzOlICUhA+AUny2swG8P63k9W1lZ7hWQ
HH87IIP5pJoMUZniZRs3cYEzNe/mjlZw33YfLV3mL1guHFqGVqPklnJWv2iberxEI0rCS+w28sSd
XPlB933aHD5LECJo/n6kKLaKdwNaX3+bFgoze0EMtoxEi9/2WqWmfeEUnuyvcsjySA3LulA3blaD
2aSboTOlXsjzQLFuVlhg8J2lzw4YAP3GzGxtjrI1LThirBVfmtLIvyINF+okJuDb2cpYa+60SWvb
3WAqvdpkxXjQF5Q+IR1P/Vw3e93bqpUigAm/Gk8sc/FEaPh9lWwVAVtbg1T5jEROoiQaI48/IoXF
ql8Zg0nIUxF/FbZDuNdUdPOHsrc9YArIGQb+nDz5otV5vYkxvCdh5WResUsSxLybLNXnM78BwBzS
0xjKqKnZIW+Q/gpxCFpRDGErGMFHSeopbohHPhFwWRhYB5EPNCiKhQieqLS9OYf352bAWHxnBMXn
LfaHQYdQtinUUH1NmZpdSJazMoqtLr4VAnhdhJOp3aH3LQQak8n4bCdDorH3dYePemK0y5YByXSu
ys7O6QnW82dtbhllxZVi7oB7Ee2AjizzlF0qyuh5bLAG0vfs3EOCfLHeNEGX12GtOfj9FrxCN73t
9mhWCyQWvGBqgyFBZ4MK4foOBVVzk7bxCNoHz5FjHcSkIQ7ozNEAXCEyxz8bvDzLD4DOimtiJxvr
nH6TtnVTw2j20p9AHaCi8veyFXfuKvU6+DPfvFZ0rb4TzggPBnRaj6Jq8oZI8K7dMB5NZGR1tXXS
+UXxMDv+8lQmlXHuE3rwSOk/FVtbywt6JgKdcij7urpL3E6zQmcR3odq9pt+Q6ZRl0UANNjOtJ7U
8NHAZdJ5IDv1QvicN2wmuhoYenI3e+7T3PmsumyGRBUn6KntlqHRaY5mhJkm3ST01OOEaKZVLGuq
LM21m1elzwi4GuM4tE6c3bea4movjjv74diR67ixS5nfOmNFQ0ljQ4l5gjY8YFqWFIWrfqz1yE8T
5l7C0Rda3aT54nebp2Ob1IL+CmLXaRPYUttTD8F07IdUe7C8KjE2ce/BpiAqpjTRXXbzsvO1uH1K
hyDjRdL7eZ+ypqlt6hnokvwy043rJV4HhanvykcXQX9zwNqCUWUF+j2UopqYm6TzYu9oPfTp1h2K
4GFG9dNuLIGdIGwSNF+RoydQZ1OrrO5bj59CXmeoPMy9nhRswaTgUzHN2W2ZLY7aziMvOiZBr0Jj
ijjuK8GWdcGYsmaotlRIeJFjOKJhVmVw7m7l4wobLBrUTJ7r+JOrMmaHc5pnQ6h3Db1QuiamFZbm
6gLx3BQLvd2Y06d89aLsWhI0kXXP5ozLIEaOGorUKceHaWiJ0NuQwUPaO2rhLo/P4tnCZ4t4D+Gc
NPDcn7um6v78Av+WCfZ/pySDrsmrT+nf4BfIuZ8z+eVN22X9ie9tF9f/g24DGgydypG2w2svuf8H
wTHoUFG2msjB1/C8720XAyEGUtJv4effkjf5Ln43vvKfALWwz0PDSs3LD/9O3+UbN/pVqeGwo8JF
Tp0BLBY/7fuNFSCzHHdrZfDIdMZj6q6e1M6eMAflcskpQn3BvHOJkGKJB/RAOhpPG4dF5vqnfOHa
kJbgh3i0UZmLAu21bqj4U6N0AzJZuozVFsBCRUlmpTs1aOCHsqXfLowvPtlm4d73dLERAMop+FiU
tX+eVDa4mCzBdxALXxynycybcCp893ycXcxd/sAklv7zjguD329sxvijp4zl9tU9/EGTCA3M6wrs
22XBefzNXMzu1n63e5FlshhObBobNYh4m3kW5pF6aLeIX8VmSurmqJZYbiuIGPtvR/5/8SL9z8Vz
vboZf3uh/kP2L291TX+9TMEfQAbYMLvU3rbBzP4/e5ievtIXYLWx1hNQhV/89cvkQieE3rf2Ngkf
pnnw18tEV0vnBaCByW4IAM1vgGS+VatvXyaEbS7DHvbynkeqz9tqVvMpVT2t8DY1tfM14rzCDRdc
kTz+TnqsYKUe3TGr7lBjEGM6i37ZO5VXR622FHeZaocTnUH7hpJ1K+DqwWKahHHZZsRKbHCUOYgh
4+zC1RC0mKNf3w4+3f0dpvP4z87ibz2E/0VQwRu4wT9+Af4de+rrZuSfe+r3sk/65/nNur7+xPd1
3UFfR7OBTsoaEwqdiCX/ezvdYV0njw0ktg5TgJ46e8jv67pm8ZhCeGUbbAKxZcrFPuz7s6iBk+Nn
INH/65e6v/Mwvt0Sw4uGmriC69y1lYrGbl3hXnWWGrcbbHvUzO1S1fpH+JhqR8dM3HX6lMro1ZX5
5Wr5/VhoWUGAclq0pN8ea8ZDZSEsIO2hptkDLCe7GkwPBWth93tCdvrbIm/6yJHpr/Dcb7fj34/M
MaEB83r775ng/mThpjUzCwMrvs3GqdKwraw/3wae3B/j9354KS3ODwgfZpL3YJPK7js0xRyEfcCt
8qewjgcCjjY/v4jvGPLfz+XVYd7dMWNo1NwGHGaUQ3bR1wnFtZAagVUaPq2WHRziIs+eUfdi83LK
4jFb5msid5NftGy+kZT/Wsf+9ZfYfPfWVCn3PdmdT/aY+iP3EwxBZG1U1JxrUbYfIsbs/NOQ0bgz
IjOUURl1G/96jPyoeskjdWKF3tH/xdP1w3tMqs2//pr1v796kpkSZ66tldZ2GBP8uI5zRuCf/Zv3
mEbl2kTEDel9k6a+a7nYJMyNcY/K0jVbZ6eZZXnRZsrCDk+X7Oc3+v35rFUbCUEgo5mWAARi5Xh9
PjbBCxXeDiAV2WqcLkzuKBrTXzxOkIf4Pa/vIsfhIwS0by09KfLe1TB6ry2tlnOcQk55zChgTpeD
2YALDO0U5zbiPMRe+xbR5YtljsESmm5stU9dgqu9CHFkdcMRFXG8Gn1GQKiTjx9or8e4Sa7B7gi0
amBU7UsH5QDwBwueciSDtGYHY5PEE82m6alTWWYT2ybVlJhu69ZtruHmYnO059VH0oCyXG2Zpemf
VzNX5pgXrUNHv5kv/NS7Zr5wlpu0+tGx65AVtEKwLQ2SydiNtTfYm9Hv53twJI0byUHY/maCXVIe
6MlgvGyLTAWoMac2v7VMTFi1HEVnh77AObPR2jp4iEUfx5e91SfBvl+7VGGK7AO7iJZp+SfsN7Ye
9mNrIGft6DmkZUvEdhI7RhcyBNcefLqrGLKCFQ6b1Crfd7ZNVwlKUaJ2y4JSN9IrfAXIEpF4Tjlq
obA1aB1bk/KBvqSxhXTMGNmf+1l3nKqy6g8JMufzEms6nu8GXIqNqtC4DEra3EzrE9ph0xCvsIbS
yPqt0+vaeUahI/Yk2w9YY93S/xzo+WT5DBUm/5SdN+cbeDMdMA3Ag74tpq58tnKQGFtZDcu8q7PJ
pOlcKrGErRT4p0ZVa1EbJ8aVKc0M+w/b/StRq/qqGy3vWhqF++LwjjRRWXblTTCkBuq4NOgQahVW
m0U0vwjYtbRZfU0nS/Ybx8mQC8LQrSocsOl4V1DsTeHsjguxHCmg4xAWG12eoTXLT2saDnsDYxAf
M7vuqogeXXpXJRo9Xr6i9icgb9lFYld4+3lhE1w/bTp7W0aIcLE6sDMf7aDGQdpbE0KvUfPbrwUN
zXMUFPGnhA7HVVotC5uIbKIRg9dhuBzntn6cS0KEgMwlyWVmWVqKMKHwrxXTvSW0ajWAHM204XYa
OvF5VG3WHmfSz1fLC3pSMBpa+riIKc43la5w9/vZKKEIG7K86Fo889jz/e6sJ8enjAZXDddmb5Vo
k6x5vLASbFiQLLP+lvjCDqqcqat7vyQyUfYuqlWz9NwkHHXd4bugawsO44qJn5YN+vWcVj1tmVy2
cYRZrk8pPvE7Y7ht60tTk9lCRqinHXStJBPL7jOrD1VhWJ89wx700yaodHLjaUKZrSWMPY+ZfzmK
oc65mB1+pN4r9Sc8/B4y4T7zWrbGrX1D7BLvZdzazddm0tznbpljnGSSpGH4pkZ+WeM4v+eRKj/D
IzHKDWLEEYXkvKq0chbKizwxuEy5HRs3ijUEJsHCbYjwxPBSL41yz2OHQKvIcq3uw4za+bylJezQ
wfT8m6qe2iFaCll9qYGnolnOLXR17ezbPRdHRx401MJ0D7bIq1PHsBf4M3ZeOofC5OVGvEqrc2OY
tVVtbRBC9naWeHei3ux7JF0dVIWNsaxOdTNtmydrdDxWAcMZriYjxVBX+r74outa3wNhMrMEMK4x
4UWqS+csKwSYjTLFBbbzMlw6OyWSwN6ODpq8rXBjVFD14OCW0mjbTNdt3tIzQlzGnC6tWgHOsFGO
fxIrtHL024Qc6HBPur3HyymXM0Nq3kOwVEQp42ocblOFHWlfK6jVUZwNlogEEOtymzZs5s/bJB+u
Fi01TTIXjRKCYa0uHcI02NYaypsOVRxL6sUWPW1E+rbI8WXMAs6CxLt1sBtvvWF6V/ebxLVbFS2s
fTzNQRrcDiInxw/+hS2iWq91d++iVmMZlC5OQNTG07A3Abl5od1Z8RglMDFpCySYQLaT369+CnyM
SAi9VtdXM2eth13fVu3OLzwPARmNPnEoOn+8swsHl4dKy/HGlW2GFy92TOt0MbnOG9KAoVuSS1f6
h9qGubKxlsm5msxRtnRHJ5rxqV5UY7TUmRAbo+GP31VOY2qn4Gwdia2jGZaN8FhRc0O29xSYib31
02G4YJSm4QIs8tLfMiq0203DtpKQS4jdNDyNLABSC98O8baeu+aZUzS+xEnqlDXoSfqI2xZsSnfn
FgbZLXw4rUdnEpN3sCe0jDf4LLlgAIzFtEtNXU7RsLak11gzIr54c3p0x3y3B7RvmaVt+4bdRuj0
BpJXEhzyc5ZVwGK+bN2jPZvNAa/fcmt4bZaGuL+c2zIv7C6UsVlTNM5Cbpy+ZUpO1qzj8CugPedn
vj+MX1tFmvJGVrloI5DkNdropVYdUXLSVqjDgtTerMsOYWucmwjn2jMfU87zci5M90PX1e18hqZf
NaxkGnyxOLetM2GplGUw87piJ+PC/nOA9f+3rN/J5d+w5mvr4p+3rLe9zGoA56/3rDQkXu9ZV5kV
/Er6ffjW1/TAv/asumeseD42pt/tYt/3rC4wzG+aH/ou2N1fb1mNP1BRrZoyqH5Aep3fs9J7q0bl
r4KVnSqSc+Qx9tqHQdD0nsGH5RowEP0VCESZ4YctQzCIITQAZViWrp/ufKNsL91Gj5uoQnL8WLn1
dOokWKX5juV5fIDLnTykhU9KkgJ9DecLG6wZGZNR7Sg61n81yWzc5k6X7fIhrZwQxpa2q6Wgdq2c
MX/KtYWuZlV6vbX3PUU73vYqfcKP7VSnM92AZ3vqKXEdrOWM7xaG2WFhEiK3QdhtmpE1F80QBXmc
mqB7+vYymH29ieY2wd+SN5Pc17028rnPFEUtpW0nNp3rDXzDiGXFjuRL+8UfBjwoY7OkBgBgt2iP
ifIwXQ36XAo0RPVSXGMhxY1NsT5XW99XkKks2EYjWmR3YYRBCvGn0ffTh1obx2Wny66aMO9OwbWd
TPFXm87rfeyM6l5aDacT+In1SEskvTEnBvahwBe77S1mndHgawPM8yKuL2HAAPNScqAS8ZkKlRhE
sthniuNNzzLI88cGtNRTltWkoIHwmlzGQW4rNgwtSalqA3NoNgVu6giJqTwPwPbRfkjim9GcvMcm
6UtwdHlR3hHjjBNDV1l/V+sqlhtCKfwLkSZgfK3ODz5kpT5cl5hw5CZIhmrftrqREQrmJrtkypll
odDuT+RAOmNoBrXGHKkQ/bRdGIGLcxsn1cKORVLyspmwMdPYlrzFtQqTSWhD/RznvqnOTAJ4GYmW
Cb8wGQP7a56PQ0rwYe1bG5Bmtr/NMYJBH1KawISh+I7jaJH2tJudpL4GWN8cBm4mFjJXRzqXD6Mw
Qll7XgEFr82+6OC0PoDnT3ICMpE7M0VMtC7iY0acPaq0vMevVpPrpag7i2ixwMGHOraieMd7xL4q
lgaU/FrpeHqXbnG801Q2vR9OiZGnz8R9YgogPmH6WvlQrY8tuVVg+1nQq+ukbKGuD24ZXPM5AIaG
atTY4BaSHyYqelqUdqnnR5e8+dsO5TTMVXsiJPHeB50lXlSAzfF0Npfh1mjHwX+s0QFNGy9z3STC
P9VOB9oX8W1fFQnFo1YDTtHtEv93Voqy5YOHQ5CxPApqeERutoyH1DGTiyEWUJRIgEu6kGAXj4oG
T1h+NprjiDacOn1D/ZsWoUq6Sm1MgpKKbcDHrruKgS+48NjMrqNSYeDAfBOP2xy6TUqVnDE7rned
yBexr+fc6E+GBF4eBTHtMvRjNUyLzIAWFJGvQIxHU2ptFGuCXVdNDZVvHRPzCLdIAQmkE61fw1sU
t3mgF+DMCuIqj5ozqTtXJZoHorkLPtcjasTNmn34XI51cUnhB38f4OakcTFz6xlj3PA08mEHEDol
44VnDpDYJjyOd+3CiDPSRVPB42aqroVrCadtyB1p+XdTtB+lZSwUa75yP8YNZpWI9sj8zNAw/oC+
JPkiDMrycnIxFra5Q9qg6bbguZn6jzoGmhKnqwq89AzPk5SnvhUXn1GH4OSibzBeEjxFWTslbuVe
CBtAGhX/Qg6Bpy3+i1OX7C0QkvmQ0hkU58fEt/prEcBC2geUg7SOAJ+uDlbQb2HTSdPHLdu2d+20
lPG2ssnOg/0NN2vwgONNq65xr5astLeAKb0M+JCnjsESlD02kLa6oFBu5QuTWIn8g3EmTrzE9zqS
m7y4omNeeCdj0UtvmwJV07YsblHGEgisEH7l02iN/L++jbMG6BRYie3sjOeFy7A2zFWiH6beYQ9Z
M5hNon5ixEwm+fCElmDSYV9KkJqI2rIX0OH9GrjnkCHdjGUqKGCrAXdHbVqwIHMxi70vJYQ1tkDi
0VRN82Vw6+VzPWtkNlSg5iOVSyBZ5OZRLmM6xv2I7z4uwh4WlgqD2YPOURjMxsMyU8ZXZ3T6NOqr
0XE2Mbfrugtm5ykr43lr+tZJiV8zCgR0OBbPat6NMyrIkEbAcAdWas4gwrr2rckvHA765GBJ7vSm
f8GUZUJjqrTgBdoELNTYTs08CrIFIY3mO7ybi7vqLOZM+Ef8n/gGh8UtHobOc7CDLBlIR2ir3nlc
pQn7Oln1t6ZGlt5a8CX93gYI8sGNOb8jbIfgUBhzl+61dMicSGljjZvEG7BRQ7BO7+DU648Ds40u
hCqSG1G2uKl/DZSXrD3Sc26SutKdLY2XFB0ZCbF845qqxSIeLKD4vtVNv1VM/uMs483E4784Jfk3
nH/Q4fznUvI/1u3yW7wA//+fsw+bfBwS4wAyGexyWNOpMP8sI23rD5uvDlUkA1SSex3G1t+rSNvA
Y0C6gg/82UbkuPaUvw8+LP8PNG5EtdKzIRaOQd3vzD3QL64N1L/qSE93kRuCFUANjVyTscC7hrF0
VTeTK5dvfVlnu0S1RCW4+COBLHsR9UkSOcICaMlW5N4aK39vVu4TpKhNnhXnqVYAcvYeqoUFbW4f
rdnFfZeckquzKaRx6KR1oGVwGMcVogpTZzfZmG95Oh8KTaWnRd4eC7XimoKYnTPJsxDiyierCroL
nZagVy7XsQutlI6DeQJM91yfkmcyW80tvIyQ5kEfom/LyYyaXpK4YcKO/Ri0sglkJa1uhT8cstwP
tkuvHhApQQlsx/EonNy8gpJJu2FZbrrO2aOnyukK1j6+taq/HnPG+brAUjcNyjhMUtDAdOUWZGhz
2Te3EIjv19A2Cgz9GosTEadiLT561r0ppq5UWXXsmOOQuWghrJJucK/09jKJ6ZcHVXHR4iY7zEPS
7pbJKl/UoO/QcedHMgVBClW9iow6LqJKy45jPn8UJqJxwyppI1TT2WCuggFD7XKjCHYl69F+8lG4
MbLqTyXvdxv798rWtqMHQbZQ+T2Bq/JQ4bG+NlXvbgMLj98gpsicNTCoHxtWPzqNVH8AvUOGdN4G
Q9OxW7xH1EtfLLMHfq0FZkQQNYSktt6MmKsavds7o/WhroYkNNLlKfYAZlZlSfO7bSX8Q1a4DLSK
V4MhDhEV3Xs6YkRHo/zmU6R/IEEA4oPS7wP/UvfTCwABG7dQH+o2uJGuexIY0Bqlm5y5HY5zW9mo
0hO4YDmp092sy8heAYuLNnYPQ+kHBP3oSDGX9gkYwfiCAggFt1beD9K7gUSULpGTL1dVDg68IYoP
kBh7bGPCO1xp5pmpsKMRFMh19Byse7F3VpLpCZt5aLZJrV0Zcf4FGsW+mKciaiv3xGrQvzPGplMo
iwt42JE51hi3iv4l1x8amT9Iv6hD6oLhJSUJDi8lxHEgpG5oixHpY0IQVKVX2q6AgHPwpnR4GMDs
nYAbmbeCR3InMbG2o6+B1CqTK6uuUpKfPCcSeuHAJxzjL1nJE5PFQCddnaEbLIYLyyongp4CES0l
FblfL+Yhoa26be0YJZ2DFCTRK7x/ZVEbUeyuowk/y08DMYlP0B6L88EwATlmFt/YHPzF0RNzcI7c
ELK5LO8XwG9oVwww2FDPiHa9Xqa+/VBPuFFLWy/vvYEMpLQxeDiNHKxs6fOgkDZYWwmOca2/GaQv
zikd683sCYb/5vwSwE8/9+2mOhkmhZWPPdBWazu6Kg7ldbeT7lKSK9KP0BBrT5xnjphhZprqvif3
KFq7Yyee59SPBbr+K6WnwkAhJt3d2LRwhpTTf9JQ5R7mdKJdKnOnPJ/oXl2zYuabzOhg/trQVe8N
LTYui1qgBKxm3MthtfQkxzS+O90UaT5ddrU7npajV994dgKzy5t9YYdFIOhbA0tFXRhD4GV4gWBh
WExnS7rJeI9fkbVKebH9pE0p5ADkoi1k7ZoXqU+WYOPUsjJ5M6X1nOHCeJReW1o7Y7abLbBlFJ4z
FMqZOOGDyYSTjrQ/VUeswMFKeid2haCalBRhTmbxPYYCdFnPaPDNsD5oCEdZnjnnuS9G2nvD8klZ
3hRhnu2Pi5N1L7mAUkHoTjzuZuJzjgY74rCHUP9i954RdZ5cLoxJo0kOEjMDzLe48bm0UBYtTh9Q
AJnu8ECQd3KmHMmVTJa42LDX80KrQjlotA3Tjnpc6DBa0jiVvao2bIvNI4C96Zquo3szCV2e2qkz
fqEoBhAfeKhjZ/pzoY6g9d7LWu04ziabQ+w7vFV+3nuR0OrPdDfFQUcbfSYtPd4hHAGgofnBTktz
cYqJ3dvAlMovTEfzPyRxWm61uhv3GSUVw6WRnWeo5ai1zbKKn5nTrShWuxye8tH1L00zgchQGIr9
nznuUmco99BXeNMFG5+kN9pd6qYl4G+HJiMkuKPrjNPJ0hbgMfmu7jHOwZuecIdSoled86Wi2j/r
06KGJGXmC7LkLNtUpSPutRoiPxru/8vdmS3XbXRZ+lX8AnBgHi77zAMPyUOKk24QlERhnpGZSDx9
f5Dcf0mu6qr2RUd0ddjhsE3xjEDmzr3X+la4soHr8+DRKoV5tzLb2r8Zw2m4xINBgE9FPcsqXdvh
UVc+arNm7kFXi2HvpeO8R7nYrIuIsnFyM3j4nLzTjTASe9s083DTFOgKWpn6Z7MJxEuYZvM18czi
msXJ+xjTQ0k0MBOL1sq6npp6N4nc3QytYW2xRAevXZGilDWy/FPihPrkCNs+IzDi0V0FIQjFc0sX
xmuP9GDxHOmsaA6dCS9oaNvy3khEuGtmqW7BUDx55PMdIk4ydJvRyGrfra6URMFmzJXaM74H1lqx
2pWt7G4KAQEiLqxgk5JDeyC2U9B2hcLD5NPeJUXjfNYzwokkmTvmdiOKCiN+6cJEfyeUsroRdtVu
nT66GlMlsUcTSz0Mw25y1NZqxrfYYNtudQTJptzFsp6OMjaPvSMfAe1stdOlO4DIkoSUL309bjlo
od0INoVVf0FocJqqnGGEW4KCgeTPdGbTtmh6oyqnD5BkBAF2drkyONbtoO/uyaV+TSQHygYq/4UX
vw498TroZhPTMdtEwp8OIXO9DznMBT6GOH8eJ6jLgk7da+wHfGBGfVdp39iPkIIuhVbmrgywAoeT
jB40M+MVYUzetsEmuHYzCJseM6YTNcSDGzEoVdRbmefs/aneWkDgN1Me3FVuuqv6cD1zM24KlXGE
BWfBjO7BB2vDKM59SCHQaNMYX70kf6uMyeI03GWHjEKrFQcntjch4hl3BJBbhrAQcV2uydYpdyMZ
COGctkfZJd8NEu7SlA25+zkfSyB3p3CpqwFWmwuPDwDybsDgsGrcjhFB52XbsOo+YYttD4ERUEQU
8bYgXVRVGH84RX6E3Lej6h6m6lEE6hC6/huw4W0KsNrEx7Ca/GQbMLqtOo/R9bep0Q99X3ASVrT1
Ixb9jSQ5oOvVLXOxW0HRJTLCsZQp7wd2Utga5Y6R9Yq9FVCJvw0BX219geI7c8PgnJXVrgBlyr0b
PRnzjOIj0N8ZaY4YNcDKdJLxF3PXiQqV/Csax28hIIZQ+tuaKvrkyWRDrMP3LrH5oXpssS+AuLDb
7hZB7K71pu+Tr5+E6c0bzMcztREy5iTZe4Y33PheFW8yCXqzRjd/QJUDBr6zo72X2XR3PWG8mqOF
nzxRbDcD0Kza3zcaCnSknZWbFPPBMGfvIcyCczsItR7c+NrYJXb40THN/ahQ1AtXXgl6be4SL6xP
3sDHVbcZDSrtnumIjesqZUGHWWwEamPr0Gq20Cw/zaDlCSFs9KO2R8kFLyje0uSmDHAUGzntDzP7
Pk4FGYW29I9jnf+gvYYLYhVS1WRBqqj9+SVhNr9GSiYuJL3QaZk5h2AKOkdGHh7GKAnOnqygSxeh
0byo3hhpEeH39XoSh3np80HRpT42fd/v+55hPddu/GTGVrOWZRTcoe4Y13lYNKfe1ukmIm+RYTTa
hpakybXXNuQgllhaFsZGYDbmAcikfW9Fhrwgb0N9KkT3EBN4+QrdZdjZI+7/EgptQgBNWN00BkFp
UT3pT3FYdi1JdAlACrAt66DoF0YORofJIaCArnN269IhPOEEcdduTzE6WJper0/z6wPTltjnoiac
spvvuxkgNe3e2rrFwhFuA6w7JwXE7dw4pH+2HaToUZn2i7Dn4sYu/fy+psbaWPU43tKda7ejweS5
9XQO7CIPaGqWxitLQPhZFIV3nujEr6PAFWci8ca1sh0Y5Lp4jx1KYL8y6oMbdMYh6VSx8sZvVVIf
QiL41qK1nsO23ucwSGHA6jl7wah0CufvserWGKq+22ZG7FVLf1fAIw1EddOP8cGGw0DYDbDdSYHE
jvchAROFEX4aK/lBtT0cGyu16Caqt56WPtEu2GiLe20BbWS+uZLkuVZdutymmrzSPs7lvleyXpO3
ER7jCOXA0LOvSlXIO+DglP+zXNtjd19CE3G2STSXW79P1MEj3OIV8MN4ItUn2cq8IRiW4WifMSEM
3IJt2SRVME8b45OMSyRDSNOTb2ZWtFsAUTMAfgkSCjdGywmmCrZONpfXTKT+HXKIT15NaMmqR3Dg
rnrb6d6E7TZqVY0TPdSy676gsYGBUZvVmtlH9zoYkTkxs0CI1A5Tti8H0W9H3E8fdoVGBuNEzHWg
1XCD/g0cAM6Ti9Hm0y6HoP/cMqK8gX/7VNBPpbeFiaSzjIIY1QQUKHsim0XShCcxKM5/lo/5hbyL
iIO5dgMNDnkB1JQEib+TAGSCHUqdcU8iRbipGNfs/E6F36fQNXahQMTP2/KzQxFUw74PYN16bUFO
X1z2NzVWLlqXLc6eStXHYEybZ4Pz7crKm+BxWvI0hlnKQyEhxY0ROJ6cnIJDhxP5i6HH5AzKp39A
lTWulO1aZ4neoD9Jryr3PuvGEceJA4qr7Y6d8l8dCf/KhNEOURWKkqcWoqiBmbyLcvUqG795GP0G
KgfNVfQS/TCotWIEwIlZzu9zEg7g2IrAuaVPSH3uBJqVmbRFJrPjzuiHljJFxrs41gNlnKxJjPNH
sTJGiklAK+FNQ/3FiV21/TpIyxfhg7TiDrXejJA6FuMMGi8jzjQzeBwHHMpilT9VbHEn7ZbilIaV
+S2IBYms5iiik80Wfa7wz0Dl6xPjVjLa2zJucEHQ5n58qqby4uug/bC78sNtezqSvefsCn64dmh7
XrLOl6ehB/I14bGgGVj2klSWBj2TjXQyckuceHkUrM0gmfd1HHpvZcP4f0Addq3JCTmjr8m2IjGJ
yLFd6a+EB3yVPqrkNq8GjxNuYYJ36iSEF9AB/ltFx50VUNX51Y8pK0Cg2Vs6RzgVKxXSbypUeSoY
rZ2bCWyMIx31uTUTlrfG1IQ98kGNn1O7/SjgXN93ykn2rhuRthPpYjsxCHrLZwcII9qajAshVReE
UHoTaf1uJ/Ob9OL7JJtYLA0yYkryMysR/N9rf/43I9EvRNP/fddzlYrx/fdgSP78z65nRIotElH6
FG6AbPMXwXcY/hl4cFERITumu1jE/9X1tMM/MQOQbmfjsv7L/fNX19Omi4rvhr98PANYGf5RgN3f
OfQG0D7syI7zd0NyEteU16NnHzzfUCdcX2gzCOsGAUpFekjDrD/ZnRl86+u0DSnJgQQRSY2Wb5U5
9JTATYXFs2F6L6lLss2KRAoGj+U4DcUuGNIQa6e3DBzoiBGuWAUSSplvWNewCO12k5pl9DZZbfpZ
2b3/EDLshTSNdQP/oeUI60ckZfg4L2E+q5Fza3JT0ac4DXJKHpI2oOADSkAkZG0In4LUBMRCzJ7L
0mZNLRWknTx3Ifh3cFOeL1bCT2PatEx9d5bbagRAns7uDbvGfGo4HXuh0QdRuzVmjfl38BeVmCiH
oicsJYRKWln5lbV7vnfrBpdtVA6HGO3d2nQ70v6IXbqAcCs/g5DQJ4+78sYGWXXwJ8rHslXGmm24
b9ZW5jdfYjHUO9ZlzJz9rPaFlTYXKFrTOVkydEfL3reR616TwEsvXVA5/coa7YoeLgCmvddN9tJB
hjRVtJvI8J572tKrjsCTNfHb4YFkNQ2Ry8/8t5Lcq0MBvv+GjnB3XggVVwYw2GhVe4jjhCaPMCk5
fd2vyXkhL8v1LiSuTV9jaSNHtLW+dVn/T0E56i3MRPdTGwb1HXIyNa9YseTe8Y2IfU92L2Npeqeu
zMGkWmoMjhrK3xJaENTHqnCnT00lrbuQqLMnbA7BLphZe3zyua6zA72bGJQSzht5h9NGm/nw0M4t
3HZLcpDsGBeDxZ7See8YBb1To3S5fszu3OXjgR2ftIOuNY9tDv2QVHH3nOLCfAkQ/W2ka74YiSnP
2ipcfPAyeYmloKM2jwSoIEV21v0CEExGyI1gzAni5QPANpaSKFD5LzmV2ipSqXsIfPKbV25DAbhC
egWxypAKaaNXGagaDXq/yWI8ixWRKrwZ+s+N+w0AJvGNyBbbo6Ea5oZZCL29d2l1tL6rL3GujbMj
0JqsZiF68sx0z2A66yhTD0k5McxLaMHfK9+IH3CL1rTIPYtkdZqllrue0865ExoN6paAhbg5jphu
w5Xn5dAFcP+rc51iCk4CNT8HnhFgAS8r2R4EPu4bKH/mpyzyQc9hVVdbn0GevfICFD0PFEH0/Fba
jmx2dxR6mHMHaRv8ZpecfFjsNIxTrzmpdpp2+A0qItos17jaSdBvsL0E+8Vgwm2nOvOiDW/kxJK3
l8weCC+AD8pc3LMUGuPQH/dkr7XVoZ0LTt/KzS+GUOk6wPp7LiWc6k1j0DdD/teSVlG79B4oQnE4
1BoJ4DCmxpNpOfWllKKnFBrNBxdVHotSR2ZfipQPnHkdKXpR0jtCdLS+BzqKr4kVV6RStqP9aXRI
CVgpjjDWJrU0ed2xB+JipVE13nVImwjIia3EI0ystYs9A6LpqzCC8uiHM9/cQB7kPWx7fRIkISFH
zRQV4jSgu+EIAXp2ti3j2iCf2hk1Z5QVyZ7D3lSiObbMx72VyJWBrDkvAwIbo5xAp8xJrM9jmDcj
WlZVn7RW8wn2Qo86OZu4U3MVuvdcXJpKNgDZM4IZzimz+0Xj0efRpmN3WWbAMj0MMkvPTuPY94hC
uOY4C5PZVDcO8joh7RstC5O2Zljk27oNQ7WPMHAfY0NxABtUQTxabAU3pux0ReKE5TOS1VCDE1CI
0ZR6ycruRHWVyYB0gjAw42gZsgebWIfZOUTmfUNfqn/pxklq7kcpic6k894MNn3MIHv0o2p6a0O/
Q7uETWPFZ28fZDwp1GpsyP9oMssqw98/fucrne4lOXz8Ydv7t//afzS3KOGGv/+h/wfnsJQG/1lN
8tBU73+bxP74jZ9ViR39iV8FmSk8t+ivserPWawN7823UcuFGGEDmO1UMv9rFhvyIyaeJOdSm1o/
Cpa/qhImuD74NfNfPsp/JOkDK//7KNZ2eQ04pqiWsAa7wMP4+S/enbAxCkZuxIviI5i7czAjbqaN
6FrgsAwEQPfS6gvtrYJhTqoHgxD05DypoWgAZqcV0zHGnE1hfasYtVl7RUenPY6WtKI1gXxVhQAE
VhiK8jyNN2VvkvfWhIMXvU+6zDQZCSTJ3gWzA10eycdsHMacI8WituiT9FNRxsKAWCnciH25KpsG
za6LFQBmkXWQOTRvwl6bxgo4fNnjYyhUcC6oAInLyob5mLHkv8DrN9rNVLVestOJqu6CeOjCjUjY
rMEd1FZTffEIDhQ1fadaYcenO6KAEzigQJ9M7ZTxLRmeuuUAGUGL1hye7FUXL4DlMBgYTkZmWr+5
EC/8nV2iJTvUIRfDaswjVDSaBZ+kEGavBeF3lCIrBIyhWBFFAjUBmRvZDaQLJQbUj6BpEYoNKrkQ
JhJdKofGIg6ZWe76blA3Zqkae1Ww2DDVIdn+8zjO4wPmDMALOhsma40wztlpDl8h7hCjd3duXmTp
xiEPh+aBk0jSfH3TkuXFtRv12sLOZFaT9bB2y6RH2E/XDuVUIoT7kelRP7NBb5IYJeWmzwb0+kPi
X8upb24QnrBD96OfxOsus5JvNS6HfG/ExkNFiULAnDsM75DcKUob2k4Rd8FNOrrzC2rLVUCDNfAg
yRG9Etv9Os7T8ZwbQ+dsDJtpX+oU8ti2IfOyzhi7dUxlf6KBJL6QlshRKyOYQFZO+ZXZLttGV9Vo
JwsS++6CgsJ0FQObARFuCe+MySb/XA49V02QT/HEFHVueTtqCr8nmaB1YBoJh0ROo2VKZzMQJBHM
9vAIoSE1t30k270XuSrHCIa3ZJVwnV5mY5JQ+2eoPKsgyunueLlnIgV1XBwxHhnJpNMOiYYL0iIz
Nd3RQKFmFeOh9+iyrEtkmw+MNgyxsrKweRFjN9OAyor5iVi3Xq5VZjFMGV1Z0EUO/Pq2yYzlpSLF
B6+Ryv5T3WXk7tiZB13NyeWLSrMUoWrr6E+oiQKsR0DhSUgC2WocdDYuEQwc4b9FsNifeuI5UyBs
ExTdmByffDNhrPneDUlJfyXu8yujd+bkWHCMa1d7ebDNUVFQGAw+Me+xluWbkpJkuIgQObYmkt7O
1ZiDoakT8oDixh71DXmiCH8xTPpXi54QE3fL7XHU5PE+zXJRrJIRbxWEDOhuZkh05dakCLorGSAv
rb3K+15hxuLIgEMVuVQZTC6UfqluksB1PmVl3jzA7aMx4waDfSzqCN+CJ92BKD3XGm+CTuiDRANq
rBA2LLkOJTp9/FMwlc1K4OF2YehAO698sOlGG0e7nIQHubK1agWHMnfCZCeM4RsnC/XROP28EICL
KLn32q6CGmKZOt5i97K6LzMeB+JfPLv+nPAa6A74wpkJNcT8xCjO6K116lTF1xCAwrTrrbb11yIz
gif2azguVBGUMYCNeqYD0iqeLN/Q8WasRAV3FhHFGthD+LWvgVqH2D9x23l04reowZ1mVwncgsRF
dAZPHrvDSkdl+ykYJVoDU4WEVhqxnX4nU7HutkXVNq9+Ajv9NIYS11bnTPFNnTRTSMufoFUaw4RQ
bwcgQOFu9Jm9MbRyOs6mueKb8v0pfHJsKDKrpCTfc+dZsrpd7thomVXah3iiUbNKEDncd23gwFVB
CHclMrRCPEF6z303dsmrb48NWWNwdJMDTyonNH9uDLgidWzg2Hxt40Y6EVrIznYaBEJdXL5XJsa2
da9Y25CEUK5iuAiJnA7whi6uDkYWgAO74erPFmdlLHg+uVUp4I+1m9M3WFltaZxwQrXTmpt5/hrE
SfiEEHn8mKtwvpSBrbCxRUnxecilS1+Sjl28XhAZRAss4ViM/5LicQCRyiTQpuPFOMOSzJyLlgA2
UXj5XnkGBxOQRTWB4WaVM5zAL+wtKue42jlNWFFCplH9zLdGyIiXNPE30jvx2ZXevLDjYdwQycqr
fGq6uj8zE8IRWk0zB86RNDkcoUNhPhDeFU5MqJwePkHuiqNWgd1sfFLjH5wgnRAE1S5dQg8o4iOG
ueQOjLUq16D3OVVVWTOESBub+c4dVGRuQge5BmuUmr+VMO1OBFmTXoAX1UKVPumRJjwGyys1AfJI
9lWmsmQ0vlk+kSZrb4wIVkpVSEEazpH7IkptPRhmPbE2DBmXayDb4KCsxfOGzhVGBzkWib9Lyc3q
1uSLuRm0dMd8B5KIvXBwVS04hVT+fa3JH+bY1rnDjUYQ7XDMcPU9HWeQ/z1EVLEhC254FmgjrzP/
w9ixc5lMvp3MemJ7apZBl7DZ23o5b7N0seZEfQGAua7oLKOPQPJK+mTPBAazm+AP2lHwOocSgT3H
R+M2qrBwrdChcdVUXavQkVd++F2SxESIINnkBq0JQWqbZwziK48Rl1uTltNb4qbZfSsw3wPuaxnD
tuls0TMt0g7wWUp4F/3O7DGaR5I2yQ2kT+xSKHC0w85zpsnLGTkZQK6SNlhyvwlIWl9mb8pvaU8g
N3Obzh3ZJfgWN21ej1erBsx7IlRH7nNQZN0aoSlCkSbUTJ5JRgXVEuY2zqU0iYtXy4mnbGNYXndT
Cs0mhoQZUlU1GizbmqyrF68RnLTw6DpPxClbdAYCe/ZW9WgQjj2oiYNSjxbCXYQ7isyUlmdao1hp
RiZ3up4PGBCDau1z0wwbCibvEyryxsFUy+e/xmsb3eeRky0tahQ1N5MNHnwL08HGM9sboV4pn7p4
Fc/S/kKcGsqhKIzD94Fuy+dxElZ3wms2MJmuSmK8kAMbD6VFAB9kqZR2DYdFsmOtIicb2O6kuKap
0ScnYF1GcIQa4Mubfg6XW0lb7aZlS8hvUL8gMheZ9Exwab02VoOW1oNCI/XgR07xWQUVMmV8f/ne
E6LKd20VIpLL2oartQy8guKC3KB6V2UhMV8clZPRuzShCN2d40+FfzNnstZ3esy4HgOFrfS7MoWq
P2YCFsUjmnJ7ZsI5WWZwkySDTJ+piXM0ICaRaTe2ppNzcplwNg9D3w5qlwlIgBTAhJvt0tyy4q9e
1hcc34fRNR+pJwKsbk6s3QeYdI69Hi3Cg/8LIsGi2PxF0WnTMSQlAegixxxcSn/HVca5bfgtqWWb
ih9fyIzNNlETVF9/OVjhI9FJU/9KhrZ+NyCBg8YjDd/T9DhhuTzd3wgMUd/WDAawg7bupGtKi3LC
QDcuFuXQzIFxWXZ74+PiQwTiUA2aveo2Mba4T//8kPt/KD/+b9Z/x276y3fy79g/65Q6f6zehz+O
Q0ko7G9OtuVXf556caH9ybfkBB7BpOS/LmLin6fe5SfgdCPTM+lqLUiQf516FwI6lxE+G5ZIOOPQ
y/8lQV5+tjwWPXoO0+GPR/wnIKDfj70hMF+8crw+PD0IooPlmX499kbOnBRF6lok3wzOCdB+r7AV
VRTFTKg3TRZhsme3zmhj5w5Z7gSCWb1ZvFcMi+iQ94gU0JB+yQPExKw098R663Uk7YeoRGuxBuvW
Y4ayo08yieevyF4txvkWSn/2rvpILvilYR78EwL+j1ov/4NBb/9eZu/1HyvRf7yLP5rvfzyO76Sn
jNnX/x7tlv9U+P74ntXjH+dsHIc/uAD/uP3AcvHrZWib/xLCU4v86XEhUUQSmrdgwli3fl6Hy4/g
fQLzRQgfIBxdLtG/2i9WwHXIvAiFOhJ6dPRcPX+1X/jRDyCcSSuHeQ6y5H8ihbd/vwy5BHl2ljPb
Jp8Yqr/zt+5LTmgO57/E3OQG/mCfqKgHhypIb6ogse/zqSj3adikJ2K/rWRLk1OSxT3EnOJVoDmM
KmNkqBsr62sj0mxnkmT0nGlds80TPXxrjxZOHGWz4a0qOuhncjw/h4mcvgAlIg6tTruCDrDbf7iW
Kza/LAz/0WL9u8r/x5tbIGCAct2AjzdY3vwvraXIb5KoVtO8SdDcvUfc798njjXQQmwq6wgdwqJO
sY4GBqzHKKyIeOK+zF7nTh4h/XCw/eeL9n+aK/H/iW8EQuQv39S/W8KPNcGUH8Pv3pEfv/PX2o0T
hBUY5DmfcYCuCyzNz3sm8v60CWuG+x/g3iBk8t/Wbu9P2G1Qs/CUBBY54N7vSzfLvWtyvGfJXzId
/sk9Ax/nt1qDpRsfs8MDhQEbAYI1bvdfr6sKQlPtdbl/cXNHD0OEg7UXxqbTNPqQeiUpMofB8BBe
MKCXlHKU1GuLBiFBVdALQYHajeGf7FhKEuTGRuMbmcLFWebS11hBsnfmtREmTDRAxZjzLknd+Es6
DwPRzfaQfMljQmpWahhw5RfNhD1NEcHXAVZyVJsPxGjNhWF8FlFjtl8CyTxhG4BWtuGYpIyaQh0u
jJGWeddjOYt4XGviQIiO9hn15evl/c+HzBKi/LS8D9xVfoHAc82brMPHBNfFcyyd3PrSIghv5osc
C6s6J1NTzs+YpQcDv2MB4KHiuHUVzIPifIspyObP4OtmvhKbdu/A/lDSrM62k5s+thZEpb63sfEY
kHFZ8VyPHjrbgDp0SvuNiVKaXykyX1cAgxAJER+b4wUn2id17TcV5Kq58jL5Pz7jSZc2bIfWzy2g
pFx6Btz9qxrDNjxjxE7cR0KUozcxGPhNCr+VyLs5c3kuJxCB3HxVxIUSH07V6OYyZjVzp7XTjiWm
AIxPFb2hHjyHiYws2bqFVSDnrny3+5J2Y9PcOZrMs0vMob3YQ7OMrRfRe8kLwL7CuE/NwR0PY6qc
YYdWCd1oTKkiPnp78TnM/Me582xss34ABeWYKcmnWlW6VHcoLPP8I8KY6V5ma6iHveqdZtoXAx/d
W2dkynhkmMOEpSaqo7jz8rKO9qrhmzyrYE5YrkWb43N3UMI+yjzuntOkSatjKR0LDkXRku+UFoVd
ZOusATr76liioFGBktm79cxOi48yA010rhPTL745Zj84N6lw3fydzzmdYWT7SCf5YgcCFBmIM0R4
FiHhg8Eay0M5IGBLhB+v81pzoRWFm03otmibNHcV0Vn2HWq9KD0g/Y3wLWvgm0sk/HI2TeOZCxSu
O1cMegQ+8TZOB2fT2GmZ3hNpzIcnichMCefjXoBZEUR30KJkfSbim1A+NmD/JjPtqnwxpZunSzek
jA6i9PEqaYYQ3FAhu+AR3S063lQbvFtJmHN1lnzb40MbejSiGO9Li3C6Inqp4qIR+9ql7WQh+U0v
ZkN7fI+jJW0PaPqldaOKtHL3hITyNds//plldI2ec68e3W/aTNrbqXe94vLzRdMQ4vIVpLkUFxoo
/Hs5dbP5HAo7DRhcFvre9VujvcZAw6qz6c94hGkpZxR8PpSOQy3NWXxYP67IxOZId8bRE3dvnEjz
6arrMou3ws5ITMSCgW3Nz7UyPg9Fmn1ryilF1mEmbv5QYzUlcE54pA2QDkjPzwMQJXkInsr2jrqT
LeF4ppEuRCVnjretUyA5s7Ji2oyjrUmhhSlc7kOrSEwipFXD+FPlqDuOjZ/l8/PPd1pMbjVdhVs4
3ZcWmwzXv2+N5qmhf7IlkXYwP8swm+0bi7m72jci56NyEaVUZzRXfDOc841so2uXIFFM+nxgoXbx
WE2jHJ56RtE08kx/OKOAsYtzkJUIt4BssRKBfSdjIEuEUzDmGJvpRBjoGH2iDVOnyDelOR67xJFX
M2bugFfPb4vt6HlceBa9az6dQSeu2omCxLxdNmEG2c+CBZlO50w7ts5ariJhFC1yfLro+ziOLNz9
INfEfabEN3QPTfqQdU1ODJg0bbnupd0Nh4heNxAm0Tl7ZVtaLSFcrGBWNBvdg0ZVn76LZVy1Jxcw
iXlO23pPsrZUGCeKvp6uZc67OuJi4FpG9c866irmJ1goKl73qc6cvDnRQ8OctbJVQ+YdOW0WDUOv
0hYLsaU7I32eaAf6uwIvxnQrgxj8wEoiQQ9BCLjICu7zXgp5QxQfLnBQ3nbGEyMOl+c6R89OT5fe
f7Vh+mN4N0mhHX+fiZLvRxr+BJR/sr0JNi64nVWfab9jaQII1txhuOSfpG9mrO+aMNhuPwwJmYxc
kn60ddNheKpc0G2LTKDe/fzjHWE9w+7nXaZ7zdVhqbgsCe+dR//8874bWQD1IYgt7JCpngAa1G0X
MDxxGL095Z09eCgp2lHc6qkvzKso65Ld1ok756YZMh6PFWScgC/FMZmAZBNG5OhckrCLOmDk5iTD
aySiRLzVYx9Ud3Nd8mN631VzZ6HSIUa4ddwsPqSuDANsBUiIYbn9uPll0eJW3jQ/HrGbWy7Mn/8+
jK00HjW7OltqAaCW3MmGaOKsQWFLo4jg1cvP5ar8sfGVUVjMzz9vkwQnh7+ffHRVeqe7ermhpyJn
ygFCPwDegRRTquq/Krrd34vukGSmZaAbUWyRfcF0dymefim6p9lWfQJw86RchC3X1qIZfa4qlYpd
R/s6vHqZa1/tKii929AtAG50uHWnV5No3Pxi+UHEh7Os5+MG9xN+V7uzWUO55E1cj4Vo5uvPRw6t
zq8uieq4/4SI+DQTj4QrygLbHGkt95Mvy+d50RYB/2q6YqvdzI42pAToTQJT6w18jMpRifIp7Ggu
jgVqCa8Pjq4pnYspGA1f7MjoZlIiE6czHrvMmBTvJUNxkSQGV/NAN3A8OmWDPpg4Ym//S138H51g
fm83LR8mnFiU9Ba44tCEQvz7hxksJW3DLnsyIxqHW4O+vOevGHeP9p1mMNBvc5FY2FbGdvG2dMnM
cevnSmqiZ/P/i5wqRvK/l76MjZnn+N7i4KYPhpnm9xdUzwiScoTV53SIM2efmqotnhBJT/mDG5j9
fGpQDiYo1Kqo2FHvcN+naYlGCMNq4T5nZt87m4TvnXlvNUhKS6uxagaIckRk16EfZytj/UCUBNtw
7LdtHgFF6UlZuECNW9InepcpbEunLnoFBVAh6BE4FAiILLMTS8P8iAXWO2IY/YZ9od91XnmL3LHa
6gjJQM4Bd8rmV4+g3O3INrpmbcOeOnvrevRuraZ5KWcG0HiMEKhYO5s2ZlNl9yyTWL4LKEJhGQKH
HG/LzriKlsKv0Cc12O1qHLW3rpLoahJEenGExxYWkd9BBx9yT6yLE3ClnZrFFHIkoMdwyE1rmJZG
/UMcB/VeNsI9xexca69G5VfbqiatoJBXObrHuZJH4hA/+616HpqKCfM06W2YWA+WKy8GfHmu+3kx
bPuQNBm/MtkCY5la/vDByV8gjUi8jDRRSJn3hNLK8asZNF5+i5MvHPCmLPUoCSvh+AhW7ravi52v
fe9QT4zAg+A+qN1D4hgXt07vEhNvLlOMbt+2+ovoizNZoKhFo/Ajn6L3ofb7azdgGfJ6dwmVUDD0
RITUG3n/QvVLl6fDbSfHJ7NTAPJsk0lbcc9U+dGYs/sybb45GlBf0gXDaiydT32KiNLidOWr9IyR
+xSq7t5ArH/y0Yzb2EDXk8y/pk63R+GwRv9U75yo95n9dLdUHbdg50DCFcF9MunPvuE/TnM2nJnl
NvsmmcM1Jw3nuRDDB1Db00wjZ6uTWm7t0nsOowFLE6pFkk+/JUn/hB8Es4fDcGqa1Hc7nq8EfPOF
lCGmzupUiGiblk382Gb/k7Pz2o0bidb1ExEgWSSLvO0clGXZlm8KDmPmnPn0+2NzDsZqY0vYBxgY
hqFRs8li1Vr/+gPVvjZ+lU0mIUi2xITE06m3J3MTlWXXbBGXhwTb4PKIpAttAnKt+s5Q7l6H817b
+i/hmN0NBSYOkVFkoTzub33G7yncOZwGGS+QurqRDZY6KWjIvpbye2QZ/0xJ8QhX4Bm52Nex5y6t
sljl+jY05LY3oewTYLLWtQGQGjcUjrneKsMfsSrNkEVe5bPiTkz1vqxzZi29RSwd+oywUTd5qQ3e
aQDakfdJpfAjUUwRbixPq7M7E4R+2ITKMA5CcA5vtTSOfkG8Q5VU+fhpkRNqZ321K0TTfJNRGt3O
UiE4KKpx/vUn/18dmQVGEn8MBDCBx2LCwzoXdMvC08wGePvzHEI+2hGdinK4NAg4eeoNvH3Xeo6J
1TYUee4i6tUh+8Kh4NRHCaJl5j6oYwrMqHBF9+TmlDCnaGgl6uYchgrNJ2UoqYA1dko7vwoyHHPt
ktLVn3k2K6Do0UfkajPJUY1fFyuzRV27qpyOn7fwo0QTwN3td6KH0rOFMcL+XWWJph0lfhDxXWsg
zmEOCi+WKt1pzGd/cDv7A1js2vYXyI+NWxcWKIZpk/MCHPLm1ky11CzBAGw/NswDP5tortXeKFrt
iw5NpT0iu6eDKnsLOqyJt7x/x87Hv6D0owh2YofKhtDzVLErBE76kJVk127YrZrbrPMKdNrcPCg3
1hCwWYbs2nADBlRNx/JS5NsKj8xDqwbxD0wmv/7RTa0ltrmt3FmnSsUKy5GKDkEynxr2Bp83hS4L
dbBGe3xSU1OPW/7q1+hs9Pw110NqJqt3uby4VdToGJTx91zzaLaQkVAcxNynepfBTyl/UGnzL5Yq
0uEHaUt9h7+PH8NAoBiNyScsO5PmAnoW7WQ4NFzQ2M+mAFPkN/ErAqS6pFIZ+B1FX2tzp6Q6vfxR
6tCxdlmAtf+5Ie93+qwYulEx6IpUpsSQbLEDjVuwGfOOfgGJKJ3I8jFNSD7TrokCKpIItjCFf6pq
fijIJX0z1LS8fm1EUeb3o5869c7LGa7vXJHywBzUtXxwgZwPcOXSB+FaScVTZoiyt3mDVcE/TDi4
rja3y/oViT//G55StF/RpS5P8I1sjgCpHtpJbJXS7Lx88oS6zsRRyhoHYnmhrvBJS/O0LNcWng6e
JZQF9YnIGqxS1yPDdD2EV9CYmIE3ELT3vSy5o0vBNTsixVtDdAEISMysfJdc+kAvKbN8XbpZHzyy
30kZwJLFYlit+jSOXTSyUFXuE78pi8fOzKJyQ5YTXqnMwyWzb6CQeTGbhZfo+AgLg6rAj6lHf6eQ
LsaXRA8cZNQSAALDspD7Iieb7g/iL48Tawnu6maQeYL/h60wNcoJ6saFVtM6QKYiS7oNT791boQm
HOjAguKs3gq3S8xuJQllKn/kccndiUtG/lsQn7kdbfOifl3uVGdhFrBXQQxvoE27GXsAT3sNNSGa
HwEczK9WW0ftKWkYCawAe3ggpTnyu7K85nKXYtMxwrmUnzLq8L2XGhkLvK8DTlZ3MMX0VDqyqh0Y
wWm/zYiwTjAVAOo4QDjymyMARw0Yko9dXW45AXi/0EDwwkicVF99dOwHLMP14GFZLSobIJPTnhY/
9YRh1H1TNr3aRyaR388ZhXP9iusAjtTYIUYCLE/xXc7TQLomrz9+1vG203RD+0UYPJbdJmPZzxj0
6ekKIj/B40iQHXXolRP5a9X3Uj8aQmuzk+ycGti+Tyt7C4jUh/ssmXgB/90hO1Pw9BwbTzEcN4IG
UjmEdPPTgGkoa+oCEwwZI2hUpAzBnL1+2T2kquYXZFnDYHt8eb/v+fJBpHwaB/xsQ+tzatizP6wy
HiAkQl+REF7GTxgn8IP4/FFWrG0Xz59NE/vJizNhaPNo9H0H0UfELNgfknZmXLNKbOu30UKsWdMx
2go2yXjKZ+PtNe2J1xxT+k3WyWWzBUBObO6rLdcYKNK4LTdv1rDjmx7AZWJvKOn3c6s2CMT2uxmC
GJgXUhZMgXZQXRmOt5AP2ayqsRDqzpyGQT72A+jKOXCsSmAZx2lJdp/w8uHbZFsSZkOdM5P6kl72
LFnZSKiNjloTLn3vsOM4GCNOd4LfKzgXzWL6vHQX8QUGDNvWcG/p+/OfY+mY+S1Dc6poIeEmKQK7
OszkjXm1ov1pzVVhkVfWriGHlMHB4XWwT31A6IWN3Xlcwxoz6pq0Ki9p5mauSkjOsYOq1W/gw2ou
FV5bDnsQI8IbHSccs3MhZJofvLGZCCUqZVDa6yhEeF2VZkeVA0mv2ix7TtLW8xZoC57GAgkr6Sj9
Fvu5qti6CD7zvc1R8I05BSKOPGm96VcoU2yJZxaTGg7tbN6zctljk5NfTWl5qEjN1VdDY6WIezoj
MvdWNEzVJkceaq2NiZ5hM1AaCoTa7pSe6XszaIRxgVLqxoLGEO4FVkp4hkKZA/AbYZ/sMdSL2qNp
lRGnRFhGCYBMpBdAJtow6ntdg4qPRoKnkpKVV4nsC2YJIeWqnlevqYAAucF5WqO56Fk8MyjSdUDk
TTSs29G3WfFRV3SrAMgIPwHHn1/aaKyLbVeiO3CpVubdgFBDjknW8eWY5A/GlCjb1Zil5g/XG+fX
aN7jh0faMJF/CUPNbvdYieNnzmSwtU1/k+AKKh/R7FoquxuyBgBbT4MpfwCLKuUTWrj5WSisEnde
bLgceGWONHfcueA+4FBABLH7W+p4kyJUxWV7fI4uO2tgGGm0DpBP4w81GvVkcy6xEsQObxtuoYlZ
+P8rU5YSgkQ63rQFFu11nBTtFRu5fqcmzJce/ZjNa7ZIiK2njmPT2pduVd2+38qbb3ERCWOebhoD
eNKFGEbS0L8tumi4qLAagtmgT0vrEBGh7bAdJFV/myFUo07VfeHgDXRp6z1dM+F04jjj7zU8KWYt
WIvuFiGVbSFbGwL5pFnZ7J6hGgzAOk2oAyYSVrPX/IxTrZuGCl8fzvZoVXiF09/5+TS6xw++1cx3
+YN2w7eSOgoT9gqPERHIwNtvpVdh1UjX73dLpTFFtttvsM2I9A0ktKh85QXnSMRicAieuiiJJGVB
YajvUUIxNayIdtDYz1BOes4hHUMDDTb25dRPsuedCC64vpQ1lSLHOgx52SFCuxlDMKYNGzPlelDo
mfcEmcEoZx7nVN0qrTX8L0Vd5/U9Z1fX721LYxG//92vuUCui1kdgWgCpAu2iHGdANZMbm4YnTbs
JiujUIxjLMROUz/q/cGyG+SCrQ9uuFOIRa2DIWOg9L7uzNRdjTlKzdX7l/PXk4DJYgmSej1LtzFc
vprkwxr3Sr+oUH+TU5h/xp4vEysUdPQeus28ZxckVJfHOI20bk04Gw7J71+A8RYbQqSK9zOZc4BS
3AvC1a7Wgi+iWSCqhmObaab9vddsVbxqZsc6pxoLKEGcXDumLYzWLUEjcHthjNToBOrePuK0DGcP
xVG0x95XpHu9NbsNBaFAJY23l3Wrqcz4qEucX7r/lu98ybZN9eNB+eGGuNcR1NJJTQRSMVI3SKva
s5e1FOQRJmLt1pWBzv6pZ+mmTBruazrFwUPIsLD+4MYxwv7rMmAnUFlzBXDX/rpzsbRK1JiGfrSj
kfkfllKetwlGGCjHfKSRfaqwQHa+1gTdjMbKKKGanAZMpxWeVI1jHWqR1OZ9NNEkgG5fmtgi7Lz+
RUGwZtMIdf7UQkUe54qKDoicGTBKk12Ol3x4a2du4IE8zT8bzbbLW6RnbD+Z3jolMloASmadHJin
pf6qqoIVjZkzn5DFvqMf24TkkpaDQcytX1M8CA/+yzP3X2r4YZhx/pPNvX/gJrTmgxr1Sm2X6/SL
gU/13cYfXgxwdbWrRTr4z4xBKMOEKPQvA7GsAy1WWeTn1Ayt9mUcILpul6/g18weXgyoidFvPbYa
sl8rx0rtE3ontwen0THNcWK/th8qLHUTTHZJRFlHbVAHt1pNAmx9eU19G/DxqXACv6fScCz1AIBv
kH1T1Rb2tWkq850ed1N8WwNtYY6SYJyIEgEYM983eNFwXl+2bjOPK/O+aA3uI1YJU7X3YjswqPbV
oD+wrMyKqXDUmveVE/KtfT+cGMX0Vc6YZ9n2cB3z7K9ELLORa15JUu7KYt3ceEgXhn1OFYErkhGK
kS8b4nbD/NBreSRj3bMaNBQQGLA5aex8TfsKtxGMDwCMI1JPCOoAtre/ehmhNrspbLhIV8Uangyd
x8+4LVaD20a3yaNg8IK7H4LIQe2yfuQ1rvCmM++X/9eE4NM9CeQNMWCnyfozdZvHlzTQNE/LoxS4
cFqHQXUsNaTJLBcKIVV99XLc5zEtw1JI3wrlN/kRpZVRHPLLXUs1h4sz3LCIfveEV2n7GBMlc2vU
Thr9bnyscFibfHucqD1+Ev8yP8dzghlkQvoQaNaTHiQJ9gwWdc4tzrOZAio1I28/eakl9yH4Z3yu
QzdrT1D92vrZSKU+fnIH7OJfexSq2G9lCZhmiqnxKtMxtHxWSY07dgIX45jVpfc4RNCKhtXyoH0c
e3jFXEZa+EGx/oiBzoyuvqkqSXcpIlmJzyLGWcPd8sDa4JY8INEe46ZDD7OZirGMfjtlqOyvmUEW
xTGecAS+DXSnxRlZgrjzQ1nEex+WbSfv/SBU9IVEknDQysJrtmZmJ+a8AobqoErZlnvG2LgurcLM
G/eaG2T0GsMQYomJF1L3XOUVtxcHHlaAo9W9xHA+iOEO2An4Jy7A87uYsNTwdAtqnZ0j0G2eOJIj
J21Wc7KnR4Nuxvz/QdBjCF0zCW++0L7wKggLi8jogyPucqK+3a6h2kPTchgxeY4wr08Yzy6IyrHE
cUoi74fbWlEFMiqbQy4auQb8B0YUTsefdWmX+pH4p+FrJLJqpsNnXbujzeuNPQyPcB6kA/xjKO9r
L7jKYVRF0gasmnkunp5GwXvzlGmNip+02iCCeirqIdmXGq0zFs1tUm6Ytk7tWiI1/GkRKy33omrq
4HUK/ALcgNF8xqimb7oJV+jUjjZO5ljjRidCSq0RaADxl/RoMOzxcqn1O/y9Hdwq0ZbHT0lmDuXa
ZzlnqNDSYbxJBnNwTsWo8MqhHpuDjv2wXNMLIc1hBO3cEc5ROB8MoOy3VQUHJAJQKNU2aCFxEOb1
NM81pygeYVVBVp9vLm9gifRwVD/BRbsBOXJc/CjjhHifGNn5S4HN85MSkG3I7enwA/NJLKlhBxTa
HqpUb6zzLudcz+d/aMIgtx6wo5Tttsk8D2VgmuDcGfZBtqqA0KMbss+Fv87HVISn2mJkiNFk2LTG
Ou27Pr/1gy7onyLN6p6cXCIXkyAVFZ4BTvPsd53LBMbG1Ayl3ygICrfaR5zjve9NXOshdtWjvRtg
ytMYZ6aFtp8eEX+7AAnUOtJ71eDcX6WfMHth+kBdj+FgNbZpP+t5yttesX2cXOb7a2pD0DRrckKE
hNOgEOb4tpWTgxJ3P9zEa4+yKqolzeR/Bbj/qrY8wzZ5PLrDPBMm6NWcNfVnWNVB6p4P2vAa6lPc
AwsYzHwKJTAYMzgE1Iqzsam/v1/oOdfQuscDRxYM386Bvuxd89/ashJpOqTihPWF1W9Gb/Zq9QKf
08qrBgBMH9TTPbTYlgVrBomNuCUpt/heFA5bwwKoGrELyiEaszBmnphVfrYoPNydrmfayrdbmoYh
V/xGLM1H70TUFhSsNkT3/pCHIdZ5VlewJ0oPNeTZC1pj/BJR+/eYQEobxAH7Jad7Nl0t/KRAbmDm
XwBO2FT85kh27IadURL9BKnLT29ivcHEB6zahOTS1xVIKb6GfJVMkkv/KAeYLY+E3gg0GOBgvwJC
HiNkVZme3CM9nJ7NdvReS6c1mk3dqf40Ql+8M7wsy38bAM24VfGu/6QlxleLICPuQ3Bhdjlg0eOx
oEKo9rBzKvTF7ciuNoKXHvKeDJFvmC5MX99/hMSzXJWc1OhMXXF50KVN3XldrDcC3vlUFcyjTA2E
EqSDBgl/GC5saeXiqubvDT5t2U/KtsLfGS3l+H2U11Aa/BFd915ajGqPNpPa31rc+eQeKE9NW877
fHwIIxW7BP0VBYMyXB3rL+SUDzbMFKy2dhYWmd4NHpoZys5CeviRpnaNyLK1GIUu5IVci+x+G/V8
jxXdpKXuvWIQ/nPderp/o3yolvi0xQ75ea1TE6OBc6e7CkjN4Gi8cAthHQIIso1XxY+pFOl48m1/
OuhC8darJEdraSVT04HWTpF1p2Pk6xyHLDJmRNMeWWDLUCHsSiNkBjtO/acF2W+xA+uPHvSPe5mT
kb13YZDFYD+UdygUZzy+J/ggWKcqTH+xvGaJ7oW5lE31wKTB1iYiuAILCyzNZCOsV1WFSzVQEbBv
HBnTd1YTIJCF3R00RhcJ06YzI1BmOQ1Q00LwbkItFH60G7/u+fvC0Fow6LpS5e9I9JAsnG5wjlIR
wLhJijp4lJXVZvvkMlwA6qRw5cJ8BD/QwEhdsyei0Pb44k0K0qCOPZjWDX22JqKQeXhUGRvDTPSv
nfRLhXWKZ9Y7J6+cozZVZrR3AxvNMsEcY0CqfMl44YOFK97iKDMlAkqOzv4DNX5m+17hKOyGg4fe
qT+15Zjf9PDurYdiKiXIidajuVmZuGJzPAZj1h4IEmjar8ZY+dhJehDWzGeZmoV5WMiS8HcBg0j0
8l49W+u7z5YZWM6L0FG07Sgj9PuWSI4Qa9B+qg9EEsUG5MwS2GvyjSS/X6YyMEyqFusdx2MI1mcz
wbUNyhkJW8Y8Vl8qgQeQSrxzC+T2tZEDrLhaM+MRE+wqwvaWUIjuZ05oS3lyXET0KOZmUCOVXslT
FwJ+g+P6O2puP3vB8j1s+eVjisVGoGfjr6YgdGXbp2rUsIXBvoicsSrRxHEBk5klgD/K0mZSs3QY
9SB4McrKmUksqeL9pZuLvmOFOUJAhJfIIK3XwZIxtS0nHigOx7ScYU4aBQVqunGmSY77AFoW35O0
2cxcI7cr84Nm2TiQErZrmLuO69KPpO2QQujh4Hxyh2LUdstAruf08s6hlEhO/+XXaQGI9h4bGMWr
kdnzjiz8oulOoqZD/sx4o/fvcI3DktuGyB+uXTiSGCDqkW+eFVSnbBVh4GltTeEpa40LboL2NXeo
q3C0L62b0K4wlkMGMxJlUmjJoYusugKfLSa1Jmeb2EzHBaTCLN/RYakyPtnFUiuDo6t7Gr4Ul/ml
4VH5bSbohI9Y3abNniAKkZ8KJlP5ygKZfhxLDOdwusEU60BUH8afKtKi+BTXjSf2OratwK6TmxZ3
rqFC65DoYfQyknSSbKTTg4v2djtB88QkwFj3qu6z29wcsuQb3kBt+BwVNhHGWcoY+56+qvtAS3eV
7ju/Yy7DCRwCORfE/La9RfUosBKKDq87KbBE95Tkdflo6778hAsYVGUijPrwMMRNor02blbi32v0
48AzKaCFOv3YizXWGIm2ARc22p0jJ9ixzL9ZnDTSeAhmCPTSBx1z3wc6ELc7LphtYerdiDBVEWIS
Zc6jBYa0q10zT/c5H/dC4iCTw8rNWZjv7yuzy9ufSBAUK9g3mKDo3izH+gsJqsOAuL9WM88LEzfK
Wyc6+Xyh9t5yO9/ZSM0Osf+8IOaACSHP2+uTb1MSp/HWZBCHmDmKW4L8LsxP2MJRcueEtV08FoNR
PePZw3EClZCaRsZ6DF8z8mo0q3RsxQ/RAqqclk057eBH3Yo69CGaTxnGSwiW9e+pYNh7Xijj2HVk
0/2E50m5q0IVms9N4ijnnApu4Eer4Qok49YgquUktm2K3HlBvF0N5WA3jRYH8lwKvOT3DL7FfhqJ
psUjE/GocTBCXCLul5F72itD3tUywNo3qkYsKbBqoWwQkVVITHzNouGldjVm2loLpnAjNc896YPI
Um/tR0VgARlaHZGB3VBy7zN3MjZVwsholc3ulZhDGJk4A2V2/s0oS/OkG3pjni0fvxFups2c5gN8
blav/LE2gO4dqiWEHjr+ffS4FyD4D0pjI5G7wzC2MQ+WwHAjM5gZZYKxQ6Gmc8YwWSuL18nEL3/F
K5U2twsUFEaBrp0mfzTQab+/YP++KCBDSnAeCBMFy7tG3qOUc0YaVbhfuO/JGFDARUR4zRrcHFzc
tTOKEKNIG/+ngmrAzJX0r/I3upt6ujERT7C9fnBRbzsD7hRCNk8a8JLoz6GBzk3Ln3eKtJHIIKlk
TyBH0GCelWTVr5IZJlTolHDiPSPVYVoL2gH9QYlORgdlTSK7SbNEJwG5MDOKKmuu/qvLsvng+t7y
KefrM20saVnETGDoZq+WstGRqxkNfrzXU8+qPzWSYgz1Q060Biwxu8A8wHPM+hP9oh3irxI3rnws
HU8fz9IeJI4h/6cL4kqwkXPRB4JngJkzGHp7wxSHYNulOHQHTgnqwuTEFMSzqip8apm6kDYRQo+/
lU7QMeil+qrPOGuHx0LSfYYfXM3Viz5fDOpprNiE4SBtwm/yzdMjbLbF0MgbdsQEgOpAjuhMvGjY
gHdmLYw7jQwAxEtZL8ZDyMgme4IC3zLYff+mmFd7sWPDTpK6RBVrCt459+o62sLF3Mcv7V2fZtpv
cs0GbVvaRXpv4htGDMjIzrF3WjvI7oXV9BWxdEFOpu2q8oZkOjcX5oUiFLA5Qkedu8RLXyOHgpYz
ikKaO1VP4q4l6ay9VUwT67tqJJD3OZWmwAKIXDzEix7ejcUP9ARZ8cGWavxVxYKleJ7h0LjP8DlD
k7e3mlGer/lNEpwidP7wxBk71kywW5gXI20KvPTBZ7qJU19HOe3IpryjR4DowMtLzsloYQhYJDQz
6zwwJkqVcCibrQNLEK6pkSr7YHp4qWzoD/r8UPWYbMzI5SkCNsI2IK0QAxEjq+dfkIJ5d+THQnjp
mS7UdzYnpYL95ekQXiqj+mJ3maPlKwdcJt4nVpK8jDUY4MnMvLa4EWb3gn2R/2ozpsPFKOIRfGF4
CdaDUkP2N40TjGerS4GPvCkArQLOrpttZSSyO2QetfUKuVT0jLOI560dBvLuxrR1vk6gc5RCAeAC
owY/6Q09QdOS9+txgQguzAw6IwKMdWnBDVcF6dWJrwX9zhdK0lehCnDsz8joJnXXNQpakBGxeAhp
yDroinicASm0qU6QQg7yozC6ara9T81yrsqhbXd9SbTexkzBto5IspsVWQt5tEm0JLLXRNYBc5EX
0kTPganPfKq+C9BJjBoM16TsRtRJgxv8dM00ustGNSYPlZdMhMzgiTox50xgboUqeSQul6FSKSoL
VB8bGHYhyGK/loohG2uvP2j867TRdeb4jwt0svSYMDLccOvpEaop6J6yOuLZlfi3C5EsK52pvHGE
Xf3LpfMdxl0wx/Hu+cFugCl9bOKvoSuv+C2IdNK2SQtqfWyqSDsw/3Ca+1pi54w3kNPv8lpZeH5o
WT4e4db3D1pURd067BwM32PcQfudIvu5P6gR5Oo2H0JtI8DUSSgk+/KlyWYvpQikZPzohP57X6dE
kZAZsbdiR70+d8LY0kyFldI+n7e1OzaXoD82PWOp+5L8lJRbDjn++yLKKPkRWAK5xf4gGDD//xyD
1GLItpGpovDntHn7dlfkLFYwX6J9eMEiRsiixa7oM3Awz8VcS0cdRraTYCREnivMGYZtzkJGUwZX
1fqC5bSAIJNrIYj8YIedd9D/gHQmjSaWwlA2OKypav4q6exJFNTBnXlyL91GEZIkAOgQ4JlNOkmx
LRF42YelmuCtBgcLoCJc6GghPHY8Y57ssaxHItMHht4p03X7yAxfql1BK/WJuD/cLQdbNNWhh7kV
P+LIW8TPCeEK3zJfhf4HyoSLUP2/bwRQfXEytA0EJ45NuXYFh1aeHFPG0s6/927SGft/sZzK3KUM
OlrES76NGXigcv8cMT5wT0Eph/620z0idVwmL/Nxn0w2qdn2pwL6PuGDXslobIcvOKxLq8Rz5nPi
dQX8x0tppWtF8tLKUs++xSP2b2YwUaX2sC3zM/x+GiXdNKpg7t0BDn/CQRTFP76ra6jLL8zW9x/q
VUVIkSokJtNIRrAaoJy4Lm50bQTi0jp5iiuXIR6HGIrUVPSMBwMnZ3Rki0Gzv5IByoIKOsfPX3wG
RMYPmdDG/l74yP+na5oLLoueAZR69p6kJrya2NDWQQXQM/LD2iYjhnRinJQHda/fZ1FYo5MGKK5P
2CZySi8yLmac5kNqk0f+ZOQWsMX7V3SlYJmvCDI4ZTNDJPgSrP237ybW8gFk3qDcjxURu1svcqFI
QhucHstRxxyKhAmO4oR80ZsEMSFF/6WfEzyyZG/leo4TpMJ8f5ek7hisoLJrECIvYGka0/g2dRRq
28FtDAmS2MAlGyPCRLLCKLHkcwehH/COccoVZnwSj1yd9bmvySDaVX5SZdsPvu7VzginAGNPRgXY
qghKqutaimHWZOCAbZyWNiEmkQNMXYdZiQPjgHxZ5FMZnsbBoy8ryPOAGI/nMIHNTYX79EJmnkyo
/HdQxhh4Z0Zln4tSUZ0QeYrfPtQEH49l1Cta/hvRYVxtzdiaEdT3v8os7v9j05qbMGx9bMfh2YHu
sMLfPrkAY6WpLCy6RYj1w2MWz2RbPHeBsBaqtHJRI237Js2gudnqQvUbPOtb3mRYbLaZ/WMhWy6D
9VEBqpJbNqtDAjXeRAADag1/IBSbAa/cmzCs4+eoTYGGqHyMYQMjEipzC6v2nhjUwcD7rPXcteEV
sGhrZGHrhaBWyxpqaXoR85aGrR9BKovxrlDS/mbYicfK6nwjOFEozP7nKMy8zfv36u9bBZTh2QCk
NGM6DezbW5XypQj7TbUTwyheeY1dr95yHo/DbUnewl3lNJBHxiJqaWT7C9nj/Qu4es3mh4WwQOds
AZecbW6uX/yqwPGrqJMz2T7pcBwBMr/WvhvkazEyQ72P/ISXxXBhQO4bLJpRmUOR6g44SQLxtDKY
7/QFh0xkqAeAlHLID/9S+xLLUOe8LPBxxmCEKka7PHk/wUT11hxhA6yaqo39A1i2RehCYvefEdsY
yT65cG4XGO+Db/zXPWfiga3QxWafpXJ9Aok+sOohVdZp+Qq1xUL8McrRDU4hs2NoIOTPB7CLoip8
XPqSRZMgLjYGi2VCcRE+6AOT4Rv895qHSB8a/wmWbO2f82YMxCef7oi8+wFX2i2pe2O7o3+ti1dr
MEr5QhL01IHOxyJnDtpr/g1yXZlse9lTfDGzHfL9+198fpJ/nryehTMCC41JEi4b0rtqZaDiARux
GE5wt7zuSTbMUm8nM4XtwQ5DZfP+x/3VHXqOhyCUweNM3ELWdAVORpmwyAe0k7MfDGwDSWDSQC0i
X8fPiPnCOsIIIYYXukRjoQpOQVQpRvvPohvNJw9VqeXY2c++TB1jP1zGfVln8dLGjYE6vYuM2e9i
gcp1M2bLtGA7uGSIV7rCDzGnIkqJ8gLFFTUf//5X/GslcWgCTjDk0Hl3qZrevr2B3lnsNG6HiMQI
tE1uWsljQEhpvQ/1BgDKz4hxPcgUs9djRlqtdXj/8y+VwptHykwQnApcAlMcR17fYvZh1vFoDbxj
FrQWGSgIQvagZsKZZvFnjVk9zPw20BK8RUs68Dqwvfti0oL40ZVUaydInhQeZCLx9w8u7xqnYIIL
wRGAYbbPApG7OsJxa0dzIwzt1F0eRKdQJ53duGLL0NFg5c/4LftHmCtRv0HdQJOc2np0t2gc0WdB
iFaTlZ5S2sDhBv96tvJxDCfj4OpZNN1V0PD10xjPmuHlWb//Bf4qVj05I4mGa4C1Iae43hyHcXB7
DRLQWfh2kmxqk+gCBsSzAQjexUa/q4qECJ6ih8h9pOYdG+aUVk/Appsn9a9FOECQaVethJ0QghPn
lf3w7yZ4afE0aGPa80LXYwSWTJTkDWLKUHObag9LjgXMIQ2grOXCPtcENVnrJp3C6B4jGU3ulu89
4XHhnJp6kB+8xfMSfrPCwJNdT/AkqQslqOHbJW5iTdhaLpVEhLgbpnlWJIQCmDMMQpbwzBdrOy0l
HAPsvP5gw/pr+cBfsIhB4c7Ps6Lr5dOilS2nSmq4RxDf+LsJq6S551TWOQsFC7te1/HASxX6ZCNv
goQ/a+TLU2jfvL8OLnyl/+7CpRZFFQ0pnAQYB7hr3gj+gEsjE+y/x0Vkn8VdihvuZfabmhGU+CDP
h/wYZRqRtYvUy9FdtrtlvEs4SofQoGxzPH0Y6hKm6dFYb6FBDs46N/vpUA8laHkhRzAvL829+IiZ
aebvNGhJ0D8vb4tfNhICJOhFOsFB4NX+lTPx6T56Yd8C6GgxMSqbKVtzNA7ThOsNLU0T5ZDlNZF6
H1i4x2C5Gm/D0kiYq0nmqd/+ndM7o0t9ABlJPjVWrk07nRbG3xC2G39//9Zf/CD/u/XzJc2MdZKb
QfY5uq6JTVUJLyGoI7kf+4jXbkE89byR/oPSCid+IUEjiqNV1xeWvu0KEdiU0IhoFLbP27axEnEA
I+og3OZMM9Rqoc92l/3O7koXLumFmwvsPYvyS7+FprowsQdcaXHNWLhz/oAC5jBNDG9XnZeidrtw
aKIV3H3+CZc1XgYP/VCF4nHmuy8ftNSwTRuyUCtVe9j3XPSki5rQ8ZkXn5qUrfjUQ0VHOWmOjbfG
2kgnV/xC3ay6YYTV1yMkHl7sy/+w8Ay7unXiB1vVStxgAtJGT7kZuQCTWOgjSy/qsridyJwJVzoj
zGBDjCQXYQ8d3NDl3Q00+v+XkYhf6nE7mJR/rto8UjcFEma1c8hsg1voBQhs33+sl8f25rHisMd/
lF8Un/M58/aNQvuIPQAsoX0xJl32CZvlSTxbsY6HkoOTPnTaCylh2UEXjZVTitDD8beEV7Ftyp4f
mhJsjx5rqJHBuYCgmaz7S42QVgjbdkPsW90m7gb4ZQx14+pTEEskC5UCvPugXTXeIjXU0WhGqSq5
g7o9Cw6uvlBbmA40LFWeFh7uLPFIb5qCWTc0PAfH7FwrVbOr06gJV/kgChCIbGiCHTS6rNnnLhGJ
m6myWALv3+oruj+bl2vp1iz6oBzjPLxux6yQMruZquiAh/oQPfUaYnTAXoOY3mQmqZ6he3lqE5S1
aL6xQsMewdJYJHcj0rLk01CZY/S9rNrU3UYQUiUl7YXSHlQlAXk+G9m+nXmWHyyRi7Pmn0uEGdCc
rmvIGQVwsH16u0SAN2Wh9Vl28pxR7AtDxMkJg6voU83JS4y3hXuR1ecEMU9eFoYHrJB8444zgOmP
WURh9rQs8gJjEfOJ3a6/h4Vsf1SE/XVKMd7RqQN1RiAWc9GrMreHSANqOOaIzWjR72JzmKJj71Wz
qUNp/PJ8zXPW/gw5HNrifxg7s964le0K/5XgvPOG8wDk3AeyB3W3WrNkyS+EBx3OYxXHX5+PTSeI
ZcDORXARX9sym01W7dp7rW8xzb9CKMGi84cveSml/u/NoguILwLox+JwYZP6cBX4wCmEoXFBNQDS
TorCKHrvLkeVcV/Bbseam0aDgzyv+hLriCGDPE91dAPwSKyvQ19z6kKRB19tD3UNMNzvL0//9fIA
xi3CVPTiBm/Ih0pwkFo+ZK7rHY0CxHXhSrU8uQNh7r6jCNHupouEUOrODELe6IYbouVHh9QsW+JB
aUPLu47MyNOvi6SpxwNclTA+iNLRiFVIutCwt2bLjO7slTVuNH+dz2NHnefrWTcGc0eAQO48TVnY
hX/o3PxyCLCQX1B8M8RV+RI+iiwNu0AT4uB+yS/UgXU+OIJ5wQg9d65yS/+OZTdHIEDg8TQo3R+q
E+Pjrk2FrdsYqJkKAlWE6PPzi2IQp6WTJi2OK6zLaxyq0QisHi3rNCa0uIH+Em6AKIjpqNSTWQec
RWqbSFoOBltEAYRkkAs54LazAJFvSBPRDEZBi3BzXTKrLtGWsVUvk92qvdS6ftHSJrLZd8QnIHBr
0Q2UxaxVu7kyFaAine7mu7XoX23lkzfiXb40qFcF4++fMvPnHhoPPa0B/EEcxpBBYPn6UKymtVaC
ouEoTW5K3t6UsVNG102K/m7HHVDZ+wvL7T9bJseJ+z5FxJT7apKkyvemJKzdz5We+Vlst5l1T5gY
W0t9EV55F/9anqOaWbrHKXk0+jh601Wpqmrl4/N47Oyqst5CiQ95SVsnip52FCPQnkSfbZITLbEn
6CvWj4itiYuqiInODilvRLoTZjW9qizi1HwYT/XN0HZ3vSYcJiMWZHyS1kpO6pxrUdNYpOHFpKUt
+/nv796vOxhqInUp/PBaYYn3PryjtYuV25azd7Ib6OVnM8nJvcVq2mYHbbQTWG2d9yCIKdI2Ov2z
p0ZCBSWFHcPNdV+Y5dUElZlC5Q+X9UvbgkWD2AWG3XQUF47Sz093NllMuw0nPBmKgxFCUE5UQVnh
JAgmrO4aX1vaya+w7PKIMJLaBg2X1saT0Y3cIzNyOko/J8wceeabKcwdY0YOvG5jSbay31/sr4pr
LhVCr4FGiVrgF/Non4x91k5Zcz2EJNO/iBkPCECyvqSfxvoL0p3NlstaxUtrW2le3gqWY8549gVp
uJ4GV2JEBs4g/SFVWrW82uqavSCbIOOm0z4yET8j24+JBoOT2ZKcMowk0wL6HYaN4UXNHKCRJvei
MNmX9pGFxi+ohHZcG3cEE3T9weLq6muBRzzeqQsGbNlc++l9UBtycRdT3HvJIanbzLqLu1wl2/Xa
sAV0B5oLzOlCT8rhUFWRIgNauIk8TNlsT/t5JELbR/Jdo3VUTSK+U1i/ua8rTpxRpRci39kKpq7A
8ErabjRRkqBPeQmJ/o4V9awzu9QLX1cb0V1bgx4pwQoZgfLGvUlSi37C779HOCsfD77MHODSsKcj
QQTx7H7oiwq5JFl0SnTg7rr5FDSFVvUaEBA1z6LAXMhXDzYNUftYUFnwJK1135A6yzHgYiXlMeSr
Xj1/g25QaVOIhMNzW6LFuFUihrL/1HPLAQDkcvs1Q7yOztCr3UfT0JoGPWZjvGUwe1z+vaW3lc1G
nx1Y6zs4rZdSJgtVLXwc076VNyttjDgUdhuvN+vPCUWVvaU4ybrNei2x7aEXASWKfWjdqGZyjMyr
Bhas9YqixLwR6hw5HImWy0oQ2fQPmS4LMg8anCVbN4bzuCHbixbHMKiGvF9b1ixWLFEmvr7+Ibyc
gdQ55pjhOBaIYSe0DeUfZP+TRf7DPCWP0DZAja6XQ3jhFD6TDrKcNbKCwVPo2csdXV1v61lr6siN
wTBsYNMjUmS8miOTJD6wRqpVveD1HLMHRxnhGqqlRP61tWwIu/+sjc3V9+s0ujNs25kPvBOqVLRX
tXPN8p8sXqTZ61e2FuCtBU8ALU9ro0/ORukdvZQq7tj3Sjg8Fc0YPjd1w51cpeclBEkmDQ1y062Y
EH0TgpoAFHjhtLFExfRqkn9WZQF5pjXntAqmKHmvo9Ip7zTahObOUpVX5BGed1jPnY1Z87CoF5Tc
4lCXJ6vQC3hElx7mehxF4c6p04prTH8iMVXljOiS7B7yCBfL4rqGkEPDcXQoJC2sGCn0d8wTfbH3
jKE3ruwSlKsPbIddxzecBs6AAQvg4FWNaL5KHZ3TAwBatrnCiB0Qiujr+Girm7Mo46m4mjOp9i+r
DbDnxZh2QzWWAnzmxcKYcn62dk7Suclj1EoX9ZQKEfHcmE1FQzKvmXC+6oQtJj+8nSQx9BOEYXS/
hzyUC7916Lk2W/+Uo9k7aGVab+1Z1x9z1ySqvSOGcnRqHfuS6exSwn9yKU20EuFNNsCMawvPeI90
JQ4EjYHtUCuL0IGUlJlKfFtmSnwqkqm+xvIxB1KP+GoyEyJwDe1W5pYEgSez8Y6Kx2X+Y4noADEk
2uZeG95YifM+4x/aFW4r8aiMD1k/mF+rVMEE1giicqOxQ9HjjcfGskMyUEf1rMBwh5uhmj7TBWZ6
czHf0CONd41wuvtaTEOgqtNEgUBqRxdAWHDOHNTaTRdWV8ZQd9uRH3bMy6TfSK9T4XDO5NB4UR6T
Q1TMRxIswJtoub4tJ7M9a/Ec2/TQa/NV7xP1K+CLISgYEAQqdRGGCyU+10NjXolGGqfJGM19qvEq
I9UeiB0yp+lgNc0TFpAWKBYorQ3goPQEk2E6VVA6KO9EeNNyyN9PpCBsAGOZ21GJ9F2L7VL3E7X7
PND8CIQ6ufdho6SvJtqiAyMawsA4BHdBOEFe6oxOJfWdeZNolSzDXw69RijjMdPScRvP5PCCuhg2
OJo8dUcDWb1SWw1jrDflxobmrb7BH2Z+YxG2NL8FdnZU9LTbcY4V94rU44NncE5V81ElkVb/1BRV
dOvGNWYDA3key+11pSR3xdzVZJyW45YgWLBETmLOj1M/lzt1YiK+iSsblyd+227bcpAges14VjFI
BYCYkh2d7ujrTEBnoAwaioNqfFfDnJyplB5l6pZf8DND7B8cOkOPhGHGSPFD61Pm9NGVpcXGYkVl
teE+C3NTj8Xst2K4m7GS+BFkIE41pb7xotRFcTUa876bKmkTEN+n5KaORcOyQ90btByFnrRCB+an
Z7NHYFFtYPWfXbrpiRfEFp3KTuZglBPWt1nYwAYNpHb9HLdXcBKcz5YiIDNphXflVcp7a6jRUaSW
HYROM51LpSH4TDGVz1Vmps+Ic6AK9428rhjJfkqVzqn9KdfLkxnqBAGP3ZdCYuKJjMrdl9CiNtAJ
3caXskMp7LDygg7oSFvVE6UL5ipUN47bOvcVB55hE6Pueki7MQrQuXHnc93b4tbRItpbXvmudUP0
fUjM+zTTwu9F6ox3Vo21BHvy+MoBpVTQyQzettKsof7UqZn+KZw9xkOMUm2f5yt9crTeuwZegDJZ
Kg8hWIRtyIF+U2eQV7vYuVUcvWSgCR2FFOdEUTGT1QyVMLhZuwii9n5S7Org5kp2g1my2SMWmF8B
4Fu4PT1iAXtnfsbcmJ/s3At5u+2WQnk00dUp+TUBajDMldq7cux5CDeptbS1kZE7qV/mOb/pSNn8
U0ROdCs9095oWtMei8h+MZPGuCPu7US0VMnQoRRbZAkETXbZHOROOG0aY3qEbBG+0YUb+bJxb0yZ
Jh4rGIl3Ib4r2NlTdBdP6h3xdm3Q5V17SIca4JGQGrhwbLFCiYBQlLPXk0SYiX3vVgQZT/0j1XZ8
b0j73e2nkfWo9w5WaBHujUDhKuzIkvTZxRyCwPPxc+aUO0phcT0kiRno1ah9sRtt1n3ZDX0AmSAP
8JhETwRqs9pbVZv4cij0l8aatZuoUfvn0kvbZ4+d+qEwohxTIWrJG6Qx1Ih6Kb61eVnuQfgz/OI1
AJboZDSMPIgtNhI/16oIHkv66dOYEV7OI2nnQT1Z7pNOIssuJHk7mFlOqLKi9LMXyfnTXNOBXzSr
+dZDGcAThe31tSRr/IXmO0uhjB2fOK/qYKKR2bllPTx2tnt28fofyItr7iAoyVtrQFsmZ1q5PNzG
rbUkBY99XO/h7hLxwnCjv04Ty3vJEuCPXiv0ly5tqb+pab91uVseyCytvneic3EFtRV4Pn1sd61T
kuSmdskNbCIzIADQ3VGbyIADbEOIXtxLfyY+OYjM4kvRqsV12oCq893QU66VqTUJ2qYTntOM3Ovx
AMPDG8EwjXV/QxR6AfU09s5lFEefTNl6oPC4I52Tqm8ZCqug8Qj+5m2YPmdpn/UkqWfONqPHoPq8
yShlitz5RtLoDY2Z8q2cVAOC1qC1G7ulxxlQXppB0XUAFE2LtBzEBCnZOYX2xYoi6rpQsclA03Ei
Uem3aIXdTqh+quXG4FuOsvBR4+42M3L52kxNdZ/neEu3IAqSiGZyJnfZGLmPQOncbVV3V2VYmfuQ
auaTCsPEiox+SxahEwzuSBdUqz2S7CwETyULO9tkfc/uKK5M6U0b7PPVdUYt6ndGBENSy4odm06+
q4x85xV2HJgxnJzRmpkLSA0vPsehPffpRoH596QhlpU+gVfiRqkTBDkcBpnqqI3jp00x7otOvlmi
6/Yd9syDrgHvKL3YONoF9Nwsrt9Glpi9OkzzJrFsoMe2tMRRK8bPKNztMzXFzTSwLhBVq+zQJh7q
WANG2DiUzpSfAVpfcSX7ofjCSQap6pTehBRny1GwApyuTjtPqNluoD2+oQRwNoYdibemCvMbiLpq
QNMpJ3xIKDc8ly2Vjxw7X9qMXUfsy+xxerLYuAbxDzbycu8600zIRRQuXSTs/JOhfbOiVP1kF8qL
rWefu6qjBQrKDhbG0NbPhHMPiy2/j7dQ58svGaacK2pX997MKvsJ8TCpilbW7somj/zIGTkRxNVw
yxySnvroJt+w61p7L9SAmCXW4tOZaDi5RHge2BjLG07iI0r9hRZpFOxPcXcDJVdFTlPQ+zIycZPT
7jq5eZQ+eLLXdrbTEZCbja332Huina7Svk/OqhmZd8upHsGIMBA+2zhiMFqWAMYpJmzrqKBtX7ps
ZUeIojdSXo6admjNXttP0DdhP5vJg5bYzQ20zHo7Nc1bAsls0zQY1iU8w6BuPPVOtyf1XhBE6StN
W9y28NeO4D8bXhGWEQPKyDOLzXxOwbD6oo/eNJzz5JpbCbbT6rMN1NEXwO4CkLw5T/QEBZljpGgI
k4Sz1gWRBUCTgxdWShdj5U6SBklc+qz1hyStqT1Td35k2Fp80+xWeSsLlQ+A3+eE2DV5MiBuFThJ
YSmkGieEEvv0VUeEwWtYT8m+Q37+2Rub7DxYTU90HTBK5sPlzoHLsm/yssArVGLYDOCwqVt4dQTg
Euba7ocCrm6dhGfQhtR+nJSfGwx9Z/KdeVaykZgsgB0I3jMLO0GYWuzDw7E3Ae8qTcVz6iS3gzXV
n8cSSycAnuK11GOLYpu6IWuG7I5GCJRcg3fFIXaQzl2GBaHXT/YU18d5luxgMj9bnKVeyJYQR1Ux
yg1VuvO1AcjhsxFbN32cEgeiJOILSqr8TTFjnZh37hPaO9UDOhxN/mxxwc1oKJlfFwkg4Vx1iF3W
3RvsuyMaF8U92IPrXrcdGngS4GF2FO180l3R+nWSO77qGO1Jz0HvY4+EzJtq9mnySm8zifKbCrXx
wS5NFWWr3oUbuKpEHA/EY+5znHvPGn7bY6oq2iZsZ2vnzk6P2bjG7UxXfjPM2WubODFjalGfIhYx
6Oh1KTdSl3yHRu89F3oPZCQB36Xw+skjgYjaFlUAzLd5VOs7+tnpU6Y7EJgA1AdIF2oXU2ls7sa0
m25xJ/TXatyae1A1dfc2Z+a8CfWGTdRJ820hqfZqTLtHM66a+CHrCms3R32ziQrxMiWqu7cTh/6n
jL/XTSSf87FIv+C78TYiMuEhFq4e0KVKDs5QKFu0I8RbTWHN8NfpaFc5NezvObcJU6a9fIxNd8Js
neXlk5XVHnPOC/ZHGCp7n57YjGKKnqf2wRMObu2uRwt+W5m56Z1QVdsSK0IGAowobL3yoSVw8TgL
k3DfeplX3gyXIZiK86K4G7K5UXc1JIsC1ayrDhuEq1G/jUM859thTg3vKoM95nHkybVkI83EEEHH
GSl/WtE4a0d3pm+nnJLF+OWTBJK6O5J5lgdexJOmPim0/p41XaQkACmtUj5j+Zt6f0ww3W7LUXXr
l2KYlGvRmxypGw9b/0PrVXRUWka74zPNE9oBRmJVzV7tZu8wE+IS7RNDxvYt5lnPOIYZpKGDk6b5
d517tG0Fk/INqpVEPUXGyD1bqUIRT4q+J8S8KG/W8XXiZnBZs7ohWGLRzNI5Qk9ML0qmSOWPlVHa
1Z7s6ah8lCNIn1tFdFzNOjFfNc1ONNocMOJ0VG47IXNm72AESuggVW+wnjdwdHbRBXzF7i3fvNlt
w1MyFctXeWnC5K7oAVC6WlNzk8t8fF3xOeOlfTRf+Gpj7v5vg2S0Ygo5pWV8ft2zq5pXdjHxGHRY
Xo0j1IDevl3RSR5kKv02b3S8cgGhCAs3XKa2crKH1iF8fVad9trV6nE7hnAArZ0K3a58tkBXzDT6
QX1shJMgLWg5AzHyv3xF67cuiTMMpV/DvS12pJLQaVpnSWhFaM4lqTp9WfSA6c0CPx5PCXUNc7JR
dPxJvbfpFSlEzTfvRUzfqKaCHsX1uAwzrozIs8hOVogE3jHF4KetjLGKtCMLv303oKVZ4UF/6KB+
HIuC4qTvymhfNejeA5f8uW3fajWZ5TQNf6CkMSVn2jnKiSzfI80HlipAt9ZQhPHRXPcm/YYzW7r4
ljhNM19laVI4W8E/UR9/GMwpmVXmNR5tRwbOpORWt20SheoVsCs33pPrjKPy9x/i14ES9kPUMNhD
dPS5rv1h9tDqg9E5WagdB4XEkMMss7raM17DFdQApfg0upjvLV9l45CHYSpaji+6Pp/beuhYm6q5
dWmdZwuHG/d8d130RJL5sVFmhOJOSnQEx+zO29pyXeg0FDyfV04EH46Oek83Jd7QhESbKUxWlWln
gd909zMm+deVWFtePMge/j7UECpw6lubfsCTzpy4Ijdhqiv4/ZJUmC2PhuBEQFP7M/n1U/g9E9KZ
X6dhkOJWZEWlBL+/ex/UiYt5ZfGk4xKE4LYIDz4M8KO2YTBR6N1xbT5DIhL2vRdFjMzWZulKV1uf
SE8rsho7v2Y9EBNkvPF1J0teBj3PICEm60/azQ+yCIwoFtOuZWS7jO3RZH1o8HeNEheJPfXUihX0
ebVr3YfRHmtxYpnRR0Y0XVb5Ibr/gwZ++10h1p4QY4l/D2CBmpMDQ1G4yTrHmhksshjQJ+2Gbgdw
Ia+AXBhKpfxhvoQ76cOc3/UINcUZga6eW8vQ+efXSqDe78cyocK9oKZnTUvL66bK0/S6GzMwz17u
FpTCK1x0TahqEU3MLzQOl+whg9IbLIzBBO08TrravTQAHMjkivSE9dZOXcaepQPLpvEhJY3TTVdg
2clBVBpsnfRpZiSJ8yW9x3JEbR/yIdLMm1UcvXrI1+azUtjE4XgRDo89gjPO/zDwHDcxfaPPo/4d
C7mWPJAAZ3RvVW92/bHoiybdqjPGE7+/AIBWAkMlBgN6fxgNBJ7ZFwKOxfCHwB5jViY+rEW5/gOK
k9fFcrUdYwbzTiNPofnWmrHanUla5nCKziAHD+XWPFA2FGocnLgupPicuY6CeciuErz7+EGZY7St
6X7Oxmpx5c14qPcrY2ZV+a1w97oc7CUTr+xYfAimZobHJA+7Q7OS6a3F2h07LoTmyFtMDy4peYAZ
3Eqpn5DkS2Wz4gJ0dknlQLRabARzHoKkjynB4g22L4Y9q49pCjmpbDIhpnThMfOTlZ4B1n71fqyR
AObqk1sViqs9bb1q6Gt871WGxZnMzwvCGF+uqd/oNXKB7cpyXr8swwIEmQTr7BtAlqgPgqc8D0Bo
6+MV6h/MVP6atJXZaS3eyLDKi8mftAKnIfPwkc+bJaRj7NOBBjjQxEt8xZiy090lbG7uTruMsLGq
LA/lyqRCCFLMLxwIPYgFyDiV5N2oQ+xZJanbaFpcQ6dFljtzXo6+ag0z0/iyTUlS4ve1jAeqGwR5
HAvPffWmF47DncyckDvvGSlFpN+ptFRupenE3q0RDx5e4ktKnd1SzR5VMhCrbc2aZu8JHsxAwidW
x/OE751jik9+HwWsD6F5+dV08bSsHrGpTRGVrZbP+vLlL9A4/tAP1ToDQzNo80G4hygqIEwCm4Nx
Qj/EimW5kxUmpsyH4OeBshdKJmLYzwuGV88zxtUzuB/+YYUaIYPQYVfFm0vDVb9fxcTxeh8V3Hv8
qbxq+AK6RZOGwaIeuUM6oB/1OLL/WOdV3Gnmjgt/S+0mZjuA4FkiKF2XvzGhAnV7PLi6OQctPuv0
aDYdfbVYqWmVFbauNLuCtAFnr3UMB6/GSLqKLxWnyc/r478Sf20PLg7xguRDRd/1ojPnB14Yme9t
ISeHUPqk9rYiUSZxP2DxpheUQos8VJrMhfAVCJ/V1yoq2nSvVG3PyV3XuwUGjwiaq52yeub+Qvcz
20ePkfVDZkRJcY4xvlK2L9kLaw5DJjrtJVOVxPkaxg3a3KGoNf0BFqJD0ydCq9LtMX2Oij8B2zZO
Tcb7SSy4MhvQ+5yp39q6J6OAm5vMVziJ+KKlnCp3g+27Sw4rBW0IsZKeyKufuvuOcD4fd6nKYbN3
7XlbLAjQnYMxRd+t74LwrHI5FWesD4ZNu6Zz0Bb44Lzp8rIaLIvsIgywL5a7VQEJgIGrh0TUNYHX
Yma/Wf93E5ApFQYsKl5bSictehRu14NVSgk2rf20tvQiKGG9zndkjJKNhpubyGAfJmz9altuqj2t
Gpf151XOwlIj5i1031pj6hFXKoS73TOD0+Y9nWNElKsxZjVjFHmPnHh5VOR4WA2ohovU7JCmqSyC
LMz1mn+SltMb1k+CDz3ZzeGz1+qRRBwRRecGSdjGRopDfKfmZdNmDZCsbYOOhchpn9P/MG0FtuYS
17Z80PmFNBmvuirxn2hHFbjKQG+m1eU12aysjVXeQtIi8zCteEam/hNLhOsdfryzl8iD9f9fee5x
JgAhuVIfi2e+mybcIacbk21UD55yXBfaXGbzPyNuk3qjVEBrt1QQSncSLV28zQ+lRsbs7VRxUnX9
tX7LVfQgPiiGFjguPQhKOhdHFu8ZwoKFuZ8OC78p73W0r27k9Kx01cVQsBKG5kpfAi4jKkLOF33Y
n6xaGMtresms652KG+qkDn87NWc2RfSKixsBMSAqMHVOPYdli5HGMb14Cm13gAs3cfOLk6EiwX10
S0JCzytjimxJfsT6EstqUNxzqzvSvprqmX3Ty1kZj33dGCPDKh2cWENzhEL+E0dTtug1F4x5ycyH
6NSC7ApG9iHk4spyuzt5iWUkFcbMz3YBoUdurYtYvnATmzth5RN3oq4puvZprYxN7a/Lm0t3j1e9
cYW09yskfr05BI7woqSOysWt2TfDlCXyqQ9JK/PTizDlD1Xt4l78v0pL4AY4bhwo8QQX0WP6cCaQ
FS1cLa1y0KMUH9tCCVkgzCIrYoYRWsv6DrRO727pIYzdP5QhC/h2LGOKK9AYfPtUjH2FG8cVnNIu
For1YP3763Q+Xudi66PMdzhR2DgMP+pS1bbKkFQZ7XHNvBxpDJIYRC5Gt2fFr4lM0qz2vooMBH/E
mnXAWieaT3sCgfHXdCkBCWtRQDIAtuqMM0S7ARZdRDsn8+Z0o5AzGm+VS74nvNp42EtFzaddNOtS
v6raVgA0VqVR7pFMhTsjtdVsT1boRI5VFanusYIH7/FGY4Lf4+RCbFjZahUOfiQ6eEmqKDOAzp3N
3pGPKY2LDAvFc1rUIY90k5upt2FE0u9F7XblQxpROSPGMeFXJIQNjNu8zzyeqimBHL5tiZSqCRpy
0Mh2NuyLl9Xzv6AnSDBaY2vXsnYC0kyS0GUVqWW4LKqr0GMsOuqCNbax1FzF3HQacukt+bCz2JCd
2TR7XRVst4yMKTlGZ8mObFZUwOqUvBihmkt94VL5gRC4hM3kDLyRMplwEwNEbd30B3HfR5Eq2nTO
EkhFdB3mLE/uz8cG3J+FbuRxeTS1cmEirRhqLW29ZJvoRlIERpyX061sG/o2/5/z1odcBc5bjmMS
QoA43tVxhX20XbapprYK+PEDEy4ItLjgSwkwa55ozF20LIyjsCUidey5wFVfk5CoZ17FM9v19wUm
+iIuzZMci7b7ygIyIGVNB43Y2hOjNhhdjZfM6j7DBSDOIud5DtY23bruNohAJvMPx9xF2P/TeuC4
aG4NIstN2hy/MNhKqjPbYER2aFCUZWeEbzj7bXje9lG09CGfwwuw+/dv9y8MAYv1hzM8UW3YY/Bt
fvhCu5o2XT+mdPbIokge6oaXkXhzLRLPda9azW6Vmq0OknWVyXLBypiKum1uW2lP4+ffX9Mv37Cl
cVEcq3F9Ilflpf75IesVt+8oTVOUrimqpNWBCEZOGbYEvLX3RDaVRLtRerzb2YKmCkY8O9muIjJX
f40c3L7/eCKTxXnti0UXQP7kgHPlbAUfJKiMDBJoh1ztf064cCYWhRPdEZSnPXBEltnff6xffAgW
byNtLH4AbgSAex+O3JKFzFDQ+e7X1AHbUeq39ZDRXI6Rsq9rcaycLNF/NGVS2u1gcQWt4RPGCPc2
RdU3HacYt9N+GqkjfRrpLA1/uNKPPTeulPebcgddGeLFjw9FiypEJaep2hfVXBRbyRGSSDyXMNk3
BQRQjFaSynsDBrdy9rRg+3yrFL0q7kNy8SK/7k3tJJAzOlyezI29yBGIOFmuV4QaEdp9S4g3hyf0
GNjC9Mz6o2fY+/gJ8AlbLFQWDSPdgkPywWjXtDKWsxE3p2Fqi+8c5NLxMWGAkG5IDGleV9a76zZ2
s7cvCliOE7N9Tc8t6s/jJZl4UBUTlVqYN+lBJZYPdcvFnr6iB0BV0KozKIfItnYrPgE4HYJvx7pW
TUbZeA0OMqE4OhDC1uTPCn93Dx5Pn27CvsfHkaqvc20N6MRrpeNHhYNMZUAjshwDV7LGbtqG5KxH
aL1mLXxdizKZBDRLKbdE3ZXeyTVGwNi6MUXGTgO9k3FEi0YQG71hsUBzBj4kYdS4eyubcrsjCGKI
h81a9Yh0pMUAhZRTECYvqgn0blbzNSHxxwtgV1ri7M6T8V6EReJtDaMrCb3O4aJsyT5EOb42A9Qw
I4ePMotCfuCDsvNehO7VRZxs1KAATi356OVbiigBAtWK1lBTdmoM4/w359FyxvtGg7M7NTqp237n
9fF8tUT8fXJ6s/V8aEMEOBiTSnuJTaefvlKftzUh3K0df+o4Ur/2XThUu7XcbF0lVgKWAbU52ZH0
FGQWQ6pmW1POXfywXmcoajbz2bDzdD8qCob5up/EeJWM6XLyFRNzqxIZ2lh1t3Y76WJ1e/znTzhv
8e//4tffYD3QQY7lh1/++6kq+L//Wv7O//6Zn//Gv8/Jt7YS1T/yt39q/17dfCnexcc/9NNP5l//
cXWbL/LLT7/YljKR03333k4P76LL5eUqovdq+ZP/39/8j/fLT3ma6ve///pWdcRe89OipCr/+vFb
h+9//6WZLHv/+X9//o/fXD7A33/RXHwvvlZdG/3yl96/CPn3X/a/WDppsyKxZ7/EGkq7dXhffsf6
F+ATCBj8B481Wwe/Q5SZjPkt9V/E03h4Wuh0Yh1aOsiiIkjh779M7190bflZIA1MT9dc96//ubi7
dXdevzVuxo9f/0fZFSDHSyn+/gur+E+7OL5mVhz4T5y/cZm66MF/3rum2gKLzrHd14WUPt6BaSuL
iOA7jpHfmhqZCJaeggN1od1PHoMLq1GMbaqmxSZeUq56wgK3Cw7QT1pX3y9L24un518tMcv9TOzc
hrfKQKgpvySF/aV2wpeqNd/oEAVxYziQipJ/SP94UrGR+ja1mK/FtfT11qgDWV5LXPtHZ4rQOLvf
TROqsDDr5jDCU/YhIzsbG3wXeQO5ciJFgkzQOPwK8Wl4A7tBD2KOk8dxwLZSR2nnz5HqnJGuG75t
T+WmjIj56+nT80RVGZ9TIODDSrQjtFhF8liYt2qoouqyh/HaawcRRBhyN0KWe8eYnt0y/BwVvTxS
CN3HtFcjhthI1j3MtfvUQjbRMTzxs8Sxkf1on5kb3OOhGfd92XxzQEMcPWKAfdJZtiO0EGilaOkj
w90tLBgrGYx9Ij3IZm3U7FKd0PFB2BiOZ/wffDkNlSJBzOTpdEEFPYCP5H4ZJPtWPyRyk9qxPI5j
EZ2EdD/XpKYuwbn610pNYSOHrWNdmSSmnuKUgVqu4tLGpfEMLL73cXRP53ySSgDtljMm+0SgKW1L
e2w+FK6CmE1oO5p4zc1QTQBOXLIRk2kaNp5ePsTmyNR2hjRNwC3mhUQ/05Sgp1O16FMTRLnNKIrA
qtsXY9IdaEaTy3+hOUy85tlIaYaZEfw1tbNe7K56IhjIRcg2zps87l/qWqJz0qYzeDLkbhw0b/SQ
ONdWTm7Ana6h6CPVprN2xVYCCi5EsxZr/Sc50LUy9eZRaA1cGdGfpdmRrlGW1VZtC57eetrRA9sR
cJT7qZt/CWtUDqF2bTUYGlOtSAJUKzeIYcEhhPpXdYqQoDYpd6+udpRzb8wc0AHpis+2UmxYCU5L
24Qc9kn6pad9bfskYuQ4Y4Aon2fX3iH2iX19JHxYWJ9I6w53MrTHHfq8Zit7XQSYg9ug1UudNlrX
PuHkuqJz6SDzNb9HA31pEos+2cI0g7RSoQaKcfRzZBxbr+3oX0VPjL7CRwvdKqiA1Niit967uGU3
k6kfdeFeMfpD8RAyy6gaRx+58kTbJdCIaIubIIPqURygaaOhSto34eSmj4ZD8wFThQiWpihoQV+r
fTde9dI4qNi6rkhY2tdWme4xgBWf1P9m7zx2LEe2LPtDzQS1kcOmuMKvaxkeE8JVUGvNr69141VX
e7AqK1GcNdCDBzxkIhkMXhrt2Dl7r9017x3HXw+DWu+V5x8hBEuP76Wed/Fg/ZT78IO8tKdBy1Vn
MsPZszK5cFvuycntxabRWppE6XGf4K2uUTNE7qLzoMtWnFJOoccBwuDlRKTJRVuoi1dAZ0FNSk4K
0RzkiCrxT74JkRtZ/K7RRJC3YqYvJCNmu5j4JE+044NmJK8xx9luqRbPUgdtL2kNuEUMJPSy5uzI
t1Hd620pXNo5i2vn6Jc8yOTWzpK6a6NZ/NlSwVMsFlt3UWkHI+7jXV1lOfItmVQ1i+Q+6nnjEQGj
5aXhmHn9AjPYWfj6o22dASN3xzZRG5aaGftJFiEDTNvC74f4Tla1E9xZvipSrLjFmz4u030dZsdA
wwIgZaLxghzCoc0sniTL7toO53dsoeleoki0XMJiP8kZ0vhk8L9YPNl2giiqHnn9Qgbwcb889YV4
pwMH+ClliaKscUoKCzSi9QuDitQj8/ZQpPY5G0J+Bxis7TNh1m6bcRSjhe5lDAgR7/fzKRGS4UGa
tFk+3I/STeEhwDOQNr3s4JWoHdKrabxPn+UsTU4Sk1Q7tuWRHrbwRTD+e+7c/69c/qFyYXL/31Uu
D1/Ne/z2vWr5/R/8q2pRtb8QZKtUGTBgz+5Sziv/qloU6y/AjGcFN/+ODrn6H0WLbv4FUotxIFgg
k5w9QT3zf4oW9S9Vo9KAayLOREfT/J8ULayjP3t854MeIQvoEs4VEiPU312Cb1wSwGexLZizuyYe
uYs4SiV/yEoEiSIs37RS6V/UZmROxTbodBz4CZSV3EjtmhurDYLLGOn8O0RslnISW0f2jOiFnXDZ
AbXXL8+EtdyJgHj+oN/Z7iv8B9EJ4k9xa6tddjnCSP81hrp8J2WxcbSXTro2sB+SwzTW10qSjGz6
Y39L7dVdgaeosENKCPfHKPFHgmM8dRKSz+mo9RsMiU9JV2N76OTw2ClzXqFYb8C5gNi6s4xZf9Cb
atmjrEveS2JrHYGm74hgvDhMkLPvYNkvp6kzjQNMBfVyAbbrl+2S7wwzSi8ZIF8xT78NVcUPJ3Gf
oWd0IdI9BDR2XFxumjOjbuUxaMGbbUUQM0oFIU+P6jee+dRW6mcwMkIBOoubt3fB/lw0uSC7C8Ex
cxfWrhld0GLD7f00zuW9ZGTNIQqN8bafkV8C2QptwuvH8aVohvmSz1/I3ffdF0A0fR9nWU4mpkr6
TV6pDnq7+R0spPyg93l9lGb9sSR67jUNbM3NGVjtRyX0xki7ZkRnUF42xV2Ql+rVQo/zaSR80Bdm
bx5EKQ2P4Rnf2JjIo7BQEscR1aPpdszEnjv0XDHIvGzyz2a6G7uPPvo6B0hJKlpuKfjvg1xDe4mj
glFZ8NET47TPa1x/5P3ZGBRIfKuCfvCqSr8xpED3VEhoou1+oD0aEXnQfpvhD8oT/Ks89Ca99kYD
GW7dT89hZdrOPJGpkfbvQgNUmmqxP6VAlskgukCuLGNKXyJk+Enplwa86GE6odpwCaDBO9a8k+CC
grEPCZHJh6dBtTAlYs2JLqW6lSqnq8FHOC3cOU9Fe+aRUnu0QDc/I2VPT0qE7SiweDqUfAvh2nlN
9UY2rTxUOXbJxoMg4Y/1p1pbKOJt+kqaGk5HAeEDTYkbtlrrE0Qm7Rtz9CyOqMCtg+Ci7CMfX2p6
1diom2PbIk+stfZWoiG9DSXrQxklfQevK0Cdy4buDYrS384jWcFmuDdJE3FnAjtiGb0+wTaDixWA
Y7bkI0nYnbdDrVOZ52B8oys/HWo1rtGA2V9NoxylyUJQnXQnHAsT0jlKQEx7EwzRqfLJOd8Nqhn6
w5icBnDM3gIMAz1mNNA/S09aBXxyyGrSqiV5ZzRK69K7145xpWnXbVldo6zT7yYp65xU1B+t1DwJ
8oNuFMu4K1Ri5LOOOmEecupeRV+QjUpvU9Wkl60ZJ/eNzMEjmTXcPXrpqvoUu1NmZqYjYAm5sg4o
j4XQvDEbMk9NZOn7dGbXHAzJTbsA8wtAZadKolcVDvB+yJTx+Sxu2TEo6B8gsF8xgeZZQWErKmLJ
ScPJCu1XksfIsKP4ygwn/TktFtWrspuuJazFgoCPDkQnAm8cP6A+x05Yy9qzgZHKQwsUn9AD7DRI
jE6nSz/sOpZ3JJXDdm6iR8IiPbOL4UFhghQKq8nDGCMgUcYV+VgkYCVl85FFyR0CkP42bmGB2PoV
du1jPHfPpcDPTCnKO9lVD0EUfxazeBN9fW0MWXUtYgTaZkZmel4GB7hWyYVRUX2HvdkcJWhiz7WU
51e0KiUnEgy7VY6Bu2DK0g9EvM1lHOayg8V6+dUkJSWLlo1+mZnhiZNBu+9Tk88dNvoZI3YSuJWi
SxddpWQ7mkvUIVHGeqqr0cVZs9D6QmIejQkJbBFnL90OzvGZkdjnnHTcdKH6l3MN15tOlP0YqG6l
FxOOdNXCTYiy2R6kiJJPqD9jJsapJ6JOuR7MvLlpg/hCD9M79MFV4WeZHWOnwi3LzCewLTJxC8WM
Pk0pNTGl2cmPkKjLa9G0zZed5sbXxM92gb3tDroLCTLWOL0biWS9zRWVVWMEJ/4ii/CyUPXCOjxa
bEX+gLzs2Fhh9pCL+LOD/OrpJRh5qVOKZxg5w32l5tlzO2O9U83lGDVyysFFLe4kvN+xCzdRbZ1k
MX9Ik8EJ0abHWk0/Z0HUT66X3pgskgYgAop5nX6MkZw4tNxzF05b5pF0GUas7Vp9q6IYqjQhJi1D
KCxI/FWDSHZijY4gY3kRO2pR1/fFYpqS246ZZO1RC+pHS5qkV22oikvKj5QCuirEoy5LlkF4JHpr
IUnqwV6M4raTcPTbdlpeqmUpea2e0E1T4/zs9IVIdomTgfhUBcnCU1WwSQ2xymcgzvvhvZdB/ToE
bwYH4hSrZ/IGjUddKbvKTStMxIzjC9M+dIDo3+o+7u8HVW0eJI5Q9yqkrgdKEctRyUtwaV5CcyEA
D2+8VjuJzEertI3phr7OcjXUbX8BsqBioLuA8dKV5xK6s8OWV56Yg2kX8dJMbzyPiA3YrMuvealK
YEpR/4s0g3z2srjVnpjeh4OD15Qv5BASo6k02m1a7Es6MO7UFsO9CgGxtowGvoAce2FgP9CLhIwo
XxP1dC+lgp24DNy+G5Ndb2dPJvqXX3EzmjskIAfUVvvM+LQsOByy2HdnolS8vMOiHwKReoRBIvVI
7WC+idEEX1rwk6EXjEddGd4sQqdzJ+dD4eJurN7P5eJJK3v7Ng/brnamJWhdKxK9E/TlWz0EkjeH
fXV+fa+Mut/bgjU6xuxf2FP2JNIZTzqWR48yQruSsUDfyZiddoU453tqi6/IooVrophPDcuJQxdi
xQfYNKpvJbp9G4VF+xY3veGi8KdbnKm13y+cc3KU5sfIQFMQa1R/YVc1u84ezS9TtO8zgqunrO5H
Hk7e7LGd6Z/GbESYl4uWHZQQxr6hSGtr5WSUS/ZgpMxr4qBuvAbL7Yg8YS8i4NWJ/GxrHZmLxD9d
YyiGhIQtjdNSML2ieDvIM9NT1qUhFZehVe7VQPCVtNF6LaouP8f8xo2DqSU8sQkVX0NCtm6+jLiC
VNIHZPQfmkNwefhZt+kbHajmRs0VMusm45LBXHFvVJCBIDhFt4omq691MwwnYlOBa5uZdjP2XXsw
M/phLZhJtxqxQpMnnXwMhR34Q6tiqUs17WkMMVw6WlFbv7Q801iqRk1TvKKchX3hGWeLjIKyxhww
Zl3IaV8CxdkbYF3Z9YhOD87HWinKbsMSSQbijuaALtdy7DYJb2QmaLkfL3mFQauXPIXwSN9ghz0W
anzXM6B/ITPRvh6XGgWyUcK1jgc8AUSFtCX9r5ajpRHNUJ6TKNYkXy8Tlh0Sx0j1pOQn2oiDhtgP
ufmDnV3GFpoyB809q6JbauJWrSFxTM0Kjkk2KL9SvW0PICxOIta6C2JMaeVUyELrJp4PKf7/I918
VNG9UF9qS8ndgUI4JvChBMRmxGYq40ZrLcda4tjvRQNFg7MR0s7MCC7DvoXat5AIZvsqUPcLQp+7
1tfpagDTg4vLKtUlijN1JgLj93sel3h8GiYmCKahmDDW/4GYTOf9mOOR0L2EopjkBeJJLXisLk8Z
Uk1bBKechUbsddpACKT+1PwGH9zoq2gTCdsRtvRoN0DZj5IQIZ6kmXDCxDa0AwS9bsQmiaZer5b+
ZWxqbF7WeVyuM1ww8If38mMRpqrKHxQPuGSSTFO8bJQDHpxsPYOnTUndLdHBwLB5nM1QntzODtP7
Cd7LXrICsSMhqvTkWa/xR5k0lSkOVHeoLA2PKrQrpy3T+TEbReuSx5hjRyDiMQkp5Nqukf0FucBN
INXYz0OjeQN3zYKGdlf+UqV2eUsJonOATIw7Iqgeh7bExw+cbHQRKFwLvaOaUxNFddWg1q6l6GAs
s3mZE37nEIKcX+tN31wkQD8fVY4BfJg41LGBYODELOiPWaj/5OmgK4lS04uGDKYl416yBYRxGbT9
a6XJBiINYqlcGyUlNvdhIWEIuQlhzWZxM/exepgiWpC0x22XOAtKFdj4Fwqb80WN23CfSUQnW00p
nUYJz5E00v3tW0s+Bex8fh40hOclUX1IkD35UVLj+a5En/9o6ekjqLUWr7damx1EmaFs5vOBf8SG
KjccWvbtmCovaGwXWnNJci/X9nvO++uoM63/AUFBxxTAlyAzuiYNNg5fNceiiDwWPuv6fBNZoeZi
SpQcM5UkIn+8qn1Aw3s/NvqFhWneB7R3y4HhZ29/alN4VBNM1P1oH+M8psYFKx7L433Jic8ZtBHQ
SKQJwKp6fOT9SF2QOt0PbvQ1GArDTbryRRpj20nrpHszU/1rTKLTUMQmmuGRtuWyQz5+RT6y5CRB
lTvEe/3SDFaEJFemq/eod2t7MHyR5HgXKnE56f2zDQDET0kUcuw8uFoiLL3p2OfXjQZVVQkz64BG
wwo8zsXGlej4VkEt8GhvyU+Y9jlycahwTKpFT55EQHWoOVNRIN2i6m2xPgG2LvZxoRTMCTNXa9Ld
tBTGQ7PkEm6XctljsH4dgsj6wYcwPYxx+rOQC9y1RMtH9HRjRXomOxGbhFoae356YuzU1gBnmD6O
ZDIBtkzofSc2rXp4OJqjUiHdl0FAV01ZaP/BQRDZPrThxvqYyQUYojLwQPcke/7DGnwgQ+Zk+Zit
sPMiqUMlXCS9lwxVcFsLg/NOLZ414rkBQhhBctRpG74nRFQRpNcZGW17esrVtAvtBLw+nexrIQb7
XrUBv7hNYF2RqOFYfXcVY42+MejanLQ6Nnf13Js7s9N9w2gsB0Ra5ZH2CFi1na+CGW6UbVBg1vQx
a/sj6S0aknMxQElvQWyoJy2uVS8F1uXNVv3UG9JDg0zWVWvszJHSvnadOR44VPK+GvwcNXhMBz/T
cKj1kHy/hA2JlMZAUfSLwZiXG2UiJU+XB1dog8A4zAGUw4vs9nlL5Rxfq1ITHifOy6LiGhBR9tD/
I0IaG5Ku0av4SZjvYQ55lTFT8IBVpgDhT8es8hZ3Tc+HVf2ZGLVF5mvsJovWeBXzX3AoQcF0utOo
iGmtW0Pe+Yz4UwILljulLx5qpT7WFS+ZZMy2pyUGH2FdqXZKqF+y3zqBFDyk6rukjsMe9uC8A+Ie
v+MC7x3aXBfZIH6Kdjh1lOu1Alt+bNiMoSU9sFe0JIf21QUMM9oUBeOfftRPQaAuJLEWB9VE72zo
wW5outu6sP25Iy/gjMTp00F2gtF0GkXhgxMWxTGi3+fWnTGgd8uMu8bUY9JbA4xXY4WZPGlfRtvo
sdoUeMHRL9k6X5WiTPZACReIr8FVSj1+qIKscecFeIqWt09jnuy0JrlE9vxZkZnhyyW26JC/F0KS
eAH5V//QlKK5y1vx2JF3gYiypI4d7W5fEIh4ndEvQGMuHXq9bo8c0eFqiXL2Ap1ZWKaH5q5MzM6R
k272+1y9s7GI8i2VlHeOb++msDDkwmI4Vtg/GI4uXloHgRPSgtEpo31MO6wnILeuNsiTE9cGgUuT
XbsS27MzhPJRMfk/JRFRJ6SDN2mFKJC+fOg0WDhTRF1ewtj4ihkBflYteZoC7VpuQ0Y8TQ+noKbF
Yw8NR3oES94y5NFHLKdF7zRJZ7yFEGHdNCoeKnV669DfOXluA4cvmGSF4ZIyzpoI8EjoYjRdc6xN
ZotVEdh0KKR7lQzXsLY5buLPQloUHsKMjh6QkNhLSCdv5qk+gPWbyaiQXxU2nhs9t65kCmt7mL2k
U2qXfMjTWBQvfaMkB8mU451JAOulYjHa03t/5IvCZA6B0fk9KQ7axFse5YG9nzvrjsJD9s3envn0
926uiMljpV/gPDyndHDA7FmgDiXgr4ii7IsUkw8tLpE5kWLjjKFFRtNQMQLCJHNT19qhxj/HSciO
93VfSF5kd/fG0JwplO0ZNNPd58wm7Dj7ocHvOy5qnsPGx97cKJdE5NyRUr5vNMn8hXnX0fG5oq9/
bUbKiXjggLHkOtYUGhYOZ55mL5n6j85Qw5+2PcDXI3tDU+GZDBEzXcY/vcZzE5RkP5ScBz+0oWtm
5E4rw3BXTslJ7RBdVmcrTmr0bjdp9AywnDAO9kKGQ486etr9BNm+DVuLjWMed8ha3hAYX+RBd6kE
P4kGLxluxV9ZXsaudH4DyVQDm175ChYn1LZG0Z2M3hReY2npCRDSHXS+02iPjR+0pB+jkYIMsSx+
JCq2WhSuHDkLH1N2bOaPsWkfFbRPfIY49yFROcdjdzNnepXh3pMZab9QMMFJmRWdeTssJAly5GXf
l9Kl1f6U6+GHpHdnXo/mGU39Kepi2FW4WklHlypfXc7SgRGqo6OPxTv7LKJHI3VHTWvwCk+v0yIq
L8LmhKDoq9FVXzGna5rQZ0HWR99OgLOQvHUms3WIgtoBnlRyRfTbcqnUqvG4hHzcJV3nbdFfAMa9
lQz04MJdkZPSH+oq/EjLnIFdLU+XIwoarycQbkf/m7IFFAlgEgXL79izmUzt7M5pUztLZV7nuXkV
9fA+o3Th6SEqs0d12aHmkl9jZg3WpBLNVAXEMM+5O0lfzPVb3v96usVk6cMB2avpr3l57uXXoVS9
mL1xwaONDyr9mo1iB7uAArIrkltzaZkPpnLrmF0+0MKKXrA+S8dQMhfex0vB1/wRtdeCa0LKPqNe
Nb280OQLoTbLHe1MzUNkh9lQbvAuVVJxQTkaXI6srFgqHkQSXHeSOQJjqeOrTISVW7XTE+RGmAzw
0sKQb38PMcyapMZhZPBD1fNDvzBYhvwSnXTYNlc8/mkn9QbMG2z5fOeKR8IN+VJVZv+jl36Qj7RT
58lvGBM6spYP+NeChMmz0jwQ0IAU2lKJr12OKStxT0nyQVyyH6ThSW5Ut++HTwAmYF54KTkefWLd
JxANAFOWySQChHtw+DyxJfFJy6bBYfpI3lMnUUpPl6PlgrAy60xC13aLkPf9FCinaDJ6gEiV/jJT
KKGpH8ksGPPRbSMgBOUCYIJMGuswIbXacZzKKLSr9k4dEukYMzHAFgh+zJ3Mjq3b0r9aBvAz3RVl
mj40we0IYpNeUxY7BxAED+PDHBoHM+YlxIyU7fsYnmgS+x07rhFygBWvsJYctqOd6E3MomM0Xy1M
inbVoPhDjjwuRjU601GhLa5S//K+97e90HaznTyQKrN4TRHmP9suPiWBRO9rvO87o/Y0iMD08Nqn
gqoJ3o7tNE09uLkhBE4oxhaEbtPuj8XHlOmma1JKzHIr7RNRG6fGZKeiCdac9Lnww7GfHRONJ8dF
FgIkDJw+Wayx68VlieBlMTGr1kWJx8soAOkCqYPiBv2zVM7tv+pqWprmBH1voW8y8lGBVp6ic2mv
aJD+KquicaWAFDNHofLzl1Zpb7pBhoQTSdiSYHh7Gieuw0wqhEex9ih6STt0Ul4fJEJU0G4q1D26
Yo3eFI2dc0btXLU1fF+nR/i3Swoj4suaBJlbK4l4EhP79NjbtltSTh3JdyX8b6nNiGAL0RdkbZZ8
mNiDQp+AR2ufzBydlRpjDn+cfZvQe3+HZFNS3Vmt5MplXu0E8XOIi0r5TS/7Syk3vYDo06PdatGL
anSqN9h85s9pwbtBR5xJPnzgBhN/xKwMDx378hc/bu0PBbI/R1hD6OQp/BgiiOXPiNqmcoIgi75A
R8ScJumIWVjccEnZ6YfR6vJllAn5rYkXc28W3fijFNP0nNJ7drNSQ8GaVtlFZNLcJ9/LoB0aa6+q
ritXtIQMgsEoNHs+hDeBHT/lSxdcTlAe7iJON+9IZGvML5wTPMOWKm/utei5O4f3OiCQluuiztMr
yIMpes62ho5ixFfz2Fc/erHYeMdztAEQSKhqs87TkM1cFROYvnwp3sK6udVj5geRTC+pRVWGfiUR
17wQ/Q5zQYxFXpHLB8q+ijyb3HhViZMfKOnD8Xmyk+QC4h72pzTQb+YK1C29yFG+sMtFPxmpssAG
pR4xM2Wi7ii6ma1WDW9ERj2cnbkhXWZZjiQa62XUp+ZzMNreywOr3JUkFvljIy+7YUl0R9GwscTj
4uVhrtzrqVUeVbVqAa0Y8yWq+PJ0Rgp8NtieEnpABdJd+oiNzludF5+joJGtx0LzqqV9Ar0p87mR
wuWT9JLcQc0R7GmVaqdyek7aVHoTU0f6QGd2BzWX+zvoH6FnLRMzuSLO9hNkDNckSuHUBu3EFkZx
kbbkczhKPaf4Jya3HaiLqPHgyEBvHMaDTBzUSQl74c6TQYJJI7IPAhXMCwxl+YEWQzeBIio75pNp
et9wwvf/l85CbrAmle6SDMLJB7s4BUtr0NdcYDeGoeVlUhjxidGb298ahP+RWOOm+gKF0Xx9dVdv
1f8LEtH/Vmfxv5vwC6Fp8YfU4ixY+JfSAlbkXyaeATx7GBvOjXCk3/+SWkhC+4v4KELe+Ic6ITzn
vON/V4hKqvIX6gwyJM4IX9kC/f0fagvJMP6S+ZabxMWf6fPI9/8ncos/tRb8QTopBGeF/Z/KUJ3s
lqAMogy8Xv8Cb/I96J+/CU7+C/Xp312Zh/E9VSYzQhn1HVdWTJBgMX1M2gDbLr2Ss8bL3On1pKX+
bItbWZNuM4Vh4aZr62cN/zfRSUW7twjSIPXlUVuuSkOdYHhm5j84lv7moegrBwDtCNFmsGR8Zdjx
0XPDuPmXhPsPBfd3se/fXXnl4ygR62K6U1CPM59n3YOyZthoP2x7KmeB8benggtlwU9cokenvYCT
i6rElPSXbRdHUvT94gK8KAPWiZSrnHFoWHRvI9jRjc/l/Ly+3flitfCDcFD6Wks4c7hcxk142Hbf
K5eSUUzka1JCQszd2+1bFm9bOfpqTfKzochmnOxzOlRhaxX9h5bEtNa33fZqYQbWIKwk7jO/n7Vj
18yPqSE2Xnq1MKmRkN9gY/ETqye2LemVq8CSrjfdt7ZamUYn9J6xBBMHFc06J25waNuuvF6VphlM
IlH5IYmhMisLdbKEIXfbxVcLMx7alAwEMl7jqr4J1DMNt5rk3baLr9Yl+q6yapUq85t5zj6WJg/P
+lL7uO3qq4UJLAw+yNBmvoEryKVvs+2yqyUZWIaKPIXLji1U7kapE1dflG3rXVstygI9YS1gvqCE
S/ZNyGEkRx+08c7VPz8mA8ksVU1Qmz8QI+NkU0wmq9XXGx/3amFGRRbQ12BzsOyMD4oFDUYg0N72
0FdLk27QMobtkvkCioSnGyYUCcYd2259bcc21Z7GC+Nxv0ou257Aq3+IS/qbXU1drUxd1UlClOYM
G+9wlQd0kZqiutn0RH5nx37bGRDyR7K96PBndO1Ypnn+FpWG9g+20b+78dXCrE36TNOoJX5imunP
xsQ3zRC8Kbat+9+Rft/ufSGVp451M6HVF++WsdQPs0IozbYHs1qfWTn3ClkWCZBGUE+BUaSHwew2
7hG/w5S+3Xqi6DLtL/rhjNcdWWdOM3xuu+/V6jSFSiBQ3CV+2+utY6Dk0IJh2/JZh+8U3QJuIbLI
iKhkL5+qn5HCsHjbfa+WphIYJEFqsKHIXdNxWLWHXJBJseniZ4339/oHu3Y3Nwj+/HQM4QcAe86S
9G7btVerc7CiIkcgwkvOZWWteGrz/HbbpVe7ZjHRbLMKLt2IThw7TVzIzSS2rR5ltTjTbI70puXi
eQQsgBOvvvGuVxvm1OpAntjP/DkbUaLz8Tbh1mx7TZTVsmwRXc6yibxcqSWdfqas+6Y9P2173qtt
MyNtEmxfnpCClenZPlDs2XgVeHmqbdWbslqcQiCxi7DCEXcAYU56iRpt46+52jZnIdH51bhyKc0X
XUhjk8zzx22PZbU08U0mdDmXyE/y8V0i3Iw+Xb2tWF4Hm5Wy6KcpIrhjILzhPpGnJ90I1X+ITzu/
FP+X3/Af5/pz4+D7sg+KOo41RCk+Ce+EGnSce+Sx3bYr/04X+vYJxx8hyXqcR5wGv5iaW8Vh09OW
V+uSVmpWDyCE/GCUXdmWvKlPt71+Zxvu9+dRdBlHSiUlJQXZO4RZm/nitpteLUs11EmpItvUl2OL
NIyieOVAG228+GpZQnbjtpnX+HGXFr4lQYZgVr6tAJJXS7KQ6FPFChev4lc7qlByydvKwTUrAz1O
koSaHvH2TZbTVIpNu0ApN77bq0UpJ7JRjWjb/SCsLllAd2qHtXXLr0nO2Z/vSdeMocTwAZdD+Mam
zBCjT7f9mMYa/5BZsYLy6PymwJzwGZ4/t6FtbVo74DH+vPFxQP6sEpTji85wEoM52rbSB2zjn1fu
YTvkZFuxdEBBGLZMYICZJps+gsRw/3lxhcZkFw0879yqyUHA5uOGtjRueg8Ne7U2E1DLJEOoka/i
3HDkMUzcaoqHTXUycWp/3rsxMGWbLK5eyuN1lo5f9SL9U0Dgf/39JrLuz2sn5M8NasSnsJEs3SEf
1U+XNtj40Fc7JgKpcagjk9ShWk08eAGdCw4k2rQ8jd/orm+7Q2eDt+jyjiWEe2ofpDNRViNz/G0L
dLX41QZLlDzzYCyJ6Vh1C+Jv04Wt1cpnFLJ0YShQfscSuuLRHu4GjNAbr279+XsSJ1GRel3yzSJH
IgLRHlqbinBS4/+8ckhAzpjWXBm5uTc3RLEu2x61tVr4zRzYY21z5Vwq4XVq74Q+FhuvvVr3+Evn
TDrvmunYKF6ENMIl0fJq20+5WvYVIuYMgjALs4c3OiwDw1lr4w5hrVZ9BDYoj8DJ+2V3Gc/QoDYV
Vb89t98rFKGCBhlAwSAdmEkoz66Wwd/2OFbLXW4YLhKzxx2DeMXhsql8gDf954tX6GN/FlVQm1jT
0VS6k4bgY9Mdi9VatOuusCLsmKgJUESNV9oc/0Oi+d98V8VqHWZ49PA+sJnVEYroSEM+0Rfpxi/f
ailOpLEQc8lPWGb6Q2NdVXWw7fMhVktxAuLOuJltUp8fiWcrom0vnVgtQyXTYX60LENFVz5mZSHJ
VNtWGBtrXlceZmkr41f28Wg1/qKiSrb6f8Kw/93vuNoftRw4S1kXXDwsqjdhVUjVjAVHxbYXcLVk
MttshoTAVuAfC6jTaNp3Iea3bRdfLZwq7GSrLqlfDWRnL0tQIpTWRG9M297xdVp6KMuplIQVtUOW
3KUKrkdrPmy6dXO1fMpBRNnQ8oYTIYp3cy7cGI3stodurpZPCZxRNON5+eR7gf1gnqptGwJkgj9O
f3OiGbFO8o6vFRbyQ9xAsjYlu23PZLWGUmQ8LSTSCPm0Cl9GhMuMihyM3MaXcT2Slvmo1BOSu13X
T/0dpJfpkEWEAW66/fVImhRcIA96Ye5GNPguGeiwJ/W+3/bk9dVvCu4tmqCjmzusbWiIybi7JU2x
21b76KvfVaCHJt4nQeWdYmsp5DS/Gskn37iOVmUEyXIzp2N+2AYV5inN+s+kVvX7TY/9d9b2tyq5
rwhpVUeZL7rySNKAo0zbNAa/9STfC4ke5+Oon/cKNSIPU8OECalc3rhGVx9GUZcxOcRcnJi1A9bz
RYr32x7I6quYWWpHC5ntIrXa28ySCCyLZrGtoDBWBQXhbWhMi1740EqHy16WiZVghretwDJWX0VT
rsI0B8Kzi5Epe82gF8d5rI2NV18tobRQEjbpDsUZ7Ia93XTLMejCedtj/42O+/YeClF1k9Lh10FP
OriaCGc/gku58d7X30YJXCOGPDBYdktccLgou4n2yraN1FgtUDnIJbspanNn9VV+bRshhKI56Tbe
+6rQL2BSzoRnmjs8YxhPtTbb47n8p9f9/In6zw1aYy28KigwCkPi05UnZfIhiGi+JX8PXV9dExhZ
xea2D7CxWrBmGk1dJQuCqoOGgHd4lU4Az3PjulotWiy66gQQhr+FbRZ3JF9rxzRD+rvpk6Cv3h6p
kLRaFmxNOf4wkKRmvVzJnSFt3D3Wr08b6NIscXlLVcodWXiKl1uYx7bd/Or1EcpsWWbMrj3W0V2N
VR77iDVuO3v9J4mQRucwCdlWU5yWFwSnT4eAfM6Nt756ZwyYqXYRsq4MfaofybhXf0UAQDZeffXO
kNQb1xN8HCT/PZRCWZQHgoWibZv2WiVky60myvOqza25200jjqLGRDS96Uc9yzi/760EXeDcGQOy
kfseB4+V6T4plem2duWaxayj10sanS99l6Tqrh1IEGgxZW177tqqWAIgoEc9wTq70Kgn7984O7Pm
tpVz0f6VVN5xLrrRmKpO8gCCpKh5sCzZLyhZljHPY+PX30Undc82sxPfw6o8JJFEgwB6+oa1BnMG
3+zY5xWt/SSg/vHOOHnbUtld8s7Yk7xgW+CBoNL5eXts62SoQgIFMwSefgeWcryjPDwOV0vU5830
pzVDtH6hhapBYnRz9dgatrocK2gG570y8tdXZszzqqF309mZQ/097xv/YFFcf+aHn4zUGCVmAk7c
3o2F7eAez8c9LRXn1cLa1slIteglAKCxgAqpzORrq4BmZ26TnpWSg4D7641Br95ZBZ32OwHdaF9G
yr00tEVPx1n3/bR0qEoMHwFsz9mgHemC9CwdFO5SnjdUT4uHImfQhah8eyez0tyUlXY23ppF500z
8mSoog5sILIyVGkUNJ6Aby+haDxwDufdmpN11XNHtUwWr2RHavuKroNlY5bLdN6uTJ6MVVn4Q7nk
jKY2lXSFlXm6QzOrfvPGH6/xT/ZNp+VDXiZpqrClsxsTOvloSOmvcnuZDnndeudtan6aAP6wJV5c
LMDwBRw6jqR+bTA7PPilj9H8P9/9f/cNTsZsqpRLZp5vgLy0uu0i9MAEsXj5W7dZfvNvHO/1n92l
k5GbNEBClsWxd1azOAc/MeJXlvH5/T9/g3/z6ac1RdUE74D/2DvHG9OLRqTw9gdxZvBXnK6xbkYf
HP5jVIMeGPROlTt/cqLzVpKf4sQ/PFwJWEWw7OEPhkTKYSRy99QFFOdFgE8riwo7Hzno8Oqg6XK2
qpfplmJued7I+uly+MO124lptIPCfQyjbN5WFYwyK2/9Mz/9ZNziKkqcfuUkiA2rxKTaRRifm/W8
zbawfp3tk2Mfi4sDGvIxcyXVit6F63lnpqpOq4vEgJU2BhvDIls235emd67muNKfznvfT0bsYOfR
JBp2fQP+0y1Nmv5FR9vmeTtWcTJWJ7NlSBvstjOoFAW4D7f7aBBinVcBaJ/WGeH97WZb8/m91hIC
xYrrMULQe+Zcc1pqtKDgBvjJeKUcY3jxzD69Xot6+s18f4xy/MlMdlprRBXtlDrHt7K3clrxC3Jk
G9+v/bvSSq0wyvs1GEkmxucNgtMSpIkMBeY/EF8WCduwB8t6W88iuz/rRTqtQuLQtgKUJ1AUF/CQ
ZIb2G0CJOm8ba54MYGeZHTTmbJI1BQnPrOrQPMpVPZ137ScDGP7QotXCfqo35+mKvN+wW7vhvPJA
eCq/Tg+eL5DyxTbEGCpkwF/jn2g3zEF07J93+SdjWJAWL2Kmnl1bStrzvUj96HzvzCC6eTKGFSVa
zST5dMr3/a0nm9fULn6nufrz5RaXxK/3Jq+seZpslw/Hk/00VUrcqT4ufjPA/t2nny63spY5PDme
qxTD/WRosXHLoj5ruVWnZUmIi9CeVL2784HzR4fIE/XTwCgwznrn1WlxkkHrWGMibdnZ3egHEd11
O9Rb7lkvDf6rX+981qrRU03t7/o+s25L4KzXKJzc13NeSUwgv366ym2vShLP33k93XrG6PrPMW7t
swJ//6Io7036LcVo+Tv32I7e6ARiYrNMZ81kOEp+vXawDevoGY6/g25JZZVtle8oRuqP8+7MyWDV
NDT40yi5746hP1NtNpTQYOLy8byPPxmtjpvkfupqf2fksh1Cey0cCG6Rr8+KzqnTUiIbGfOSeHW0
0+Qdbup8AI5tdtZ5rzxumF9iUDYa7kFWVbQrbLHsWxNrcG1nQ3jWvTktJ6pT268VTck7Kx+MYCxN
46IZCv+8O39aUgTSNC1ohY6Oycbiah4S65LalOG84XoqPS8L+uHivIt2Cei2LZpr63bAXX1e6Zny
TsZrmkR+6SUTwsvaNLcY0LO3siqHb+fd+JP1tYOLFo+yMuAQUKvoYLjb2RCoz5vlj0T/P4bn3MWv
I6Ihxi7xS/HsWHURNnPSfz/v2k/G69rkFiwViHdRCQ1m9CAezHAQznysJ8O1rIwu6+Go7eK+KDZG
p/N718qt97Ou/bTWSC91vhwzSbvCKuRNIoz2E+f/YnPep58M1tVMysEZtbGb2gmo0RLnl5FrrmdF
oXAV/PpUlZs1ErZhtKvWFfVyk92mkPLPCkKBJvj1w6NyFm1fz9HOtSE6Cb1EIH2T5LxZ7LTyKJqc
qjHyydipyW62NBRk+1niHzrvtp8MVRlhu7JX29gNYPxXxLBN+2RF2M3PvPqTwRqXA+nA2DJ2ws0t
qknmuUF6N6bmeQPKPRmuUI090SquH3SHExKfjl4slabnDSj3ZLjCJKuWPmGqGXXXXiVaQ32Ml9+d
2I73+F9PbMo9Ga6s09LVns0srMejVWeETe/M5e+Om8fX708+/rS6qWk4BmqYpDsvGe14E42LuaeF
btzlYFqhJ9WOu543eE+rnahk9opSLcZO9+4cIBOWdC/V/ZmffjJ4Yd2ZRRqvTMkWOHBTxSpAnlGc
t/07LXlKKdTyjTKOgcDas7o0kcY9w4yBCXXWCHPsX2eHxK9xinhmux9G9Mfkg+aLrOnPnB2ck/E7
GFLVUCv7fZ3HUNL0lFewl9L1x3kXfzJ81WgnqaBzfu/6YHfQz/UhguvsvMnhCHT541qbJRq7kyyN
vRrZXSZ1Me9byKBnvjYngzdKfAPruB3tbXCpuJ0yw/lQUxefFY2CVfPrxZt0NCR9PsQXSM7MCr8b
OXcn75Yz3/rTSpypb+sarHp8AUjNhCc7jddgO+Pz3srTSpwVu2uKOLy76Ee8FugwYmRfDmyoMz//
ZMzmYwW3ePTaizkHCtd4PNUKGMp5L85pLU57lA8Dx7MvmgykCMUJzUNuDfNZsWks778+2TofZ97L
xbgAu/2iZ7v6KNy5/3LWiDotxelgq89lWjaHyVLFV1tkzXcoh7+rDEX9xEX+yaxvn4zYfMRRq+TY
HBI9WPEVyiRof3t3sCy7utYywcJI9xDag6vGq111k8/wtPdSWDr6mKVlHrN/FbCwJDCxvYxZkBir
MdwYyq2mamPkGkslGK8k+9ZWMwBSV5qQSgNDl468TOoxb5CIr5Fv7rJ0svJv8Lwams5W5czii3v8
k4UNZNquj86iu+ISDGta3riJm1WXduw18ZexGhFKBE0Nv/fJbNuxQDmhhwHBAl8iio+EX4j4QW7K
OvtuzMYwr5vFH5f4OdLJDBVRKSPhpaux+N7VQmXLNcjT1ek2vZi8IRSqzKPHZoKAcVOTFF6NMKMg
NXt02zHHQjcv4NndUDfwDD8XXVckyN55RgffG3FsxMNUTnU4mdia+P7JuEJR7RRYZWEaSfsqYeRW
tx7mCQhzAMCd4br2gUuWm3lePO97qRrR3rqJ3Zqv5VBMSPgmVIOcvmo4OW63qSTQSb7s4OV6PAAG
bNs27Ftc29/WwrSTFoNem4GE09YSIe2kIFq6deBLtopIM91oarZxNAOMzJCrgyCO7Z5P8Gy8IHZQ
kGC29Tb2WIrusr7Ks1tfrlNx4XM2ARbuRqrWu6EXnDtXz0uLBxyZzSxDFngo3QnSB6Tqo1W0BfxM
ihieVt9GBAbP3nXQAiCnjJuLxBS28QWNn+4r8LsDucJgWspqgZJoL/Y8B4PXzFDmKNqz4NDT76ct
60ofjQMbPK16WINoqVw724OsKuJ+0669YZNpqTzcCRth+ap5m6x+np+Bx3vJcxvZ7dSBHQCmg2nZ
kQskBgOXSnLAnGk7X9NeFtmPASvpmu2oUl+xoEyOwZ9tnARV+UW28K3EXqOILiCng14QJo4ll393
W/nUgjEm5nr0fgAmTpBhpVkb0fjYemB2X411GO1sg1DaWt8F4BbjuzLdosR2ZQ+QuLMG7rTVzO1S
XVVgVBlgbjsk7ZZm9RqiYFLBglyuVFpbottlqMjxThp+MljwxQENRlXoemk5f0jiDeOjV8Y67cOh
RpK5ycf4C0zj2t1mOCTawOxMXvOuddPhXfTco++YObFjcPNKoS/BqpfuNR3yvXz0WpKpqEihzDyU
jpNeziI3EbthvPxezxMiWPhh67tcUb1aCiZlgsp6hcsr5vh7jEJI7WPXT1zMnhgm2+hmKeohv56H
XCvEV4uK/Dx+HRNeqvxGrYkv00tQOUtabObc70C5MjuoettlC76jEEjyXF9i79BTG1LvhxokVIV2
5hfHMPv1w7CiuHvuJ7fxs2BIiFCbMIYxQz8kuHP6HMmAY4pqgychz9aA2cNY2iMaOU4bcJN5CVnb
NaGJOnv6KJ0+CkqQRu0PesMa2PsxuBfAwXqA+uIhfMJjOQXumGXtl7QaKI3YLWzmCqQpcsqnOugr
f0TothqqNbntGn7Wq81U6j/iKZ2dL5Y2hljCiS47xbXN06x+FENn1Q9p0nvt61KXtSgDtahmvI3w
ai9vczxlBRw4bTZHbjjkZvBWbQOGKjDH5GgknWPHpQYh152Vy+scAP0kgkJVrTWBOI4sihQKmKvi
dQFkaW5dlTvqx2hwCCsOfR1jy925OVmEnTBl3922U4YdHEffMmH8I8viPiEAVOY3Hus4R4G3ICVG
XUs/kH8/VoN0KeVC0bPyNy5S8m+ZhU2CtzlbTNEF6FwXOe5RBg1GC64IYPsdkGSjDeVgr+bBTNXA
euE6E3hoo52j7zovpuQhd4t5vKuj1pZ77k2s3hHblIIGQ8/24mcW+jHL8bnmJZ6fpC+rGYubWtuF
om0PtXtA8okE+wYzTyXnjQvPPX5GwVgPFyB0+/m1L2aFFKK18SPO2wInzjAf/S7m9DCC989uelRR
R+qPiVVUuBSrhXGx+ljf+roWD26iBmwVhU5lFjQKr9aLEY3OWj+wt89IYXQ0BGfNlXab9cg37pvl
ijSiAfNYyqof99QkC6Vhl/pl4QWlCb/zm10sKrUxSCUzwcmk7VSTBWMCbigH/RAnd5k7dkzZUbSo
N8hmRVUCPwc5jn6jdDussIA3i+Wl91y/vyvzPKurPb6pJPf2lZg6D1prLAyY63Vl9vpu9qZcVhu/
R5+z3iD54VkFrRiKjuoEoNaRGdbSKEFSVw4PF8B+czxcB8NqQQZvBq93s4DGTI0yaMWagod2QChX
eXdFO8dfIqO22RIs3SCXD8F3X3G4QBmfviscK1S8Lb3Aa10YSzUgXPZmaxMbZjSDlNbD7D2ao6Ax
IfZxqPgA7DVH+h9ptE663TWkpfxnZkBTpsGkUt/YmdIZR1jlTjOhkKmqROpvul2b7iqSWOMus9Zd
509VsfbTjTJ1PSASbPPUBrDKIzKnPGgYj2vyvMw9L8gGra0r0EPZ1tHUpBdZLp+Z1TPj6+hqV8ZB
JjGW7OPMt5IPaLpV96nzAJzHe1VbiQfgt8DCcG2brRc7MJvrHCN1Kpo6vdDVkpp+6E+iaqagNZid
HmfDReHCXqVV1b3lzM54iHzUlQ+rCR8Ymreb2mu2kcOAr2nTcU8gtIrYooSELemIdS2Ja3qWXIFv
8smvapZyUL2JPXw1lnmKP5osUn1Ds0d5pBZPpPqzL37egKEJjLnIrBeBT81K8PjUHGCCyBtXow6W
BECV2PaIYXLGm2ZDaKPqUTq7sp2pcx7J/Fr+U7raaJF4ElK0BGGdNq0If3kOn+escY64UUV29rlA
Lli9uzJtpA5UZS2iDQq/E857ascsA8jInCJ9QQQQYaSJPYO9T7A0dtQeyj7JsPEpi9Lpz33RwvuH
QG8mBjfQGQZerUinbry3U/axcpPCBM2YB1EFgov2AcyM7KA6jsVBWhZNdEiSEQkRG9hFXLPnUN5n
q2Bu3DWrODLKqhX+3KuurRwxSStn/AiqL63oS7lC237gUo6U6mgsyv5qNute3jul8ozAp+xPBG5Z
jfXG8PNBFJsMsF+EeQSS7gGbRiF3q+L5sOGeav95QHbe0fHYx/pLtLpdPgY6MaxyQPVu1uoGv5dh
Ppg6o7ItaFp/zfFxxY4NTtfNisHn6+s6zmxWjakqK7YkCnXz1vL72P3oc9BrTdCYts/vlxnZ2wu7
ZJV6WXV05F1nXm2/xoL55B1LaCYe8m6wpzv07tZ0u1A1k1xSZ+XSy8fxefYuh6rvhh+iWatpa5q+
a4/BNIqkvogmKxtf8Thk+smi4jF5nGbDgu1d06esP+dpn7cX5GOTWQSe6bj1584kZ/p9xShaia3V
TYszY5LI3flT7reYl9FEzI190C2uM/eijJF4PSZpYowlNOxmtD/EmGc262sel5+x4aFOCojIpTb3
YDEingLjuW2vlrUs1jeTysAHzVHLvgaS3dHdPIzm/VKPdFZYaZf6z1gaswlBg1adfWPkfp5/kaCr
sju0OrbcdRnj8C3uW8bkJrcj36b1SPgWDZpCfUxRbfgPGvzAwuFpNkz7ojKhAB1IQnvDp7qQQ/JN
+53H12eqz/WdO4MYZrThkq9uYkMDyZZxMlev1sI2MmgaxzURFcVNe92ZyRGRDSI9/2TbTQL8HNmD
LC+KBlEhs0BvfR4p9Wruxmia8n2fDYbRBpNZecanpGlj+ZEXwzxiN5LtglZQogBlWXR5K0Um+9Ac
psy87tQY+Z8RZaJbWTrPbkKRjphjl0oRj+QurwyCHtcDLWMjMvLpAaXvQOh5zKMq205QqvNw8qbB
fTTifpGX3RQrrCHrXBQ0mi1+cWsVK3JI/GzMPp8WH+gylvZurFlt4gitr5P145VpzonzCCSwnPJN
VLnFEG894Y3qkTCc3e8yfA3MhLMCE7dTq2ub+6YvjxKUpp/iPqRDWWF1lElSXbP5dKdL1wM8vcWD
FuPIshihl0C2nWhrqzXjsOumor2OJpQCkE7HOs2v0lLNBYUmYs6Hg6mH0Qsl593idqKyqz+MCWZy
2qyKusRpwRUi1a3i1LldbM+zrkuTlEhoO0bWcLH0OLnYsbwVN1Xn5PV77JReDwRctOJOFOyiOcDR
h+PcxU2fd9uuH7rp2pml0xxU1A7M+WKczEOqOrFc054K3iJwskH5X/Mak8nOS9ep+pQziqE6ZKto
8XVwqLlzpl41bK28zMX1jo/RL/FoooHHtMmNrlBOGIsps4OtY2WsIbWCKQj/yNCuD9JTYh07L6tw
2rNjl60w6kzhCWJFBA1T1oDT8Z3or+cFUU5Ce+C8GVdTlxyKxWyvSK+bt3lVn9ddoOyTyJ4sh9Fl
n7Qe7Drpg7kX7SftNdHDWdd+2qTq2iv6OKue0dBg2pVJkb0cd8y/SXT9BBv+SfzntEs1xqwRa41c
oUCU0WRb5azAIIXqooNNoRP9WZAi43BwpMFrj+LU3pkAuz9SP+esldWxfZvyIg0ETNl6rctGNX6n
A0N12mIh8uixC9FuevxC36g42su2PooG80YiisZTEN8Yvlv1l/GUioTXGgfz1lw1Gtv/fP+cPw9w
/UujrMteMc6W+eC7HB9QMvnDctFHYv5Rm4PIwxxCy+9ywf8mQ3PaNru0ORK6XveHCaiecVmktW/Y
oZUKsw5h6xOGCbCWKjskmmAgXU6oLtEB9XfCsAmJrch1WTFA/gt7MLrdUkR9d+GXlrSvHTSf+aap
aAsbt2rIDR+ZedsVVX+bysJhQzYMzegNRzlE32BqX915vIUUk3B46BOvvTwWryF1daOcU/U2zYwx
t7fFUmduKLtEz8yYzDtynzuxXPZT3In5U1n35DaCwpnKZAmiIoL2xWmW87vet5YtCMS0a9wnGzPS
bR3KGaTRtoyNpZ8ulbf4023pOTGwsXzu5yoNfz7S/xXu/iZ9p2St/jGcou4Be7/Xje7SOBn+fjd9
dMPYffwFJn7/l91YfX9jU16d/s3xX/5/f9T//eeP4486fBvefvkfW97wQT+MH51+/OjHYvj7f/+D
I378zf/fH/7lCLYf9CfdfPztr+81R+Hjp8VcFnT7nz86fP/bX4+9Sv/njx//z5/dvpX8WYBf4iM9
/f1/sPGFsP/LAs1kOeSgBO3KxKX/gcbnUP5fdCZ6juP4vhTeMUf8TzI+7HtF0ML3HV+4rlQOU2VP
tDL521/5G9Myfd8XnuXYlKr8r7j4P+uS/2fCcX1BbFhKy7KocfIg9J9kotbGMBMl5vKwpovD+vds
dDlhRnoyAuiLn2fFSdrPiFccGlodDu44pRfr2tzSyvWbVeHXmeGfV+J7vnQslH6+OlkdgK3kZRSl
5aHJ50NES0sRSJV+sX0CXX94OPf/+HZ/ZMj/6ZfmHkoLaZGyzNPGSzq5LAoXxvIwmNFLorBGLfJ6
iRzrAs6B2DUc3IM8notbTm7dZkVdunWATexWKdMLMfb+bxIixyqJk4cA7tPnuTrIEORpIhaVWK19
0ywOUT3729j2X2evTLddow6JM7thWecJHW3O83++D7xf//Gf9fn5H+rtDSe3hG51cZhb1IOVbXeB
yHtrI7zfwZv+5Nn+8Que5sxHoRGTd6LgOAdnMk73UTZhSFvd70X622/1E7/3P7eTt1hKAj3Oz5vJ
4z2tCI86vzN7m42FUUS0A1PuHM4qKsKWvEjT2Z+lhmvkix/HxbU2ttSsNAmKrkF5r1L3yb5c9gzb
XQR1ZTuqkGhUfBjmfTGkGjBIld8m9bJyLsZHH7eoKDXycNOoH4kfC2JtLd5sQyE0T+7alRRmnYlX
MisWTxDDiwQskkzP+apayv/6Z7Tn6QbU2gKttZtCYXszmrfoCxPE9ODg5IKF52GlWdtwkd5tlGm5
na2Ig9mgmhRJUfVF9satHrP6UlvJJ1OP3c7Ophd6TDaKs/a2k/JJ0KwIFDJOburFv/HRI8OyxVyd
6KCMbeyjS34pRooOxOxdZEL4QbOUzqaLGYh9Mj47RRIFQ10ieCW+/uRbzZWKq/yOPOG2I+Wx43zU
EwPDL9UtCK5QgSFP//AqhM5i0UFLdzkxvoDxtbKfTb6wMO7WadzVsxk4STyHnbVsvbR5pm/zVVTY
RxGOBLG5r/t3R6JopeUyQpOW14exbpowNvvmYun9i76WF8wTr5Me7tKcI1RG20iHDnvvIRcPolqz
OCr8lQ7NAYA/Lhr0jfDPrOeY8kJelG9GlBgBeVsurPjq1TXmyxaj59Du1371w3IkuIEHvQg6Jy6v
7TF+NYfI3E8946VDPBdAGMoC6umewBignUrb2z4Gsk9xsLmdyDVvzT66l+wgcUHxC7Xz2RW8F75G
F42Q0Ps8jE6/lTr7KmsToDuFPFgQNdn7hjlntYaQm54HejpaRWspL4nt0o9neZ8NuX5TqFde8mx+
tlfiSpXh6ECXdhFmVr+ppnHr+VMVNO5ysVrWdnHUQ5xhEmzNZVu1B2xZ7ws8X9/jeKgfCkHhXxIH
iQs5eEgSKzSS4ZI6C07pbXqViCom02SGqzc/RoZ8IOzUBGPv3pW99+C1jYlezAjNCV+UL8rtOqSP
ayaIyqUzflmSVYX8jEX5E37bS2bno3YSidm4XbIXr8IIJJ6kXx3i5XucyOsCN0mzFPti2hJHwNaT
BEP1zVRrSHj94EXdjbSWQBdfObptUhTfE8WcsXiKmdDrWW0rZw1sdnReZgaL+7qI4wxQb2UbXZaY
UXUxbvuJQDmRfrt5WZhePXypDcMvru8JjBGaMG3OoH2+t5ZQGjceGGhn3Fsqvx2L6rpB4uEkt/G4
j73HmL07zk32zBzTu425fI37/Yhvsc3H67FFnTntauIZa/vV9vSbSt6a8buh+81IGhQgn5t9p0hs
W4j7WDyviQrKJcTNHJjynhgw/3XZIK+6cHDOxd8zhGNd8mNZ3SBOd83wPZ1JRY0hUt6rQU445S6X
8rGy+jDyxXbmVImnb8b6mZJldYbbqrO3luGGS0dQMZebJOl20kI/578m49diCV0ODVp2l1HubYjz
UT3cL4+LqoKFsGE63zY1x0OawwXcwyTfdqgARVIcVv1ExqCW5pXCY4dm5uhauzzGUI2iucysmVWV
V3gqd3U/bcY62Vjtu30UGeJNHvs9yb2QHMLOK5M7OU2brOIOz36If3Z7vJdlXYXpsY8Z3xORGto/
UBMqi4WEKG1b4fPaWaV8tFs76OKnxq3pXvdCp2n2synR8ya7tkXjqKcN1W1BFb2WYt2OKw7hnyeu
nUjKS+0Dq0lx83bOhvDnlSff0g55VxJmKQXDvnk9JOKiNbvPDj42r1I3HAa/dATQK8fc2ua1Lru9
ba6B4XB4dpFbdgXR3O2Y12HfGUBlSpxy90j/bOU8qtoPsMFsyozGq3XcqZnsi/22zk9OQqzQUzcV
xlhH3WXyqyBPApeKT7mRdf6Ypcmt373N1V1MdH6N3+3a2wH2CtUwbDLkbtXih7aZhtMcbVxsicW4
R8hlB3ZnW0zI+Nva42W3NsUYbHB5YJmNobcrLkRmHmanb3e1SL9WHZVbaYQdWQMJIaTfV2EWe69m
TLy8HAQnp0Tv8mm6mQk9bUYmjVULQChl/Rli3I+2HG7mGJ1hWsxPi4r9q0gMFmLOvLxsJsoSpk86
8n5YcroHlUgLxN6A4BmmRndVm0awILBr5jIJJ6P4iFYmoIymJdasK5UV3+upExdpNj7INr+m3/pa
9G2xHcx4/5+3ShTR/LJZOm4qfNvhIIiTguVPnNblpaJHxY1A7mJojXBOdfuYRRf09VRP5CWnbZ6A
UBqHLOxM4ecbdii2CmvPNK98Z273Ap70FUraGYviUt152hiDsj1MRb8Tfc9aOW0jP3sDsSUKFggq
l6O1VU7oMfsExvi5nFzrU2s4L0OUJVufcSuoQCm8Xa0z9gUD1PtPy6AQBFYGotGi7NZNLW9UdvC1
kf4QcnbvnXEt37g7bvtlbe46Y4K6XG9qs+ZSer8icG7IcEQhhAwFK+FLbPndBqUyMeVbA6gNKcvr
WbmIa0W7bVb/Za1gB9Nx6gUW2vBp/gzDdVNP48Fxh+gbugyWrGJ6EmIZrlRttPce3I1g0MK5J2mW
3dDmmW/MY0YxWZs2NJNOf0t0Vr+kut7NVXsz9Ah4LTd/GBzPCLUuX2c7QkU4e0ce/xxwGi6RXvr4
eJhaKUPZ0LtFw9xaf5OesxVkH+8jt3merQRPt+40UX4Xe11GpAX1aekyw0t9hxJ2DqqSjqxuTrqt
nSzephr96MqFvhPYnm+Qe/JzBPIw3DbeVJi7qVi/ZhEVGsHUopqmGsdGbj+zlMj+shpN/VAP4qXG
eb4ZO/OSDKFxY3Qr76sX37pRU2/jxP/uEvQJDLskD9Y22WaRHMEyzbakrNJ678/au2TjpcI2qquN
1xkxAj9mZKYQ5iai74eaPsSytrq7vpiaEIPlnhzde+Y3t8yD18tqP9OhQeWAOlgyxSdWll8t1/xM
c9trbDRQ9letA087PdAGhnUuZbuPzXYMBZvWGxNYPsLsbgg433dfI2mD1/QXwRNYGnK3g16Nh8Kf
x/chr6enyvJfVCmNoFYslI16jSlICMohvie/cr3YhUUidnojeix415rsaqmXDm9fdLfGw0YB59cr
iSiZ23tz7NHndsVEJo6amkEmbWgMVTj07stSdOwwrOnVy4q2+kq1naPDdalbAtY69y97vrJ7TGBO
mGYMszhmu/qRCgh7YA+Fo7l/MPKB4g5OeO9577CiSZcKjUJaN85YJU9rQ5H8piNcGWa8Mab9lpGW
zPeiTd4pfkj9rZvFn8ZhbN4qc3izl+YOt00wGLAvHDuPL7LWGIK2nFK+1agOdv8VhC37XsyTOpjt
ob7txLi8uIu4HCbp3ucC22jSihXBIqmNcYw3RnGVU2RS1TH5Tn1opiql5up61KhdC44KhrohWPWq
YoOaYJ3abtArF9k3qZTQU1+BxnU3HJDYNWH7NSKYmoUaNkV7ozryw8cFbfX348KuoF8JmjOMGNiH
viRpXV/2fnND6Ro+3F1buMXWt65Kxr5v/xDZbkl5Obin36xxb8w5aen2ZRLf6p7/f0F6id7SrPZy
qbfVIgK7pehk3qy5eGmsMLWo3ambpxojV14kBz+9b1d9rDy+6tf2XnbljXCv5+alna4crTc5uwgl
37z53lzbXeFNO99G896nb/nA6B/60B7fR8xtJFqG/doan1oGbDX217GH5/z/snceS3YjWZp+lXkB
pEG4w4HNLICrQ91QJIMbWFBBa42n7w9kThUjyGZ09mrarK2qFmmsJC6Eu5/zn1+YFmQA8xOx0Kcy
gptmRCJcT8bCA7S3D21tEP1s+cnU5b6euAuicL3etqnY6W7ukYSydePUc0Z6pOxDP35lhmh1BFSQ
kOSHdedp7FyD3l+EYIhpYW9rezz1WXOQ5Lfu15qKMnpjUdFXGrAxe2WXg/JpeX7RxdlBiHekhm+C
WOzwbvTGQECsEJTeRD3YS95tlmWfzQ84lpECe5NU4gIWGZPShyyKP5Eo3k+XSZHA+2OMt6+GuNoE
UXLdTFdaQBk21Yr4DC3zlaGdI4ZHS7U4V1PLgRpChSiD/GulGosNE1KXHK3rpjAuRBP9YPH+I2zw
ocz572uQ72eM7//+1+DD/ddyxdva13/V/4d4oWD68J/jhf5z/qn8Ej//jBiu/8bfiKGu/rJNZUtk
wuyQ9qqA+xsx1M2/LAvsz7YsNGq0rP9CDMESbeb0LsF5LsWKs7qL/o0YGvpfQnd15UpJ2WLjQ/BP
kjS/+5v8G13BtADFtuO4rmXpSie3eEWVfkKNTL7Phdled0ibJDwGyi5gm7YtqtpFXtQMc88kr4ZH
lY7ZAe6QvFBJ6dy2XeLcT0FCI9+P2bnWQpNiWbafccnWDrWiEE27Nhy9OGuTbe028hbyJet3Gh4W
JcSub0T21rTlJdv2+62oFZfFHZtT3JXrn/90K/3g9nlcR+2hdof4i9Wg/p6NsjxaY59sx2zstlk8
p/jfz/LC4q4/lDKwiTew1a20lng/zbpxDehSXju5dRBhUx8qs62eIrg+2zjQFkZ8cXz4vucKq2ye
RsTln51JxvsyscujO0XTrc4o8w0K9GuAc31HCrCJ18QnxFxiLWZ/vrGmrPUkVM2hUbCCgm7Kn/U5
nbbVZJSHeZrLY2DqzR5dWEw710a7ZLBBwRi/nmx7jPd9EvZv+TP8+rClcPhehGFJseoxXv6mTO8h
ykVGe1DrFRrXTTZhULVXIxH0u8XGOjmNi2j/07r6DdT7m4tKaePxCscBFtxrKLAz+75TWtUdcl70
U9xVGvTXhYrUN7raPqdz0R+0Edf5NyDm313XtljDgMyGI153C0Eywa9auG5dZnzZcilJki4fk6nh
64CH8jHWsjcmk4b1PaXr30sT8F4adBcuwk8FKMh84eUjtiv4hO6SjYy5p1Mp0rbxnTDUT3McdV9o
TqzPqgmMJzjGJGoXerCPBrN6aBoRXepggvYm75h9WcYo+j3u5/Yj4Qykncd9MHtLErvNvqp4xZtF
W2LncYjKhBD4eLqPIdOdOI4/t3Y0XRSRbW0opFOUx3ZzqCcVZCjM9fY97AevI5vhODUZcfBJVDwE
wiFUPenGj9msynXqpZ4zJvFNRWGT5gKOj9Wa4buO4STgYj7IS7OonAe9qyN2DCQKQGLKaT1tqaot
nF/rhLxx/WcrLCfPKp05Jjo97sHC5LQv2c8uHCmzZ1adgNnrdpu6aYbu2GHHqh2yeRg/amZKTrSj
i4buOFf1XWHkxbMRaQQt8gAn4ccFmKVXwg+7cQfQtKafuhtIpd2DVlmWZ/MhX2juCMILu9GbQ0DC
IJ9MYpYCdYJ+kl3o0YJtV84sZPJjxrpfSlXru6CgfGijcUi2lVkdgiBo3qd680HUNl5TkExiGF9x
ld/Wzhy9D8CWHjKzdS7KxioPRWJlk+e0rFwraiAZAlzeDn00tjQus2p9nafQGsYKiKaoAmC0fIVc
XV2JqM7286gsf6Fz8VTemqdCFN1NGxdB5+WQwqjBywR64yLLwJ9SQ55CeF5f6FrEQ6Dl8sLFtGrT
TtO8UVGjeeyR6WWiRDhuuxB0tI+M9AH+Ewi829qDDxXAhXxaWB8xZzVpKwFcVGxuXRmq7dJo58HW
u0On9ctVPIX7YlDyXMiu8woxzCdT1LB+y/akTdB1UhtDlvqLi7xh54bZjWWx8S4JkaQDfFqvhw99
p8syxxiw+9ySrc5dK2fTm+O9BS0/3K2JqIojoPHSOS0eQALCeyy1o7NBqO4Bjs1wVfTVFHlVHJm+
u3TOhtcc7VQuSnqjKOgDYD7R7po0mG9FYgpg+n46lzRVO95R92BHmnK2ipfRe25eTjHvkjUIwWyF
p905OIa93QG9Lo5ft5UJ4pUmoS/NGiLYtGj3atHJp0iAHzS1YoStNt5gmA+UX039RlU0w31YzXur
SUp772pYuhRBpXam0cY3NnKGvYyKLwGqhI2ZRsF25QDfzHSlHwsTkSpMnQEsi9leU+kr3DjPX1U7
J37Xpx9jtw6Ydpy7oDuKttR9hmrvYU7ftLX2zpycecOEud8EtPMPedbUp6Sou3voByBZUfGZVHf3
oOccSIcmg+JDP+NGX4csrG/6XkHAllZkXgFWAbgZsGMPVq9iLyhKv3YSxyva+DQXAfSlKt1lVXFO
DGUdDUeDwx/ny3RvV465neqW1dMO9ob5Pa51ZpJ9qAc3nn2btdl6lZ1Dz24nPO08olD02DfDTtsM
1ggFqDHpmqFQGu2WXa/087mIDhBTpjv4+zSkvUMs1YzEQ+k9aj1BI5bgKx57yEdOTc/c8NKwxPJ+
MhLbb0X8aYCxcR6kk9uHobV0/tZOnroxumASS8a9UTuRp8WhDk0rc68HI+lu2zgrNroThDdFzyRl
CKfTVMjHwgyns7Vol6bWiF2LZupm1OvphK7nUzd8EFrg+L0hLtJ5TXVxRBl/C1PtAQqktac2sPdO
IhfI5FL6OYftJqyrm2oE01nqUj5Y1RRsRV+Yvlks144qeQM4Lu5MlC17g1Pr81yW+Y1t9YVHjnvk
D0GQFrmX9xmpN4Yui4S4BlvtAoq/gwOnmB7eqLvr1FnCjduEjbavlKWfYktYoS+owmAFljV9GVOq
ztPhXt9N3OKjXgUl2oYyPQitcP3MaD3UIeqCfQ2PPdBXmtECnroDwd5LG8ZijbWmB+VO+b7GGvY2
cFuEGiuWvMCY6zwH6+Q70ehqI9EDH6OBRd8HWwei12ks5/bSwMZ63y25uF7KYN63pnEqu+V9PvcP
eGgzCZ6LU5cunEJL3iPamfK43DCGO1ohU5lE1jGyjVj37WLseB1EQLRdOT5xlmgbu561owvu4HVG
MV9pBdiL1ZjnisY6aJN3cR/d5p2muq3T5NG1kxbhPjdMeYh6cmIS17hLWr2G4tVlu7nm3PIzTk9s
Zjp4bBpvaapGShYJy2UbaoHxOcO93Y+tuL1zdC2/o2B9BCOXGy1Og324hPLWXFykA6plStI1zrZw
aiYyzVAdMeJyL5OhzvcRHonQ0AJQ7MiGwcLNKctC+JGa78K8OI5aCjr15CYjY4yCbdOqv8WjIzf2
EoQFZCUA66q7COfpWx/Et1g7XkHRJ2xawVR0AsfxpaX1n/KRT6HL7G6/5rmfl3U7mvtPYxVoRzrW
Ydu3J+HC8q8z5xMxX+HGGurxaGmxfYrsWl6w3Y4XVW/027o/1PJbgALmXNr18ED+57RJOoYSq9QM
EABMaCmK2IMZDBjUWrc6GsEP0JBKfMhs+pNI6j62Xgn5VvXi1ylhGHD//RT/SA8K8wJVNdT2hWMU
hzhygd4091w52ge0E3s7Wp6dbEguasEZPtCFtxnYguso5zbO+noXTq5CQmR2G9stDYAGFY0fu340
t1VQjTi8qsc4bR5QA23MqnlW5kBFsixfCKG/LxYnvHXCzHeVKa/qumy3gzT9oDTA+Zyyvsqbxt6g
UAn92sj4C9IFzCo23MMSqoO7BLYnYMP5oTTyQ1QRMppjx/WsZ0G3C3TkroHrMA8b7XeWkT7xcP1S
JfY7LEYgYFMjIUlhWpNnpq/qOWFrHbsrEcTPIdWV3+aV9MNYv0tt+QjhXt8GRtbe2FIrd7M+ve+w
y/UCM7ppjRHFUGM3+9iuvg2hsXOrRvgNfGUtqKCQJgDMA6MSiqzM4RQ1j60Ne1WXp8SJP+Bjf9uI
aQRtBvFVahQenPN8R97WUwcAY2iRwzMIpb/Y5SauUBLY5S6y1bRTOjXniF/bMF+hWTgJVvoedE9d
BlloH8zc7jaxO59X0cYlGjo4rHbpfsSI47512/oDpK9NVaqnRqveQ8JUh6hp3VvTrVAuhFCxpPHO
sCNSwwF+myEWj6U+mZto6Jbdgi6EJRQVvkh1wNs2b5iJzcPR7VV0kQW2vS2dcHoX1IB8kPF8QyYP
i4FIjmEGH7aCkbdOSMbK/dJHSJlGvSEHxvxkupp+oVlueh04hbl31XREIrVcJTArNmlWMWcH/Q9P
DUjZwZ7Tm5J2/GKYJ3ErO+MmaLpkH83xvUtF7y2dEncVL//Yx1q9N7Hdt/PxHAefVMq0lhWwS8s0
2BCwqTaRHoQbx6ENwNOJT2yJ51utqQagXpgpOkbXwEoKpWS3dXUNANzqjqZe7DhYr7KpnX3NsE69
Ezt7o/osQFofwoCCaEzy5JwOYvCrtjxHU8kEnqK4LeLnmgezCQWrsJ7d+56GY1sM6F2wAoo/2o7B
+m2aTdUsbYGbGoYs9fxtcqOLJnrX0TOEMtrDNe9aH8GWux3s4XqJesevKoRZQ7UrxuprUZyNEfW3
a8c75sTNqUdK5JdRl6B5nOzL0r7EPMXej7AE77HshBLbGv112rhbd5pCwp2h7ULhjqK9nqN/lJER
7ko3G59F0gp+VWf5fNnadWQzp8R47Ih2dttSr3jFWLj3VBQjaKO96Y0mvivchpnQWKXlU2G2+b7K
GfKYc64nOAOUyzExbSLZGW+navai3kLJWE/GO9AHf1L6zhy7fCtbHTjUOimEeh+MJr+I3dE+xBbL
vaWGKXQyPhq3Pyq4BcWj4USHMPgk+3kj6kX3OXnFRjfm6yqc8rWgh/9hNRAaZnGsU0o4bZ+UqHoR
RZ5JJ/IG165OzXIB7/QRGeN+tOkHteFxZnIC3+Q0SJszUkUPWgJBpMr7vYScKGC47ANdIBgZl9FD
yqKZEC5AetMM14usLCDAwGCEB2XZEF+SpqRPqPObIWe8NUfDdZvcBSPbHqQRkos2GrNo0z3MbvYZ
auVmHFAWBNb96NbvFsbYnXNC2ZEwgoxvou7OTKpNPz1XghuBGMcceQoXeOv3bTZRrc0XqHyBR+HF
GExkCCjdyVB/x97Z+KNxShOb1yEPnZsfaWY3UjzWpLR4kR1S+jrnIH4cUnK/l0EgX23urIqdJ2+O
mjvsjeSBRWZu6vz90qjyGM/Wcyiia1ucytrMkMB+xN/QODjWU5VI1DtNurfFedLLA5qs5kvbt+37
IS/s6yAMjiIxHL9b0o0zJtU9yqB7tj9GxUW0iKMKQifd6q7MOMWdmWaj6zsv7FVueo6ZsjG4YFYL
k5c+Sqtvcc70PZmDK+RoND6NvpNKTY9Zi2xNlOVGVwnsjREpRe/A99DMevFMePu0S5p1Kd1A3eLu
hlIYcarrw0Clf8F+4nKcw+iLIwq4KBiiHiNiPS7notjgEJmfEGNPmt/a0DkiIOmNQlkMm53ad8qn
zi/zlaWjkNToYrwphO7chHU6blBgfpGjZvh44CO2XooRz24r2HT9Y7u09iHITZqVBpa0oNt4QmIY
s5whgoPjG8OHLLO0gxFo7n0+faiVcJ/0MhofaptKIegNMCjRdLeVhRZb9FhA6gnWaVrbZXALJt3x
VSqsIzRP/WIstNlP+uDGikaKRMMw1V0T5fIIWfeSgZK4Zek3G8tMXc/UtcQnYrQ7Qv0Nr1C7ZTtL
RR+Rpi33uTsmx3mJl9vcWalGEWEazzKYSYRYiLFkAoL8fisbzfwcA0AgdQUz6+K9NjOIxi6D6byQ
o1t6ZoW6Mg/q4l7Xe/tkajNTRjudOTKYmmPxEh5YPiFcgPYqn2aSXNAsn9Viz76RQhZCkcaO4ejJ
dRgL98JEj3cw7Ok4BrVxKaSqDr1aqtuYwFFPaMMYe1ASO/RNaFCfO5Tj+7gQdDd2ImmQ6yI91vTf
u7StP0IvE145RPVFYM3hpSVDexvLqv86O6372ayGyR+ZFVPzMcMWPjwjcYkeL108Yyh6r9FmRkCh
kTxOAukZSouZUsAsDedDXMJJ4vfL9JxYOILSulTvzXLRH+bcmCBtNBF6FtSR59i082e3KCDorELF
xdLEOU717ISizfJkruBIIAPSrJ275DGncTC2TIS0e5LDxwvVuiaNB+y5QzBXg47tugzSTcnevIEf
Ss/U5+axDwJnk+XxJ9V0asP3OFwnlvleWY16zunzPcdKxVddz3HCRpcyXINRB5COtKE4UnUY6IPj
YuTcy7DfGHWRP2cAS228jNAkELJWVkqCrM7j+IgBi+n6pWWglFtoExD73zfl+EHm8Fc68iYjq1Ch
5/RN7y9GypSzrKb3MYy8K8tJrJ3Wmw9RNFu7kjnr+8DqThm45JbH/y60wmabM4vGVMD15mDoL3J9
SdAx0b1Tr8tjP9dBdsyHrt4pMSZ7SWrawTaXW3tqdZhtuXG7JO273nTdayra+bYx3IQZrJbeDfR/
uzVn7XpJLHdfo0K/ysL5Ii0awVhxLI5rO76R8yJu+EjXuB4imVY/i/DsYmx4bXA+67OafUib8hNv
sfQHlX6kA48QczIzHrwJ26prrTGtPbKK5Jp4MYh4JvujZ4xRbW7wAfDrYU6voq5rD1bcF+dmyLQ7
TcvEe86B+n4szMDnyACknlsLm6FhNAkJtfUkh5+hJdEXCLsIE41WjJeV66Y39O7IoBxHfJ1GfbwX
jYWYQhidJ1yNaScjfF/EtXPQtEa/1DUnuEM8rC6NNLV2upSSRjlgjsYu2/khaN8ua9OrfFkM7Ccn
6rXCUYCSnDZZvceucz4mYpm+oGLotvQNKSUPDiUf44BKfyhC46QtUfoOL6nu8TuiP8xD91gvo3Yc
I7d534VRxch4zds2yv5aTqjUN0WdlBswAXmhCR2l7jwPT8GUxhdCzMuOfumqc/LqqV864xr5bh77
6DYDP1ty+d4pGcuLUdPOwaRBayTM6clWgXNFQ43TsIHe49LQsrnZ8qJxFqkIlPqMvB48PjARurb4
JF6MqSPP9TQPHtHuxbYmJ+g0d4FxVcdhcYFY1wZvSsTH1sVHaoiSAmalJVbCHt7v5NQFOwNCEmTV
sXpK59C5DTSiAZFWmpfLVLQIQYNuuHYXPAu8pcmBZhczQHHZLWX36HZpvs9kjO1+l+gjHAzIDLDq
IverptFCUHxlVJ4R3PdejJ/RvpbeaM/FwhpTdxHGDvtes6vz7Cixh4bzaWJOjFi+tOQF+Kt1Xc9Y
RGAiGkrPXJpku8hIfcObfdomRjUWmzrRyzMEr/SqwrWPw91MP00NKzlGNndbtYZ5HFvb/GTUenjU
RkNusYxZdpMsjGtZcAjP7lQ9aTn/qCcwfPWg66/nzhGbMK+6x66Pg8u2xD1Eddkj0RQdCrhuVn6g
6ySn9jJzbrPIjI9B3Rd7qQoeEkAe2kjy1bYiKPJdjKeiQF1cAQTT6j/2icwa7BoWyLFxL8Kr0RK5
38BOuM9bjlvMs/CvDguoW9Qd2YLq1+oPbpstPn466nM3sy/gb91VT9UcrKzLLiHeW1O52ulDoW4D
5UKYTXFxeQrnytlOjeU8IyUwa+TGbbkPogLmqszJehBMR64JO+0exQRCvglbA38b+LbIAGdEvqaQ
20gY88G2QUc41ynnLSg2nh0m+g9Tsv+der+hkjFXu6v/fOx9/5yXL2be3///P4bemqGMv4ShGG6b
tpJMr5hZ/ph680fmX0xbdKUM4TDbYuL8t06GtvEvgWQCkwbbcGwJZ/hfY29tldfYjrIZiWNtbLOJ
/pO5t1gtmP49XOMXSUtZYJpIU5h6ua+zkcK6h7nhLMaDWTAU9pqiSWBXBAs8vDiItlFHza6FRjj5
yVhlpe8YS8CQJTZTdSxwwR93cVlhZZFTZW/DccwXj6xl+wxIvii/0K029UP0wgpbo7m8TxbtYzO0
tH8YY5SfdGtJae9LbGG2AbXLHQPAhQ1NRLipmtkwV9sek6EvOe2l9MaioPZPomZxdpgVVWcA2HyH
dcZQ+6M5TP22ijFZedIi6d4wYOmgqnYBKSPZoJgzFYjX65nItp/e9m+Gsev48eUTFKbuWMymDWFJ
ctdfjicb3my81JnxkOlx4IPHNvBZxbD581Veak3W94R7gcHXAueBr8h6NfvOmqzrcV4xHtjAW6KE
SxR8VtvvKFsJSB1wQv3z9X7zYXArNjcmsB+Ajvjqgr2ZF4vVyPnB1qv5IsQR6GmymE/sxsCtba/q
UxjAppFQ7IR6xMdgqBF7Equq/WEq1yEkpE4vEYX4nEMo+xroJTY50k1L5XeKvh7QqxT3Iobw5puV
mB9xtuDcnSy68G1cAcgTldG0256Uup6hi4RqTOEw2x6eaEvnRxUhc8xORQIg17p481jVbHp6EFxr
7tIbG1tUFfU+IJwdBdPHKMzU2vX01rOM7eYbxltJ7SeiUtDEhgCw589P8Jc3ZksbkoJD3oyw1qf4
8rsY8Rfp+smeHvDM+BYs5QXcxJp4LZdA1SD+8br+0d78X6Mb3QAB3XfN168dcsX/AZyjNb/qD5tv
icy9LP7Psc2eiy/tz9Sj9V/8m3qk9L8M19QNDsGXWkUp/5IsJvEvHeO/92DEis662Pg3oEZbCi7E
38wjzYCvpNsWf8QLtldiwj/Zgtcj4KcNxHF0JQDPhQSYMVz29FcbiJl1a1Ofx+dymrGpMNziQOlB
4hg19qnU62qbu6QrQCmGxVsO3XaslvJcTEXygfCqrz89vt/sZt+jdP69nf34NRgawPGGOQT36tWv
UXkI49odQDC7Sn3AKstAtSGn7AH3aVz55qwFoEryKykmpCtSqvBWr6E1wm2w0F4VnWHtq9AyHmCZ
4gBX0R6E3jwlUekX2ZthRt+To17/XOhhhmnbJm44r2MWrLTu7dSc43Omdy6OQcMI9QNLKNxuMqWd
IRQATNYzJNYCS4e7aZZl6Fuh/Ummg3mtQ/t9HCpnepA4i0l8/rLmaxaVwV6b7OB2Nt30mxkM8Wcp
ouVxbtPqPjWnOz0atHd/fu4vT5Efj92FzoOS1lUQXV7xz4yoa0APm/iMLCw5IhdJ/JX788auvv4t
r54WnyvzWN2UTFjUqz0JqaYT190Un3OwpM2ARBYtEjYlDbKLf7T9fb8hTioLkS8qYRO7vZfb35DG
buXY3JAW99/oqOhHAvOq1egdG1c+/vnp/e6+OB0tRypdOUh+X17MQW1uOY2Iz4PTiYuwhIQiwfjO
k2Xn/yj47sd9mYYSqCZM6qWV4PgzCc0UWEQuNDrnpIji3SiscbvMjB3/fEO/+RxciOcOImkbMfP3
z/4nqhtSNx3lsp6cszAnWdZiVjJx+L7xjn69ilSG4jKopR0XduarezHsMZgWWBVsSiGKtbpHHpqY
b9zL9wro5Vcn2eQMZN9S15GarBvgTzfT4SsGdSjlU1hsfVOYeXQAPG+9eNI9FaK+XGrT9LCfnrYw
3qFqZeX0hqHySy3y+takYxomZDLE0bYSr35Cwkwfl7c0OY+R+Y3WvdnDpO+gMwO3iwUG0cAYBgdD
9daK+80jdiyesmR7d6ij1j//6d6dLAuGzHSSc1P04aaPst4j9O5Ni1X+ltdPGCKgQsUjKUTV6++/
QzyMijs567Vr+XKQz+ZcvNcgX9Th9MYC+N2jBAs2IeWZ0jJedwxD4kQz3i7JuWsyYwvJTEJOQNJU
OxW88MmtLxdEvl6WM7z886L4zdkkXYpSg90E9idv8uXDHJh1FSOGmGdn+pi2OKnN1pYIsVULeexz
7YGRCAwYasgi2LhK34JDo7x5bkCbphlJJ5LptP/y5x/16wu2KfzdtSank4MY+fI32YDZpiyX6Oxm
WvzO1RL3LpFBs//zVYzVJ+DlG4bizImMwEo60ngdEwWSaTplHyXriZYiOUCNNY52dxhd9HNtFKmD
mrTkCV5Qic0KRWbSBMjaRDn5f/4lv75+W8GG5JM22GuN11bQI+4tTjAkyTmC/HaoKuJu0w7ZLTE7
EaBLIXa0Q/Gdqf4f6/6HucX5x83+bHCwnhivH4EjWcmGDrcZPvjLJ51bhgbCzIc3Re68LedYbGK7
HLZu7sqbIk70N575ahTw6nqIjFePi/Wx45308nqQzBCXhtxpPHTxwwKpKoZrBe3Wg+yBESH6hiLB
+rLOkeTHu6gIwrc87H/32qlCTYfDmoXNafDyN1RzbKGuZp6MMaqLTgOTBpuahfarNdmz0gJwvunu
V8NSxnv2quOCHQb3rHrDWfx7g/nyaTi6yxFLlbXun68jyfsKG9xhzrtzHCNE9KKygo9UJmaJiHUw
zGabaDl0HUY24QVo8NaeBxxp6mYsK78UOZrgOteGM44FRbBFqAG2W/SJzgAFXLg6OO1kDx6odOyC
jAXOZdMV5lNJ1NIGcgRwWA6b7YMaxHS35orj5iqb4pJZsXanJqO5yzMbUidEN/pDJ6yab1U/9/Yb
5+WvXyCVMW63639Y8q9z5mK3CwWW8+251AYTtS0FZ2sEgR/JhYlCHVv3f15rv5Y1FAC6AxkGGIiy
bd0Ufjo8LDU4dlJP7dlq6uogI0tSysI9Skpd7v58qV+3MS7F9uXoBpoK3vLLSxl9Vc9Mu9pzzIF8
0lKGjyohle6/cRUwK/aOlbz++jSs5z52pkjjhnSLL2aq3msiHf47F1EgZPR71trvvbyVqB4ie7DK
7tzPZrnLFkxvZ3eJ3ziMfvPAYP27ID7roau/Lmpmra5MApy6swgZcxtD8CmNrLfO9d9dhLrFoFJf
zWxeO+M7cxd1LX6758zs2203DV8HKIZvfNXrqflqZVtUf3ShlM90IK8q2o4z3u3U3J8Tt8mOIYrS
g+Zi25LYYbjFqCH3FzIK/X/8JVhrc+2gnuAQWf2Dfv60oUYBTBIcfU5I2MbSEEsHYrGTN27tNwsI
3EyCvJoURr981QwNGklYRHNO42FG04dfmMYD8CYpize+h1fqlLXEhGGvY11Ey4OQ6bU4wsIsYrCW
qTkn5axhAZqpbZ9M+O70KrgKzM69NEU04YqAx3cZY1o7hrV1n9UlwrgBYgJcF+uNqJjf3D5ySIPu
2GLoz4718iHP2NB0zGA6SjU5bS1j0byoymZsOLCI+PP7/B5j++oropcAM7Q4rEzrdYhuB7Mp0xvZ
nVOcst9pc5M2XotpBd6wzbiPUBVQHUBs2IpBx3hVjrjvQ3fA3dILhzFMNqvRW7ubneJ93K/e8LVb
5sX2z7/yN+uJk9xCsrO+Jud1Cls+h3oFqac/5wr7djd1qqNkDPnGY//dp/DiMq8siJSqzBwUoT8b
TeTs5GyFNyLCc82WY7TBYaQ7hqMyzhXC+xsFCc1DUQANqU01LHGA2gn4Vm/c+ff861fvxxWrHRbL
Yf1WX+2KRQejfzbkeK5KrbokdaHGtqZS/WYMhvGzbcSyRrBetJCd6jVY0hVFcwYIqnS/HTo0CrMM
83YzMyoMfSSgNgYb4dyY3ugiRvI7OytdtKJ9u4skoQieLDIj9QFKqrNd6kH8xv5hrQfS6/uhFLQB
pxUdweukeKdYpjAs3f4c11aLUUGT7IbZIoR0tB3EHrL0cjv5mqg1haDFMS7oTmPK6A41e5LZzXYm
Y2q39KrdNBXOdtZM9EGJPy6iT3P4Mha5s2nKQvoRw0k/lvJb1PXi7IgBNlycmJcFiQDHMRndPQRA
B2VQ2x7hLujbSSXzZnCb8Y1j7dfFzH65DhlMwBt69VcndKUrpseRDmVEazU/6ph32zY0slS3kjdE
V78uE1fHDgLURtBpURG83DfqqR+walTjmdg2Cwf07CvSGuPwT9ciF1FARN//ByXk5UU0q+6aqOim
M1DbuCkJBfWB+Mw39iX7l88EwEtRCGBEJ02g3JdXmdHwLxQK03lI2q/xSptT4w6ZFSk2XW298VH+
7hWRlsplkKuuHl0vLxaMQqZ5GUxnc2Y4gk3WvMtTHRAUOegb6/n7fvry+3d1jhuAz/VqnKUvr4UI
JAlmmc5nEjUq3w2d+FjjFLUz6wwng0KrT+6cts9GbJv/wdl57LiNtG37iAiQxbwVlbrb7ZacPRvC
kWQx53D0/8X+Fn+LEkT4nc0MYA9KxUpPuEMDBLyznpzeGbKNWefgI9I+dRsvkpXuUv8IUnFooLb+
lbqjVisf5cZmmvuLEAYJYWh4ziv0Jojtaxw0aHVC+Bh7pCxaN4S9EqQro9zIlCgNkCLrtFuJZZal
zRKJBhuUwXjigVM/uYhPJwCoIKkCZ8D3e1PZanWUoKJaZBpq7QfCkQjyDihafvTbYNRWwoEb+46q
3MwqJg2EybtYHjMIdFiyxXTqp0j7AbUwYHfb8Jfsqt4mA4T++6fpRpFtVj38/wMuNnqkSqVMSwYE
cei/jJObHCpgZV6SWAFUSWr1fVv43zJ1VD82AAb3oIGTlUnf2P8EWVS66CSLWePxcqnDwLZqmdJh
LW0kN6YE+nOGJc4204Hz3Z/vzaHYT1QtDXbP8qi1kx/FOJBMJ9+aKIW4pePpbdcjNVTXK0PdaNDw
aTlhALCpAlANuJxWEjm0gXpzouzkIIVN+XmL71vwFMcVyKcQfoObZsCXo7FFdMmvtp1eRZ7EgPGT
X2lyZadflyX4NQ6xFtVhjSRUv/w1SlE5eLa002nkcgC73Zmf87SVHiC4+jGOIYkKvxl3zOjXTNtZ
iW1ufXdDM6AAW2A/r8I8ZM/NRobqdBJT8q0JLOS2UESqdVmt7KUbnR3KDW9GWnx1FHNKMAKKdkot
cFEYkrjaXhMorCDC1jQvmDih5oZobIuCtV5rJ0RlBbUItKwPcBkHd4M/U/UpaLCu3YyqCeMALmSz
pXzv5nu0/atfToTOxdFOSmRAOKFwUTV0+99lZa67XlmEyCDe37TXlzYKBnx4khGVvERftvpM5PYz
zVT0U+XE5R7Oq3Jwwzo9IeGhKYCeIRFuXRVdmo0+iPzs1oX6dYxztUOoDiTe3mjN6WBHrv3XjytF
5SHrlY+x0mlf7v9Qgz309nFBRwiIiS6gqpk8Luq8C97c2VGE+swk8/rko8dCTKpPhx4njJWDdT2K
TSkAiQLBeCYb+nKU3koxSmuqlvKG/AAbyqkQ30m0bGWY5VVM9YwUk+YQCAqeB3cxTFo12OtUVX8S
KVZDAQktMpCx+1mJMvsBYcH248rHE4uvpwPtmeMn4g20JLg1LudVzDwXgib15Jc6cLA4QTKuxNhh
dmbugCon6BMWm5wwu4MMa6JzFSQ64kIRwf/vWode41V1UGFC0IXRV7tsaxTEZObiZqnVKGlNZhsh
YUTwlHp2E1ovOHaBWCsQ8f6v5v/ONwB+wZNaaMb8rCotwCKrsJ9CcIwzCcBUW3wxOpUXKfOpr0Ua
hh44lFWmsYH8B1QNf1oQbqA/uhMswQoVvh77IUDaroupDbYe+TY09eI5wpkS9hx1nF/3P+Gr2fbb
DUi0gNa5g34FV8CcVF5+wrbV1DjDqebkItxNaTMS09HtHfW9Uf5ScPD5bMbT+H0ypPXgIE25Ua02
ybd0LSREV0O6j2oOhCnT6NFt4gmM0zaVkQ6/Ms6Vr0hOwsSEGq4+Is5VF+/g3k4PkY/nBQQio/kZ
hk5RHmy7cY8sLysDyjk8qZVVfQoThyZDgLWT12JJoG4kEn76cwuzGg3rJm1QYWwQBNKtUaUSOcYR
m9pVgnLX6p3xBRWkvNoEtVQOaYzFHApcSVbuLCn653Aq9dwLoXF+KdCXROqsokoCPdcGt1JnLSSF
3mnNM33Awt2ZlhY+jmZj4BTg+xBE+wbQJuQvoDFGY8NgUXqZiEdgtM1nARcz8bq2hiyEnocMnxwr
9Z+VYOrOSIOiuJgE6n/sMFAwaghzB00rAJTeaJdhMutm9o4Xg9KG7CJ68lVsHfIHONb5J2whysgb
MJND7s8tUONIg8zUNrhIgTVNx/DYRrQCAJb51RdhkMJsUEgEs5xO+jd8MpCc5XKunMP9DbS8Wub9
g24M1T/SJQtOyOX+qcc0Em0h2hOcgWanZVQboYDr+38ehYoZ7VkbpASdmflXvLkmiwR5gDzLiMEN
B9ylHiu7JDbXEr+r0I7JMIzFhGxqp+BAL4fx8yZtfaUdTwnq60fYCdMupvzoSX3qD6M9/DBn7516
hJOdw1H1ajeuV5K1ORlbnMcZ2jY3MGm9UPO8/AmhKPxR6f2W/qmmbTNwHKD4wg0VYvzNAjM9lhLN
Q3f8c/8DX3X85qlzE5A7EEUTWi7GzRsUAhWnpG+AfwaYr0Gpv6Z8Bkr9iuv+zZqi++sShcTQUCfr
fWFp6T6eJvdkgW72+jT5gslTZuDL1naQuEfo2Q4AeAQ7GpGstEhufiP6Utxb5IDALC6/UQ0ccpKt
0Z2GrlOxb8MzLdV614up5nixFhTonboNCZhdePc/043dzk1Jg5lXm9agtqg3wVgfnBYd/VPbY/nT
q5LUjhLuyijLwJO1oJaIPQ4mZrYgHL6cX6bljV2qSn/qHSU6qt0EdX62/wAfRFD1vclS7ACysQz/
NlEbQfQuMUVa+Q3zei/2IQeN5iPApBk6u3gXZIcSWTIqpPO9Mx21wY0OwSiis5lBRE0q/1Pa2OLT
/a97Vc6bJ064S6GfjoVwli1P1aK3BMt3PKH5ejRwmiKKe0/6+EnQzR9LFa017B8TYxs7zangak80
4SW63K78jhvLzO+g5w4K9LXffLkATVk1XLwBOc/QDA9OKIwnV3WNxxT42CbXRx2tRQStRaFhG2hg
H5aZo03HSGmwtPTrXZoJDYFlY81P/Sr35gOReLLx5guKJHSx/5LKxJg55oc5XYsJWB7+xQZlOOEL
mh9rwdVYmk29G7sg/pFIy9mjTWB6TUYAe/8L3dgdnAKQHvNCcZ0vbgsXx75cmZPuoG9Bgg5Z+zJ0
obpVzaH04CgM2wJ73of7g74CHhZ7cg4rCZip/89H5HJZcMOSBdBTUiKQQQcfM429VcT1oZ8U/wGo
2CwiEHyEz463BhQU/C0TPgbdgq0RNs6ZLMuGw51ptPHj8p0hTdQzo6B5AmSk7Cvk5B+62Gp+jW6E
XkDoi83QQXIXnWY8dqrxZZaX3HErkzmw8lDFcuVJNH7vdVPf76IsS6l1VvqG40SLpYl3NBSTLQoO
+rMRddmKSNcy2GYr0BObm0l8EfMqw0GvERH8RJtO9Qh2F1XRaAM5Pt2GqQuEHDvglYdpmY/O4xkq
iaIFw5ZG3OJSKhta9HHrs/VE259iy662SRw2O1Di+eH+Qt84fkSjlJxB5rPRX6+JN6+9Ehg8whOO
pLGmWcceOetD56IM/e+jUNSmuYzgjGUtXRyw9tRkbnbqqTaJaDF+so+dyjm6P8pVTWP+bhattxkS
S7P19Ui/mQzYbsL2OtROPh6pHYiZOejTCarPGPfG34Nh6L6abohOus9MP+TBoKHwnJh2uVdiQy29
JK+UtU7krS9MPZjeDD0a2jOLk1T4ItK10MXz1XUAk8SI7UTctSv54I2gYu48EsdQncOhYFmmyk2Y
gpGdiRNaMHKH1W0woryPOxt2gEn8Rc9l+JUK7oj6TxCUJ9npLSlaHNkE4FMd/UcL0YiOZptmP2FO
1e/1IbHrjY2ptOth9xw4K9fa9Wfh97o0reZMFpnCxbUmsUaE2WpS4sDV1fN9iKgaxLeVp/X65FKP
B52HognGLgR5l9cYib6DXl0uTrbF5dHqYUiypTfvpjoJjxJW+78B5KmkaQxIYXh+ycGTLM8TT10w
jfUkTpbvhFsnwoMNMBPK7qSWHlx/d+VkvYZBlxf15YCL7UWJQMvKVkd7HsXawI7k1tER8Dbsd7KI
or3W586xUxp/J93e36d1ZBwo2MRb7DPLD9RDsi2MvPExr8sfQ+yg50i74gE9fgW22spiXF9r/FSH
Ot+MCdftZcifoTUMyoWfWitttOV5bTbYM6UeTMh4Zaib6/5mqEVI5RLxTANdgpNrIM9Kv4AKU2Jo
G6uH/4v/6loYeWs3c7otjQNOA2MZJge4d5KcpeKkYzP+gN4KsxrzfmVW16HA68lmBWwwLdZSz9Mv
xnzoY8HmMlG3LvzSPmEjKz2DmATj5M7egSZzv96/Va8zAHoynJ5ZQHRmey2OUKZqHT60sX7Co9by
+ib5qxam84ket/WuVgsSc7ebfviRYq/cELfWEEcl3XJnCCLQxsuzq1ti5IRJ/TSYRYQTSzNu6T9P
7400oc09ivZ/GA9GEh0dMGE0dRYTbQvTbBG40k9oOVF+NZUIlYWq8NLQGLc5FeGV1OrGcWC7kHMI
Em2y0EVFjZp3NA5tOp1IcgjicIs54Pz6B4fKeGWkG7uTpiRIZcNCZJTZXX5JP+qGPjKrCd59qR5Q
1nkGB7sGprsxHcDAmEK5DEK3arFcWM/i1gqT7tS2SXkkJgu3k6BD4yPAtDKfGzuDXgyYa9IGWpNL
3pgLaR2xH2VipRzx0gy5/hzHVrpHQVs7UApMVs7dzfGAh5IBE8DYV1MLsaahpquepJyMvU3C9rVM
2v8U9O7fT/EQrrQjbtRGXIIYtqBt4vh6VegZ81oroHOpJ6tQJ9yI3eqsh6nqlb6v7jmt4R69LHxe
Zplts6myx7qPlZUM4MZy8hswNIMpp4PTXCT+GTyvMeUJPzlU9PdRh/VAb0n9oFNlXfm8N7YnkZtK
sqG/SiUvnrCoCBrLAnl76iLhY70QIDVVVerKPXbVp+Bpnpt45IKzwjLh2OUpyMvcSbs54hhtp/iF
vhkPsq6gbZz54rFWk/BJbYL+UdgTbjdGE3lW3yh7vbDEIbfy9CHRoz+ISWrHfiyyPUoT4fb+TXvr
LafeMbOwZoDCVZjsVNIZazVVT6PbymNg9+E7s5fdMaqj7wNErgNwsOgxSdKvIsiyd/ZYoEUAh3+b
IUPzVRlBjqMYB46iAyde9ma8UzKkl5osprS0EnDe2h+smiEQuOaOXtYPnKyMR+r86slunOqgFG36
obOR3slMf41GdOMFmjuV1OpA+IAKWGTiYjJ8KzED7ZQ0rAreAMkzqrTZ+wbPVWDBrjZzt1ReCNH8
vr8itybJi2DN/dEZM70II/pI1KHsJg2SR+PTC53+q83ePCZS63b3R7pRbiDF5B/6AwIYuro4b46P
QhCrL06TU7zP6QQctCBtfvI0ZB8xv7U21IjqjUkfBomWXHw262Q86na0cvfcCDG450h1VaHNl+ti
xkMYRflUdeIUiArJp8l4n/XOrHtlYCWFdwdumdrH+1N/vT4XISy9dZ4MBzwLT+H8m96kbYXdKfHg
m/qp0CIEaZHcTN4ZAzQrNB+sBCmvPn5MUaVzNg6W7+giRZVpY0eWIBdoIp52ypAWnH0vUEylqbJz
R9X9ij6h9VMh0FTQ9g8QnsKxDDRUa8fZXyn7offw7kQdwe9q3J8rxdblzrEVB42I0hXftDYd34/m
0B9wQ1WsZ8Osw0e7pEixYZvjSOHgDeDHvUVLdpJlQ5PCRLQzwpR88gql756gJ3W0q6Yak7NCDZN0
O2rBhCoQlhWjh4Sp9aL7tM6eNXvUADKQKOWAoHEq8CyzrRGSHNHnODZslYOJdPuTqmTZLwhjlrWp
CbdeamGBVINKmR8maoaIsDZIbOpKj4FS5k8OJmlh0X0tpgh3Y1eXv33cDoqHpkVcl2pfhalsGhS0
ZBo3lwfbR6Zp5Y64talBDGn8KConkEoXV+5EI8oVstZPwHNeUCTS3tWRPX2esqH9a4xq/9hAYtza
9Py+o3GNdkyKVsR7bcqT4/09duOJIRECZsbzrcHyWZyuHvUSRfi9Tok1Q5GjkTAREbg9/PMo8xFG
n2Lm0YpXPf43Gzmza4Fsvq+fkjLClFBY8Q7r0B//OIigUoNEjqZiLmBRu708LYMl8kFtGgsFjr7c
lQiab6coWnuTr24+RrF1F2iejVQDTKDLUXCgNwbV1+zTgJgMlmeBeD8nOcj/G2tX39X1TjOLkz8z
kwm7iSAvh+p7hLqaKFZOyFpiEJYUH2IMwjcYayuPDTJjW9VFOw7B3DV41Y2BCbHwicIhgadqiTYz
Jcz7vNeVk0VL+oyecY/tStruoin97aiYesl4Qnqyb9d24/+VAS6uPPDvM9AF7qCYAQmLK68EfTop
ehSfndomSaWqE+7Ru06e21qJJgwB8VCkMV51uLsIeTRrs0AHYgJ3nEI4NQKVwoWVKu6L0bjurxRL
4i/RhHddp8ax4bl+neefKKxE06ZAOB+xnaC36j3hT74rsyn1SR7Dst5VaJ55dl0P+SOy5Ui12AWw
my3Xq/0SazYyVm5r5SUeN7WNWkwcdsdqKoJiE4hpOLmmG+BZFifR2UI275ykHEBvzDvUGsvUfV8F
WfJD5lrCxY1SZwB9DtR/jJnpVxmOWreBldH/saqpnTZIpYk/mo2bqzn2KGA1vfsU5oZRP3OLSu2A
R/j4tTH7QEfVW08DVOpNM8C1vR5+D62p/0ZeVf2bQwEmK5W1KDYzotTdNXEE7zk0Q/GA5l5sbmGc
1n9QS0XoT0iu/8CH0aM3bAYkDOL+3Shd4yNmGAqTjLChL/vJCpCTGm3859w42CEiGGabOjTHcItu
ZPsbZUMkwKK+C3ZBJ/Ruj+NzVu+omUdHdJREsJ3ylmKKU9K3tzMq6X4usr0aKP+1ehJ/TQ0wHKwN
1tevs5KPVPeME4VC+dVwSryisb00pdd2Yf2tMeqy3OEv2J6cdpJ7wy2CByzg4+9J1eoAQItWfx+a
8F42IWmsvxnAxQcrAftVkDDvXqoQdI1YY+oCixNbUzIlNIjOah0GmwEd0Z0W1Tl620WzqxHv2haW
M6w9JvPFdnlmIIHCReSGxSTFXRIlVaU0Mqt14rMiacSZfVl8gT04YtGH26LAjvvglFlyiHMa8aGc
xFGnozvhZ4QinBX9awoKJ5qUhUIMbVzY4PP9+eaqlxbL68Z+euZ3hDth+PoWrWJjU3cwYoPRd1ee
luuckFjapE9JE4IxYUBcDtgmiWvIuM7PmozR/bURzpcxnPM4T+uXqXPGJzXG1bAuUu0Qpcn4QRtj
8f1fnx7qFQapPevAk+4unh7VQcTXyaQ42yhqPTljgveTSMeVhb56q5GfIP0hWphJ3HQnLmcahF1V
WnVo0JkUJqGPidkFOI2VPXz9wDEK7xrFWiguYsn45eYSNtA042QaVfBsG762SbIAmUaEBO5/tetn
Bl2jmdoLaOp19S7ng0ddN6lVbJymGkJISNtjzEZ5wOoNom+X25RcW50L2XL/kR8+63gQX1D6mXni
pBaXA2cj7nN9VBunSmAPaCl2/SMYSmPvIm/4GFt9v81GP9/Z06Ss7dbrs0qle0a2U/GFpD3rQL09
HrUY0Y8vU/Pkp+OXMW6sT3ZrSTCkZvioxeGhycvxgcslRNAmd98jx//gWvgOK+HP+x//9Va4vDV4
ZKnb0F2Hc0qF4fKXOBrikpVeyHM42soWpbRgH8Sp+DYloXJQM4z6isbRjgXygx5WZMVDrJc2UDVd
+cib4+z8WOpHy4mdY6S1NvLnEIQ1v2jPNtrHj40+jjuITkhe1qiHRhIpQbt2UFgEGvEosC3cysxE
nY2HYuUGurWtqM+Qm3ID21dNSWzRrMRtTfNUo/r4Yk6UBDZFV4mjmijf2VbwaSHHpAQx8fT5/ked
I7LLb0pNFkIUvEoqVECFLr8pz74s0kg3TxAqJs9po/RdZA/BQzom/UteOU+yQCovkTwOAYnW/cFv
3ISMPttAcTmAsDTn++PN1auHme3KgQC4i3LUTrKoOHbBWL9kve38Z+fIl4ZGbWBkEqXlGeBRshty
s3q5/yuuSoKcrbc/YrHBEdJtuwn7HPo8neoNrsG26qkRmA3aGagGRLv7493Yx7aqWjAmIcwTTy7h
MAOMiL5F4+VUoe4MdE4m8TfdkukPk7fug1mAvfUa1UkQ7C8a/RshkYancBNXwGbEGDZocM5SzIGt
ZMm+7es0wyDZnL4REwH7i5IRHwHMt81iI6MaCemxMcGBkNTB+Wgi5VstK/wia/rSx0TTMKqJgen+
GirCtvszvUamCBIBGt/QNhkawOnl+pb5QDRZOdZpRENwk9cKBg115b7HkafdU7NUNyo9rVC3fDCd
3YuUgKdtfmzR4OOH9KK61lu9Xmt+EPnJXG1WkQdYbLha5H3X4yd6AvNXnbPM/cPt1R/tMEUHczZk
vP8Brt8/hmNz04cgwCALu5x/BNyxjMzBOuEijGYzTu5Unrrw4f4o2vX9wX0IRBwBEXrT0PAvhzFn
rDk3s30ySsX8CbCf+sQYnjFUdl9EjhxmoDTKN31U6k9dMg7P+iCfGmxtfsN8IzEQaPnvAsyB4q0q
Uv/k+m6wVRM9jrxM68YVBMZ8nC5vnPnHwhenvca9s4z9bGToihb301NvBxO4TizpanCXsB1rsb//
YW58F+6WObF+hUYtD1psFb0VFTpen30+HQLX1Q7KVPW4iuOKblPI2Zo5RtdV56grZ/zGyCZB9RxZ
wvO+Kvtnid7ghRQGZ22c8IAfm2EfBKm1S1yl3Y4hbIyqgoXrhziH3p/zjTuVejihLG1yLnXwPpeb
obb8OLQHKzzjMHcWamru0q4sH8lgi21UCmMzTP2EiLjvnvVOftdRq1iZ/PUhm3+BKRwCFYqPr9J9
b2713GhMoeZmeAZoQ2aIGIFHg6zdaMjq7lsw0CvP583xyCVA2nDP0Ny5nHGspth1Jk54lm1ZH3Sn
To9BmRpeVzlILLHgK/O7zplm8BBsMXzCIAgskQh4i/RI6lJnQKId8YhUQdRFPhQDNstjEiAtE8pV
js+NMTGm5LWgwkKmsnynW+DatNq16Cz8Yfg4mpAfsFFNE+M5GJWw9fAwKz5BCgWvHIvG5nXo8kTg
bzvHDVkQ4OlkiA7XUd2IhnMzWfqfNOwDdWuNdfqC/Dxeuvc34o1VodUELJjeHjCe5aVkub4Z5U4s
zymboKkoPXUR5m+ta2CtXoj/7o82r/HlrUKKAfIQzAFSJNzxl3ugQs7TbJxAnvFVR/BbtHIrMGbw
kCgdD//LUIB+kaCbM+bFo5ZQVMfB3onOwNYcJPxz+S5XwxQZ0bpe2dnX7wez4uvhLgiOn1vzclZd
jGNnNdTyrE9lcIDMoWwbAxOH+xO6uVJvRllU7RQN33JTMkqIYrrXqkgG+677wVFLbQ+tZlq5oW4O
R29gjvowiVxuZTwNOtvpVHlGT9P4WLYFusQjisg2Nj+PbR+ulehuHR0YtraOQyvV3GXnJ6xUx0g6
SMgCzN8eTmmzzQsrPPSCUMocRn87RqX1P0xybi8DimeSFBYuVw5n1aCF9yDPM2nmmJRK6CGiYe3C
MPqV63Itkr4O48GhU8ShjIMGDhvhcrgwMJXQaPr4LDUl29h69tQMyse0NP6KTj+7g3xnpOb7ocz+
VQGER44uD5m9gPwNJmGRmIYUSUwNb+QzPg5IVQe2vivScU1d9kaEw0M2q1ySdvOsisUWbTK/9kOV
MhWaJvA5IFQ1XzN4NOoGM+xG30yJYj6oRDNbGtAUP1tonXhLdOgMRQLXFsBThvqnHaCyTVOfzwrC
tbnDxWPaNx1qrBhW9fFamevGRofjwamFDj8b3i7upCH2zcnHDOyM8uzc4m9KDJni6BBPONaNMDZX
zvGNO5Coaibg0+DUAYRfbgLogsno+JKqWtV9jyiHP8i6+wMtZk326ca1BNgcWvoMI2LIeeJvHvhy
8N206Oz0HAQRlOlcGl4j7GHlCN04t8C26STCjqOog5D0xShWOmpG3hrpGckfumyqYm17qGtejoj4
LkPHCQtBw1l526/BlzPyhdSDzGUWqlt+xHSoxk5pg+zca5XjgamcQ5YBRfluUA8OAINDFeb9OR0M
sPY5im0ycc0fhZiyLSk0Zmy+kB42uxrOcJChqtYp3xvTahHxxlpjN00xioIMr9ASitq3ThoE6OCf
ZdLGT446UWNXsYgrBqdZWYcbq81SUySkWUWx0pr//M1qNw2STjbU/LNA68mrMiXGaLRO9/cfoSs+
LTcJREsQCLwKr4HD5TCq3WtoL8X5GUKTAWBcNx/9yky/TWX3eqpppdBzfTfJoDtQ2Mn3RSzKZ1RJ
qRmYZrkv8Nba4zr8pyryaA94KttVfjLsO9wEH6wu+S6kCdVbFNOvAJqdlyhw0O7P4daXAqNAdxQJ
OqKRReitYGuZA37PCURVjVu4ttDBCNc4Jq9oskWsM4vlkPHNPB7QYJdfKoACCMjPLc5ZY8RsR9lF
GFcVSL4pbYqzZqsX0c8whiu8LUWjf5nGoLA3vWH4P2hNaOduEMNnXwQFfneW9dPPxrreu3Ylz7kp
/F9Q6kRGjXFGXFey0bB+dPx05Zzd+lRzFXwuP7/KJV7OYXJLvYzyuDjrRj4LITQ+5hB16n6/vyI3
KhAwnlAwBvEBS5K4/XKcALesYWjc6Kz7PvIK/Ze8p50S417R1lT4sV5ptZ0sHV4As/baoX+oe/U5
n+zj/R9y44GmQk1jlC4LZVR1cYh0tAZY0EyerbyA+IUrzIM09c7TpVsf3Kn/O2b2vvWb6rM+ZMkK
EuTGVyBQJRV2wCZaSBEvwgOMaFQJJQ9fP72z4ZBqwxc9nOQGTpF1kLqGD1ihYwto4sv03KNGuius
zjlAWpWeFVbmLsNIfUWn88abzvU18wbhSwEJchfPI3y5IAx1Cnu2PgQ/qjoe4fSC4vo+Wp2SbpRS
5M5GHZ0A7TojepJlhdu7DpsO011N9XcRf+tnYmuUfYdIQi9pyuFvP8wEVpn5GOIQrWCsfH8dXwO3
y8MH+Jx6Ag1umg5It1xuKImjdAK7lByqNqoPehlan5NgLsEFNCjQjUJwMt+Sf7i+Z8OjfmBFigOq
1JHi9VHhYLZk+m28L7PW+Jn7qvbcMLm9yPAo38SDgpdua7USMqCv5Dh1cRdCY7Tw9PGMUcSnTjFg
59iFUn/XopQ/gyeIdVucd9gLG4N8wXl7dLaFXvbFToMXHW8bV47PZkuMuKXKOcDtCRyoAzWuTFjL
Foq110vgubveqaPAays9KbaTWtrUqkArPShBG6qzsU19oLAgUpxInOxsaZUBXriaqt8OnOGCX4d4
GVmg10j7PapG06noAWlMuJH/ylGJwZrSUKpPbSPa2BNq2P9QKxvjKtCfmOoVdZz98v0u/94kk9Xv
iKizY+OgxuLFtY8F50C7OMEsr/OBEg2DgrttH1stVcy8qDyN+x3RXt8Gd1KmmXluYrPEhpO6wO8Y
/lHpjW5NB1Uio4Q+f4IS5QZjN+cvZsw0Ze9vEffqbpuP2oxvo+JpUfxZbGzMkcwIjsx0tvCnnjzu
A0Qjy7xQk40WOQkM5MkmAGwnNzsoOBeqnyVA132HHXC0BSmixU/0BHEdq3EY/yOGwf9kdo3f0nPB
nrqacovTgRoi5rNo9/5XdJPfeLDo+id49yqEV5bgQ9SS1O3awBDfI6cJ0804VTDFDR0DU4zhhicx
NBOs3LAqGRpzyM0IcO9HlInpS64mHJyyKwt96ydqctJQ2KLZ1IxxsoPBm/henkdZsYuHIv1poLcq
8Np0GrHtOfHEQO7YQ9FIHFI7uyv070OU1Q9NjA4G/mHAsQ6m7PAbqgyDPsyQNKLygGMFe9yvwXHl
eueae0zvOm2jQNHAFbcZodnYYabusnxM8eqQbuLpJVoMJaaTv/0iyCMAkwFWkmmCRegj3D6FBEDq
4V91aoKvKHzKj1rY4ndUVhYKgsXMVDB0ZVQ3dDfcHc4g4NP6JEYqXtHT6SmGNJ3teCCN7+ja4hWh
tUHww8dNYjP1ooMn19sh7HAFeLmnKKX/HMZpnL8Pmlj0j9I31e7gjODO9lOV5x/v77Gr+iINwRlw
wu0xo3vURaQRRr5MIiyrz710Es8sCvvRENW5VoNq05kolZpJ/7MedHeleDvfbhe3H3wFyGX0rWlb
zILRl7ffKInB5DRW5yJOdC9vkVTGIxUZRt8oD023yja7Mc+Zuk4JiUecjGYxz1pm2uAYPuMl/lOb
0H5rfd0B7Js+tVV2YG/lu1ro/5zVEoUyRyJNWo2zy83lNIUVaM4kuvoczozoWSh+l1gI899fxKsY
nraAPUNRwStRBlnGcTUW14GBielZK+3z0IY/EtVw3/VGJVZ2y42BCH0saodAptk385+/ieD9Blmc
QLTtOUcYe0vSAkeTlsA+Lqu1MP56g1ATBYPFFqHET/3vcqheA7VA/DicM4SHPe6EaQe10nmyx8TG
QBsM/P1veF3upt77dsBF0iv1HNBSOwznyRg0LGK5zt0RKr4eC8QveA0PGoDVL6bJs1yEEjNzw8xX
gtkb39dEA4SEDDyFi+7R5aQNO5B15bjD2dWzv7lrxs/ZOGlEAaqzEn5cwzCZLlntHDOzZygvXA5l
VTIucaUczoPQ8oOSWt0TPo3prjL68QmQhDM7tMoPWe5Xx4AfjaEZHQelNNd+ya05v4psU3AiDVn+
kGGUSOSWTU92blS4ypbmzmrCfBu74ZpW2ZV2J6V2HlRk2DiU8/QX3xcpGNA7STWca1M/xEnwX+84
0feyLDE49w86JnqxHhzGoXwABfEEsPpTwzbcFLauPNvVqMImtlbi+RvTZwEAO9JIpAiyzCuiVo+c
qZ2X3BqSAwKS/YvEnPSxEhSW/v2emMWsyItdwFrUgS/X3C0xmjKogZwrswGdFkvnIz5uCEjqCEjd
P07XvWkKRxY9RIwxIKaBc7kcywIHpYQ4KJ57ULzkf6qdqXuD2CvbdC7+gGAoZaF47pAS8qazsuFn
VdGUd1E9oJMr+WRiM9lmfip5OPvN2Pr4XRBP4+oboMC9bfxU34ECtH5OEEVfkojH16uG/u8w5fEv
Xp12fEp7ZXqA/8vTbA9g054xBc3+uVjGRPl1c3b4Kjs6L/CbO9EY8B8NRms8m3quQxcppk1IWesD
zYVyJf26tVfoy/4f1Ioq5uLMKl3bKWOsjGd37MZtNiv/hWkK438Mx+399bt1HfJiCZSfKZjOl/Dl
tNCCy8VkMZbZRLaXN7jzGAr+VHiT+TtdCZ9hyCjbGGb9kfV4h+NzvnJFzSNchghAWCh5ozlAoglg
afELXMUcCL7Hc50A+0f7SyVGC9A7VSb+E8X471ieZvirTenag3rj8ZlfazrhsP4gky0eH7pcuDu2
yXQ2yWuw3qIHWFl9SXZkMPCg/fu5pNEK4xmCOtjfpaRwaSVVZ9ujenZh99iRKD/rKRbsQw8VfWVZ
54Dj8qNC3Zq5TkRfpJ/6IiBp07rGvjgxzxNois++S09fug5Hpyyhdm06hHwfcgUcwiazEuRc3Mkd
cFwtYjA9ZW1/uf9zrhOcGRVPCZj1pS64pDsaZdAhIGp35zjPYsjFleu5vfhnrMbsVgfojFrXXLpZ
buVMuLjliZIaqhHG+76rmLMw5IPWOOUu7rBD/edZORRHcEWDX04JcnFMqcfPNqGVcVYR9cHMjyJY
lbvN/v4o13t0rtqB9XJ5xueW9eXxaIu6omBeW+cMk9HHGDLMsQ308EAeMRzHTlX/Fd3ENTfXsQHF
zyu11Nj26zKZRmO0znRWNC8lrt21ai+9LkjcY1OOa2DM6+MP+Qd4E80a1C/59+X80ixAE0IL7bPm
DjBGYaXDh2mUB5wcsUieqtqbMNU9TEr4+/6HfV2fyzPCc/wKVERy1uASvBzZChtkRCq+LE5Z/V/D
IKj+f8ydx27lWJauX6WRc2bTG6CrBzTHyZuQImJCKBzNpt/0T98fI7O6UkeFUOcdXSCRgEKGPDR7
r/Wv3yRKQSbZoHzgEsv7hkl5mEkX1r1aIMppcjtkzGtGmCQs11pqFYGXG18kFSJGf2l15+JnvIt7
x/Qzx6oO75zv27eI3YcmihXrp8z2bKGUgqiveTCcu7ZQqshGLhQ4g8w/xTW2beqEe6QXT1lIu7Vc
1rJq6I6TLNL6RgmlYzd+igo/EBMsnV+f2NvzgkUBq2FDLpjwnNMp4pHLYSVzch/rkOGppfUgx7Dy
vW1imwy+vl1I0FmRMGHhGGS+vL5d8LMmK2eYfa+ATN55BGPSic8DJAqt6aeXeo7NO6cFPghW5iru
Lk+wFQqyTNNqrP+6Sfg0MvVNwXaHEivN3C9EUg36ySU06VDlibdP8xwumRsjzia4NksmkC/ZruFi
ef3d0lqki9kVjbavWnlnkhVnlU/YjK8Xtl11Jb58qYcaAiK6v80e18hJc3HIPW8sPzkkNmB1MbSt
8AvHLiJAm/rZG9Dyj10q7tmey28Oie79AUeq6kPbmV4eVU2m38erQ86uZ5QvaksKOJYd8VyGNh/m
O3wDleReo14/6YYgvkv2C14TxtR1p7kZujiatFY7QvvIv2WNlqvsbIVIArc0uxYLO7u5kEOX/2ip
SXE415P1ua11+yZvh3JLTRfGdUlKe7N3HDJw8ASfx8QfsN1jrBM3abEvpmoMirSwea5agFZ4UzNJ
10VjXSpJnMLUasxpgLFoC+2d5+ENQA6qQIHP0wBpCgDNeP04YKw5tE7RZ/d5jx29Z096aJRO/1Ga
CpYuxtifOkcxorpl3LXiJ/dOjfZ22eLwP3E7JlwMNs9Kh2wlocaMCQaqhPGxnFPEK6mwA2ci+F4a
znDL4GT1pxF/01+/bdsffvUaYLRKkQSrnB4GJ+azz21nZNYMkAjuGet0V3PtjGGX2topBxbbWXGe
XFH0K++84m8utkVlzu7NmwdDgY719cVWCl5LXif9vuzS5NF2uboZqWNR0hXqzqpFvGsII/Mr0dTf
UOq27+xJP8uVsw8NNwKnWciR+CWcIx99p2sTZ2Der6kNGW0eXEuJct2abmZ30a61PAXsjWu1MXzb
TAYo2aP1yZAm5sFu3Y646He1vBjpiabdWFXmdedNODlV5apOYUN5hNMkQQqgil5c7aY8kRBqserx
cdsbkghGppmHZm16R0E/QzG6YrkfalrVYE8GJF4FeQfnHt5xi19h4vRsW7++7W/KAC496x//IyoM
z5zzYqPPu6mjuLn3gGkha3kl6Ihcd003VRFBIFn46+O9eb43AO0njMZ0Fc7Gdj5/aXcSzLcJisyN
e2l34oqMI6BYK3aLD61aP4pO1T+19WR9IgxRviNdeLOdbEfGcXAbU7Mtn8+eOkORUlcW437qZmLM
DYU43RTx968/31tghMNAO8Sll4sJ8H52QUuvnCe9aY37bEnqU+YVZGZaZX4oBcBT3q8J1n96fq1x
cz9bi/jo9mZ2xKr6PY+3N83edh40iXTQVEDMZ19f6KIxhzxLBuMeRcXyqE5VffAaZnxpryRPv/7M
/+7K/vVQZ6UWBV1pmiyX96ULNjk3ShlQFr3Hdny7VtCeU4AD5mGgC7Xk9QfKHE3FbGmw79PF0HZC
zcojzHGDiM6lOgxNo50S3SBqSx3Wq0Vo2jvr49uOFlITUDf0AzjzXM+zOiEzJ/Z6OzbvG3N2o9wt
91maF77ZtxcQWT+NlXot1/FYm93N6GTvHf1N48XRQUJAX2C6MFU/u8bj5ChqX6XW/brO69UgNOMO
V930ahT9GmJDMV2IoqmuhaGWn7ui+FDV2WZk2+XvVYvbPvB6ydyK200vxm0A89++/5cXWHqDszpd
qdyrHd2DrzkTg2z8Wfqbju/d2iUpsX5bzY0RuLjc/ZiS4dCzyKIoneQSrD3h3GG7evmXXz+Eb148
c8MjEXmxmehwz87vjxQJDGzoYXf6sCT7WbUu3WQxDo5ZGzXROeVywspX3loC6kyblwoohKheZGJk
770O568eAilkdbT+YHKUluckMc3pstQGbL6rGr1NQ7kojYj0lMrdE62oAsQmjCosrFDWS69RUsT8
ZYuHW2J6/UeX343DGX/2BQbboBnharjFNv+azCzqVsyZfNWUNssmcCXOotVaXcZOMTl+Vwvl0BWm
9bWFiX/JYGHq0IRm8pPLNjr46Eiayce0fPxiDqv57KlNdtnWKqMFg27JC+oK5V9QdhtilidifnKN
pYfSm5cXBAha+Gvlle5TsjV62NG/KLiYNOsMtltUOegK015fm8vsvXiqNz4rWxdFobD5VfLsgW6/
fujUpK+0qWnFQ2KKTj/OK5Qbv08TTB6z0ZW6z3ovvo9CLx6JDZLgdavoH/R+MA4U3cWXTMtNCMlA
xICFuZekAYa8YBca6Ts/3nkOt3Xgry8I50rQCEQCtO7Qlc77iWK1alnmnCsCXTwthVv0wTi22r40
1GFv6ml9TLW63Ot5Jx6WzbsS7sUYapMQAajne6Yq2vkLS5YLQxeYJ5ssg/3vrMbCaTdbulbRHxTC
RDBNPwBJR5r9OXXBMaS92+xcavul1PJra+XK1ePBnMXfrKo5CXQIRK5ilIPg4vwG4rRiDVasqw9F
PdgBUkzuwLrY+5Fy+1RKtfWbJp0+T3hEY+L5Ts3xhqhEVQvq+VNfxq7MCvr68emH3oodu3QeVv02
K66kdlMzlHWNIcSqMtyC1UzcefP83u49ktw+Lgi+DLMJEuuqdI5t50Zmpfme/pxX+V4tu+idR+a8
Bf15fhAmWd+38zuPRJvdaVaEVjgP0GP3ZeQex8j15yj17359oPMtdDsORhWML3g6QfHOroM5NTP5
QVwH4esBrijB6CNC8d+r8d4sxefHOSvyMiNuxsnm86iB5ssgDTGEDKPchxryx3P1n6/CTuV//xdf
f60bDFcSgvxef/nfV9lXquz6R/9f26/974+d/dRN87166Lvv3/url+b8J1/9In//z+OHL/3Lqy+i
qs/65W743i333yWb2s+DJN/r7Sf/r9/8j+8//8rj0nz/x29f66Hqt7+WZHX125/fOn77x29bwfaf
f/3zf37v+qXk1/zvXTl8ezn/he8vsv/Hb4pt/k6Jsqk4efEBEnVu9PT9n9/iBaA+BfPBU4Ra6rf/
qOquT//xm6H/zoqFHpyikYk6zsm//QcOUH9+i7V3y+xDB8CsmNS0f57a7R9r3x83hSvx59evAmpf
95pIYyALagw9oKOzQKK+ev0+ggIo0OH6bjdr4phaYt/Ae5sICDWr1NencLbu2QWwgViuE1ccShKo
OSm/xyaMqd5V7oh9rZg4Nj9Bqgw02QbV7AWp8IKyl4dYuqGrKKcmKULP+Gb2nz2yQOd2OLhp8tyI
7sMwVLu4tXdJmh+0TiULDY4UdofNGvZ2hjeC4ic5qdd9+pyYMsQ3CL8FYt/y0od04iu2sc9n41Ic
c8M7dDbGGa49BURNJb5VJpmvV/kjYSEfY2+ks4ThnymR8PoL29obwvB7QJAtmUKb3guD2V6sf+09
by/sWXFGgztuRU6369v61CzwSOxb+oBobP9eDurbI51V403biHRuuIWefgtVbtTeo7C+/ShsVsC2
Gu2DzQN5doAWUanUcwoYN7kitAlrpYdV7IQWB7bpC/Ux0evAo5xxW3HdpBdGjaG9DqUov+ldGZBl
EhkNJkxFepKKRWji82DIUNWeZh6ctI59ibI24fdzVv/tbwFBX3qb/Qd8fce42/g4Q53TsVV+jMXJ
0kDwQE41mEnUkVuxKuJQYQFlVOB/1gk/7eAv7/O/eUl+SkBf30suAJwA3hGcTUHqX78kGyMkbqax
23X2FiOc7eeveYKQaHge2KKFVgV9Sd0z8xljpi20tDo2IJzer8/j396Hv5zG9i7/pd4vmf3bS8J9
yL0Yzyc4kIZH1Q+zx3pPJrltP7/6xGeVCoTU0UuTmWXBWEMcl/wYohhD93c+0c/W9+1xYIWAeNNN
nWtFvLRDAyG4slJ/TBvrmKuxX0y5T2w2vi7PnXdpbxZW5qlTh/tVua4Jz5brM3OgAN84v2pUv46j
OP6C0dffqpO212q76f86tbM2j/SGeZT5QNnuEKk4k8OeSl8Mql+1WMHIdj/aSqSMyf3/y03+12HP
FmRPQX3Elt3tmCWiRa39GvGAbMZdEb8HOG3v7a8u/tkSVVkZ5owDh9qYdJLYuaR8R4L33hHOVo50
6HDLAdXaTcvnznmU77kk/Ps3AqMlJCeMd8+t1BHYuE3usMgO2k2/fB0cno7EYkjy9dc35d++DgCg
eFYwO0Nu9PrNy5wedoPkOG2Rksm1b4YndX349TGgGPy7+7ElGlvaZqR8LlhkwgI7ueSJKzvBCjft
moWdLnOP+qqGvVDDyo19d13JZJp2mX0hLXiHSY7tkPE0JyVrqPNDt7IbPK18t2vwSFDmD2PPkM3O
OiZtGT/qZrhMxeNBKazLcv6Q04SYRbVLCT4luPwGK6iwHEQEvL9Xm29JP+3UofAHb73una9q+00x
+X2nOSmNetLS680xz61T3+qnwCwYXESK8U2aH7Q6WLtjb0k/h24MxnAElAkrh7e75a1RaHCzapes
8W4qAVvX5oiGNUhVJ4yzPuzWp1bRTmiRDwVxZ/20bxqCYmRxrVffoflq9Zesc35Y5vhkW+uDG8/3
vbPv9esJIetQOD/ywQtThTwBrYviXH1IRy4cEUI9F06mDtOCjiSD1M8GD06AGrmNE9rTbUcfqkyf
O2H5imnsMYPc15BAmpJ2MLnWWy/iEbkte3GNMP1StN8GSoj14Nz17VcsHQl8+/kRYKbsYkYDi3I/
1C+V/TVZPw/mcyc8NqcXKytJwyh8UrxCc/ZCMa3h2tD4TXmE3Ve0zPZukvnVCi91mPX9lH6Y2nbX
ivpke3u9hAA/tLRs+VUO1K339eX2uCjZtzYrd7OK1982QGvU0GXPhHPulzg2JbV1uaQ6xOx5Bzn3
AU58QeAzHvCJJi4R0F7hxmX7SjJdG+P00LTTYXDkfm4fYtKUPAg4ugybNosGfYKqbV+UtKwmsh/X
PqAn95nboeXlbs8dbasVMFaBltmFSLR4Nr7gyY3EnXWclOn228wPZXCFwNND9wtRU5HNIC7ztGPb
m0cnuah5ywieO+b5C0I9ijN1xzWvEurQnkHtHxUBE6lcIQsPP9lONIGeJX7ZGFFZwygavcdyvJEW
LZUdeosM4dpH/fBFT6MOvp+nX9fDblJvNyb92hJhLMkLKMcdgeYk3pQhw6WPeWKy+5k+fnz+Ksqw
HhIfz7Odno9+PHisx/qVl44h4aXMR4prqOsvQs0/Z+Z6U9n1db1O93JyL0tKWdX8qsXJiSErjGX8
cYavg0miadU9gX2HsfNhZGhYp7S59Zd++T4RU6M2YwB5/9A5WHn0S6B08gFFWUSQYVB4XZjeDuR0
yfybFtMhA56vmhZlnL7TBxROe3OyuQ7NXrOppL3selYUNDW1ry+BvS4hotCoSNfLphCHTu8vypYc
L725mpPqc8NfG3Q9cuubWgfGcvxcy3036W9qIbkOcPHz2rftcUdGZ7jkT4VF79CWB0LLeCCtnWg+
x0tzGw9GlNomXp5L2CVN0Pf5les+THodxaoVKKqzH+fYx2g2kgQzbMWkLgM7Ke660jpOTBWzxTiK
ZI6yrtoVthJYavxkmN3BZkzv8vSvCLurNCqXLDLb+dJbnJtCwcq1VlFdlI1PKJk/lvLoOSv0+PIA
Tz7oCiw8+YQk3zzYct6P+udxSqK8erAKfzMvaqZrWVe3WZkd06r87HbKXdYzbZXxpb5oAYqh/axc
KmQsk0rmy/VzrovQ4C5YLNf90kWjNQW8Y31T7zQOpDXNziynoxkXu06aByMejnPm8QqPpCN60Yh3
niCJ2lVvKTRDo2WoaDOtUnDbY1qBa9WaTJcGDBdIevtYEIvXJc/oPfeK6C9L/YdKcqRUb1NvuFhG
/OQQVizJpZUld44+XhvtZ8a+990wH7EjbVwZGosXKaLwF3zqAKh9tTqigfOZG+8Nlrspn6+VPH/q
YmZeWnrR2eON5pRXqxCHAd0FIv5IV4pjJh+6ZHwP1N620ldFCU3tZkG2icHxKT8XkirLKtNsqLsd
VgGnXKcLyFgMdEwVXM9X9WJXVrSEeh7Oi4m4TYRwMiPTTS/EqF7N1EqdO94q6ZOY/p5ei4Lw7MzO
ym9HuFVBQUYmOkHbRhffqPHi6/nqW/Kp4F56CCD7/u8F1L496lnpYQw5mIVsup0yi8Azn/ohB7l8
z5nB22q9N5cd3ioLM6NABHivK5zUkbi16YIP5zRYB9kHS6HaHvrbQe2iWnGwyPcibZputgIgT1EM
YRuCSvpibN2PCbeiQOWtA2PBHnIG0nyawIKav/Xo6YT8g+fKHMwPxHPQNPZ+Zy2hwV9t1W9kM/LW
2MfJfurv++yx1wxMBxNEPppvaNF4MGgJR1RScRcwgPfVWkSa+bGBu2hSnSQyGhq4fO60W1JrL+3l
ujP6W9NZd67xPRPJbarI2+2ds7XxiUD4j4oUobUmt4X0MF8pr+Kx2nnIABmxR6433UmcKCbkxU76
QNxH6c/dvCuX9UEqapiOwwFC8dMy2R+LPrkne/Gk6jhk61t8lge/OP8xtxRMgxsm8Dn7WoSypNBg
IzFyXuj0vQDvM1D5zwfkX3fufLrIEhjDZy62x/JaZU1MuwdT2W0wjru6lyPXeH0aToOs96y9sfdO
ZfwGP9J08K0NjIIet01bXj83snXh+pkcva73Mht2zTG9zkrrsq+GP/qxv4UvkmTPf+eQ4Suo8f8G
Qe6/1xt6J8//1P+H6CO9wF8aiQ3dfAU/HvuXYvkr+Pjz5/9AHzX3d4j4hE2BDPyBPv4TfLR/twme
AofHaxMAGl7w/2KPpvM75kQ6rnqM7nDr2SDwf2KP1u8/OadkQACEbJzIv4M9vn50gB03som55amQ
TqVDNXz96NRW2a49mmZaHHRquaO+2N6kIVXTjcOKr3SQWlr6DvNg81J7tdIxA0RgygyEGSVlLbrb
swVVN0tkXFoP7zju5fqhmdy8OpbK1gJ4ce4hqaPtty9rKpjmOs/d2rlZp1izfGGaVXuRV4rVnYxY
55k3xs41olg62hyM6pqt7PHTFtvp6N+0RNfiMBfwZ0hFTQlwzguIwZ/colaNQ+N1bXNSZVbWoWXk
TRU5LTEhQojYuGgEQT5+3ujNc5IMyzcFkkYbrFLNwkSoHrJJR44fYeOk445J5KoHupdO3S3s+ObB
znMRh+PUrDYGTzbAFF7ysXEsVs/8aJEGluwVF28wTm2eBgiF4NZGJD2Dz1Dlmab7rbDHPDBwMjdo
dhcBM3QWSEhDqJoZxcc42l0R9qgvmF10qEyOMPjn8l56WYzoD+LKvtRQFuUkvN3oSUIuFmN89VNZ
qjdKO6cyJFp+umoySd9JcWH7tjE5H4leldRQ6JHq2xgtA4EfSOfxaTSMLflgMobiUl1jFYd4O5/z
vUbP+mlCxvFMkxFHpGPbJrK3smHE6nY3auVOXwZp0pRYFmp1GsuVD1pPmdcEmLLr5ReV6eBE4Yj1
ANtXCrvSVXDRCnql1LWDKhT+vTNSL6SubSw/a1WBUhoELgli3XgYKcWsnYGxVxPEdtJHSWP20TpM
BbNXRXjtcJstyzg+yNLlmLFdtp9Uq04Du12WKjCkYQocFJ31lGd9TUspFfPk1mX2yKBcy2A3Sog/
i4zzr2rZt4yhspbSS2A6bO9no0fk2q6rqTb+Ulai26+jXqxpgDW8Ed8wzBynb67RzZpx8mAPkbRr
JqvanBZ1KOtdD75VBkOb5fK2VOvmk4oRs7wVism9H83WlLs+K7amCgZFXd9w6KXNd10cVzSbDpHx
t2zQhrhtjaEXeyyl5qYK9LlK833fGzxfmlWq8m5uOyWhtlzqapjCCbeH6VZthyr/UDY6SQAWjz1P
oS22n4YxIgdsjv/8R3fV0CTMm5NzmGITnu9jOHmOCDvh2tKArZtsaIg2xda4hplXJcPREowXP5uJ
QkDagr2a3DWOnSrPXZty1dZ05Gk2srX5NGajbURKO5UducoDn7oyJN9MmmZjC2AlCg1StvITck2z
CmM7q0PelNoKJ9fp5whmgwd/YDT5fWXoenVfO8xQPoxIHJZQbVBDBeZQF/kTededuJ1ssykf+4yx
ftSVGetGL5E2EdzlZTB6sbp+zPDqy44tisolbBfo71+xqcxBJuZBEuzjtNX3HgPxH0Wnefe9XjfW
p7Qi0iAfag1ioKadhNAoFJPVfTLAXbzdZEnzMWkzh1JOU6/apTikAEWtmvkzC2WQth2mWEiJ6PCc
fSadY6EPJuZgcd74mj3s1sT6YCxiPFgJ96qvRt9oNxPKcXBuvaQubltLVYKhdDOVMIRsvjAYCzAK
cocuErqSOXe2Xj1WRvmjrWPYKXU2AywVvXYc1rHy/ApNsr9kmFqzGhdB65nTAwaDc1hkev0N50EN
Bbxq3xV1eRBz1u2cxHoecw9iX5Wa4bBqT41bfy+50VdO27dhamoHZZ7kfmmb+OhUwxfiB26YALmR
3pPpQg7Bg5J7uT9JZwnBn8Wtt7VtJPaeOqLsWyCzKev3Ta/i2Z5mW17s5FyNMoZaM457GLd0kkS+
eVLDtGyoEbZXrKxM+poZF4Ls2svTJxdFEzgAnXqi95FTg9uJPGs+aolmBEI8VeZygaTDDlQtOQ0r
tgpq2p56hludLczj4rU7kmEvV1gEvmmyGRjDepEAgO1K8v9AVjzsTFqoAaTdXRh9wSo25PdsYVPY
1byziVme9IZ1NF+3pALDel6d5ZGcEZeJV0WYikS0H+tAdKZqHJOe7BGCQS5R239uVqXG0YXxS9tS
qOMcUfuaIEzb8zpiwAdjP2S2v3q0QPUQwvP6Bp39qGjFocJWCdV+uXwiBrEnDBFD9CqdVGzL1WrX
oAjT8+TR8PIdW//qd96So9vv+sWPcRM2sdzKUxEQ3Tjs1NFw71oV3RDQRosjvn1KROVdD7F1BzAy
IZbiYYoZwIyjc6fmKTn1MrvsPeswuhWhfBtcl8Ws3DMsysTM90mz5BEC0OW4LMUt1lhlqEk9QpFm
JCdPERY+DZKdCiJSdlQa70s+ynnyCQrKKygJtrr6KgskCNk63XnurPkai09kTcWd1q1KjskUzImu
l1sypbtUL1O/sjYpjVMqmFGMBbkDVlz4ORL6qLGLaT9qlXWYKjv/sCAVLDnVhIgQrZuyzDft5COx
6AmvxioHX9GGrAlTbBJOXTxj6tc72ovXlslnrOIbSBxOh/+RtjSXLB0L7K+mCuvCcj86bqWdzBVy
VcooUtuV6bKGQ5mLnika1wzf2TBxLHFINpUf1i4GjN+h1d1H2QxKzph1ShsUG6YSkVMFbMOGcZUm
uCXwqK84gjIi+TSnvXbo1NT53OCzFdU1iQGC8pF9Qozjzp4X+2bQvBfVaovITUBWfXxeABs0Lant
LxbjWO3S6/k1H98ItPQl1QLsFxf0Cs8RxtE9RJUEechNqyXzD6/N9NCrayxx60XJnq3NU0CQzWEH
LbyrJBw0C96RiFsdWCg27DHEARO0V1cL0lq4je6zmhf9dZklYEyVnqrurlKFekckzzyFilrxoQmN
V0JEvMp1CSOZmqvpyLwdK8OX0PlvSkWT+1ifnC+eOooDJGP15AqBzMpJjKiTfR8WzLSLwJ5pJfWZ
vGUfZWPL2mu3lBiedec0lsQecliN0JaKaK8Y/WVQ7UenRccgm53VifYBNdd60PnXGUyp1o4oGvSw
0aRg20+S8Stp5MvekLn2sW20zelnLQC4KnNOW78qhvSQ4MX1UQ72GIly6PVdMiqe9Ms2U5+cydu3
HtAtXsr9ITa78kg+1Zz7ncKaU+OyEVjJZF5peetA6SzrB3d2nrOiU0MpRw3kaJQHMUB2zOBqEo9s
70mC0PZWogtoaYaiPXYy1jFS6CrizSp0Gy2ZO0hajbusIJDUZAFFcaTnx8yoi11M5c5ySKppw354
4bRKt68Gw6PaKcZj3w2VT6qGfTdSbN8N3TCxU7X2BdZHP2Z1Lo5NsS3CrTvGg18MXR3lpVN7Pr5g
MBUY3Z1sOazXqZ4R16N4eaZGSVyWX1tXyjLCGK06ut5YXa+ztwOBiveO6CoRpOsgebWNXjj3PQ5R
aZDYebzXSI3aMHblC1Yu6Ue1kx0di9cUR4dRVXxwRvKNZ1LcfE8pC8Yhdn1BzgZ20s2UfmdPBd9w
e2YbzjR3J7CL7gRH20PaQdAAmD0y6rzCBJdNyNqnarNQ+KbdcFi1sdiPyjq4QSMz8r8MJ/eFzOZT
XAhll+tr/6HHNGcMRK4sh1yqOPvCodiV+mR88uh06u9mHdtqoPc2kOFor/2NkN701Kiaae6a0rY7
vzCVZvQXJ+4fXCCeK2wgNeqZYrynpcRIZ1Wcaa/GI12ai7+OL4uBxXoxV3SchSrnx0nVxpEX2k1/
2KXKI52Xi/45cTQrkIzRRaAunhG0Jrksu0EptCwYJ9XbNxVONL49u244tsxdWmNcvjST3uQ7j4AS
hMG2Pt/Yk+IaJ2imGVhwj7GFP+dJ7VzI1bor+hVEaRZe3e27sXNO+IaVj8TGmQExTfLEzGY+Vehl
8FIhEbVw8q9N22ttuPbaiCGzB1DOodo7JrGYdmDv5nsY4ER6Bv9AqCJRcCietN1qylgExsiiXist
CiQ9W/IlGMhdN2F51HFyAy2DidLU2G6w5PTp4JgAWIbZltleHxw9jHkyifmyXuRYL/eZ3ReoGqdc
WmjSwPHNvimuprhSjj0r9eWQDik5IdlTTM7ABau6duGWq3U9Zp3md6yae89t9d0Ive/KZBW/sabK
iXSXkCysvbIP1tRWgdOuaVQvOnxleuxQ5ob5layR5pnpvLwkeW28U2JV7Kva/ZAbBW5FiyEu4c1X
H7q5lbsVZ6WoB3bbKyZE9ljXu2THGtSEohpAvmApgLu7+nQlemZF6eKpdVRnGZX+ytM8OBOLUzvf
r+Ns761KpdDI6jZloMGAe7iw6CijdGnHEPY5PmMZW/5+1tvxqFaj0V+qaazsNrjj5FY2di28Msqh
Lad6h1/tDJGQw3PQjAqx8XB9C4yhtp5sBHyQZ2m8MSvpw8HqdTbxVW5tpSZ8DG3EXvRawmDOtndE
tuhXRVs5T0m8rD9wxXY6v1fV9aZUuxs6SOmRK006vVeMZqD+tDTGllUEc68M3kWcUysqdl+rF1ue
BhuOa3K3mizosm6977vcIrSP0h5tlSJubWieHvPGhKhXNOcsYAkW/AZDXS09DQVyq6BD8x7pbd4H
U1ww6KvXJSoHswHxzEyG6+jz+13V2piHbXZtPJD0mReTA1Pdb+gtL5W+co64+sY+rAKsl2teeTwj
zS8MIa2HZVrWUyGlDbg6yJhB3mAukbrkuu4ndBiZnwKqMyKpVRHOupE8G4loP1lF0vtVZxr3mjG0
kbUk8RE38uwEK8PggZRF+YgVPQnTdjWb8M0ZcvywWIoeVdX5XiYzu+6YUASnuhyNgDvvWb4EQ3jG
jQqduE5G/ddO7RmJ9GxwlAEFDSg6LBrUXjQX6aqLo+yycad0TJ/wcHKTqG3VJFCYdE9+Ivt6x5HT
QGRaGRIwz8iyG4xQsQb5zOZWYuzWGdfDOveHTmnrxVd5ZjZjqap48GBdX2F2lT2WhNBdm1hJ+GPT
r1x9rEu4LacY1vCuNRCRkwYktik7azwbhSryb4UsJBZKQ2Z8XQZDvBSlUnJjF+cLpMb51FhNs8+r
qj6qnZdZEUm0OfRMIZAlZmUy3fVd7GCrlTrlfBxGzXpYnUkfD43eV8/9yE0Pataxy0moJEnRThMF
xQJoX+Cwgm3UWvQeYXgiE3tY75ijLgQl3eU6PRGJF7r9udCSYggAbUpC9dZGJrm/5D0G6LpYtV3R
S+fLBKLeXgprWp3AxbHcOKYyrV6KamlfVKVcP8yoO4QPi9XreI2oS7l66f8wd6a7bWtJtH6VfoDL
Bufhr0bLskQ7ie3Ef4iMnOeZT38/KgcdixJEpBu4uI3unEaS4+Ieq3bVqrWE4tCqSe8umzCM1X0Y
kpCOA9N79fSM4AcfKg4UFLXwF8FZyUY1PBkaAB81XrDibr2C2aWw4fKRvpCeEt1FhSjU3gDG+prH
xif8t4jnaMv0R1vD1r7MEivX2Fl9+TVULfm+pWKHiuEpwaVFDf8/FrPkO34Biv1WEIwn2DuabMVt
WTz7YR2QwvKUsWmenMvd4OVDsaz8rLlHKjCHcVJsP/mVYKxJaRfEjwh5vdaZGd0HkRRLdEhq7lfK
fGQWNMGReCk5jUCyoWszWNJqxUxeGyR0tI1HcbZbCpVBaiDsvc5dS0ZZQiNUKZG36mAA81Y5lzp5
Ck8ljVXFkv/WqREOpqhTUhGelZCMMmNP7pZyoUnZPWRt1FjS1iu+828T9GsNoYZE68mXyhOcfVJm
DjgQIQjpeODtxg/JNFzUSnBzETRRZqhE9n0ZrdUyVp9NqRzQRc35a5xJhc2L7jNnSIlBWv7+/eCU
eNLG5Insx8rONN17103cfmEFukw9EH6rmBJqW+CtF7oT1yLyyiQehruolDuakskNZqkduwGTIUvB
AKOYRydvvI8sumqQNOlb8k6KgfjvxohpoaD4Hrvloz5Y5Gd6q8u+0ODMXGWgZ7tlazr8KgWxHO9H
OqX0WZFBKpo8f5XouUAbBraSKjOru8qr8UJCAOUi8NM2V8JDSfNl/i1OaJRfxw4p1n9yOSSwmCS5
CsgF1XHhRw9eIPjw5OUGajpWrLTBndgKYrfUtTqAdMfJsy8CvI3BEiJipu93ckfJiJf3AtpkJWgO
kTXQMwCsG13p+DtW2uZAfMDi69teG3JyXm1hMVF1WDCkqlT4+RXrROo1y5LUFiiVygsybVIMWVke
l19gOeR33MwZ0mdRrqPuievSDbYl7VrhQYAxSt96PNfDQ9x3aqAtezOoQ5rdSJE+NHVYvxL4l9VL
ondO8SyV4pBt2tRIR4fmOtW2hgs3p5ia8dPicuBDizbVoiMIKb4K6Fyt78gDCgB+Y+AJuPQyOQYF
xa5Vwzd0e5hbU4vElkLejnYgB4pLIUvQ39Np1V126LXLC1muIahts8Ld+jV8IJTHYyrrPQVCOgNf
/I7GlkVt0rKn0WeWGEP8SXXAsy/+jygjFNOR5V+klaMZi0TsHZA6pDMzW20TKd2Zaal9eVdZefxd
Dj1DS5+XDkDrjwwNY2uTRdVLVydwtqB1UUTyFXatrOR20im+RD6l0bsFCP/CR76kjqvlbZsncOmf
yizdbSPHhwwJBfQJlGWm9DsE05RhCZ4WOky2X0jfNeISkkj5J/z89UquB+1e7csc4qNGSFDhqxNB
2NDXyN3ZhvlTBMAqW1qNqNFNS1Eu6cR40yu59pZDwtCuNK/laZwPGc6+r5Qk4eFSmc+qLjQfjRzh
Qov+8vsqFaRiZekBTfC3x3de7z8Nb8TVAnOnvkzr8WROB0HOJNxHv+AN7LO302LnemG+KhWteyxa
tT0oRgsQIXXzT7ctn4MHR8uSAk2LAimZOHIaTFC9OUet8WHlWjSBTGAZRvqOtLH309MyHhAWJahg
Zi0ntdrRJEHr2Pg6VuQkcaorVyR+WTcxaaQClfvjoDYJaSco7jtYarJF7ljAhcLcsAWtye4Ts0B+
Fq5/dynWZilshCptpQUEqXI982Hn+Mbxu8AbmvyTiiAVN2MyFUleyGGOQ18AauoezTjuHgOvIFws
xIDY4Pa8jyt6vqHpr6H/FwJvqm8XcHLq1XqKBnq9oMOZx5UXZUoNe5Sr7m7bmQ4KfiwKbcbYakXj
H9N+Xl/smwFSKQVSLEssSbeL5IqidZFSwl+SysA33DY33ciYk9lHskKJlEKANYGHJL3kJ9xH6SI7
OR6/8yk+9D1JoK3phFz6UdmPSSgcA5nlgRhrdfsD6E+azCzFTnFsTVVpHwevP9VA91vZ70IKQwvi
+7x+9cpooIdeVSudEqTg2sQc6LsKpZtRLvDK8IszRKDlNYhYSOgZhUhyUHTJmNAIPRxLdwTnOwl6
6utKDoG+K2bgw9pVQdAMNg1prEVYcX+M/HI+b4xBHu46BR4yHsRen5IATuj26MVUFu+QFQUrptXw
DMMfQrp+A38pjpZCwhiDwiWc2jK56YKSgFrQYyB05Rtdo7D8JgSy8pFKhJ6thEjvexorK7F6jNqO
RbTKTkqfeVvgUCndUB7Mgw6nWzUiP5hmbma+rJ1kxEb6o+ttHX5NGwEYSZg62j6nZfvJtXp+Nwea
qy2KFnKHhcqNJ21b+KrxxIFHNCA3MR9PA4+/rZSKpeRec7+6WZc5SEhI5n1clCSC1cqoHwIztH6J
ioerZI59YgCHMsN9XemO85pYTkRk4nney1BUw5MBcyvOVFb5BC1yKEvJ5N+jB7/IcOiQKhGEVKbQ
DXfIkvb1Ty1SiaJTy6uFj12gONUOVVbcfVlrFskJyHMlmD1M4KCpYvJzFJ9M0loecjSGVIuQaolU
DVFUCMN+uSFP42+FLmAuHao5A007EEHuqrjDQcf0gVHQO8UjWh5a/n2XqkK38ZWKVGqZdJ2IhnUr
xvsORQN9Ufk56eva6rN83Zx+Qu2rGKlZ8WCVlm1uwDOJCNYdxb3TJBgM2qAOXrBpUj52IMYPlm2M
HOpj1VnZl3IIKoo3WeeQaW6tjQ+Z0qusjHLggUidA5ak/OhUVRKvnSxENcwRzK9O2B1gCqW2oCcB
RD66ygMyKoNeuP8dpXVt0NBpEjSAyPImXqlkNn9JaSg/9W4oqVA3G6q2cmJoIO55NiVzbm8CfqBn
m6uCEMri2tVov5LPLydLD8NMkcYW3tInpncpKj4xRu4puE0FmvVy7xiYNUtw+5KYXr4gCFXcLHqJ
I22rPI0m5Jb3oWO2FLyBPtF2I5BaXqW8bh9v2xkv1/eXPNACEloSnEEmbABALs7HR15VbaoA3m0V
mNeLZ0nxzxM75J0XWFpMW5bBwzUaoBTbO+g0f644FL9uf8LFFFtwdo09yjCA49ROzvhduwzAKFlI
YpCUYmt2jylk1D6pJuNJkiVQEYrW/4jdnjm4bXUaVTBi4DEmv6IYAUXAZODU4DwaqMkAJaoZ7BWJ
9w231ljvjpLiS+P6zRwX5oWfY5wAKOjmBbYDPmGCo2k5u10cUgcePN+yaR9ps5XbKT+tvuAquT26
6fYZWQZGVCY9fhINYdOYKQG1YlVdkC9ci6fIgld9KDylVTYk324burZ4cCsgcYRs2cg1cb5/POQ2
1AIQH9JkafhN0xw/X6hexG9YTZotjMLsfvxGdNy2y8mf7FzoJFTwUJoJcQFzOqX9wekleulILbFP
FdmiWJb3vSoWKfpoEfzWsprqP3wj7H4BUJV+aEIFd6McmOXX0lP8ai2Yff5DToNChgFZ1PYhFcT+
REDzZMSN8pwlRvxgASyXFj5YixeLYvTX2JfRqUkd04TZnewerrbpSWTSoAOE3W2ar7A4jpgd3+ru
YZDT0pWMzOtXRWvouBQCIQ8euJ0pMeV6+g2lSiHfDpLc7QBnJOZjJ4E6p5ZYuP7nFBqqqlp6am5a
UOkIRqxsjdP7uiYwEJYZhbSYwk5sODtaF3E3llxxDZWOOWT3iOapBuW0pBHuQNxwa3vQjdSLohb8
lFL1mD+wiozfT07JJUHhXXGgoX0wH9Wm5ye4UeYnRxq9nQ+h4UqUcYe2EuP7WncCc12aVQZ8qI5j
3rxyGfMzEy+VcZzW8OiWCsh19gtolSHDUkR98ZA3RWxu/EHlIkvaQLBL8AEfu1MiyHML9ASp2f6g
eXDMsPmWaJdaXDEQcDrknHuCBCswu60WRmq+VBKAPVLS/IoiRQN4HzYujr83xXJZwjMpPpRaQMZa
C9VqlRVZrd6lWdKT4RQ059X3EhQb+ri27rrBVT6Xmd++aPANE4cIukbTTKpo+6RwVRcgaGD6SNaY
5bYIxpupAo53R7l6lOtMHVxgH6iVujSRxir2ZTiATstabf/bJ9BDzxSLlCjDh99JoUCFT/0Ljfvj
UlkmMUHm+sRjv/8+lSDT3Ys+HM0PYNlN9cEgZfm501JlZZh6l91V/WDpqzAqhS8C9ZlPCOFAUyGo
ojO8gYsJ94kkpDEZUAFh+Yowd6v1MLK3vdVWm8jqnBg8e107B2gpRpw73b/g1esijg8+ZCNQiEGw
JK00ED7CEtwhm/k3/mUoej45SSo32wKsJmMd9bhO0t+ZB6E6ZySmAjcublD4CtB9HQbGfdp33fZ0
8v+f4Uv/P4SOmjcb1zc/f/wsvlY/f/zrY8U/yn+lv/51Qs8mP0v/63tI6fhz/kGU6sq/RVChPHHY
7TTD4ox+t7Pzkvo3kYUBmfjYIUun+38QpZL4b5gOFLywjiIZuX/+6B9EqcSfEIlYuDD4YnRID/97
RCnSlqMstSqqQJegKT712r9vkPWVII2tLAkPACuXkgkijxQi4JNFFJMqsz7ddhXnjuIfa3Ti6zBo
AiadMpYNfi8JfdCEB9Qs76grrFVxhlr/wgIYXJ6MBqzEEJrTJHvuBLsmz7M6idWDAuxxxLzEdLaj
tHB7HOeulnHAAQY9+6gqSMhGPuTcynjmGg1qlEOmRQiO1Jq6zqE82LZQ+a/zASEPM5fUGWZV6RyG
e7KqY9oyaN4cCUkmcVLlo+xMS0d5KI1aeJCc5FcGIfyKGpG5K5KxY0hS3Z2Ge1nhNvoCvWsThGqj
/4MrP6OteJ/UOwF+/4Sq/3wJ249cEDTXojWZZQtIokAivjhUiW9uUpgEF45SSJ8F/NMdoDWXOp+s
blSKEKuBWiBtsoa3bc0mpX2hkXZdF4brHm3cvcG9TPVMVtZUSbI7t2s+p4marmr4lkgg1+ZWirWG
KFRXm70uFc4HR/DoIVK9tAIfYeoPopPqT7eXd0qCOq4vXfsasTCqtzJ8a+frG5m8etxkKA+5Z4FZ
1trXlHzsghNMVweKOxuwKcpTnfbmInYM76ixI0gC546NVoa2kigarA2Iy5zaTD8Xudoj+x5WoBJ1
yiZpU+1uf+95AD0uxxivoxNr0IYCO8pkOeKEJ27MDXMgRtO3rVEbcFMAFSiU1lprBdja2/YuDxkp
IqQruJromdemATvioEk4wH59ID0AEa0PJLda3TYx1TViTOc2JkdMqfS2zzTFP5Tr+DjQsL8pl9HK
XaPms4LcdMmL/6G4T1cQHcyM7nI2DVQ5uFehF+W/xjj6d4+gTBR0txs0/+BXG2PwHvzEWBCS7HsY
+m8PUuEWf/fkGxcOUyRSuc4hFLxIVMuVFxZhL/uHaqNvIe38ZNnJg37Pfpc+Bw/ElNvkobPlrbHJ
NuWz+9M6WE/H7JjuZHq36Q5aar9aWivtOQ6cccOcn+/z75psqDBXEz8PB/+gtPteIkuU6GuhqLZO
O2wC31gg9E1H00yjwcWugrVF12hJH4nANdjqzuddHdCqcmq/O1R58ksNkbdxaJO+PeMXa3uyYYyc
yrxTeG+e25DqMhMTJeoOej7qdtEeVXP9qI9d+PO2ocvLemJpXPp3uygIULsB9I9M+GJYpffaXbD6
ri2LZWlnM87oYrGwNIqBkxOBZMw4SQK+s8SDXIx0NPoOwRiNO+2mzful1H9thle/bNZRAHjQmOEe
PU+bsnFPNjXqw7pCz+FUvFmNAMw3SdYdLCQNaOakv8JcG97BtD6WkbTU8hm3PmdvXNd3YxyESrEa
CXue46CbmB6agV546ZdeOTvXyg5yOGPw2mYkMOPJTmg0/uPcoCg3RsfDsDtI8PvuEFWUl0ZEwuD2
LrlYOkvn4kbVHgFsmsWnCXAXPrEIwHl+NBpoC2jzyH1zZQloAiE15dZwEqfeDsDozI65mM2TWSI/
Yj6YSIzJ3oTvTqFPOs+PApJ+ohBuKvhZB6NcIxb3ZiHg5FZzSbQrIwXkJipcqQqcJVNeudwQJNUZ
R5on0jqNnR0M/ZtSMzaDWNAaEj/V8LiX1u72/F4cd1JqUMOOxKmUajB+voqxX1gVWLIesCX6xCB0
nGJrICpK99D325amJH+cPwS6KccRfsJIe+ETzTSCYF8ZlIN6EGz1vj2G97q2lD85OCtvKW2zdbJW
jUUt0iY0s5zTaPS36dGoRD4Lov/zUXYpemwWoi7wHwBsJg7UAohufHUBSoE0g/jfmMP5oyQDIQc3
zrk5cAc+UoOCcnABsAbtoylrwLL6va/Qv5DzSvoPMdjjb5/zPtScnsPT2N4Zm6yg7tMl4GcnY3tT
eJOcD3/781XCu/E/HHL1IvcoG1ml+KIuHPLWqdd1OuiLvhf+UuaHzaGqY8DO/1BdhrzsfMpUqZB8
CmjuMcmtBthZ+QaYO7oLaOPY/PV4sEIAzuORe8WYOFEoKUTA14N/rMoA3LmaAAr1lDmh7Om54tbX
ZfDocP6ND9Ap7Yor9SCOhT6xPUHRt5FnKp+GJpO+QQ4NPFqMZjhxpvcV5si+jx2W7G6KhpOITC2a
wBtgcLCDzlpJcK60sYKmpbTqS/ljm0m0mcwc5ysD5Jl6Wi7e5URo5wuW5d6Q03dQ2gpitAvKNTuN
TrBF7Br7vDFm9uB5Npr6GsMjzkSRW6ESicDEubEyTRMXRElpjwqrqtL2MMAY97GlzbGS8XPeR3XY
IeKhak/Yjq7ilJPLCbMk8pWytOso3fv1PgY8/Je7b2JhcjWAmaNF0sFCbpjLQbRNsOC3LVyZK3jt
OU7sulECZHKSsrSBoMGtStsgeEO/Ui53Ao0et41MQAenFXlvRZmcohhkl2OFWFGfM9uAzOQVqWOB
Jpkn/zv4t+hn66ygirlt9eIaHyfvz9CmsanRRX0apxiFpKRC8weMpLJC2kCb8xdXjhNnl3oECAZ+
mXrFEgRSiZ5Daaddxps0faR8BpVc6CHXUqwFgN1Q9P+4PbhxXaZ7D1wY0mn4Y8hcJ0fYcyXQv9ZQ
oKy6hP3WOCrBXUnvE8oJ3rKsZ27Biwf8uNVNqjswRPJE1dRJhKMPTh9amlawgNpd9uhSA9koe+Qo
D+522IY7GjzvhzfhR2susp/p6+2xjmOZjvW98cnlQU9IWwwNxsVYXirpY2jMMSVeW0ETYZ/xFsbn
X+SfnLRtGvCVNv5kBTUzfSrqSnE1WqDV4ej0yVua+DOX8JVDoY1XFOTwiqWOtbrza4qEnik3itDa
nSStYO941C35oZTKlQQCrpFbUofqpgjfOhHkHoiIFhILJ9ndntvL86+hhkVWhr4O5LGmCtBCkTQ9
uLHBRmZgaRTOqup2mjWzWa8NFY8DBAagk6qSFj0fKpy5QFFkq7fJs4MNt+jjUBbyd/Nzd2wX+bfm
pXiGUuX2yC5dDiN7Z3Oya0rkpROndRlZgjxtsonjGLqjkanw8bahU6H8fH9q4IhIrxCpsnmm+LF8
8MloZhLYfC6aZqHnC9hZ5B/GWxMh/rAqH5TnwVjfNnp5Js5tjuv67gHnAB2lEb8fbE+R6IF7zao5
kubTO/fWsMYJfmdCofPZG2EetkKqSNnnh24hrJsl78W9sBNW/q5b+NseCvF0gWbBNv7lba1PZrL6
3wY6cYFlCVhJkbvBtjz/Xu7uDD2beZqeAuyLgY4pEqQoiFinsrWDTJ1J6crB7u8RQ9a36Yv3oyl2
XgqF3aLdRh/Nj0dpLTyJ32nqEp6Ep+BYvISf8pW11hcIwM6EFRepDkoXJFQgqdZkqmHQ4ZxP/EAW
1shpRrfDF7IOpObQzIbP5aMiLIwvc0+6q2fzvbXJModZLFcGPXd2+Kv5oSk7Ld/SnFdS9oQRPAQb
uOjvUn/jzDxEpvKZRGnno5wsrOKZaq202I1/+R/Ap2/UVbjTH2F3+Og/ePshX4ivc5CQy3t+tAn4
AZwcCbFpYlcka967AjbFX6rxQE95vIuUjzhrZe5OuAw+eDVwtbOIdAxSxz5fwzrXUryW3tvd52rj
fzU+Dd8pGX4IaTXai899ASUPNGB0by/Nz/Xd3x8Z6kFwKlPXUBV1sqL0AdDQ3zu9Pcj6ohOWMrTI
ty1ciQfG4f0xMVk8QwW8LwJvscV7bdWsuk3/K3tIHuRteZ/sgp26De9yda0cE9oqs8UcVvTa5ffe
+rjM726mvvXA2xfeYEdDRHtRJ2zyGi6+22O8asTiZBAck/XQJkM0I9OUkqIeoJviOLThssxfb1u4
5nuBBf3HwmQYQtzkQhZx75TFy+CH+6g36CMTZ3bDFT9Ipgj4NtENWcYpx43v10MFemSwa+to9Zu6
fS2SNW1tt8dyZb8D60L4m4qIqVHCO1+SwcyDNAD/fnRd9di7mzp4TrzqqUfTQlBnfN9l7DtGS+j5
USsEYjp9d5kDSvGBlWhHObCWUuM9dxY9yXsLynCPFqeiSlZDM5dyuHJPwk4+qp2wYqMy3GS10CSk
bS6v62NeS3fZMECRYGwcU/hVC7veqNZxhRx3kmya4lsjm6D5ZF46zeb2NF8uJiU0QHOAyUSdt/vE
NeieArFMKHZH36GCIvdotiliDqNl+ak0hbmyxWVkY4yk7GSmTNRL8I+TEDXzwhIBSNm1HZ6ii65S
4WFzd1VEl3LkbD3yVb0TvNEIsTPdD01RrzPLndlYF4eEygnAaXjhcYeosU1CR9ShKIeihXL0c5Mz
qGZUTrTc3aghRBe3J/eqKUsZBRFk8rjaZIWVhM5wn2D96GiDto6ioF2IYI6AQ5Xh325hXtpklECV
UVSHW39yXKIO4a/aFXu7haFBpBLUeT/97nnQggek15eFZHvVTInh4tSMJsd3Pss5Vsgm9xm0d3IB
kKC3yxweEeRnOkta+arySAZl2csgeMthO7T1TPw2TtpZcDVm/dGrlMbMFvikyfqlfmZEndUigyTn
kM8JTbO3ImdYd54nI7IhHv1Ol3aN3qczR+XK5sUyGQCJI0vteQqOoOKVu2aUl1hGIcA37jTkmgWJ
Z7mred8o7KzdQNw0UEho8rZxTGkxEkHd3lJXRs+c4j7Q/eVlKU7XuSy63jPywg4HQWwAgagQG5dQ
MVFPLn/oY+sx7WHSYyMVc1mJqc4JiNdRxo3jy7XF026KX6TdUKxDOAjoyxNGTJwuIAluhJatGWly
kGq53xuWN+z7oo+XGeJQtLeiD884SFoYFs1tvffaCwGaQ0WvoINApzGA02Hjp4ELmQBsnmFB45GB
XtH29rRd+N7x08crThlzG+zac2/iDMngQWRfwCNt1XA3IDzXCbo1cyKmIl6nGSJxx7OXIgNWJquj
5tnQJRYZooAGa7gIpGxNR93nMAykPXSP/gr+nCc3iYplGyijyleR/2WNdlwjE/454C9UcS5c2eAn
jhc7YmnrTVbvhgIe7K41o5npvDz6JETHQ6CQ4yBROR0n5AG5ibaeTYO1uhbNIf5KSz+Qwb5vP4ZR
WEM0Wft3ZhO1xzRXow+3V/PaIeAc0pDHtTMWBc5XE3q2vBrR93ZLI8hWT3JlFaSNss0oxklZG2z0
BvShoAr98rbh8QdP7h6uc2RP4P9BAmya5zYFp/OcsNWPYUUFp7aUfCuX8K047Hsgq/TiF+HfsVHi
OUwMMsn0PkIJz/k7H2xMVQudYVfh1H0TBJCHzlISxZUUvbTunJrThcOa2JocE5rEY6HOHNm2/Bgy
YXVvDeWefuaZS+xiGk9mxkqjhM9SpiqN6eCaUh2qsk2ro/7TJdvYL6RD/Xp7sa4P5o+VyS7Rraaq
4CmQ7Sbv7tLUWPrNvecOM4/ri73IWBARRjKQu4UOqYkV3kahIyIYZqMIoA93vXLfFZz8tZTS6jGz
/S6CNZKWowIdKT7CVLzf+VYQUI8VI6NjRJ9jfalF6+7FVWbydxdHe7QB+ykFWRCMQCLPbUCLZUH0
U4m2p0JE7ZThMxKAUOzDEqiWS0eChrrs5R2I3xm/fulezy1P4SUkh2irtnIIFdWarHPq3xEnLYXh
O93HH1KItcuhhPsc0vPhzapFSLqVGXXccf7Ojvf4BbC+gvhBye8iosG7mzBzZ5KNos/GENy1Z732
UNjX8VMFe8Xt7XkZ/4/WxlsaqCDx//Q9WBCcGp6fS3bUSavW0LdZEK1LT161VfCidp+dSP7spR81
Wh/g1FgMdUFPVDQT1FzbUgRw9O1QdkJ4efzzdy/fJKY/KPBkydYG9LbLNyVGeqH8MSKabw/32r4C
p0EExYWl8Vg5NzSElhkURSHZyseg2dTFW+7vUd11PuSqDcTntrFrowIqK/GewQtTmjw35otSD/GE
pNhJY34wBnHfduGhKuLPRWjMnJcrtwwYjT+mJmeyC2iKtDpZoVYjf3B1eVNX3b6Dcuv2iK5tzfHR
AkiZSIY5PB9RHhe1GkgDNzMkiEs3sD47DdQzlVq/KGF7l+uwZdy2eJmS4W1KlDf2VbE7eYWfm8xi
mJpCKa9s0Y/Nz1EvVQvaEoZ7RfYQk4zjYsd1+BOaGWNthGq6bmmEbzzohjIaRh0RV+X4McpWfn7o
IfE8ZGH5PZUif+trZfM687GXyzA+suhuGTtrgD5OVlwLW6hpq1EmVIN3RTWTLzlcEuu0apAdLriS
VULRfSPTTOiJlQhFUtase+h70O5MYCDyWmVBiwbsDJE1Jzx0uXYmOEXcxNidzUtwUqykBTVsszgi
WmpMC8rG4CGAEmPVaDDgKLqwN2GmXN+ejxMA9vwqI59FLQ+0KQBGnknni2d5MEP6I961dXrjDf4p
70cbVhG8ODXahGTi27cuViwkTYY4/pJC6kKjYzAy6NfUbz52uekfTdiQ4C8FTQqfpecEz2EUCG9Z
LtIlJUgGuGCht/w3GAMGFPjYJNYCyUwZklyaXxaiJw/3bVBpT2omC2hmuVFpIlMReXACWaHzyVRD
gR/coQCxhIS7PCYImfJtkh9+IXsOk2JoCsabGsjtUyj1Ybiosrr91pc6lV06zuNPImlt8LqR3rwA
Hom/Ia9QNGgZxa7dtZQzZk7E9FahJAugAgdMR7JMv8AkOhIztwQ5ouc2VzfdaNDF09PkVUup3d5e
velmnhqaHHaYONpSyTFUm4jkwHpmRrYFGc1tK+Pnvt8iUyuTLZKQ50mbBCuaCIY2h0GrTGduremM
kSAgd4ePo/kMjuppqlA1BQlp1aCxozg4ul68a3xoSiEG0pdxSHbt7wZEqRWkI6eM9lML5O5k2mCx
ltQsahrb98jsQBxNg5MJ3v+2lQtHRnqVBAvvKwN89UW7YKPrXSMJPiANr4EUsYVcpjI+VHm7SQ1l
QYc+5UgzWfYQFd02PN0VvLMwrI9xCaXVi6e/2epdlUKTYgeo2qRIWxm5v2jMmeFdtUJ1nvQG04n7
PL84eM8BYlMSkhxCs5Jr24QSNgXBc3ss0713Gss7K+NXvAs7At+peklPeaYGUbKOLeeV2kO7uW1k
onGHPxhnbHwiYokn1DSHXGtDK3pmwDuxclZRYNiwjC2q6id13GU4ZOtAV2Etb7m7BmQdYO5RFBSb
wqG9y4S5o3C5bYh9qB5TfuO7KBedjxiSnjrtVMd77FCGTyz9Pkyz1RACkZLRQNbUTV49lbI1cyQu
XA/NL4hv6QbpVjL2tCKdzbPaW2pP6ch/hAdNo8+cTssB7thd/Hp7qi/XE9dG6mFEhY8J3sl6Qhhd
SnIi+I+RVMFlN+iUxjV5LvV3kV/hhcXzRz71J50wh+fDcRF99aEfxpMqVrdQQxlSgKDtNw3d7WJr
wEOZmyrpHRpXe14sfprNAeumA+ULToUPIj6RDNiU7SRpfZjJEqmyG6DXcLXG7WKo4nQmqJyzMrma
JSEE35yKlY1oiK3FAPwNOnJm9sY1I4gGnOaUnPFUJrVr4yjqyOHaiqvjNkMxyZ6FQRJnTuHUB4wz
hrPUqBuIBJTTLWgQ9JgpHEYcQiPZ5C30njGcaiu5M/1NDsnPzAV2MSxCLBmkBhBqLiqqOud7RMkg
hkoUKbddveFq/pVrz7f3+riXJ34TA6CV2Qjcx9OTTGyup2Kj5XZkuAvLJ46hROS9/G9GJoWSrkjY
ARJGfNRjg/y1HT7mRvG3O+A0VX9GMrkdklArXNEnApDStxYYpT/0M/f89NYjxjibK+V8MeKcbvrO
g1gqzZfdLi5pp4Zzmir1wqnW7Vwxa25lxq3xzqukToeUvcukxconCTLhtN2TwJiZtOmVOh3S+BHv
jEiZ0ifBuPzZd8Yz7HJ1gZBmO/devr6N/6zN5Aow46auaEnK7b75pgA49OeeCHOTNY7z3TgUn/5V
oVNz2ySXL8SPhvZJMn/9b7t4chajSIj9gB502+3BA5tflfhFq2cy3nPjGLfgu3H4qT4YQ8MWC2Ja
zSSgWdFrNFuOnlmOKeC0HVDnzSxG0pj+UkViL1f9mY11cVGen5UpfC8qGUSWy7ltSMFdbrS0JdiQ
BK+V7NvtVbm6g2kPILNMwweZxPMZEyvHA/zIsedpsTap1Wjtm4EeiWF9cLSZksjV1Xlna3JaIOxx
jCQdnzKFtayNB6l51qEnuD2gOSOTs1IIoh+18niPNdBFKHeiiS7gf/P8ozfgz7RNDgzMc1ZRnqzI
kHRq+bIU5AWml3Xy91saACXlDRKRFMuVyXh0QS4slLm4/OHLULN6wXsZ8okZK1fuZpJJoIl40Ko8
lyYRaV6XAQTwZW6j8SUCNITiGBIbadEqVFUhaZhxBVcWCXNE5GDiSEpclOByxaEe37K98y8ja3Ko
hPBzbW7vhIuk6ulR+87KdL91WoRyI1byeD2+XI7ZY/gUjCy4i7JZ5N+Hg/ckzz08rw5NA0JBdEpF
Y9qNDB2KLMhezXpZKF867U+9blZI0M6kp6+aeZd/mLhrxAO8mkoEgUfwFVJrSECOYf3j9gReuYTO
chwThy2rUlhpqC3aAYwXovpUSM8l5GADHKO3DV1fqXejmRwn2I/bpiq57lqIDWTKeYvB7A5FK39O
IxchDpMqXr2lIP1BMzLkQYP7xlBQtnT//to9G/HERxlpSFq1HW+ooFrlpgwzM93rorw1Ef+ZGfMV
L3Jma+KrJDNMJVpUcrv0llqxgimw+lR+MO7CZydaKvGKOlgaL9MNuhW3Lc8YtiZnPZSEKGxHw1KA
zBWK7k3/dNvC5dvsPDtmTSPWOiFlMmbHIDuwPtdoGH0Lc8j06DlbWS4iLzNDmtmp1uQ0uJKU9hZQ
CFvpNAiID7IfAi9NNpXwX91cf3bqFHrpayG3p48lHykQ1b/Pw2YjhS+352/mcCNDdxbGxHHtFuVp
hZLuTqv3ilfuxGDmerzi+d/vv2lXsCOUUD0prJEYt1upKRaD7q7hq0Xa61hI7vb2kK46mHfzNq7g
u8hMygpf0MZ5aySif2js0GvMhnRlqc8GGrIyncK1NvemmdsWk2ulQc/tt1Fw7Fwrttc+m93rUM40
W4y3wuQRyExSM6Oxe+ywnozNonEvGSls7SpJNyGi5aSioXtNF4aVbcjTwcD+ens2r1s0iNjGqA38
5flsog0T5HE04D8za+UEwQMkTcskQYhZMz+EFvT91RzY6AI4/jtF/MfmxBtUrm+1usdbOkHlulU+
d4WxMmHkH1ofcUyIF+SdhIB4ea/MNrFerCPdniATdZl6rElqaTJcLzV0GLYF7VhlX5BsWFV05aYj
R5gxB527mNiJpckgLaiy1DZ29WMhPjq5uFNKBgifLTpJzxUKipQXNreX8pRaOds9E5OTw670eqsj
nq0f1e1Kvi9f5GFJzayDRaVcACRZGHfuOl5SkXnR7nv9A2oFwd5fzdUzLip8ELKpI30RLTTI01jq
xCvkAkyQzcBn+C/l1/YXSl278kPxEY3lD9k6+lrv6o/pI8Ypof1f6s5sOW5dS9OvcqLuuZsjSEZU
nQuSOUlKZUqWPN0gZFsGCQIkwJm86tfo16snqZ/aPtsSbSl7Z0VFdF/akjiAGNf61/8lJ9Pfv/3A
z26+WC/GoZ8osXFzsu8RMod/CNi4ANnVcXdZJ/I4bMQ9wCvD4yn7kF979fzas/YWwhpsOZeyzNyR
TlCHKbkeqqTrohC87yapjBWc7uBx6CX2nqze/uC/zLuLOy7WfTCaABwpcUc9hjeAx1lTthpYl1T0
/QR6yts3+2UleXmzZbrRDItUp/Xcn1EFFlSrwNfJEJonJvdTd1l8PmFMBa1yvFJZrxn48wZSd6X1
9e1X+e3Q/PmlllrPHspkR5K5g6ZyYzcljlrhFvbRoA3CrEdXwAFXJw6sv+2WUJyjY8D0BbnTl9Ns
AFoC8mLUuxYA3EkxxF4Or8uL9FSR1+/b7+d9FlNAJoTdTVPgXWcMZU/OtTI3tj5xYDj1LvMzPFuA
+1JMVl2GmEPLOyEBooATHRDzUeGdmNB+ybQ8zSTPWm1+kmd3giukU9bIl13nsPC7Cb827wozyq7s
nfjSfu0/wjwjkFF7ald7qg0Xa33vwaq3Qh78uqhXadVH+dTFtnH/dh88dZO5jz57NQd8Nq48LESu
AZ59BoYpGMzcXr19l1cmpZ/9YTFFGCCspKGNflcXq849GPC3fwi+4eRDPoDR3WZrok6M4Ld7h20u
Zn9AaTUwi7ijLjdOeCn8uxoFB/kpHcmp2ywmimlU8Dhl+EgeU7HtM6iAPxZDYgOx8nYT/rLdfJr3
/tWCv+S6AHAxuTPiQ6ksyViE+WguDN/AswQ4z7SM377bqddazBONaQDaHqD1GvcrJe6F0l9w+o/7
yknevtGvB2WomALs90KQpWE/sAzXSbfwi7oevOsB9Xu8i+XtAI+yKPsWdgmJ3onNqUq6eepZ7E4g
bkD9PupBkOhelnu5I2TkFXLD16GzmpGKJsbu2+/0mzE1e9EiT4gVGJaLi84eQivuGAbuAEQoRcQO
YKGxhCmfn3unlt4Tt1rucQxJOjdFkdG1JMChaAAjKsByv/+33mepcwgCYQImTPA+IP/kdQX4ITAx
/qkefupdFntim0PX5HR4Fx/EMReJBzN7KLtTBTK/73AQuiClOxcaLsNZJJxkAVCLd229k9f0vR7g
FIHTvJt4IDmpqNKR3USwyjmnDX/edTHPwiHYLJ0Bdy1nadJd430kp2z4frfvRr/7eY9Fv5sLoCa/
BF4OSrUrz47cVfHOv06T6p1YB0mddN/5g7dxYrm2v5hAGX0qv5Tb/9ZrLlWuLoW8wtKjdz1aYDa0
YYKjqSjv377J70fwX+/pLebc0tI0Lyjeszfej+nD1Hz6e9f3MHSBnUOKFZPE7OT5ck3MtUmbDISF
Y80nkaBY8NEYzFN1hr98rXlymHWH8IKDDPEXKUoAwaAlaqsDwbswhyQYqPHZGQpyVyPRB9ZboUEm
IG31gQuJcKh02xpnxIH179O2BVweWmYZZb0Fgfko7P6zRZQ3xBBiMBEp1LR+cFSmQSNCyHoEUwuY
3EgadWOg5l43J3ayyxPA/C7Q+9o+BhXkH0tLj7B1VMNc0RxTAM3vwEjpIg7mEeKZfhoXltzNZp4n
RtRy9/x0T9iHYNUI4dy3XOAdASi6Dp3miBm9e7R63sfQwQJg3MN60lPO9Ck3u/vB8XZv947lNIX7
+nPywoJKbladLLa2uKVnadPsj2Vo5ZdlOalYNULHMDFLT+xhftOsc4uiD8KbEee5RUcfBRSV/eT1
RxrAczSl3SNohQlc0O8aZ9pTsD3/5rI/v9vzGy6mYO7BhleD3nNE9iRd9cK4CyXpI3tEMVZd0795
GMHd8FJwOCXQiJuwO3o5zqwAzFhmDv0xpKkd52PFbwnt35fCp9/qqjvlWrLc08y3g8MR9Nm4HzQU
iykYy4tNBCv6o+fDF8gZ2yZhsIED8CyniVHq4MTX+2XTiyI6COmgU4WmDcmhpdiMeV4Nvl7gHIX/
PXPYrQcHz1y529zEzo3ayeAFl3Yv91yrKxfQ6rf76S/jAxo6pL3gIQKFCpyfF7NYWAUesOm+c3RG
DjJdzXajycCjLJr3oXJ0BK9gP+Lwbn/7tr8UOuCtX9x3/gzPThQ9Jb0YBwdvza0Pw+iuU8+57A0b
FakqmsomqiHGBWR4x3sLItgBePWgODE3LFcI0HRg+gAVS4CyezhpLT51JQJQFiefHL3cDBJ4uBcR
LM1PJcZ+exd0GgQsXWxen1ri2Zta+LrVXKR2FAbVm0I6Als8VHCcaNBf+i0Ekcj5oRYUrtueuazB
8YMSRFS49d8MA2nvbRkEQNT01DyEEy3KSMuCPBS8RmmDyMp0ACekCaxY+YW6Y/DIvDGrbNjwsdmx
uszXEzP1xcQN/ucS8LfM2J+8yOvye/PvL6zV//nvsHb+WsLyOWNp88+DeizeNdXjY7N/UMvffPGH
9T+ffswey+SheXjxj1XRgLt50z5W4+1j3Yrm6SY/fvP/9of/eHy6yt2oHv/j376WbdHMV2NZWTz3
Uvch7HpyhfjLOHB+mh9/e/0g8bf7B/EwPvzjsgVd8D//9/+p8/lfm2p8+Pbwj//1j+3Dl1I+ZP/Y
1eKh+Fb/9to/zNpd8sdco4OwHSYO/2nG/2HW7np/wA1o3o/AxwpVEhjOBchF6X/8m+v8gTS6h8UX
ejeU28xxpB9m7fgR7C5xRRSCYyJC+cDfMWuf948/T05zSSTUFFj5ELaGtxLK8F6O7DHMK2EXZnVP
0N09bV5KlySqJklpAmsXknUuwUgtxxPLBIK1v7kxFlxEy+H4CO+gxXCGlNfWTeM09yodVxUK9hrX
vc9C4OoBCIog2F8ZfY1t0AS2BMPeI+scgErrHixRxNVhWrnpizyp3frCHcjaTuVnDh5vmikQMbpb
XqFggrcJM9Wu1+rYl19g+r0ZZRET5t1Ikd+V6ksaAAWp5ZVbTqtakjs+dnvkA6H39qZVPpQ7UpCk
mYaNw8knv5EAQ7nhHYox/MjRECDQnn9JXbUxaxAZIcgFJ+sBaq5211XBHZNixSr1Cbuke1T87BwN
GH2WfUuRQ81TdkOq4RY+6pBJdCqMeRVc9whoZOjN8yXrptp1PR4F7gOoMQ4OfdjRCFQHmMTYJDGo
mwwNGisH1Yl4ydAaF9x2kwYFTSsy5VeFSb+OChY+RV9sC4N/S9OWr/O8dzd+rz7CKGKF7dTnYWxA
+02NdG3CQsSeuhVyR/emWx4HF1Q836mMuHHJdas7BOGqPLFonsx13lGmSeKL+kIpkhTgRVqBAYsu
GbvwKRfklI72aWVb9FNsaiEfm09DqGafu9OzeRmqS9kOllHdm0GdmIN3OSM9Qz2udObdjCB1RA7p
DzbP7jrCLtMQQFXQ7nPhX2ddlzSpeqcaf63HgUZTVn9kYngvGrRXqTap4W1t2iR8omDNdomXuVtf
2jdTozYZDXejdqANLsU1Kg+OUOy9l6Azpyk+OydXjld9tCgClT1Sg2y41EURGz12dvPXmdCLy5In
VYc4y2C1t7DjwTcDXioDNB1gYQA5hLdBTDpBxOmzD+5MLrwrXfdd3Bnycw/qhmw9GVl+m7Sj+iS8
6mLq8muwBLatw25CIo/S9q+4GA7MGQ5K63chg3JcGJc6d+/TrNxiGbrvQAe3GgGrCqjmMEyG1L3O
7Wrtu8O+Y19d302IlEem8KxpAelCnmgLPcRq1o6Qu6BoL9BBr9KJnoj3Qmvy6zwAKNTMsEChOw5p
iw/b5VUli57U95UZ3ikS3nFTrOA8sx7b6mMFhW/cW8MhG7yVavge1ruRqspb2m1Kt4AKfTjwUW8q
kHcyVCqZJVsrDgi8smeOAswH1ZFQ4w6S8iQT/pWaNIDAJDEFoMmGNVxWWu+8wdu4freXQ7EbvS5u
/H5Vq+YDxUxYg6iSOu6mwHjjPgxpc3C7SbkBOu6CDjxxKv6FpuKq7whiGylPdNG/rwKeqNbBEw1g
rssVqdskb5p1OCJsyTBZDSDPmDMivkMKVMbGMDe9OnZdsR2hNlRhB+AswRieVdTlrmyKuFH1njkd
dKJtwqELkv5waVfTykjrNbf6vQztTaHSKW4sGesKHnMtSG9leJ3q9y7pDsBRbcv8G3ZW0YSdkzH4
CJJ9rWy8gm1c4CNctLXa1l4J5GTZRU1JdsrBzE+N49tbnycp2HIk42wAKBlO4qh8W+xhuU8k8TJV
36Ot92DpJhbzNmz04tottlqPh7D3tgFlNzgyHJUfAhisNkC6J8aAZkTnAIn3k8vlKnQR2klFCSca
sp6cal257haBzRhORdcBkgdD2X6og2KHvMm9prDZxCixMW4Zpv2KwMZtDHekDK6rMDyxV325vXta
VVHZh0V9PkDPPIuXs5UrbO2TfGruUw58r4N79igtGKseDjKUJ2+36MJG7MfdUO8IM5W5KHdZNNIZ
lWOoHkupWzYXnizXfjTT2hGcZJcNxOTUh+V+511VVRkPgNOarewiq6NA/tHixM72ycb2+edFXfD8
wgEsaxD/gNXYy1d3vJz5Tt/19z1A3BPXOyME5m5eVHVBrjqAlZTCLkO4m8p3t51S277xIE701hLj
yczbhJTkmjfOdSOwog70IoUIs0z1x6Eojrxglxozqt0VuzJs96g5OMIq6Jh51Qd3YpcdOORFZt9L
o7slDV6zGNsPsuXXjjG8r4RzVWmC5B/7JmHY0TEvCcZ2bwovcfLsscaqbZPhUHPcBFsgGRTvcIKF
CI+BfDL6uo4DOr5H7c4ASqz6xKRzA4sVZBIF5nnbuKtNcjU46aUS8lQ17ctzCQCF2AICaYpSKhh1
wIVocQJTFgWXMkWzEgOWDVjFHUH//HT/A7v9V88E/w/u9GFJ+Ww4/bLL31UP+vnm/enX/9y4u8Ef
8K5APAjOArAueLJE/XPj7gR/4IugoM1C7MFC7d5f+3bglzDmCdxmfvwQ3f/Hvt0O/4CuBcFBbOln
NzWY0fzrfHP8cwDhaPQqLwcFiS8XTtsD2WK2h5mHGmANS3WN37SglAKrlOgU5+K4qmqyZQVYYsCn
NLuUZmJLSxjkJpBouQQWcVWfbr2J8fTeD/tuiMwh9dIb39Iyv4MxewD0XVBUaoM9u2PHOFgqD+ZP
daOuZWOGfO0XI2MbFHoODDuvLCUXaeFJ/4JMtZOSOYng6M+tlu54S0ulQBJBrEJc8CI33PfuKOoa
XqABa9yoIdIKNoCfWp/MQdI8LvPWnNYNZNFwk0Ssge5b1rr9qgqBykwYmBfw9W0FYixtXvNjUNUi
A5VMF9iqN8LARltV7XifSvxSRIcJlutmKEv8zihmchB2Z985bMX0CsbcbbnpTLBe4TDb5UrvvdZ3
8xvdqMG9t6nbSlRZ42hCIlJmJTKZIP32/YXHaIqYq4IFXAyEt8ejth07N+lbn/mbcBytu8xB0CDq
Ur/IEjvP22soDpC/ocC8p5EDF6QAz5zCfUqM9yL3SoRM8oI/BGrooHLk3ZgAsusUUCBWsFcHEKr8
5tLeuBS1ywFHmbDxiC2n80BEheY7w16jBDMVQZNOxZWXgRJea2yg0RgZVyqyphIHCZaCgrLq8aL3
rrbEFGHKDPcdWFz1DtbaUDuqwGjZdyH91r5rFPbXa6cJVBCPraDDSgcSOjHa1Vkbd9rH8uHTsNv3
zHHztde4YIYPLEd3YqyVUE+GErd2C+akcHmCMCEeWK34zmsKdl+xwQA7DtFKuWKODd8vRTtgjgyj
prep35htDJdvAol/KIJvNIeSbeUArMCTuoTG9UqPdnGb8mZCUAbi7MchGMf3cqRVs9ItyMdbHoLv
G1dA3oIlmxtlvXI9aYOf1QafmGkaW0dUptzQIiDVBSBSg7+BVgNdzG67EDb93ZDzdQGKp4ilU/Xr
jAzplABxz6xdMBjaTByqpiGB7YdAF9MdUE59IYLbsSf+3hmUgiNqacsxdhiSyFE78hKw976ugZyW
qTiIdOSQDVOtP4HKF7SJVYyljWNlDqQ796SGDZrfBHPFIwMIvO6p7e9HrAnjzKWs5E7JTj3gpORB
d2Sx5nuQtZwlnpcPSN9NNf1AmtGnUTA46n5KvRYGKJ6yjFh0TX/NeRUCzWsJGIDVo0v3roU0901W
0RwarrRBfkmBU0Wj2TYM7gI26Ic4q3bBQ2ixNk2oM/TASndlNg93Ur8zDVHxVU8rN0wEyg3UurOb
aYy5g9lj37c9dqrAO2d5IhUs62JOSvc+5L5drxzYhbO4rkJoYtoaAqd1VRtBnrT9OHyltpkyGJV7
fR3pwW2ORdY2X8A6Db8pV/tjbJpdD5IWb0B47XOSITvCrDLyusn+kHNCAZrL7RE24L4aP5FM+x4g
uxlBp04JYntmCmxYTyjK4fg016mbnqprHL44rJG4clprB8srDilDxS3UocpUZ2th9Ka75hxPEIWu
kmE0pM10nbV9yOOsLYgTGXWOJJwTsqFIPDuFb8HokkpuwWkY3KjEXP7VFfOWX1sttNoZ7QSPQ4C7
WVKqGhTckYUFkOyYPa6FW/r4bo5dAWxtACPNUmJ/gSkuKoJ17zof/RKxHeiJWvty7L0KUCBQIG6R
rjOA28OkM0YeH2WZOBJTYaxQ9mavCni83Qo7IzgOBc1tbdYdsMdO1lcbPuQwOERICu7UJbKO25Zy
H9APU+guRtU84o/e1IIAKVxJP3o2A5a8QKvBxTp3wCMBPLxmMQ7V6HNOnxs7O5icWGdzTIGnhwIr
FYAVEVSEaRY5WXqvgKrY+YDdpZONDVrmd1f4XGw1NuZN7rH+kPo8YblC6kuw/HYg7qXgWh8RWr4V
bp0dRuknRWBcllX6jjboBFVmXzajOtJeTxAmGm5Mgg6xcm9VIEBK5uLBqGfKBCVzbMqthJWkik0C
LxscnG+oV164lbmD41KWhIi9wiuhfo81LscD0Fu/COAnMfbvFRsyOIgVt8RM47xq229IeIApZ7+H
4e4OGSMfEZUcN6LkYFG6gWv8l37q7/zGIHHVjfgi1FbbjiDLhELZPbAQdA2XyU028S8lye9rX7ax
0TYX2q7dR2XBWhaTyb7xA+NicOpm5sNL/tFl2RCRtBvjpkMmgPTpncYVrJzCUm8ag5TFFAZfYL8X
6O84ELZ6m1bO9Ww8ElUODA1M9xLLHma50k46yeyDPXbB2skkoRHsK9jK7TyWUNS93oQFsbfTlBOs
K6kRD5754Psw1R1RjYAgVanXLBOXtC8vmk7K2AFvzK3Hg8jkjWjyK6MbkaXsKy//1lbePjckv5yY
HG78AisK0QOiSmV+BEX5mrdZeye7kiSWHI2tO/L7vsqKPT57FwV+Sa5oXoPDiLloExSMRYYOikOO
yo+0CLNN55HR2yCsuUF1t7813PweImQUucD3+JCJFKJU3l7aLr2rbBnCojff05C67+qu0wEoZNYN
pB5B3HvOzVDpED7mffHZs3EKCKQOjtTAcjIRE0LmBku1tKvrJggrEYPK7tSJB4Tqu65XxXfPH8sr
NyitTd6lI6IZJtlD6F8ezKr+ZnO4YEHMmpQjhDLRaOSoVvHsOozTQT/WpXWobW7zVeG6cmuOrHxH
FCSn+QBzblkXRTSGbXbkQBsyDCrRwbIu9ROVyhyrawMCQpD1x1whjOOk6V01pB9M1Rg3kNa1MXIS
1QpI4w+0hZRU9OwrkgufTUdjS4PaLvedwczyDihdZ0117nzzLXrPQYC5FxKeTnDww/5lwpFuBCau
d7NuZUGZ73ShjnUq8i1TzmeBrUQ0tO631shjJEIjjY3sKguZ8c7nAqteJwikGUEbWZxeKdvMd0MD
PHPqY8+alVe57qFmnAoZ2w4I8hbwwVnqhXzj546za9xwZ+QE6AysXSX05LvRUGUiah/2jTZkEZYv
ji1hNqy8xS34ch9HO/2etUZ3Yxj9eGd7Of/MGgS42l3qccuOMw8G9nj5QtkbXbo1/JtL02vLFSZU
G+iKGjHbL3BbUOYRzg1gjdpW2wVAaTX54H3XrJwG1KHlcBJNeqobfKPWraFLRjQWOBFZ9bPBT4og
4HeqgXr3o5xWfYPqxdKeFMIUJi+KaxAC0lCuRe93PpbX3KjLr10Aa8wMnkCjNcgEewKnyK/he9U6
iCHrTMoLZGjagUXClii9joKglygeS51Gv3OywRg+eRLVOz0MBrCPci4IwukZ36QyLS33rpKGZatj
QKQ55FeszEycsBGpF0F97PLQzvkD1RXT8O+nHf1uonYlk1Hpl3ikWpH+s8s4TsJpXU2xDQtTnQSd
S4YNlAPkloeAzkizygV0gEGPhZx00BtcV+BkO/e8CNRHyFmVuSrs1DI/ACTtGj+CEf8DJ9r/3/JX
Lo6cr6eu4jQrHp6faudf/5GNctw/ZjMWOAHM3p8I0PwLHew7f8AWF75uKHRE1AqVT3+daj38aMYk
QRbjze6VcyXkj1OtFfwBaA4IsmQ+Bi8OsG8daF8GOAxcFjldFE0s4kXN1El4MITsaBZ9v0b/9rdl
DxLls/f/cXx+nfn18+qLLJMFFmw1NAY7UgRf4x5L5rri1SlLuteefdZ6PEtK5PDDkrSzgkNeYSn0
W4yGlrpqe96zL0I+zLdz4qGC+6CoFUaNke11W/nxeRdHB3n+6KlEuNdHHuXg1eE9RHX3CDSc0se9
1izz/z9rFrjmYcft2u5BpulmcMrLHqYx5z32Ilsw4WCce9yB2tg07zxKITaQQ33i4ovCwJ+9BUnX
5w/elwRnk85wD6Mq8w9pHrYXldkUn0Nz8Ndl4MARuyydtSxqe5vpkWPPQviJGufXGm2hC6pyhgnU
891DVaK6lHJvO3X21/NabZHklTRUEKDhg3hDf2Ah/INgTnnKIvWVB38q2Xn2tc3cMBSckJxDYyIh
m03sUAjo0s568iek77OL+4Y9BoMl7IM3kq9KT/dEOI/nXXoxeBurQoyOFvZhYviSUGTtVW+fMtJ7
rVEWY7dscdEMCqhDg+PiurQMc2tD73Xe4H1KCDxrFZO0grkNh7Vib2+tnt2kVXBmg88v9OzSaixh
wKwCpBUlHG8Gylykq9pTgqLXmmUxfLEfI2bjGOI49iIUke2V9bFFHuiUIPi16y8GsOforvO7Kj1C
GpPGQGYjUV+r+7c7zEK68Nf08KQNe9Y2RksLz68EOyL6d2fn4GRlPUQFXcltuAEbRbfujdp6JCHK
UzuOOtEwABBh5HJ41wQciWVD2adqil9708WQhkOCKwaj0Qdq8Q28GYOtXSi5e/tNX7m4uViT4ado
QmmVolRU0HfwPC9j0M/OXDTNxZLMbDaVvFHBwdOhGXlafRlS64TF8WsPvhjT0AI1ulSBQt2zb967
eRZnqOI98f1fu/hiTLdTZnmGHNShyAg0qS54fgknTnEqefja9RdLsnZ6qFqkVAewmLILLkGxIwBt
3p33Tee7Puu8CNgT1Q60PBQwR4cRuNvvvcEZP7599fkZf2b//hoaS5N/px+6KQhr/9B3qgfP3smi
HuX1F1510jrlteZZjG2H6i6lI2TUpPdW1E1h5++c+2kXi6/Tp7RSyJIcWhKmKC3KVVwjfHDedL3U
WJWjY2vHggm29lGoScWVZvmJ4u7fNwq0hC+/ajHrqCeTl1C+aGJGhteOHyqq/h6M4F+fFZiAl5cP
eiF0pS3/4Fh0Fxh3Q3MK4vb7DgN9+csrI5tZAOo6+ofMTd0VzUPy3u5EGodZa50Yr08wnF87JU40
L+9BjEBRp6qDg/SB2RahVV9o1sxCoCZ2UBdHQFRgxfus7ONu0t8nBGU2evCm+9GpbcBglbVpmIL/
Lofp6IWVAaY9UC2h/RnyG1bXX1ABgLiaKm9h/b0LsgEoHuU2u0pLO7wYMvv924PrlY8cLOZ6N1e5
kzWmdeh9HJE8Lgj4E4i7n3X1pabY9DtWaYMWh8ZG5F7mdpMgVktPEOZeefalSURfZh0couACjTzF
167vQRyzb8578MVmousdkTJDhwff6D84ZDhOU/HtvEsv5howjGQxTmV4aE2ErG1THcBLOO9Miord
l91SjoWb8gEXZ55/SS57S55Y/eZR+bv+vugntEXspsFFD74vzGsPXK0VM60pwve1V01f6ocgVV4M
i1v3hJzzlVH8i9ijCVuJCL1/gK3heKWpyC/CCXIO1sDh5KxPESynINeCc53Jw0OJYRWpUOz9Tpx1
5gL48OWXsIray1NRhQf4zPO7odT6Y0urU94Jr3T9YDH9SGgKue1gTQxyjVB++VnZ6Ykv/Vq7z///
bDF3xkq6gsngUMGd/Npz4EptpIZ9SQNIyt5u94W66K+5f6lhylPVBsXkBIcOKspP+ehZkSI2zMiz
rL5rIDS4AS8Z+EDZ0gC6SQUGbkaRaS4LaztxAH3k2OhEwhVjNShefH37sV5r1MWg90zHkMjgeAfo
bEx4M+aQK6gP5117MerzjJDKczh2GGG+DUwwUxWHj+F5F1+M+gK5P4f6NbYYeWWvXcR814gIn9h+
vdIq/mIbMFl9OvZmZ+G4CfG0gpTyA+LT9LyJdll54XSWMmya2YcWwZdVPrIuMkrzVNX1a8++GIRF
Oth+ZyFXxnLR7GRa3YtQt+ctP/5iDHKoSPLKw8UdCkGYhP15VnnndZdZBfR8EJqey3vBEZsY1HDJ
Q5UUXG/f7iwLl4K/Bt8S29N1EJqXTBM4Z/fisgp69sVt/fQdoW4V85bDtxuAl+bWFRTJHpC93pWT
/zVkhbwrMhcG72QIPqR61KcMdl77SotxF+TtMDjSEwdUsSsYiIN1dJMh2n/md1oMPZONIZLUQh60
RzZYdL9MpP17Dt4/23Ix8iydQ0HlEnFghc/XfV3NZmnilOXWaw2zXHRR52YYgS8OmeGTfQBcLlB9
9XkL1BySf97FLG7VBEIbcZCF+w41HJuUyeTtLvbKcy9ZGQYqS33a4NLYCF9ZyM5Y3glt92tXXgzo
3NWETcQCAMAUX6ZsWoNDfV43WWKYJMgPdeMD+WwY5peisieg40Z2ZossxnMeVNysRlscUPrgRD23
600foGT9vPaeW+vZkl2LIBdgZNMDHRRKEznshQEoGc989sXw9FtQDa1sZphDMb0dRO5GjAenMhHz
l/vNxnJpamOmxLQ1NYMDdc1HpGVhhCzK4lb7LsoLWrhv1hlgoOe102K09srq3MH3g8PYQutb2kyu
BrgtnHn1xWgNg9JAxYXMDwVQ7JFBmzuT1ycm7Vf6/ZKsDJYlilBrBCharvwdWHTpuh1QV3BWuywt
oNKuzWHzT/ODQUW9kXa3NpllnmiWVz7wEuw01b1FuGrpAXb5HPnwUbSQRfYCmqWmBxkFZefBvNFK
+XmjwVusyyY4B8hhj3gbgkNh1NpWk6SjAljgvNZajGWoAKlyXZsfGhRZJlBsrQG9tlbnXXwxlA2Y
YkJ/1eaHkSkdeQ3gQl3jDSe60StZKBQ1v5wpzNStuVMaCLrorF1lUJMCeWPlG1mbdC3TGrqgLkSp
mwX9SVmF7mNTWtj1nfdui4W4otTOqWvxg2yyKGhzlA9VJxizr42PxcjOtTa1ibKoA5CkSZu6jwOt
z9uKLS0qpJFCQ2cBIw11nRG1mR23rTxz5l7y5dIJnuOWrDnAItBFeQUr4t4+MfBeaRM3ePmtYRBm
2b1D6TUQ3N8MgdNbqb0zjxxLV5TBHzpomovh4PddHWEPeU0GGZw3wpaWO5jwi8EsOUfuO5VVhOS+
96kZvb9Hr/ixaYOmerGJSFUm/cZqLJSn5VXMcmZEk8VOWW/+ttlx9cX0wyYqkYIo7b3Iy++w33hU
bXlWd8G1F1NP18BeYeK2uc84kkO+Iedg49/E0fxsl8Xcw2qGemxLmXs5FbDFta8Ml385Y+jjwRfz
Tur5tbILYe5zAc9pL3jfyf6cxQuXXswqfWVrBFbptM8H3g6oS2LufYNsxN3bTz437S/7E1x+MbPI
xqUwxDTNfds3KTyJeQXVtaaO8ZmlujgxVBdmCD+bfrF3EGXYiQKl9nsQBz0KvasSt8KU0OtPpYih
w1URRhvM6nxAmOwooG6DADPIbZPBxq+eSk9xnV7pvfbiQ5kSyj7tymkPSc64CQzyCfr2bnNWWy6N
rsrJTZ02pONecT3AMb5q/TyyCvDJ4YYSFMP67du88g5L4w41oLKmNsNpX4zFsBl1Dzkqc6fkvKsv
Zo9C0QbKZPQ3OfbfUYQOAEKenlhr5jniN51taXVfdKgx8Adr2vthwa7BehOf0pbZq9GU3kVblfys
FC94SIuJxER7MOQxp31NvPGTjxK3eK6pPHGUespa/+495i/z7ECipk5nAc+mPYwquhUU0PwRfHny
1QDqb0f8HhJmy9TVquxAxEbdbhiDs2XoqJu4c2YnWHRkZldp3QlMZpP7zcdUHFUAN56zkUHrLaYc
ZsHSGHA+c28NpRdLraAwz6sTD/5Ezvld4y1mnB4wQeV3MOwZa5NtJwFbgsHLvP/i7NuW5MShZb9I
EQIEgleq+mZ30W277fHMC2F7xiAuEkKI29efrImzd7g1Xa7YevGLI1RqoXXRWrkyH5ELKlAdp+Iu
HpLy3bKCcKBke4DuE8hg2kDJgoDkALzLpTqOQPzWeToSkNZtHQ/yGphwAEW37a4ZQCN6LOXo9dwH
J59zHJgkV6Hp2vUEALm9MZjSyXcAi/0O+zxy9+ouiSFhC3AOJ4yXQpol0/MtZ+n/bQbyfx2vK19E
yQh98LVbT5Fl3QEjXXmdVp7h2oUvdWFFMrOnywkjC9VRdhAxWTGv4ueHnJCBmnzWgqNmPxGUQKay
uVf4x/PMs9dnnm37VItM7aeZbX/pTnS5Sa9Rvl7wzi45h2QJssVA7qdqKr/Nz3v7/5llLo4vXlrY
ccyTypYx3Q0cs+x1mGfJGdFuSbT6Hfi/reBfnFpH927A4M1+YuDUeZ8umO9go71GE39p945HtuUs
hwEDYKeETWG+JVzebKHygl7BRM+/+sve2wk9Iq2xOhioSgx2aJrPceuXgblAOtDRlVvdJdtJo0P4
0phge06MIX53MXA+qwJpRx+SdDvJWnU33SbAUc2ma1r2F47dnX0m0GNCU0nPp5EF38NgBLGBCK6x
o15a3PmmVduMTOl1PWGyrgF1QFfeMcgaXAkU53fcG3HCZUJFRhOFsp7WU5C0/HYtQRx6zATlj5j/
BHEjD8d3K69AqZhN4Ir2cjr/wtd+uUdlGi3DzIQ9rVDAzfVo32Pc9Upx4tJpOWGkZTGQvaayJ2u0
fSjB8nAbt4bd+O3cCSMReh1JKfR0CscgybXg/C7oV+q5uuOMUVncBCKsObWS3XfTpzUbfCremGdx
XLEBxcqEYVtzMm35NxU/BQb4/CzLRcuxHhXEEi+zk4z327rtoHq00J9ex00dqyUAvUzYuTlhDoxj
gBQjJRiD+f3a5zXeuPj/Tq//cgk3OTZQ0wzMKRvG8TYetumGhRC6iqagfCfnMvzGK4wf/f7HLtxK
6thwNwd4FNf4Q6I9DTCtmc0fVmMaH4wVvu75V3/5UzoMVK37FI2ncrD7w1iCVeI84/bRb+9ODrwl
Ctxlez+eMGf7DxjgTtA5u5LiXzqW8PXGMUuBgS/O9GkWy5eYrH+JjHgGK+qY6tTO2RxIXHnMr6lT
EyYDKJAgUO53KI6pqphEJSHzeMoUmJBizP1nq/DC3yTJfzBzTW3HdcDW4cua93xfhmNHrnImvn3o
iQuZi0xL1mpaxhNp9ua4UTvn8Tp98DmXxEXN8ahTe7aVA5Tpp1tCMTSY8eGaXOSlnSevrwvHUz8x
c6JPa8PJvWmy/g6kDX42mrgws4gEmIcNhT5JGX7KoHHZr+u335/KhcoMOJFf73wdKoZPqfUpCkGC
Ua78Xi8zQoc6lJF6JkEMIgn+Z1It9TvQQTTvmRwDUMv05ZWo+HaUB7Pj69/f6hUln2XVpzTotgE8
UGC3MRDm+iEBFXyUS1hBo66Llm/QLG88r4Jj3Fu2sw2Q2+EkA2MelRqHGynZ+PL7I710Fxzztji3
FujJ4UTbqjvOZPpj6PzeAImr7EUXi7Z2Nw0nI78AJAlCASMXr0iAubHXX4KrONSZZOqkOT2OwfRc
9tfqPheOxAWibeuKMV1otJ7okn66DfCP11G7ILRx4OnWdAvWVewAzo42ZwSksn6LOzY9RIaApH8d
TnBz+pZHVN5AWvH/Rpr6Pw9ziGm8Pm1QmJT/Jucny0ugw6oeqsKk90pj/8Oh1TZrZzsSqNNyaCUY
F80m/YIXxJpe73sv6wn5SaROY03lI1RZ5sdQ7Z/9jtwxzD7Upk5F3J+MCB72efrcr/OVEvSlK+hY
Zdipvin5Lk9Nkv7VM+hFQJz6o9+2nZDbJudJRrOpEyiVX2ayPjYQbvS7hS48TZV7SIVZuxNhSYPp
6KGpHocF7LdeW3fxaRkmzWkHHuhTuoJEXXTNdljp5hkWXareOlUbpsQyeWJZ+Y2Ics/tZPxs34Wn
Yca/FnUadbgrJrjZI2KObSCe/Y7FsU4FdE9Uk/Opj/TMAvllrKO73y99XuK/2T06Lq8NSERMNEG8
dad6TZOvKiXxMd7RJzAloHa//4k37zqKIc7u0yo0IB9OBKBP9d2Q2QNkEK7s/tLSzu6HvWvBb8PE
E1j0aQg+WdCu5YEgnss73gXSzl23ndk0xDqAAm/KPtlVeVVacSyOd0HxA9yxOwXVZxt/mZKuBRX/
6pUZY3HHv4DYfAeEt1qfdpOam3BbshzEl8PR74s6HqYe0B3egyCACn3D/l45hJc02PC/eK3u9q0y
Em9MG7qDYmn8B9zCT9l2Dbjw5m2Hvvk57fvlARgyGcx0mKenejPiGdQNNh9i0X0e+WJe/HZ/fkb/
8hMZGHPBe6unJ9BGNh+IrpJD3ffsD7/VnSxgXM+UVCgiPMGZifuxH9ITSi3plah0XuU/zgDH41hq
Xc2GcKrNE68l+5ZEUBRuFnB2blVp77StWn0ljJwP460fcuw2WdB2nUY1PmnozIN1f+TfeK+GL6AB
qz5OTIP3RFlWXUnqz6u+9WuOGUPpeqj0ZtIi1PEtXs4HIjyRhm5vCmzSyV7TFaKmdgMXUppCHime
wyvHdGnjjhU37ZI2FQj2ilbpRxV8CnTjU+fCl3YsGORdGDbWLC32xlrUSte7nS1+o97gxX9tAkKm
2bzXEtuOGPhxW96DY6Yc/Zyy29FgsuziIYpIQeL6oIw5oKJ89LKu0LFdGWUrmMFCUjRc3Yc7eV7o
fvBb2jFcYcsK7DDYddKv0CoM8qxqPA/EsVqShnyx446lrfxEz5pMc29v/LbtGCp4seda1ZQUoNaO
DnUNEb8Jwi5+99uFP3RhJJKxjUkhVAbSvJaAjNyuPjUztEmd+BrbLGHcWFIEQ7jkQum7kjWJ5+d0
LHOeM1GpjZFCkeUzoeKMa7oyEXTB6N0eaVg15bwBqlboVN1QFj80vfzT62u6HdLEmiCRKXZtZAsW
8S+Gdn7n4Tal5sBm8ZxupKC0f4QO8u2Afrjfph2jnNN43HYggIpwYh/mMTmmfPLMwdx+VEBB6Dkb
bHutUCyz6003JD/9tu1YZRVG06ayiWB6D/xSfWz/jE3g573dXlQMtvx+llhbsTjN92V9ZqH97Ldv
J1h2qI10i8H1A6fGRwsAXF7NfPL8lo5NAntStQn0CQqjeW5jei+2yPMGOhaZlOPYhmANLdZ5Q0d3
w1vDsnm/9TsVJ162faS1FQsuilrvk5gcMdTit/H/tJzaMRKE0bKY0IQeMaqOsX4/nK7bckIEC02c
Ydf1LAvkD2QdrmSKF5yU23Ba2qWyYzmTArSoMcp+5oBig1enjINQ7nX+0M8GbhuKrgXT2+dgZDsY
GuzgedyOXeqKLRmKL/ppDy3JAxt9DkhSX0kgzou8kWm6DaZsqmRdBdAFBpDwi2ji7nbj+8eMxddk
hy6du2OdZpxMNqw9fmAAZaQIwRRXJ8ivvG45dcwT9LLITFgC0o26Bp+qDHIJlLfn4o6BxhDDA2Ud
H56a1EYHCSpoKOMtfkHTJWZo0zMDRrRj57HtbmrIaz2wlF6DXJ0v3n8/a+D2mToaRssO5lhwO6/2
rzjrwgOE5ew9yF3jvFPQsL9yOd++P2ADf33zB8XRzsLz54lH7YyMCKMcNxOJspckAcbD80ecgAqm
WshdztvwZEzaPrOd8/epaL5LscdXMtI3uygcqkiv/4x+AABrT2LM2jMGTsyzrsJxr1hTNMMefNRj
R44agki3q6RX29RvW0bgdqVEus2cjOQcE6MX8ICKgyTjDx+7wIjh679H8EYvaanlUwg+9Xurk/Z2
alnkFc3/o/rNG/RI973Eq6Nas/ds3B90s/nN2QFV+nrrA4pLeGpXZyqvuj4NrKQf96DZfbBI+NCO
TYdJVULLcp9R7Ghe2Lz8uUDj5so1vfRBnZBbgVyqj8LGgPOjfdZN9TyDfdLLFwHx/PpUoLLXUNmP
5immwK4NYLumze4DMoCmgGPD0xguTDe9eaKV/VHS8DnoOs+lHcu1FnWMOezMk7GqemSA4h9BAWGv
lEkuOB+X5UCZOYshiDg/yXQGla/p8f4QdJ7ydJ4wOeZlSm6jSYGyfBvPkyzgqh/yRLL3gbEf/dZ2
zDQISDiFG3RnIOn6jpT8T5vYv/2Wjl5fGIKIEi9TnxarIUlubPCYmIge/RZ3bDTWuk6CWdQYs90a
MO63H8Hx53llHAudwF8zz0u5YPzcPrd7+RefwsHzWzoWumoIJjQryYoR6KM8CM2HOPWsxYCW9PWJ
T2IHezSo2Yta4KJsaPMdoXF+Tab2gnNxG01IFhrossnpaU/SR5puj2Xj1XDngdtlktUcrjIi6okr
+Ba2RXmESqefU3TbTHouSaJ1Nj6BRPnPikXVQaGO5/XIAaPq6yOPWIwULdklKBb0MzTFb4GvuWKa
FzIot82k8DXboEEEpUvyzyCD6mDL5E+035J7xT3rpQF0WV7V3uNsjZNyI/gVjs5HMyW3HNojfmGa
O1Yqg2QBKV3ZPCVynu6zQBwAHZNXMqZL99Ex06YD7/uWDZjB40l0J0ga5z108a549kurO4baQ9Wl
Wea6gWYWB/0phl0P/9YJvdyXS23QK5XWUk0CE7rZC6lCDEJQvxnywOU2GCAiGKRoOT+tu7jb4/LH
TrQXwoQHiRNNwc/Xjfuciifgej+IuPkZb36jg1jbyYDDNkBTjM/iyZSWnzIxyT8xjUX8vqcrgZ71
oifQFRVPSUM+0n75e5J+CEzs/HyHfulfcSNaEgklnpQeCCIdVDAg0cP87vm/mmO/rG6iATSCEa2f
oAH8RxqzL7YzXmhp7NwxUJtMHDAiXT21G/illkrcM11Wfo43cQyUGrBez+ZMiQvgwCFdMRyTqOyL
nwU59on2ftjIGDunYlWHNAYutVkTL9gDB8f36y/aYbrEzOlcFpmdxWGESNbN2m5+9ZTAZTPgPVEb
6Q3qbk32V5jadzron72OxeUyIJXZO9VA+ZCJ5E5H4wvvAs881KUtmOdkmwcj0oJAVv2mWSfotoyy
8bstsRNJGRN9G2yKozyW/YEa3HGYk89+h+LY52BNrcuw4kXbLyrvqo3kovU9cSeAAjOQMbWSslCS
mHuI/t6RrfNrw0Lk/fU9HJgEe4Npk4LxNf1rbbbk53pWV8v9DsaxUDXQYFjqhhXboNPb0bLgxrbZ
T7/FXQutTUOWaY0K9GQ/8214vw+zX4bukhJAOwtdtiUJi2rMhlwdwgbKLF67djkJrKENAQvEUpCO
yZs5gMiMrftbv8Wd8AkFmZKqtFoKtqTvCTsHosirmoeK4+ubojFhyeYqWIp4o9nTuEdU33bVxP1o
PwIXkbTpNFXgxpgKsbeAL6M0CbUj4+fMzwoLvwZQ0ChCk1ZHE4QqjcyjaP8n27zmPHjgDvbrtpxA
PhROBVEhpH8rmvM29XSJLiBJN3M0Q/N8KpZ+ut8t+WjLa+n/hQTUhSPFgMEMK2rJxZBGNeTsoioH
ROnF7yI6tllHKVvHrJuKSsrbpM++ZlDB9rMgF4skzDytIAw1RdIwaNgk3S14nL2A9OD5dipFEM+z
OzRWTTFF7HNr22c+935OJXKMs13GceihGVnEDcuqPEihgwaB8NgvAXUn5xthMe6p0vPy9d89RbE1
OUuneX1PF4W0g/5lmUVsCh3V6yFOO37QuxdO88yt/to6g3RuGxQUVbGGWXhIbR0fwhFwZ7+tO/GT
xWaH/TeqgLBiDtXFY8CoX+bsIo2atJ7GOBAKWIkQmtTfQrxu/TbtBE6b9X08TVjZJNAD7at1gNCo
FzEAztsxTqjQMD01qyzWrOwfeyiWNQfbdnV/47V5F2tkM1tbSAXKIky2Uh+bEFpld+B73v2AO4E7
EKu7as4o3adC7t07yOZFxzpbPE/HxR9slExLFwZDQfcyPuxN+4FU2d+/P5lzrvlG0ypwclBI128j
ns5YO47Sd+UURT/OKZjKo0V5BlIXi7Wnhm6RjmQxmfr9bE0hU+qFGg5cLBZ6OQYCcLEsuqgxArwl
JVRtQNuvPv3+eC6EJHe+HMrt0HiNdV/MA5q1h2hc5c+A8uij3/LO6Qc7Bm9SiOgVcTerL2Qok3wm
feiXILkD5lGvTVYHVV9kvXlpY/23ZfoPv407LmzXHYQ2h8YWevtLGvqDMe4Xk1xA1m7iknSQ7Cum
5SxAuUPRm/r5XZe1An1Ey8ZF2GKmo84lo4emGj0fFi4gq0l4tYSynIrSxhJCbmL/jFeSX/LiQrIg
olxBGxrXXKTgJ6+i7VOyx14gjcAFZSVTWglwF8li2HR205tuvUfT4hrT4AUDckFIAyZ0oZO3jEUw
JoOArvCi9iehTHxNieLSDzg3EdO5GAIc97FIKxIPOcQF45uNsOhvr4v+7wjiL6WoLQKMeqmWodiT
6qmbB3lc+8YPDwco/Os0Q9l6S3mzm6LBnGS4kidRNl64xuBfssFf9p32cW+bvUfuNTcv2TzexfHo
51ZcKFKMmVR0F1u48YbwAx6OL31Cvnsdt4tFgsDvrCWmRouZQUy32aOH1WjPdo4LR9pttdckqnTR
6mj9kJbhftia4RpZyDlpfiOSungkHu8T6PjJUEySZgqy0HP6lxL1Wuf9xCGOPtru0PRJ55lyuEPw
u1k1uBN6XZA1YAcwTWzNDdSh1/H4+09xQU4jcGFKYzOnlJVmLIaWW/5tDzSdT+lUyq/oXaf2c5/o
OYXubVNxeQcBLCg+QHqADl8Weua5YFxF/UEExAzvUOVuZI7inN3yaYCAbLQE0X6Ysgbcpmk7kxdI
j1ZdYUf6skIjenlYyo337wWZIns3SyixgwdvDXNNIq78wgF1PIcNudqGNRyKmg93wHR/Hddrr/sL
nJ6Bi5FKy3TGLNagC6ntnrxbM0XTP2NQQTWHVE3jWUhoM5+V2trlYbBSd7djaeySL8pEXjkvTR3n
YqoW1E/AZRcQH71F0fI7eGS9YjR1BUoqVaezgXxdsbfmmGbqNqiXK2/GC/moyzPQpBLq4umuCy5G
m91MqV3pcdpFo/GcIek1uooLUcNFglGlgsG0kS7SnR2zQPJjm0Df6/eW8/bi1AWCQfK1t2kb6mKj
g/0YdFzfgDHO+H1XF/0VJgHkyEAeVNim1i+yh5K6ILb1SuyoyzgAHri9gx6SKaKtVDnFrhNwVx/8
Dsap2C0phvAmi3uj0YTNozJ913HidyddZNc+k20Ppw2H3pUYrwF3Yw4aaT8RM+piu2gSWzBLrhoV
ntjkYRU/cKKuHPnbV566bAK2nPoZeru6KPcuPlCUpR644JCl6tfyyo38N5n7b3CiLsAr7DpGIRyF
YAFx+G+tND/nvpT3cPFg/d2r9U9oLpbvCQFL3YpZ2ty0vb23GTW3gbb1hz6aa7CPDuh8gizCPNRl
mL6rQak95gH+68pBXLCbNHydDslsiAJQkuqiqtufY9fNB1Gu653f3XPcYcKnvqURb4s5Eh/2SNfH
eAa83G9xp37R84w0C4dN8rX7p662h0H7SX1QF4QWRXO/11s3FizObmzSvgcT+99eu3YxaJxAUDWG
lHsBTjP9iIuX3VvTT1fu3KWvyV9/zWQPFGqL8OSmWU6UP5cx8Xr0UxeC1q6JKpXNdJHp4IXbOnki
vNk++R3K2Up/SZwx7LkCx1uhghateK9sqTyAXv/Fb/HzWf2yeGlrUCi3KKJlUrWHtE5BhpfCiH6/
+vlk3zByl+agBu/MSKpqLKhFIZf08XxqNirfmTju3vUsUl+QWdkrUwMXvJaLvAKjbzuqeMTDqCPl
Qdm+hay9Ao4XUGG/cOHCrzSHsjuYe4aCBeQd3qV347h7PY+oC7+K6l4OGUVyJPgcf2lRc/iwJsPk
52tc/BWLVQ3qLnxmiHWSgxKofM/Kr5ZJXfxVN7ZiXQisVsxEQT5+4zmv0u+/v0IXjNZFYKFMykRd
9grPdf43q5YmX4de+GUuLvBqUVW5gV8GQXQk6xFqACLXc+z3HsIT47VtYaqH6LC1qqBEvN8x2Y6x
TzzX/c7FiR47qJfsYtAQUHv9dUAybbrZz5txJ3aAyRoEsevcFYkm0zujsgPa66PfPXdRV9VQrgvm
91SRRuwInd8/Wtl5dTCpC7raa4WuUYqlE8DFjqKrfoCryq+jRl3UlV4mXdp2wOOFQp9wTaq/zB56
5ucu7CqCGDZZBFyXmkx7HzLynJZq8eqTIDF8fQ3NuJRZD96dYrZc3WzAXx2FSD0/pxM/qiYYhrg9
1wHJ9J3X1Xup+ZWH1wXLdzFXfdzMHSiPhiKrQRuy2CrKw3Tg77zsx0VdCbJAvWpFAyZoESNERR4k
GJr91nZsc9PtEjXVAqZlELsxFmPAPiqvhNRLp+IYJ1NpatIEcYLO8kdXmwexQSfDa98u4srUoDdt
MpQWm2jLIcRxGCvPfNSFW9Vi3hMSw41bw7/EYb6b8qvfpp2srgUCEjyAM65JEma5PkBrIfM8D+d1
WA5LJQchuiJNseYwld1hYVdehxeyFRdqlU5hG1YywR2pMmQqHKoEP0fb6HyZ9uXF72gc48xWDkGg
kXcAok3dDUmbpzVetF/sdEViUEfPlixjXSFRMSOsfLDl8offvp3AOda73EKK2MbT9l20sduS679/
v/SlY3dMc5wqDDtCY74Y8Np8mJjUhwZlnQfGd8/NOwbaKGpXvZRIWBYT3gB4yE7NMPjRtFAXdaW2
kfaoE6tiTO0t68cayJFO+HlcF3cVbCRAHa0aClnFd21ylLXf3C11xVTsSKCf0oq6AAyI5p00n6ZW
+HlbF3VlZRLPmJgZCqI3m6eaP5mA+IU3F3ElprlhwQiPiBrOVxATncQ4+mUrLt7KtCGHeEY3FGln
v9gt/RiP4vvvL/mFGOHCraI5jSY1qnOLaAIPdjag0h1fOZH07Sedi7aKhnZp+6EfCh3Q4ZBEdfSR
B7S5S5MpO6ZxuUChmpKDrvS1Nsa/mIg3XpH/QWHNey8MT1XR6Wn7upkFs711XzY3NuPifS8C/Poc
jPlApr3Lxz5rP2Y7Rfqq+PBHM6brx0RO9oBqgn1qg7K/a0HQ9kJ7qKNUgn+MmrE7qHbYDybLQJKP
efa8bQd7HM2Q3olhbO7GZUlvm638S5me3NFtpZVfiHFxPTMt42Cbtr6Ik+RDl2U/gjLwGnIErv51
3pfGtmKESshO0KnPMYNk81GOnrmCizDLBlGNIsEdmwwek3Tne96Mflw51EWYzRng0xSyzkVSVdAS
NOKwxa2XJAJHhe31uXSNrMKSt7LYtuCGb2GTlxn3w9tTF2Gm1MyzUKxdEfSQqiNx+pxF4h8vs3YB
ZrwJFsxPxn1RBfprEmf3Wzh4ESTiUJzWU6rHvk1TGA1vqh8V6b+HS+qXKLgIsA3znllpcSQg7Jtu
W36zovTg97aJnHAuoNBVzoZXYJoK1UNIVfcYzJm5YpwXfJ0LAks4mZcOlJdFEwbd3bZs3f0OsMCw
8/rQckaOhMk4X+bYj7iPuqgwoiQ4uNHvKMY5nOsbazEoF/cBfJHXDXJxT7bm/UAHKeESwruIY0aG
DMoPFkpd5NO28WQqezwFZyE+E7aYo6737M5v504qDsZpGUIatSkYHaN8bmidi9hvugfiFq89wr6j
1UDDui00Ss552YYd9Hn5B7+dO0l4wqJx6npUJRTRX8XKoDkySc+qhMtEBdVTKJfUqA3XzVziWf+4
s+GaksnZH74Rdl3ckwFYIwzrSgIcV27sSI0VB0wT6IMek/CB9da8V5X0TIdcKJTgrd0Y5mQAyxef
6v6BJdQvIXdxUC3a3YBvTn2xLbLNI5ksOd2ukeef798bh+TioKBLLreeh0C0bdltnWXHuEnvaNb9
CR7lK17oX+TjW79xdk+/1OiliEU07Qx/wJTS9WZJxN8yluKZdBi8JHMdvOxLlbyvgnRieTvT9jEC
y4PNexvpZwa6XpUPwSK2Q1DW64/ZBN013PDFrTmxFNQJgaVAmRUi2A2UuQZE064qh0chwTly6KNe
0duRheJ+wDvlruZj9Mg4Cb/KTUTvuG63e7J09UlxnhwB/NJ+hfrAcRdZWIl+1qQvdr7Fxw4SP6I1
nqVXF6E60T1hDUMctlGW3cZL2B1Ahu7Zkv4PPm2eEjIpo8CjNteYY1rksQRtm+fBOHFej2ESWTmg
7BBgynvaK5uvxvPd4ULTGMpcE5D1ePrShecJ1OPBrxr5xS4XmibL2kLviPZFtC8H1dGfZUj2KyZ2
4cHkYtOCrEFRoEdVoDMcV0WyJgdr25UX04WSg4tOo/MwkkRJ9F6qpj7sdbge5Bal79eu94S/uCC1
ToJ6j6mkLfopTY/j1L+bN3Htylzav2Pj4OISCdoBPSb30uUhBXPoodVBBGPW3O+p4iLVhIiQgqum
L3QSm8/dIp4jMskvXgHYhaW1oGzqKYiKC3QjA0Dfsi/QFLvmnC/cHBeStqATvkq5YOfnyQmuHruU
PPvt2zHVemXzmJY9OaEKnuQNbcqcp+b77xd/M7hDI8RJecIdmhAmkG3RTatkh2po6W0SRM0XpUES
YnmyPa426m5+/2tvnhJEQ8LXEazsDa9DSBIV5Wb7g6bji+m4zzFhbecJsKm6SRtM9RV2q9UBgQ8y
ofHk5RmwuvOIBmJAJluzwLIYjT4tEDv5A3rJ3ZV7/+ZXAN2Wcy5djxqQHGFa265uym58nxp5r6L0
RmBWLkxqvxTUhbBtw5jFtIQFtFX5Nauyx0xOfohh6uLW+jILlz1Kz2vP/zBa31dZ/PL7W/NmbgWV
HGcAfJ7Rso6BRERhT6O0X0eDfKCAAN3J1mZ/VCxtP/3+h84L/ifBwg+5CRa4ozlds67Iqjgd8y5R
Gi3PTd5NO10e5KZXYPNXNUJRl7bAAJn52iDKv6HxjZ9226FZLGWNcN+jij7Mp3XZ6Ec+MRAYzZW8
nSZic8A/soOQAjywcUUOoWzESyK5eOx34tUixAG4Lp7CuywJPqIMwq+ia/9qBy+aSCztZGKrtODK
bNEmYLy/bXvM8sqRffv9d7vgVlyEXbaFWkEuuCt2sn1ooinKh0X5qVuik/HaZ+lgX0UtBPwKV+/L
Km6OqUimW7+dO74dJWs1o2+HFNL29NDa6Rvav161HBy541VSsOSN/Zg2hahDICYTUGFFYriSzVw6
c8fd2qCpW1VVLRq+248lGKfDvrS+O3e8LdDbIQkm+MNmCm/niXyfxOzF7o2I53iTuK4h8Qxh1SKj
KQODl/pqqtinBYG1HQcyz2oZOr21RbXS6BYSFPEBbK7izuuyuPo8BJLLEW/gIzYzkk9QLHingnm/
4vsufE8Xujaswbb1DAEOYk71vcrS7gEl/mvd6jdzRxyMY0RdpmqNJ0BT1JSJmzgBw3KQxNXN1iqv
WjF+wjGliPNqn7lti0iD43LtPmK+xM+/uPDPIZbWpOss0OsYXtax/b5Zde/3TR0z6pp+CfUytoVZ
eX0zG2UPmOKp/PItFw6/SKFIgiprsaw2yQXL3nUUsxBeW3dxdptkGdRF8PwNmXqPjKnGXY/9xJAz
F2FHUc0NhwWvPGhZo1JGm5xaxH6/nTthjlabmvWKQgpACPFjGnZZThW5BoO7kK64GDsdtBovorgF
k3OQkzn+YyrNkY795yZrFs+/wEnbt5p1KPqzttgxFTsKUOa34k+/w3FMFQM14aSHDHbUyM/gLZaH
uaPXRncueBkXaBfHwMJn1YQ0WjdDDlzympfl5FXWTjIX+BV0jKzGAkndBwya5tHnLWR+p+LCvmam
wtCkcI/JPn81+rZfuJ9zcTFfS4CCcw8iwqJZ9UO3NC9tt1ybK72Q0LqQr3FNzTSHYwPu+X7s3+uB
889VJOujkhLEpLSpwQWVRCbOuazD76u15ZUXzYUP7dJwpRFZQ9OsPZjSGaDEBkTPe2J/el1RFxGm
WQRasizCFU1Cfod6B7ub1Gz9bMtFhPU666BRs7YFIeH9PJYynzPfzMbl4UomYEKYpUib2jl6aUPF
jqGZ5ysZwoUwmzh5U1KNcRwnNR5hes3uk3qrnjOgrX+aDk7p4HX4LjgsZWalVs34C8bO5NJ2qPDJ
1e/sXXiYNDEb2Yh8eIjrf/oyLRYQL3pu3PH684JGtRhNi34v2pvrcNe0iRc5OCRFndfNrNI9GYXt
i7Eiw02YhLcBZ55R3IWILfM+hKJHjjCmZMxJWD1rufvlH/F/vP3cLUsFU1riEaw2IENovmkLqIPf
ZXGSMsU2MbIGT/cQk5oHk9hM5U3IK9/7Er5+nMXJFpieDX0hEvaJiqXDoz3zYnDGR3VyM44oK7RA
bawagvbAQiLzuNLXmsoXbDV2bLXpUqvtOfMLwZvxUO/Tfk/aPjzEbUj8XpcuSCyawrjZuun/cXZl
S3LiWvCLiEACLbxSVb25aLfXGc8L4RnbYhEgVgFff7Puky13uSL03qFWCZ2js+TJ1M9hXPTpBKmh
kNySwriyfRcjpihAvugE1qjxD7pNR1YPp75e23dlYZYb2NyLZb5SFHHRYkWYa8DwB5T6w92c5F7b
w9ySGcEaLpAV4u9Z9V6aJBDudSyYbbaaqwhg90SF4u1WyOZRlrFncuLixwaw0mrdIBVftLnvqq98
WE9eFubCx5a9DgpuWQUSJjaflpiw+6DPP/kt7phvNFgGNRWkbfkkugOnSh5XsvpM6+PEHdvFKIHt
mxW+Iae0OYRiao9BNP/tt3PHdttm04nM9+p5jfl/jdksWLsSL10z7Nwx3bCfprrhEworGCR/0HE+
PcW69SusuICqAfDouK2sfjZjbtNlSv4totHve7p4KgCdpKUirJ5nOSWPKzQOoAterH7uxgVUVXoQ
YmCAGVO2vu+prU5QrvJqh0LY2rFPMYT7IEOkJSBfUk8FH5qXsUhGz61fvNxPrfUNilVmDNE4s2P3
TdL1TSdvySNcNviKE3ORfbPteFhFFa55T/cJrdYEnfCdQJlNoI3z0HaE34i5/x8lvfavHHMt93UP
Aw6E1aa1Tnmp8rQWoXxYxml+ZANIzie1fo9MMjaHWAdx2oRiTDGtPT40kAc6D4LyO0hJ0ft8qOSB
sLB4ifgcH7c5nN8lIEkCLUVOHkDjz++6Kazu8hl50YGNoCI/0m23J5Xn0Z1NjD61yZKHadlP8YOY
LcafJ7Bon+J9+1QEbXM3VGsX35G1M+sB7fO8T+fVghVQaUM/1iVt5GGdgmY5AuEZZDTfwekHQYVT
GF5mp0qQ/d03U2WAky92IVNZMP1YckNaaCf1PP87nknzAbo7aHAQ1D8/SzpuL5iGpY9CItAJQ2Fe
QPna3niqruQ7Lrit2Hm3NTWeWpA3PFO6H9uhvRGiXe7ga1/VcWUWPC88IAPaH0s53nEM7UFqTosT
Cxb16OUtXYAbjcZhrUvcUSp3THz04V+dmW7hh64czW9gNhFXAl8KcbcQyWFfo+5U28b4DKnxxIWy
NT0ILXqkms8N2HDTT2EMGXevQ3FxbIvcwZmyoaA41lv00HQbpMRwO/2yEZe/q9iM7KCBigrOMrYH
CQLIk5Vjd/Lbu+PP1LBUJjIGMDnatYdoZm9HTJh7HoyTM7BAiApFVoR+gXrgSVscUG/xjOhdJBuB
tPjSNx2m4bfxLqqWMwA8XiBr3BUn4ggXYNYZAMTPm9og7BmE6lOyqPjjn8+cXNzsK4bqQteArmZo
TaK7XcZKvIkQF39HGzo6rsDipfuWh5/rZtwOkwm7+wjO8K61YVQcerLxx6q1a4m/xF95XTDp9q2Y
DiqMRjYl4O9ddY5z+u841Lf03688ai6WjpM8WmJMDz83QaDaA5UbBTcqOk7Hfrq0TmkPATS/6+ZC
62TUWI70onqWRX7uWPEi15B4ri1/ffeTSFt6EUV4tmqvEWw1SE+7lvlZocu92KLOEyIBqzBHM64p
BvZiYIpWv16TC20rzDozJUQJIp8oBF28wsvXxH7xkAttKwtrJy3gnbqkI4e8FXhFV3sr17pmKS62
TUAvKtFDjxJ5vI0fympl9xugRCcgkUeZDijmnTdoM2XN2kCCoNH6pZXDmGIWOR8Ohun57TrY6Mbj
d+V9/f8mf4r9bNxItc+X3CyR/4wF6EmVaQOUSNfxxht1xVpcPNyCJk+QFKwE4USzHULM4ALEoFqM
5Ei21IeiM17gOJ644Di1knzdWYKCL9/PC35aWuroxq+48o474Lg/+8gra7gYOGE6PkDaErbMLUpZ
tkLkVs9+xSYX/cZmNImTGdhwCAbxU9Kz7STq4NOfd/46cRZPXI62aud2BSSzeiYjsQfEn+DJKJYF
NETQyQFiXI8PQ9LrKt1FvKXQaRyyoAZz6Z///bWDu1ytny4phfRBM5sSroTRr5Wq7+G4bqQN15Z2
YoU22uTEOZJ8Hc/vxAZxQ4j3eUkk49Qu//Snfeu+R6za45u04wpytWn6tHY3i+n/fwJeeXFdorTC
LtuWBwhzui3UEGXsc/5hXDENllZyb/fUtqz7T4t6zA+5RTn5WEZVbg71Hk4PxOzxPZvy4LNaatjJ
oPMjzSP6tAHGBNz/JFMI5fX/DjkNvSoe0uVTChmxAoQe5TPY8O7k1GnwY6gXnwsiXbCH2CEcZLZd
gUUoEmkSbzINdq9iinRl8iLgGPYi4gWOeT7orfsUz4Hn0k4pxQD8OumSFM8gQdqP09RXZ1ScvKgD
uHSxHnK0fSA08sciaaOXaWXTv7oWtae/ccJJSw0dgnmrnvkyf5RVCxbeVcde4VviYvUaFbECkS8w
B+WhXDHVyBi9VXq+ZvHOoYstiW2F7Pl5tnQ7rZQuIIFUNxzl64tLF60nyWDqPsZUL2uabxt6fjnG
Gb3CNekC9BB1rrMEWeFzHBiScqneTmH4zs+ALkXonzzVbGMAvTqEtFvVPOZ4pNCo8DVOx3szmgx7
teryORdGHZKJHERvrddNkS76TUD2YFVzUj4vavw60mpJIxUtJ69TcRFNgAezEZ8T4GPGPyjZvHRJ
/95vaefA67qlLY9XLK1bc0iiTh7HSPr5FRfOJDHLj3I1D7Kkasxhbe7NOk5+B+5ipiPDaAXG0CBb
MGl+IEFeprExm98dd6FShQjrFTESdq4ncmawoo/VvExej710UVLgeo1ytqwFCp31qTDHZPTiUIKv
dbxhvUd4LYuheI5lf9939mGL7b9+N8WpgMVNH6mF2gIc9ps4xnzaMGEuV6+4FsOtvxp+1/R7ExJs
vN6RY8QEuc5Qxl5UYVy6KKl4H1DQ1Picc2HDs42r8CApz73CQunCpKoB0/fVUgXZ0JT5PYRgt+MM
6LDXsbtUZEpIMUG1Js9qZV6Cdn6z9NzzlrsgqWLHtCL4fGBDdYu3TWNKJTCD3yV3icjWeaccw8XF
c8DpAyOdejBrUjz4nYoT0Uqj8NKXpnwW265PVVjKA2u3W3yYV15PFyCVRA1U5SxWH+3bLfk65T/8
du1YJ1R2y2IgCCcitT5wPmd9eWve90pmJN3JC7OIhnASIDysx/gdA0t2WtNEHfuulm/swn+oum2z
Pi+W52Cel8O89H59VemOZUx46QqgXIrnteM7OBH35aTWtjp6HZoLyt94S9Zt5OqZ4dDGYqvTelZ+
XsfFqgUEX7mPJZhQwtIcomB/WqNQeW7ceVp5q7RVQaye5VAeTTwfYj+dco4pr1+9ZTJbgUIQwdI5
r9Kq3b9ERe/V+pQuXC3swZ0Z1Fi7Hvg5KfsfXQvKB79v6ZjtbHlRgxtcPdNelWkbrtWDRVTmlQoA
MvfrqVS2CdY6HrD6ZJcUivKnNp83z607tlvXXCs6t+q5qcYwLaqAH+YJMqV+B+M8rhCdhqblioPZ
h+YzRMU+JVPhxXyIy+I8rapLGsD/NEI8INUf4rz9VMRC+zni34BopB1sEy64LTRCizF4ssCNeZ2J
C0PrECBRE0o8qyuaD3m409TK2a/1I11dSKbankM3Qz2LYGMHYyMEkcXAbtj+pWzze01EulA0KHLU
4O9IgqwKSJ6iZTikvdTrcQd9kefJOxUjkBgktiY0yCbIdAF6rMARbz1zPBeRJoMu4ZPW6rlbWHvY
o/LDSPp//b6rY6Z0Juhfa5pkBQKZrVoeJEn8jNRVh6wjZaoO7fdMgPIP81PJ/DAJG/tVjlwoWlPK
xdbFlmTBavShGYg49vnml7G7SDQxlXGPRie67HI85eX6ZhDtjVO5vAqvXEYXgdbQGkRlxgYZUAXt
XTx29rHKo+lx4RP7G5Wq6s7rw7rtdxDBN7lahgQEAuoYrNsGNhZPcKd0oW5baYXckeZl0BabnyrI
0j1gvMwvwXYxblIlsgkMgux8a8LT1INEb2mD6Mb5/78N/toHcJ7reReq1DNMFQXe6oixze6p3ip+
sPXydbUD3E9I1wzcnWVq8/lFxMNb3Yb5cUsu2uyJel9Yzu/XrVkOaMsCz9HtH7qI6UPfs/B+1sVf
etbqAyv7BzINb8cKNDIhA8qTiaU4E9JUQHbJz15f2UXR2XVT6KPseVbgB9G1h7Qz7z/6re3EB5xS
KiUJZLaVtD8WefECIM0t/uvLIq99Bcfv7JVuy3XekEnFzVmu4MhqcT1vfONrizvhQdf2UCsJoyTL
jThPsbygg/08g8u4NrVBETS8SjI9RHZM9RoG5mDisfGbIZIuki5JbDUUlCQZKF6ng52Tf9Du93P2
LpAuIvNAZrHILFah4sdpKW15IG0gbkTwl9fulY/qgunIEKNZaOGT61oNhxzkLA+WzdWJTGr3cw4u
oo4WKy2HiSfZwMNM9y1wtrLxTBJcRN3Gyn1bNCY+QBjDmxQD9KBnWROjYr/ihMtTViUGfBf5mmT7
xHsQz+n2rg1aeaNte+Xau7g6QfNZx+Dyy9S8vh+C8O8tZp4bd8zV7gt85G5gUXQ7Nu0pNIXnO+UE
2/sOys7IdDCoOL5jaFhg0IHcatBeaatLF8YFMENbL1WFL7rM1XEtZ3k30n08NPlqnmhX1Ee8kfor
WkUhTfXA80crTHDqRaLvK433coGW8I2r+7qwB5cu7CvnRMzcRHkmTDg+GVm3T4lFsS0t91CdGqnj
HrmMGj4PdsibA2Dk0ZIyCzTUkRJePqFfVx7rSPRzimHj7alR+3R3acGWaViU9T2pwQH/Z99/xZJd
NAuSZDIXQy+zdoraU06n6Ly3K/8IoSTx8c//4sptdUEsTQzWfW4jmZUq/k9R87XvuZeeBZeuTl5e
NWC5HBo8XUUXH8JuYOmycr9Y38WwjOsOPMFYy0x19BPDUOZhDs0Xv0NxghOMrE+g1pQiA7iDnwq9
32P8Zzx6Le4CA1ewYkVqlkkWxsGbZJzvCdPv/ZZ2yisI2QIRC0Sb/U4/tcMEVZpl8JtPRy0Yz81P
faiigSXsekyyaI7f18Y+NjBWv31f7v9PSy88okPcTXCZuXzJG/p1SaifN3YVPXlFx2gkWHqk21OV
yx9BJTyXdrzxOhUMPFIwnYi19YGJCWyFoMXyOxL665EUZT92i5YyS7itj/kMnPTa1zd84BWjdwGB
cZQ3a4cyerZKoLPCutlBsCP8LqEL0Uqg/RiFQJFmZM/n+xzkdhh5jT/8+Vgul+2V2MYFaMULXVe0
oCXyTb7c26YK01jk+1HbHR6mIsmNvPZiMa/9H+fbgoUSY7XxLBHNzyglWEjtFWDJJ+bIeVg/hMkC
9GoB5Yk//6wrH8QFYq1B0u9bbUTWm/CfpK3eckL8KoAu8kqCv4cWwSCyFg3HlPH57c7qF79tO2U0
kB0AWwrJmWxg6wczqq+QzfULdVxAFhfFxFVF8S6NXf5l5kX5CUK3XrqWXLqILE7jZF9rbFxu+XIE
6dxfPRN+2E3pArL2aqEmz7F43e8yPScxwGR/Pm/5+q10achsFBe0gG5u1ldR/Caq4uqprKrlPoLk
Z6qjvryryRzctaEyN+ztdTsQLvFOnU/FKm0vsrJlqGP2ZVo26odYo0ygc3Okevn45592xQJcEjRd
JhJ56CyyzdTs2QQjOehA+KHUIML5qzeNLlzTBV9EtgsB3HN/YVFdA793wAV77XU/A8JVcVTYtD6q
WY+ncbnF33ntXJx3oOqKYeDC8AxAirNe6/t2yL/5HbkT87OyWGoQ7vIskmVy3KvkpbuoR/st7riG
eh77PZ45Q2UB3hoZYvEB+Bt1oyFzpbUnXDAPA+kGneoO1wVTcF3aFmz8q0hY9Jys45eO9Nupq/fp
BGOZ035dpjcItrwYxbhwwT6zDMcVlGIsw6iSOk5tVN/FVMdeb7Nw+ajmpaNq2wXLyJZHePTD+O0e
dtGtlOL1B1S4oBxNiwEStYJnyVCAYmTj1REc1chY8iFc3+1oFfnFi8LF+WNIdqdMhizjJB7fMz6u
h5Vpc+OBft0uhAtZLBUJm6qKecaKRJ4G8CauoV8yDD70X70FwAVkW/aJZUs7PCkTfVPzrVmMa9t2
bE6HJSaDMf6cheM2nxjdoseRWXP0MTqRuEaHKz8D2H858nU+dHETHxmUgb0WdzGLSxDxvm5inIq1
dYrKXvAYNWL3XP3y5P2UAqihNcNCcFsE6SDtW6/kHgXo//y27uRF5VJiSL5K4IwC6CZ3NEPXz292
R7iArjnZtaoLOLqR12Fq9vluaAo/LypcRNfQTxha73aWqTEIj7nOMQMABWm/6+Iiuli/dlvJV5y5
LX+IhduDUZiU8TtzJ4LucoyYaN7gLuq2Gg/hBJQoz2PmN30jXFiXRnEWzlHj3JftfYj6XTrFsV98
CNXEX2/j1i5DR+qWZWUY5I/TYL7tZpn8PLyL61I7Q+cJcPksmbbxMV9kdwf6j1tTmVc8jIvrErQu
J4rJdeTS5J8wJue1H7/8+ZNe0vHfkyLxG6hrnDDHKneaxXVN37Vr2D6aIR8e1FpXfm7dhXYhRLA9
5KFj9OVMAMYxkUJ+nntlWWDs/vWrxph6IqwJ4iwioP1RrLtjVXSLavzauV8O7ScHFg27bELbY/HS
TimoH594u3vlWUJc/udPawcUdZeAFZe7HkK1wKLeDq1fvxIJAuBfVwf+KidgxWZZIUFa1OgDEKme
G3de0pkxXBnesQySO9+HqvpSU/bhz5fx2nk7JpoXikSDxq6jWr7d1+p+Ibe06K8t7Tyj054XrSlK
mkW6Y8fV9ibtu8APRyBc8JbOCyuq2NAMem1fSBkcxzD+4XUmLnaLri1jfQmBnjmBOgdoVNu0U/F+
9FvdeUWXhe5AAHdxNpH2r4Rp3HKA3LzyBeHCt8yMAdgF6W2GdsCa1pVSaSljT8t3AVxMTgaMIUuc
gQHbpJDf/Xdfm7/9jsUxzr0XahgTG2ddI37QIfwhe/bJb2nHMoeyk0m5cJKZAYqkKTgq9ec2lotX
jVH8hh8Ih25RYU+zUXUsjbvwTZ1MfubpkpUNVPIBcRHFCxoeeVuHB10Ufpg54ZKVdZMtw1y1UcZy
/S1Gy0VrTwtyTF+B6JLEEFXPwj1+AXnsm4QknpGiiwuji61y1VuSTTEIKcSiUddVMvfqhwgXGtb2
SZls8UCyWutDvIHVsfKjMhAuLqwD4KCOSI+lY/Y9UcX7BgwZXjfcBYW1FI0+gPNpxiEIAEKM4LuZ
/SqfwqUnk8OwlJHdaEaqKTw1nbxbksJ3ccfqgyZRVV+rKCva9lO0N2C6rKa//A7FMXsTgWtnmTBH
2Y2rTteBvxiUoQ9+iztP8tat4HSQmmai4+2/UR0WHxQpvvst7jzKe6/FVnUzzYZgWx8iW7/rptWv
ayFcOFieQ0JOLYRkWx9sd9HYB0dp/eZPhAsIi6Mt6ivQuGeTaT8uoofMz+Sluca5G2AB3rtFed51
WR8HH8Flg3nTJPCqk3NXuSAQEa1WvussXhd5DMSgkCG2fhNF3EXQhw2fiSKqzWS7bAfR9E87NBlu
PPmvpxOQRvk17mRTwdc26EwGJNf4boqpPYpc9m90jqLdn+/jlX/hxloX4QW0FMsuo/vcH/Zxqg68
74pTuYa7V8bC3ZjLqGW3cqraLOZdBs70B8g5eTlHXJxfD6jown2y6M5lK23KDNzA+alaIz9CE+5G
XFU9rdA6H03WYBa5NnkCNUD72e/cL9/jp4RFlhEgxEHXZEXY7I/KMnk2Zs2PoH2/lW9dDuH3ZJS7
RK4WGMBwYXmTkcCEHwJrdZlGtR3flJVEuSGo+GkrKL//8w96PSXgLsJvrMw49JgnybZ2e8vLf6Gt
7lX44i5PHkBZ0JBcTZMNO/ucBN27qL5FIHFl0y74PxwURWgqu2wUoz5Nw3nvqR+hA3fju0CDYxtc
WF02dJ1Im2p5IlA6vGG21zbuPCNTGS59YqMmm7oCALBgqVPVe0nm4to7bgezOpK0QIJmjPzYJJKN
peSB38bdEK8eFjNSW5qs3vIhnRJaP47zckvalr9+5d0Qb6IiGsug19mEF1A+xZQV1QFJkwXDimDq
u2bGDyLH3ZBvQJy6bKbVmIEN78W0fDCLH3cjd0M+O0paR51ts7qpvzKz/W0CIID/bKZX/L0b8nUW
9RHTRRpz9YXuD5pDR7ceFbqjFYbivCIo7g4CNLOuc0K4ztbRLgepd1Bc5reA0VeuvqtaTtiGKvhG
dUaiODkQPjcnIwd+43yuOE13GCAuA5Y004j3POn7N9bmkAcVHSjtSIL57AOhwtxvjSY3fNu1z+HY
MRu70O790mZqIh04TyxFlIweJtFekrOcuzFhrBjRaFHjiQzqVFJQ11Cm/GBJ3I0JuzEfQTyOxW0X
x+eGzPc9r27BRK+cjZt8t3ZM1glap1kNMOcpKfpv0Hsun2pK9Y2PfeUquQj+JhFgqBpJk2lqD2MO
8pF4bT7+2dCurX1xUT898FNitzJoRp0tXH0vAvNpDPobAdWVO+qKg89g6NrVZpusZ3Z6z5Fl/dWj
2augec2GtCv7FrTB0q+UwF2y16VZ8kFTRLg1K8k9X/vymORx4ecqXJz6Itudr/sEV1GN30s6PhAM
ifu9NS5EfeFrZfbN6KyiRXtci+gtr6f25PV9XYz62mo0zUAbmWlB5THhRpxqgC1vtO+v3B4XoT6X
4COiyawztlbPEXKWNBmmr347v1yrn27mXMSk2DUU0LqVP3YjL1IFYQe/7+lC08t2D0WXmzqzMfQR
Q/vUTPM7v31f/MTP+97mCqEJqbK2LzDR0HdrSkY/OSfuYtIDmsRzLWyVgdGrOYCZIzgosvuloFH0
687FDvDzvJMyG9r8c408cdfTjaWv+ILfxqemvDQjupMZ9AlCk2IiOX+MzTA92bAjLyoICMj4dX2j
v3XtWjrPVQIwRgsBwDLr5Jw8gDZWHSTm8m7Y6xWH74Lgi1Fpzuq9zGaoO/5jt2m4U5RsTxNoZ2+4
zis/wIW2s7zaVLlOZdaWOarzUEg+6B6SI1431AUuT7mWGGxVWJ1tj0u3Fqe15+O93+KO2W6jXc3Y
cIWS7vLWsPkhH3c/ri/uIpcJX6c81pHKqnZJDlrxKA1Aoe7nE1xx7hqN83YRm8psMv9dF2AQFsUH
v0O5fOeffIKYNURvgJrKdM0+5ePw3EStV9eCu3SmeazMJEuNpa18mHX3F9XBf367pr/uGpzyEElS
vcrKeQQ8N96RwnG/Ijp3ocsmWnuTd0FwFno82mZ8XIj5y2/fTmJIAxuihoalc0I/0Z2btArAiOi1
uDtnAVWhfeFVqbIAJbvTWl0EhgZIXvut7qBngmCZu5ImwZmF7UsZr1k+S79IwJ2zUC2aQ2qlwVmW
Rrydtk68VXPu9+i5XKF0tqqZTKGyuYuWt7KI7amHSNuNQbgr7tBFom+BsGTrmMpMQy7gkxJjoiG5
EWdceZpcJHpRwn6aCFsv5zIo0iSI+7cMY9wt2D7odD+HjT6SJLiV2V6+5CvlLpcMtB63RZLZBue6
D0p2WIOuPHaKTz+knvgdim3t3Wb64LDHrPBzyS4onQRgrSxFGZy3fe5+BDKYjkgocq/mI/Dsv3oJ
AhEyBVEs/CBivo6FehGYcfCzBseQi7xjDSaH8ZbwH2DX6I4lZfTGI3jlO7i4dCg8IRRpA5W1Ejjs
hhtzt5OpftK6gsZLlEDVHqiepxwYML9H/TesOhSl2mkag3O74hbLCoy9tfHr6XMXq17EyYLbi9oa
Wc0JE3ovZlA3Yrcr1ueC1fNkiqpmqZLzvGyfGls979XmeSROrFwstgzapFVZnG8CmqobpOyY3+Vx
oeKh3TBZ0uLNjcPtKRL8R5MMfloR3EWKUwopew7w+Xlux0e95U1KCbmlqXbtvJ1nd44xCs2Uzc91
3TzqMf6yoX3tZVAu5+NYiGhaVBScY1Z+I8aae0omP6AgDx1rBZtk0w/7mpynsPlREJaDZznKvR5G
5uLEY427TfMBT4ABKkvq5R8Rzn5qsMwFgkeJ6cvBtsl5q7Yv4Jl6txjrFZ4xd+4inqYyX0OWn8sd
U4J7tHzdBqZuuN7/l/t+f0yYizHXPYu5wkNyBta2zTYiJojZyvlZVdDTeCqRRNz3QMyk4NfO74Vi
wQtcXPu4gZkW1LDDbP8myaReKAGHWQo8c3yY1imRqVnq6VsMKaGPoovq/yq+xyqFjCB/N1etUGkL
cRqFfDyaf5Q2D/+Owni5J0Ff65RBb/SkldSHSYbz10Ka/Q4NBmACbNO8LQoCpem1mix4mREIpyZI
pjktcGWyjsc7OPMh98GVbAGn1qFN46LQaWMH8WYG3/yXVQYFpvPkwu6gBl6fVRPo+wCztI/cWoMt
2STxejWZC7A3cQFamCgCI3w9lulejZlExdPHDpkLqd/YyDHOleRnBg6nzvIunSmcyJ8Xf727wFxE
vYHSYj1fNm4AefkxINl7BCvx91I06lnRbnr487953U0xF1w/rmZgfczzM+nD+1zqDxYh/Y2fcG1t
J6YouQb6dRnkOYd4UBro7cTi3o8zirngeqhk8b3M9/zM5+hc5uwTxpO8AlXmQuvzBfUZnYzyrInM
0yj4EBDCbpzJ62UHjO7/GmfJTkBcLZiTc14DATNFm7pvxpkc2nH34zdnrv4zb5ZxbnqIIEx8bFMe
b1kF+usb+7/yTV18vd2ThdQBl2cUZR7JXpFDt5DK73lw8fV0yQ1kWXd5ntiyHS/Md4e+7nqv1Im5
+HrVlVNQgK7h3I/5t7Ij/4Ho+f2frej17IP9Rpe6T8Cnh1N+Lpa4OZaKLicRgV6/kmDuStpgf9zB
nXHjn137BPTXK6RRlllBlpCfV1NRFOHaF9YIr1Iwc5H2FQ3joSjhdbYpGQ99sp6UFX70Nhg2+nXj
C4tH2bIRG89DfWdC86zG3G/YhrlAexlBIJvX+LpLK2MgkWR1YryRxz9/4Ctn7mLtWbPyRkyIisaR
54eA9FWa7NT4GZULsx+NAOurYMk5Nmj7gQJoSfe4+uS3dac3pCpSXtjvkzNvZ7Awhd/KOPdzlC6B
6lxA5HxrcCoYZn6Q/UMneq9shbkQe6NAHhnsJDmD5y1resQEEHj0qnIwF/8lgqGdY3vZNddfMBdX
H4QM/AhrmQsAkzXZ277ak3MH2qnCBGsag9LE8544DyqunYpy6Kmf1y55bpt5OBZhVXpeccc6yy0a
12BS4ryW7X0LjctDJQtP03eRX6OsCl2Xip/LtXwTNfmjXD3DfhfxtRYl7zgr+DmCcm/aEntPh+Qf
L9txIV+GFATEJhU/1+PnKW7f1t3i58RduFeDMfpQVCU/6xLWnlD+GMbti9+unXy8gWcicjPgRp2C
c7D8E9X7B7+VL+7xpwr4mpOmDcnlrAMenklQBQ/rgHKb3+rRr6vrBtSFw9bwM2p57MiZXQ+1JDcC
3SsiIMyFSM2NXsH0AugbZpVh7htklw5rxdUjWJwQvrPkWxKIIt3kyt6ErOFfYcvNwzbC9xR5H5Wp
qkN74tHE0GYMqEgVHrS3q6EFQY9a59A87ImfY3WBIRG0B7lNNDuvJL1caj/9SubyQ3I1d6zSWDfk
3KZ93oVpW91IY688ke4UQE5HJHg0ErDD+k1e9lFKhfATL2AuSsyaNmEFBNDOKHf8x8Pmywxr9Lp1
LkishVIBJzRh560N7bEMB3sXsf1WgfLKqbggsbqoupEoxc79En9gtalSgH686kDMRYWtCQFXF6cM
2nfJAfHlf8nqJ+XCXFRYMINBnwUxOydIntN6X1CtqaXnI+niwpJEITIbS2x84d8XiZGOOPKj+mYu
HGzXNegGFoD8ytgEqWB9lwZgir3hov5fbX+lVuMCwjSNhk4vuC0XEFK6XHhoBAdrWUrwvh1aJaMX
ldPhY5iDL/mQT8lQpqC1S+7bbbIHMvWb57V1nut87JcwSHJ64Yl8DnZznvPIixefuUCrskR5Ydjm
+DwW0bkx3ZnkynNpN/0tt5m3RkbncAHWLQDfezRVt+B0V2wtvmRnP71O8GllOLcRPZtyPkZc35N9
8ctMXdnvyTAzAhxJz2ik/o+zM2mO29ai8C9iFUiAA7bsQVKzbdnxnA3LsWMSJAZO4PTr31FWMZ46
XYVNFq6IokAMF/d+95yTiOuiXuM7j76REfg/lpkJFBQ4RjoxnYZK8vaLjnF/3NtI+l18Xaa5j4SW
EwuiKwLppz0cL96rzaXDTLM0RKFX4DopjElC3neSe06V6PevGSIQ4Ou8hVealTZPA1GEe/XVa893
QTASi67rwnDD9tY3R17bNJcwpffLC7ooWEC7KGBJTa7dGv3chh51EXHnxW9MFhcEiyxM41K771dR
863o1Mskn+YmnznzjMJcGiyW617bLtqvJulVzsvyW9fwe/foG1lNV6l0GAYtqqzfUT3r5o+aVc17
ufT1t3gV1SPrm8HzVuCiYTuSj4zH24piAP+wbgFY0ckv0HH1SstIgYdc4uWazXJ7DCpjDqlN/fpA
YpcNIxxFjNDg6Zymxykb+7MUhPnNTJcNm+BF0qKpEqNi1ZIHE3/ukc67czbempvOgt2lbYcdl8ir
wGYDr18tH+G1XD3MdRvd2Stv7PDUvQBTVF8zXa/XyoBlSWV7GEx073Z96/2dEzUggYy6jSzXdEsh
uh926lpKKp7nknVnr33HJcLKuu2RFhuXK8ww+scxQBd7g0z20e/pzuEKTUyDDnmMDgWOkMso+kZT
6xdrui7XvTQNlP7kiqaV5igDnuYDVNvuzJwbn9UlwprI9gNUu9Yric18phDAeiBq6fwOEpcIU4SH
Wddm8zXJ9HEQw/Oixzvb8a0Xf/n3f0Ucc0952Sk7X3WwvctknR2iyo5+k91lwpCuGyfWkeEqp+Bo
9Q/IQnkV1WPX4DpicTLLfR2vjIcQ+9XmtMytXwE5dpGwuWfTGm3BcGWBqQ6syt4HTe2ndB27Erx9
ChfehpjxWvNPLVEW157Wc7xdJizgM0EDA55tmfkmqvGPYPAcE1d6V7bwOpR1M4LrCERuIWBBJ+m3
eFwirFYU6a+4GnHDBB1RR+QQJH3md2C4RNi2avViEo8Xr+f90Jnykkw08otLXSBsbc1gAXcMV2gM
vmlJ+n3jzQevrdDFwfae6W1Fu9215CtcXun0TnDP899lv2xvcYxmarhaRf4u5+QjkYsX8hy7jBcy
x0O7THh0Ocq35fYAn2u/66LLd9m4rDsOlfhrHdrqKDsRHiDZcq9YfWMf/EcX8F/7oISmet9BSfk6
ogr2huowOb+k8P02QhfyQpLOyLgKuuvG14+RDt/UXfvRa564NBcjcASRpuquyZbsZ6nIz2BP/ZpZ
Ypfm2veubxt0AV6nav0rAphip7vB1o0Rd3GutOQcLofCXNd0eZMM3WFbVr+kt6v92cR1C9mNVV8t
FE4LnvD5iYQq9ktOu0BXB97DMjBLV4S24oDuwyNbodPp9znp7+cxhT9gGCFRf9V7UJ06ZuwpzfrQ
89WdALdcJARa1qi/bht/iuMrnZM7IcpLhuKVrJJLdOmZRQ1qGPrKyzaYTv1sQPaMxJofKXSt34dz
nT2mi9z9rKViF/JKWw5F33DCOLGEnMrU8kM7Dt99PgJzIa8oVntDk1Re0yH40etU5VlfKq8zg7mQ
F6z7ZLgHXF2rwXwKoU8ueOgVzDEX8koqsvdiMuoapJY+2jE+ynLnXpE/cxmveBM8KqdJXccYTPIU
oEk4I8gY+g35y5XmX/sv9sesM7ZR11iR7mjmAd2XUOfwfPrLHvSvp89rV6skHfV1r9LvymxXWGrc
Kwz+E83+/9RnLucE/ijjaELVV4yOfUzKrtZ5rwcYlDKl3lZlIs5xH+7vhiW1b6Zm3E4qNOFTrIMG
e186QQ5QSHV82Qx5vjBZjod6TvqihBtueIoHUF9RrzaMNqfoNmEIB0xTzW8gOO2H+zOXoSIWem29
wOqlW/pzZuFDbzevXAPC8d+Hvo7SZgsh3ngd+zI3HbR1Y8v80vDMRagUnKz7sEEeSUYlBPj657L1
tCdgLkMlaDZT7GVbMRv1KCGD/ateTP3Ta7q7EBXf22WG2cdeBGL+qUZ+XCLux2Iwl56yrOwzsbV7
URNaKTT9sfKA7iQ/xVnmikCYtc3WTJRJAQjhLTjKJW9M89lvWF6Sbv9ap8SsALA3tRfjWPaHFV2X
D2PKmvd+T3f3mKUMMl5OW5HaNSpKBnMnKHpYL+CDuXAWkshZ1qk4Llar96eQNuIgYTzkFRcwl89q
eImiddWmRRDPH1MkdfKal4Hf9uhKn6bQJuvquEogdULjfEEkmTdVvHhd75hLZE0KFck+sVsBnrw/
L2PdnpfST7aZuUTWEAeNHNOQFkucfqu0gPVed69U9nI6vLKxu0BWQyy28rilhRmG88Y/6dL4naUu
jIUyAPxmdRYVlGPtp/VAD0gre12UmMtizXREgAG90CJobFFaSOyT1LMpgLmSp41OSo3relSgc3Y7
jjxlx4b6peiYS2PBIIebuh+jYu/D4bAaZBjgoehno8BcIivT6OMO53ItDKvlVxVly/hY76QmXpkG
5uIZAfrBoLEhaZHW6G3LRK5I6wciMxdNqFMT4C6wY9iTbsjDxbR5Lf1y6oiXf991of8ok013a0GW
ec1NPabHAQeU3+biwmor/OxXBUW+An7H8Muu5EVm96jVWyvUuc9Uy2CaXQbYzI2AqUo3PvZk/uR1
WrhSZXzeGE0yGhU9rRn83NAEMHMkHfye7ox5ttDWbOW0Fs20RYc2mp7KYPSjkJnLqmmxJ7ut0qhI
DnKjXZ5Ug+9EdDL0ytI03kseFdXKHqGXBbVcda/8cuNruqwa3/o0a/skKaTlH5epPKOl755w261n
O5HFrLq0rfSSFmFN36Gj+EO8pX4Hv6sF21Eth0ZzuMkGlawOQxPBcR6VO+anD8RcZbIk3MJwSBlW
EDWQE4y/NFZ+8ZqGLjpEpK4SUeIgQjqmRjnNJBCzTe5Z490YdBcdapIMyBoEIos4wiWoQtnonVhX
++j37i+piH8Fi00XUaoNIjkTDGOedtl5bfw8p1BN+P3ZlaR7Fow2Kuw6F+G0PG67n4M6c9Ghfo+T
jW9zVIwYmXPALEqY2UL8EpnMpYf4tAKCDTHm3QbAw5S0+ZilNPAcc/r7uPQ7p2Ob6LWQU0rPGULe
U6tW6beSXGgwHIWCvFC/FVMdshx19gX+9ejl8psvzk0UkooNtKDh+qySpQHqEQ2PGsUBv5yRKxw1
sXSSS21oQUj91i7zZZtTzzd3cSY+EBNtSbAU8Uz4hdfb/AhDDuaVsmeucJSaRZfYtVyKZlfxZWpr
+QnuyPdc2m/sAS7SFHLWIZfUUBwY2TEpyYk1kVerB3ORpnFJBROj2oqmS/o8QF7nUMMV3i9P51JN
uLUk/bjhxfnQR08829SphFKE30JyiSbax7ypGAadxK14CoUdilLt9yQJX260r9xcXKgpnZeaStzg
sAlU0zkkKf0peaI+0M0Od/6Al53wtV/hhF5kGmCnZeLwxUM9e64yMRxlMiSnVWUBzhDqB7cyF3Ti
PbwK+iUNi9TU31javytL6hfhuZSTDOZg7DULgcK15JlmVOfVlCR+iS8XdJojhmudeHn6kr4nPFC5
HchfXluZSzgNIu4gcLWsBUSL209K1svzktLy3k0pe/3buoxTulmSgoVeChi2bx+6cKxsDl337iTb
KDjuVA3vxFCh/0HVtfr833/S6wUE5tY76xVHFYS7bGFkGD9sAa6uIgjOBJDbFwh6b++msEcm9L9/
2Y1NyWWrtomarR0YNtR4/gM9AN9TLvzOMJet6pN6iTuYoBd6yQ7WjH9V3e55DrhkVQNTgJ6hdxtp
A1kf5m5G7SCb/fY7l6yKU0nWdevnImoT+xRVwXzCXbP3u++4wlshY52FhsxcTANEJ14KUXD49lzI
LlRFZYo0AXibQsaG5lmI/1TrnXl5a6o4F7U4Krs16EO8eLgEx/WFZBlS5af1xFycqiFwg4O7oi1U
BR2cJZhzS5bVL9/p6msN67L2EurpBS6wzaNIgzK3G8yf/3sN3TgAXJ5qHSWaXDq5FDM01T5OEdTm
ctmgjhtONbTspsZT6oi5cFUwBVuJTsilEHv0bYqnvJyR1/7vv+LG53XRqhG0XKt1MhezGOMcqigt
ONr+q9/DX37pv24onYklqN9lxhFQ6Xxl/M1qV78sn8tWzVhLCt5GtuDpKk+aDQYpyvSn34s7h7uy
BiDBbJdiqNj4MHZrBg2NMPbbaVy+ioE2gaZ9vxR9BSsmss8qJ1k8eD7dWbCmhG8CCnFzsYve5u0I
7XfFzT0J9fj1o9FFrOxouZFQyC+QwGVngh35WjGTPW5J2fqdIC5qBTa6XuaqGosloG/RDPBrCRPm
N91d1EqHVQPTPUz3qGumU2zJlqN1xrPM6rJWk+JTOZXlVARsM2+jTs+P7RSndyLOG0vVha04rwkO
qX0ptqEz+RrxD43wM39iLhH1cmAn5dTMxcLIU6P+nCu/LhfmAlEZayOoDEdLYZbNHLZpj/KdWuP5
PZ07LUQrqQoXjAklcj6RbRJHFlM/kXrmQlFhO0dBz7HxkmhrCm1riOEPoWd5xYWiFkvDdJxbPB3q
42exj8Ohz0a/67iLRfGWt2tAxFz0WfgJIpNv0534zUMXisIUt7ptMOYmUvrU6PKdJvAP8dp5XSqK
aQFlK0KnQqCJ/lCRQR96fefZN/YuF4tSsW1BbXBb9BNfD6ob5MM6je1RLI1nTs5lo2LGalFNYioa
mpHziKzrg5CxZ9juyl3pSpMVFthTkYFruQbB/iWctbmDFN8aHefM22eKK21K1gIZ0bZ9hMyffN+S
vnkaqyi590tu7GEuJpVao7uEhVMRNdOjDtmXLa39oj2XiLKbYvLF4KMw4UDzaQiGvCXbnYe/fiOk
LhElIN5M4qjG/ihi9NcPMz8tq03PK2jmD/Cf1Yeoq8ihL9Hu67MQqItJoSMrghr1PBdDN0QHmxB5
ItXuJxVAXVIqWuIthFTIUDRivK5x9o42+k467fV5RF1OSjDZRWRC2jjREXsKFrgKWRt1xx5CQnci
hFu/4uXf/xVXkgywgUxRsMvqaP3bEN6cFotVlw+a3wujXr+PU1caKoMclokm3GN539gftqnJyY7U
HBuxhU9VMtLHeCPSK1CmbnkzsPjGcq/aYtvNT930zSkhuGj5zSQnZ80JNFizoZsLRbMvVbeIfKjQ
0+r3cGfXqEGxBmSNR1QJ47/RN35B09Avv0c7Z7tpGNJ408sRBp7H5FTP8q9+7EI/UxTqwlNtIuqw
4+lSRDKSz1VZj2/i2Xh121CXntJNJ2JbjmORrfmya/FzkCX54TUwLjyVwotjVpYPSE+ZLyoS7weT
+RkkUxeeorAKABmwmcKKbczHKn7q2+hORvDGJuoqT9XTS7NpH5sCTrrTgdZFRLTI564N8zZenkVa
7udY+lU8qStFVeoEqWWIxxWg5MSBhnWcJ5kUXkEQdWknTriChvRmC0sr8ycSIuRxDqGI7feFnSVL
Nz6bUOMrjGk0PJdbWz6E81rf2RBez1xQF3daCbNzwENbTGyjJjdLRg8pHGQqgBU4yVQaBX67g4s+
sXjMoDZIxgLue1lu4CyVR+Wm7+TUbhwDLvuUJCqYW7MPBUm28oOAkWchOx2epwwSIHd+B3/1vktd
BiowgbZ7Vi0FX2V4gNtpddgiHbxZItscW15XZ4PMc54tYQR5R9xa/UbOJaTWtCJTm4zhJV7L7rRv
ejgFqx8fQV1CaoDzbL/uc3gJqprm5R6DZ/bsJIGg6++H8yIZSosxHi5rqXPI+5k48zsRXD4qGWgC
K1E8mifQPckmrfIJeJfXmnPxKL3t82zSaC74viCUoBBqLvo2Xe8U625MVhcD2oRIqpQBa5Zzbcu8
H019rXRKC7Vm9E6U+np0TV3pqjaIOrIq5MfXRPxCreggJqhb/Pfw/NNn9P8FL+ryQLUaQnR7j0MB
5LXmGHhQzNtL7aBWrD2hS7B7LKt2eFq2Rh2mqlNnMqvyRI1Sf//3K9z685zMVtpKZRd8pSJWUEnN
su9J2X/3erRLDLXRuk56G+ciCFd4Of3RpH6qzSCmfl8OTb/DNJFNiGJU+w5CH3T2owXRj/H7k5cY
yKTmKFjEcfAeuc/vrPIzo6P/p22l6xI9VQPWAhG/khS9yGPW/uU31E7wrufSjFhsfQGfk+/j+j4K
Js8l7IJCUi7aTlkdXhRXCOjWE1X8zu34xtxzqe8ypKvUW4WtRwFrSLvlwBb9xW9Eot8/ZMvHvWYl
nl1ZAf5w1GiASPyYEurCjWj4aGhoRFtYrb9RFReCEj9gjbr0FLUk6MqUk0tttw+cBZ9S296JFW/E
KC46JUyyaD0F5FLR3j4GOyIH1nXZW2VJfISi0f7Ra+xdBSaUzbTZ05JcoJqZl235FurWn/we7RyE
I1LvDdwow0vJ9d/NKI4W1rJ3duMb09GFqJpg3eJkycgFPTB/kzT9ug3lPRWFW89++fd/3a6Dsksq
XWFIKt297VUUH+GJm5z8BsWJbLE8MQ8jvHivunci62GjyUc/+SDq8lMDPIGbvozJhS/Dc0Xto938
VKipq7sGeTiushaPzlZxyGj8vUrIvQ6qWwPunGtmYHPHRobXpigNc/MjwDXJb6K46FRLu6wSGSWX
JGs/atl9zoy+E9HceG2XmxJLBAWoAa9N9/BpFvxhGGO/+48LTQ3w00pF/zIi9XczbJdMJ3dSR7de
2lmUROloliHGIzLtKZsOqxJnr5nt8lK0bIIeke/LTtJ+Ju2eb51fDxl1Yalog2LoIDAcQ1M9a9nm
gkq/e6xLSlWbrWMYgKliJHOXZ2rdj3s93jNZuTXazsm2o39isW0TwYWx+lgHG/TT9s3zcumSUXUd
LZQMIrpwW35rZv4ta1e/E9klo2zWLyudX1ZNX77VizgkmvhNbReLUqbm47xgmpQW97mpElAMK9Oj
1xx0uSjJq3ar0HRcDKITj1Dvp0fb0Ht34Rtf08WiJJB3EqgQC57bb7McTmtn/USTqEskZdkuGtPu
LWhDmuVUsb+6ZfWL3VwkqRFRUgaVCoGkBvk024d9UZ6Pfhmqf52VullLkc1BU0TwQ2JNvo7f/L6k
c06mkVG8XPFgNHVggzUHZTO/uMRFkWLoTMIV3u6XOZ5p3iTDik5JqI/4vbiTtV2DqC3jkDfFbJs3
YSN/9EnvB1FR6hyUE9vbVJSNLrCAAFARoLQ0hzzY5Pc1XRoJPhfz0pJRFnNb749JRdUxmX1TOi6O
tFbtyOOxNUXTdH8OtPsxpIufqD91YSQZlEqqVe8XWJEk+RbNJI8E84vZXP5o780cNanaL4p2R6bK
T5TW99IKN/YUlz/qM0UGoN26CGj7rdzR9j6q2PMaGzmrk4xZZoyx0cVO6yoP8dCkkNtvZj9vaeoy
SOUssFmFgyzKIP4zgN5GQxrPCN9VeFplQIawSjUqySU0H7txPVPB77XTxtifXknmuAjSMpIRQmbc
FFvXme9Ly8gfg7HiQzVz+uC1EbhCTxk0Qlm2U13sy/anbNSbSBAv9ou6ENIQ9aQM0WZccKPEG9al
5KmNe3tnuv8zxK8MjgsgpVPcrOsidQFlb3VMV9WfqWHbuZJbeIhiNh+q3pAyD8U0fdqTbH9YMIe/
L8EyfUVZoPoa4Xwvj/A1Lx/auU6+rwNSHEk41PoBGpXTAQ46YXmKSDwcKzEm532M9dFr1F3AidYW
moAY9wuKT0cY9rX5sLaR32XC5Zs2KraYLdBOzeyeN6p7aKd7/YD/nD6vDfrLTP3XSdrsDIYVoTGF
CLAFHwRo6COUGW362ACT6Q4T3GHiA2l6qL/B9esRyGvQHYKgXA8zr9hpbBmygvHUBMdIZmGTo6Vj
/EhlSIqymsVDXc3k2ELW5CFFJ/lX22fpWzSpo5FccD4cy3DDhwlfohpNWfh5sWV9jqN4eDNEKC8r
Ma5PUCs0Rdn39+oXN/Y+F7oqR9E2/YjhTNTPYeEFsX4GMtSFyVN4pFjdjQZhCSPv+3la82jiqV9t
00W6xDTPE6/w3jCPeZssX1tPkJm6GlccviW4H6A7qUyqI5ofv2VB7AePUxfmMi3MJMs4aIt+HT7w
uoSvVnlnx7jxIV2Sq02DSKKJsC66ZmnzKRuaB7j3+DXLUxflUtGa6k52stiDnr5ZU7NCQMXTdYW6
NBcwpZiXNRdF0qRvYSYH1ET6xbAuy1WSlSoJMa4CXORfZTB82kPmNwVdlKubYf8aCCEKDP27NEBG
M1WrnyUuPNN+34pUIwyDj5EoKtxJ8k2hPNZVjV8CwmW4QKKHaaCW4MKa4M92QsYHfTKeGzRx7tvV
pIKt2qfgQjfxJapMwaQf2UZdckvImrWVwVV+GsbmzarFU69o8s7r1HLZrTHYZFJncw3kd3xLtJrz
Zuz8SqmRy27Zco0hhtBVhY7q9Wg7DcuEave67kQupkV1xSr4l6HaGYryhB7I7aCU9soVRC6lpSkc
6QJkYwslg/VkojLL0Q32wWfMI5fT2qcu21esoguyVtNTnO37UQ2RX4kZ5gu/r6HNZIu0dZhdpp31
bxQKM49EcT98DWZuvz9d1RuUpmEzdhnYOh9ME9Pc1nPglcmLXEErbYawXSAQeRlD3h7GcD+ufe3H
9UWu1NRWpWOYJlt2CYzJ8oalf8bdNN2hFV4/iCJXbGocoOcDF+DsIgJavy0D+meQTL3nbHRu39kU
yj4jkA1I6uZDaehykvF+r/vqZV78f/gXubxUVssB0tNlckFTJTunjNYXEFT90XR09vusLjbVd2HQ
rjVJLtNqw2PYR9tHvg78838vp38ula/9BU45lu57T0kt08uQjlH6JwvT9MMiOcnrXYSXCTYih4RC
NG7uy/Yd0wPsmcZw+7DVbH4/wWj25wRDCHlmMdQ9SynpOW7G5Y80KskzQ7B6hukX+RQq3j7Myc4P
FgrRT2gJgD32Dm/a//4jbswfl9eJ6zlkc9/Gl5iq7i3Eyuib0SSQcvF7fPL7soU+N9CZMokvbCm/
9oH5ECJE9Xu0s9+EAabMSyxzCWS4XfasXw9Vwu9F6rdmp7Pf6IxDqK5f4wvUORTaPvtkP0TJEP4R
ill7BQaRq3A1RTGctVYbI1lRbd8ym22nVNb30nIvs/C12elEBobA21DDV+oiUBP/o+2r9anB5lkd
estHeiDdALGhhEX39ClfPulrv8/ZLFD8tLPZ+/iy8Iwf0dO6PdQ0aI+QNBFnjTDlx53v/vLAV36R
C2iRcG+nZkF9KJI2nD8YljXDoRt0eMzkoA4GKuT5RmPzoVIxYUc4RkZocQuNxRccB7gV8BfuNhpi
9pS0Dfsi4rX62LYbfw/0azQ562eK9agIyI19QfkPDvQvQe37jMj6uZmC6gEKXMtHCUGVJ6uHesxJ
pZMCaYNPe8Oqk6lN+6DQUDPIPKNz+MA3vT30NNCfJDXB1chkWnKY3DW5kWL8UkWw5LwzODfGxmFP
NDyGpejL/aKthpJiqNdTKuidZOmNL+xCZHSYB+Qu2uTSYFU/QIigOceKmZNqh+6PUWzNnQrVP9fh
176ws2vU29j0mnc4GqBPTJ46tfQw/AAvkS+wIDqBcdJfIFXQ/0BzRHxqo/rvMGpZHqpN5gKFkIex
3rI7WMKNDfL/aB7Wh20Fbvgymv3nCFWavFQYWq/P5QI9QW+g/ceG6MJs8ueqcjlOd/b1G9/K5Xlo
ULVNIhG8k0Cv+azFcCBkifN0Z9lhIHz3m3CuFBCM0hMRln2ET9XSQ1BODzr15LWj/6P/xqqH9HAa
XrCW0l9dmpXnAWrVf/334L+siddmmbPFW7tBnsuG7BJLzj+nZFovtEnUlTWpOY1VZc5Ll22XlGWL
V4I0conAgcxbMrc9uzRIv14YpuoRnoql15UqclnAsO63ep8Uu/ScDRehdZgPIuQf/nu0bqwDFwbc
TELJFlN60fuqdT4YRCTVkkWf/vvxaHO5ceSmzgGChHcnBVLGF0OSumKHuoE+7HAwhAYsyjmETsgf
+zIn40+BPDbXebM3K5QGomYJICYksiguh3xvcR50OaztdJO8q1BcnOVhGEM71/BFTzKU7XYzbmF7
CFIq2efpnyWYTyvKqL8q2/NqzVFGsPvbJmnj6gfEDFqkptYKxhFh3u2q0W8jscjTsPHooYKKenAa
icFhsc5WPCo0+manmkLheCr74QFl/GvUbg2sCDUMnedOx+TAVB0fId8IYbiwxgHMJ7TAPfZBFl8l
tAXfh4KU7Eh2US+5Ldv6DMHkX5UI9p/li8SOtFOT94RPX8p0Ld+aSibfFF/tc19rcq5TqKIve6ma
X9u4DSaXayLL5wHyGV9VlpHgoUaXtnxO7YjpkY+I/hQmuWiCvKVh/8xFOxxHRZoc6iz4xls7Z8fB
xgp3XdpfRShqODH3Xd4m8kPX7uzK8TdAMLqe1oMcw/KYBG1zaBur3qfDCnvGaOjTc4fP+Y5AYmZ+
y2W5mkMZ6/gZGvHlc1Cm4lFaFQa5hRb4od2hCPy4t2vUfQCODY/2WvGvQQNJtyytkuhIVfSJVYL8
KFn0K9lac+kaMXyOeVaZHO1IRBzAj7VHENzxUXXjeBzYZM9NVo1AQERQIpmcQlBwmMfuczfKCB4g
sobL6VDzyD4u9R6RZx6sgPDreemXx2YoV/qpN12fngKj8fN2i9eXPDTT7WFOE/XYiyR8wgcweEvd
AK5/6pYKwjDdguzPlAtY8zWfyypboDw2tnyrT9g2TTMdAi0zfQ0z/GhOhZkP+1CRd0JVhB0kOqrO
ZWUUvHTtwmxwnMbFVE9TK0X9rFc7nAXm+1VucEC0tBthcZd26VGPguYxLiX6qKUauvdpm0lyjsc+
JWfNI5qcm3jlQ3ns1I6cQI4kuumedRrY7E3cl339Wfd9Qp5NFu5TkpeIHMlB17rtW7xJL4MHJA+j
XR+ERinpkjBt5TnaxmU4o4G2ot/naRb7u6DU8IURwPa7r9G8tQucwQyNlj6PULGY87abZ32NIiLp
dUVhSvwQexWKayhG/K8KYxK/h4sNCfINHyM+1yLWyZmOA88eF10O2UGTEoBZ3hG46BzmcePZm1Kn
vPqWgo0dziDdocuTGfzAcVcmgCjBsrKpfA8PCMh5AfZOlnPdd0z8DZGvEbU8XM7m6rmjmIgPmZ3n
5GJM18DlrVMC+YausqhyTzCYnd+1ma1OzRCUKOr2VT+n+ciXJfkiKaXdt36DdeT7jKkYEQvJsDyZ
DTv6uGuWrr+aqA5mdFsuooeg+xpUT1RBiuEY1k1TP01J3U1/Uz409E1Gmnb61g58zR4pjUXwqVKs
QwBpxnTNQGQ0lB2ydOnKz/gpbd91fbyTNF9okOm3IiWjfYDkYmJPTI1Ef5QpW+2bNMS8hiywCtJT
HyVb9wX6WjbGTVPWmMewyeAPXWt5/2an1VQ/8qZR/VeyZ5F6s7FurMLDPPTEVjlMumjylEKCQP8c
yualn8Sgq+ShCaFN8ihXtVVFB+QyfExqjsgdHPcq96eVq3mpDm0cG3GcyMpedlcbBvMXvSdmOne2
7+g1wm60xScjTNlcWoGWqi8zSxIoACWaJ1Gu9VKyKkcrHbAdib1CPa34m5r3A3qPzKnk5Rg/oWE5
lt90uY3ppYbN5FkMdSwf5IL/HyLku/kfR9e1ZaeuBL+ItURQ4JWww+QZzxmHF9Z4giRAgAgS4utv
+b75HC/bszdI3V1VXdXUcAMV9rlJEFHVF23cJeMFbUzwpqKDI/0FC4d6H05HLmCpHno8mIeIZWAD
kTC7GXZGIcLeQJxrvV79uPnhiyPlk12SEauRhYZxhSyWmc1zNS1dH38es4u2s4lhXtcW88xdKJii
USWXWEemJGa02/uY8J08Df3QDYgux6K0hM9UTKwETMUAIy193pKjOOIRBSqnRjd/scnroxdu43i7
GeDMs58z03NxF3exEx/tmMTxfyssjYZTy9K1+ZXGs0/uDc/s+pK1eEm/XRI5flWgby0ppiiJs78Z
Sdb5kh5ZRG6Xwe1DQaH4t1/cORdUkToEbP7kiV7i06ghm77vVsL2O29TDEdF76To3rd1a/IHEfeL
+r3jIDhVZNwvzX8i6CY6tY1P2CnhYZd3GgsEUWnTEFNVmSRLYb0X+ejczZultx4stn4HdpT0FttL
Lm6XqtFJDpyFoJiQDyThEV3hHzJdV/07HEsomwxUkC+SIZkJrxMW0+5OJ4j91uUBRw73eRi7dO/t
QNv1fT10xDGehTb8J0bRqdd0hErka+t1GsZqFhHb6InpFHhSva5TLO7gIGfm56SNyKIuBn54wpfY
JV3tZVN2T+Vlyhsdvgzk6igPGglyTY3Fz9zoQvRsonvBDqMpgzEyto6zYk2myN0lwuqmGPIm46i2
TbNMc8HmdaZxDV0AE0ul0oGO2Zlvbt1+LxpGOvTskYgAO86QQSn3p92oXUPJNgey3IQGi2CFCIN0
rGBDHAmHNSC9n5tejEt3brAXIONKs1xEww3g+S19ThzMA32Z7jmz760Ztmkq0i5W+mZU/0ylykzH
vTmKXnjeYXfJTQerhFsHrsocnCQ5t0OELCW41aUtvcJkMnQXHg2x+6ZkYvzsEx1NZwXoSVT0YLMv
F25aNEy7XhTVp3jkjexByjg21Kx1Rzj3zHfJ76hRw1Lvm8i+24MP8Rc3Lu0u047AljXJkrJf9fCU
RDslBeviNjsjRVmK21wmZEeQGxV7uNAjTm8EXK8D6rU33amZI0f+G9JOHjXLo4a2Z5nsXXQXlsjF
H8Ik5ALPtqw9C+TUtjUcuBfqytwhpe9eKxIn9+Me4BVUAqVLoCayvnmSRg7YGjfOWSxApOEabfNQ
S7/Brnba4HDo4CFwztFGzX9A40K4ho+cLuI6d7m3eaGGPee1SAWUT8WBWITh6tFZ4tbQrd6KHA6Y
zwIarMEW6Kp8NpxDtybJS3ywXUanlBO73xg26vY5ihdY2GUIGEO7hqMbw6ODp0Ou/sootfNFaH4T
i2y8qgQGU7hh8/G3n3K4k9nl6HTV8pCIK42XWeD3liFaiggonP7bhQb7F4dTkbpBZ83SX+uMyvUI
kZ9JXprpIN3VrQIvIIM+AcTG2tLVnJFFbvGTiC47tgue3949H4wi73Qx+hOkE4ph2xwXiXjFb84X
tS2Fd4ObnlL4cm93fFKhfUyxlkQfww5w90dIIcO9QKdotCpcryjsqfs0hBMiGZbxK4/jiJ56uRLx
O9v45n/QDULvH400c/PR4mdFv9Nxfqg/zcoRmQ7B8KHY42HydsTqZN+vBJ+MsKFQpNdYrliygPM7
L26PSyC2OhQjybi8CuDbp3YfoXiCf9Okz0nn+IK7Yu/ax4ZtMkJH2ROkXELWoHMDyUjthEAQMWUE
GY8l0WaOfmyj1ZOvQUw0dLr0fdufcy5QqlfeiFyVcz5EKZqzg/LPBhZsqS2Zmzx5YM5TfU32g45F
Ap/r82Gy9gdvjUTIcscxx53Gdsy0KDzZiLnPxDxMquhaYexD0nT9GBcbQ/gv6nM0JwseXCTb4x6O
pWoby3YKocD/jyCu6qnanhcUCFx/ENI2817IRQ9VGuZ9+qRNiJ7ZkWF6N7DZux3Qpq8HbrRkPoDX
ZZF8xVsL/1MOW0t/XQSa6AKrZIE8xKsVIGObnObyjiEMMEPL4Eax1fiL+0sHI4P9VfEp9/u9zePJ
PvmxCbzqt74nz2gUNMEqZRdWeYoMYfxly9GtnIaZbeJ5ziflz8vGm7tMrFgbzqk8o+WSHVZPSJeb
MyTYafx4oA009ZTgvRrrGTvGi706OtLJoqP+h++p2EX3emut+158u/K/HlYLb54l4gvDKS6zUx4M
jIZd0uxbNcFq9DMgoqnUoBJP6wKvmaacRSOzocTlk7pQtx4LPPacbUAy7FUi0NnWGPDzTlTZlhr/
qiYl/VqBkV2trKLsECmSALY52Z5ovvjkCWG20W9tvYBcRmIyEGUaBt2JN0zG8BPZugkZgkigQjYt
L9toZhFcowCtZrRS2bDCvGvN13u1p+R9SZlVU7m3UZs0VeKmKOaFabEJ8MvGWeSrKN2HrUPkuG/c
vd19i8CWtUEnu4HuIn1SL7tspj9CT8LXHU4EfRH4ENtNbrmnfQnKZ61aO4WtyBYx9oWJ2L/ougGu
uAnG3al37yM2NOJzEP8SeUq+R3P0hkvWsBmza9SF+lCIRfFFPid7Rgs7wVjxzDpF1X3Y5zS9eKSQ
bgguh6WKKlZpQLcsB5gJ+gPpPt18Z2CLmeRwAdxQSRuSFnzuRpRHYAQ3rP+XWprBmbEWfqPVkMo0
qeaO7L+1F9GZJ0n2OGwhiqpox38De0+/LLaqp9Pa2vYe7wq7zUSXg4RaQ1SubkqvJg3utd3Z+GPj
tNsL+JnlGNcAZK5FDLYoFAR2QWP+yrJsBw0xTF9pu6Qe0DokJ3bej2KXOXsWDiMWWhLY0MUYC88a
Ny2kaEeGFT7fPS3pjBt+b470Ro9mvsXpWuJyRJQOgO78uHaw1ijZeqzovr27ULKiQdlnBH0HYUqo
qOdzOzlZxfRYLktKmzOXjb9pNS4oEbuxnMxI7+MYgE2sphYNG4RxImtmuN8fpObLHBfw5OtKkaS+
RObheHYum34vbsGlBWexqm14XMOLiqFFGHiRCv9zXvMOY1mGxmnFyH30C6lViztjS/hRdivzhRgR
ZRpSAB4II39LlVvxykH4jouiqSPgJwm+g6g5rR2ZMTGN6zVE+wfCORm6RomBzXD8PHrs9jLelwbf
v0zipTTdam+Rbp9gCsi2b2tZ/N/U4/rIdOR+9+PiS5vN7Anxbe1/bdo2V4QtNjetsAPuE7sUaWRZ
adpY1kGncG+JmZE1VONom1Ruows2jbcq2BYtHQIx1j9baEUxNZBPt9CJvGJrDGwTS+VJILT40k1o
AiG824+spJFpYNqHsTlAe3SGxovdJsiPmAqKq+EsR8eQr5umq6r3JhMG9lV0/5vZGQ0whtvsyXaj
xvjP9+kL4klyWbIovGRY/DyPkrsOKw8HvjSpaSVbS+o+tdPH4Ly43Rhbfsh9SvDmJxpkCgOSrPAy
nCyV8N1up+xCW2lqmGXjRZ/NcOn1HI4y5Ks/mch2qiC2UV+yN/qxzVP5a/QdKxIXGVOnKh7f+qHZ
w6kz7cJuNBm7kzYr26o464cfVMrpecp6+t7Ek/5GnluEaCmGxiwX4r9jjKL0Hmu46tHNQ3P1icqj
YofzRIXFdPQAodvGswYJ9L7iHrQXdgDmqlolm3NLGyQeZlNPVHnoJlyaPJaqHkkU+YKTro2raRwp
wK3FhRnQUbsNVYfyVTdHE+Lfi9lRlwvdB3IbZ/xY3xK6wnI/py7SdY85ZqkxrWdZsRy5ekgPLu/T
mHUbwlt5DxDJhA9CgvnNoDe4ZxHM3vDsMCJirHTAE1Ano3rlYv4BFzV4fM4bok6+G912U0nQQz3I
NtkZJKUrosR5dyxPMkaLuR7tdhO2BIlfQyysfAAbNnUPB9pfWXdrJh/hyznk1SGR4YufHv1FKVDq
3xnb+RU6v/GUsGj+blYyH8A8fXMDba/ixYBelZZ4O1pZ9gTpZWUC0fljyj2OkXf/gsx4TGEC0M+R
p6dkp3wuZp7nMIZd+GSwx9mm9tpzVL/amNT+MyWfNDpIQ59VYhd2H82r+CRcD6pkiLbCjIcQ499k
yjjeYjAApIYgBm0Kx1Md616E9Q96vOUnYt+ar9HOKS1iEcmkZD5Da6y2wUENvmPKLIPL3YbDspBf
evTbAy6F+H22yn/NoOWevMDyYEFIh3cy8sd6733ObryS6oP1K/2Llo3/HIjhmMnk4KLbAPfzb9Wg
fyuSKQttJdEnPbhjUUeZ7Wl+G8slwWW+LslLt6J7Kwjef1Ucrpe3CToQVdp2SJZTsy/HcJJL5sYr
i0dzY+N/EAjHP5YX+CuGFX2nAajRW9WXKTYh+E+kdGd9JekGoXGCJQNabh4ZhA8rJR28QvmEhbSn
Zee42USG++/pOLYm+rWjq7uh877WHcztWHWQHYgrvI+6vIbAY/0Bm0S46JNsFxRRNI3Mnw9wrRcg
HpjNcCmSBsCQ6Mc7uxJiSz6ECMpci/tCjZYlP5Wc8scj2cfXMYarWHXwtZnLDIk/c7XaZjk2lIN9
sT96lh0f6wojtp2IJaujYIaXFDHkf6LR8PM4i1XfbjZF+0dt1i2X4LV+Y4dOXUUwzz57mGl+tUfX
dxdI7I6tnHdAeydmsLaJhYje/O4hh37E8tXwMHFs7dQNHdVcA7Ngrhwwg8gbCVR+u+BP5DcJJEbD
GS4IrK0yNo94TkRbWe6CzFPNGDTGpSJcYeaA5mOt1jlLn3Mf8EDxdytbcDUcj8RAu1yMKBYI80h3
lKwRZpnDrZetf9d0WebChh58BrOZOJNsXgGghIAmPFs8VMhOd54DnJWqUkhkPmqd7nK80UePk9pB
qpFc8b1JVtN0ba86B8PnhzUm1wRf3Xu0eUDvPRqT+zzFZsKpIdMSrrzrxuw65Bn/NW+j654404hg
37pjwIFAZWP2CvBAdfXMAZBdjmh3rMw2I24btQdsliCnBLA2cy5+RO8VVkwJblWlcDvRGOFa56vG
pv/qb9KMeX6Rq+x+Zpqo6TlfYxU98xAnoUSDPu7naJng0d4FHj9tbmjfu/XAIE11AJwJS5cO3Eqc
xR+94uhAYPOzyDpeJ4iwyTyn231GMrpipnVkr7TV/HFqI/d3XjcNh65uzGtMeABWsNoz9QiCUv07
dW1a8WNrE7zqwalqYOgMZgxm40nkXp1nrFvyotM0+jgc5/dAJAQ7h9SG67/gyvYjnWby4mZpMAvN
jbmbyGbsE1cpuQKCfFK9Tx9jhFHewBkO3+wYRuxWzknDATYORqXnYdkhWR30Jn9PeR/agsSpuxq2
tlmZ6F2ejwQO9r9WBBLUxC4zGvzR301Zm2FK9/tgK7pTSc4Rj6efdlqSvELXO4/Qro/bdLbBdSjJ
GwazYuoSUY8AKvPCjDECQlympvskFu1aLOgsTZGlZn1RAwwfcLt4cx7j/vhU6QZWuFcweH2YEjev
dZ5j3feGWlz9QHkFuguqh+WfZ1CEZo0kFoYjxUp1pqqdHaOrkS6ft5eOEcFKoKOpOcGOyfhqIEzn
pZdY5GeLZ+A8AgtjwTQQmyImHjdqmg35AxXRXkaZ0B972nUOM4Ym7tSSeeRIhdzR85AgTywZ8raI
cmShYHKACV8h1WjW6zFMwVbDGJQo+h4ZhpWxkLDBwn3qrnxL2SNwa1q1fSofRJPhPUk0f2NrArxK
YMwtYH3RmDcZrfBF7va8R6vX5v+P5crarqKgG/99FIhACp9v0hY+TtdzOgwHKcyS9vVOqfndbGo9
JX7D0K8WA57F5fPLNo/hDyUbxWa9AYFQ+hktd71pjZsgEVSQJwV3+df+ODp4cDVT9xJ1iGN6sAJx
MhjWPYw+RlAToaZNtAMdhUR5Oo+IWU5LHDw+FMsE9/gCVFp4GaUNWwVMH3Ug2YD/FetEpvVKZM/f
Za664ftIJ98WGC+BFpBpxJc0ICf3tpnTNimHIRugx21UdDxZJpvuPI+Rs+iQ1/wOWv31qdlgnlaz
QQtRaYjW1mrneXeUc2Ply47NDlcGeCy8glmbv6aYB4SmtHF7oX3cnlHnUZmkNTcGuBiWnDA1/mMW
nHrUHu8UzOpCT2+V9Wq5CZqzCYQacIbLJnOz130b+ncLsLuWY6N/+Yy537CEDZ8Bg80NAHi8dWnY
X+HehF3BHss64tQ1NnvcMNpccbS0r0Ka2b4cZiwsYbrpeQrrojRaXuMxW9mZmbGfrv8k8qEEOeAf
hgy6gFsQWEP+J+xHDDZuRveNC2M2X9M0h4/5UIk8eeLi11aCHZPaxlcoF9jt5uMGAaMTXc770Wh0
6CBjvlY24y2QYo8hn0knDmKYWcy9DZJaKQPw57Ar8iq8f0wamlWGZp27oEEYizYJCj2FXT/zcV/c
PdJWh6QemDxuOyS0XYVN57vVG3pWRCB8GLAcfNBEQJpShUjf/TriQQMghY/u1fAFBQ7dnF4Ks2cz
YAfApQhxxKLEGfL65FNZkCqFi0DOrLp13w77PxpXveuKUermLfR253i9Fj5WMpodLh5v13sa7frb
ZDmaYArHd4oshQwsC5fa30/rYMfLuIruxx4pkJxYGvtvR2lDMV4ODQBzz0AEWzHcNCaPX0KUwiFR
RaR2UzLWMQFX1uKOwUWXojNMheJ1mhB5c0zbcPIp/vmYrOq06BGYX96hyBiQPMXAhToBFp5k4bnT
ttqArL10XY5JDDaboN5n0txPekTL67p9fXdtZ6tmphRVJepNMYnkODUaDn/grGRTji5PLp4P7o3v
29aX64w7BBsn/N4bPl3S0AwZuB3NHjGBge8GaVYOPZ0BAjQy/b302p1WI+UzlAOiWhn31T5R/3OL
llAloJxfLI/6R4O4lBIw53hRvInecNohFyXw0C+AhsXnrZlJ7RcACKiF8tynW4cTpBuMJQKBaKUx
GufSHANauIB9D+bVexxbrF9SMWJ009vDbKD3FA363jIGtXVJFmAAZJb6fkuHpAAkumPkXGGWuM/Z
XCDhCp7LeZZWwdgXB1VIlaRYpaI7pxczNvsli0HGDkMIdxg2wmnHiXhyNNIXSJLote9HcVojc5zh
OtLfrT3N68G2HwNW2Ur8USxlTXOji23sELUaRh2qMd/zp66l5M3rMalATJJHgLr9w6RN/IGXPa2O
TI1lmrqmqfaRgOWQiSzGVJGiGY6mbjrXvqcSmGFqiLwsOlYVl8eCWzyK3iE3awBo6vc4MHNmvhEn
J6DHwnuRfXKsHm6qPlLAg1WLkOxnxfV6AiINWrTZ9yqd+Xbma+BRoRv3F1Z7gGba7bjaMftEw/1l
pWcvWNNFQDJsBR72FpyVB07/SiThZ9C+SaWjPb+KfI4eFm/f2TROdWcV2BXZ5Ej4BLWHEaRFtWx5
9gpkYTkDtOpuCMXSGkSHFoU8tF9Jto4X4JDsuZ/X14X3+q0nDLFsG3oAbCgtDezZuu4WzqniJe41
r44ZeMQpYrkpOjXnSTGOwRRh5aRqhvgDe2ULvk9HqyOfDfQrKjBeD9janUsoWYYi99T5UkE9oVDs
sbpQ2Q6yJruv8mmP9O+khYvYu/JDusMplJOBZbVEtmO5qUOZ9OzXDYWwYxH4mCcbWiLvzLYkaXQK
DKtVQKXWVR4UB8BQ99Md+T5c0LaF/Qeg1HYEWRXmLP9PLS77oF0Y1SNRO7f1GIswf+uQHmtX7L6j
U6UWZZP7I4ed8rvQlow3+Lqxrk4TKAlAc8+TekxgFZ/eHbPpqkw6k/wMaXzYm6SLDejGdPXKvuRY
KZtR9lyMKkl6G/v/8m1W9ktEntlQDJOOZ8h58RvoNmB46Qu4T2+q3LJWAtMNcf5nW3v00BkX8gH0
ZxfXsxua/28jtnXC1/VV+U2bwi9ijurG2TaUAHU5WstshXQcFREhs9CQTmOi3oPtMnBeTZSx/kHL
xr5hoJzQI/W4bkyp+yO8EXiDz8+5Fl6dYGwVkzLv7XQPUCWBnKFruunbQb03vE4tDcNLDMP/ucw1
Cv+O9A8/t4XGYW3vxmWypsxjOGxi7gSNlRUoy8PwOKzrgW9aHkBriy4AsC57H8+gGtIMkpmbPE+z
cId9z0b+WqMxiEd0W0S/BU+PqTi2bPJverB4mZIE1FNcp8Env0G8ivipA8givxXs/743DiU2LOYg
VNeVo0Rgmh2BMFzHeYvTEkjTET2h9VllvQgVveYebwn8b7NOWQJhguZdg9hsShGeHW16QKLbqoEb
r9TB2bkUSmz7j1WBnKn0AtVTVPARQl9oacd1N6B9SUO279hPUPDV4PPGjN7tvUJc0MIaSB9Q99e5
RnZxtP3qaDT4rxyQkkhgnDfvSOpONni57qVFWQemjPKkQf4t+yR/pm0ERhz+IKmIrmZSizBVO0Fu
dtMnkBx1IOMRNnCfB2riC/Q+c7guc7SYseKLEf3Dss97fuaqFZO9Ij5Koi1C6O7xJ3ObkaUnKbZl
5bCBaaqMgQvufwrQVvq8IxJhstW+8I01MMtA/Dp8U+ODPiDII99AWidQaJAM35AraAPBwFREkdzv
ljjlqbnFTIpptxgSmKV90kApXU6pY/qA/EeNgCxusdgrx/m0awcMbCOS9fcWfFj/AQJrOH4uuLDo
dxuvBMQk073X5EKwBpoZ9AocWjlwWx0+e7UmRou4PmI2DJid1BqtcDA94ghow9ngYcr+ivsEAxxi
7sbk+EWk41OVLqvQ3QvIguDHB0ESbkgF9xF7/GWxZPt7zzfVgeEOrP+7AxHY7EmnqVSnSejdTuWS
0MPeywMENvymGbaKd8AD5nz8251/mQ5kDYKAd6stwYdKTEawkyRYCm2xn1DAOTH5Bt7f8Rqnrxeu
EmuY76FK74f7mGI0G0+opVwg+XejmE9CinsC37Tpp784zG12T9ZE28L61GenuF0VTn+HiNbSxYuA
/8iaf0tF9LtD/7Ov4LkUFUuJ5MzcyPOUyaN/adiCcn0QxFjhMmHtFeSWoT86obfm0ZPerffRBHXq
DYwqkJ7WLLOpoFmnNZLmKXoTZ8WnytsuL/a0tTiiEm0FWka7Rm8Gd/ZY4/P3W60hje6xPy/SOmbk
2B6aDIDOO5UHm/5A8ZV82nQ/BKAFEKiAtb3I7ihIaswcoDbSc8NmCK7iMe9fxKRzJIjtjDBWuZ4k
M+wEsv6Xgshme8wxXoQSxCi392pE9PAppDi/9ZSDBC7SbT+mpLQKkuI3P64+rfOY7EuB+eF4DOPo
j7FwWPA4yrYF/voUQfVCT6CYEczSpoEGNCS7vbWJ3fayafpGXeAZp8BKqoC8HBwebHOOyf5iZeSz
n8Qzsr8TxFvHVdgwkAMcdeFtT2I3ozmGbeNvF+fjefVQrKWS8WueroD9KLSlZdL1CPgRCcFRApDR
4qBrDgQ7R4pGmaOOHdU4QgVQ0ENxWOjjBUhem44CJZr6qIcDfds/LZmw7HFBt4umRa3bDrawNTdd
p/lxZdhxv0K+zj5ovhNVQ7BBfiWMux8STxbWg94GeLYaBjUoJ/PLDI0A/2TA5v82DU7LZe8GP1Tw
QQAyyAlawSsH+57dQJTgnjOdBYD8ZhAIW6LEPfguarvbtlMjuo3UbO/ZlKf7A9nz6Q+4vP3TNNx0
ZT41KivGLcvA6knsiURQr5Y+b5woW9cqg8KBJBXAjPjlhk4YVBMeliz0EfX3Uy9YPUjjzlTwvYXX
vAcMQf4d5DHJwYaEaf6j/Hpg5wp0OmqFmyQHFJp0b8nixq8eROEnHJDH48eRUfsnRFg7eG4RhdTc
znMXwWM4RC4/NWDI5xrCyWOq8mExaEx8qoYHGmCHVg4aIMoJO19t9MKg78Cy19HNf0HJ/dMZ/4Pr
l2Lfxw2I/q4mUHadJHMDJka2aen1BgUcDWk+IsJLpB0KKiXNIwBc7HoV0Lt2yzeypWRcK0hZ0GyR
fMu7aqDBxOdomqPkFxmb0b7hVHH/b/8BAJe3CBB9zAFjzwUenOFfSz51f3U82hjv0LGpE3w4J3YL
DRlKtV6w98XyzvLyiOLkAoFSu2C3EsDCuozTs2OJBbg5Q6qgn2QyZvIFQBV7AQTbyU+2YKYgW+t+
jfBufMaK6T6UMcP9gJWpbcHdH2199CJxdz1nzS55ybmjoma76iA75TbK9K3vp7T/2WXTgOtSqohe
PAYwfskFIKMTZ4BHTlB46a2SxEOiYoLA7g6VFhof3rck/LD43X0ukDeT4V7i2SDCUiN9AHYbqZQ2
eTU7wN393CfmSKsOi3tPckWKQJ1BlYT36jDelAohtYBnfZJDuFLAGJ6Pjyp0qvnT076ldwCEXCNK
NjUiKwAiHbZOLeP0Xki0xo/IppqvZtRpBhJ6triXtjZfblYR/Ou0HBZhwzRZVJFbA9ZhBMV5NmGT
V25w019c2BaPMEYI+EBw4B66ncKC9HPIR0n3Y0RVgqh9yAI+npwAVP6ixzZmtc+nDD+G826u/KHx
KZiGAyrbmuFHvnv+SnKW/0ws3uQScW4k+g77pPBrOjRfyZrOfwRxfDztYLBcoZppl3V/ADouI7Rl
7CPB3RepYsvhMvIiPKNH7Yxa7FuGzf7o1MPbpPkc0Gbwn8dE3fMsk/42QqvzskzCQoPSzXhefUMD
OIZt4wWJsnYBcMzDgrd+6wernjI79OTRxdCh3vXNGt1NBooWVM4hPEwImU+gzm677sGuCpwKlJ9Y
uDKq72vKIwUfgH79H2fnseS40mTpJ4IZVEBsCRIUSTK1qg2sJLSKgAo8/XzsVU9O9/xmub51s7JI
BMLdz3eOrwK13EqdlwZu7thag5c+NLXMopkuYdPRTE+bWXjhQTbwnVNj9B+sD1Lhpkrt7L6ziN55
ELwVs+1aDO0nnUkKANC7VF0tQ5zmUtaVZOcYG40quKWyyCIzcBdeYo0dEgvjLDbvqCBbPz1ttRHY
shpvuLz9UCllpo/1VMj2OWChZ3GUWdXfan+OymbVDuMlPTniafGGHPbaBvDbZ1T/9bDxE73CvjCr
fKYjCdtdL+3p6tqNuKRd0h9D6gVAi9CwnSeIlsXd0mwp9bZWNnilP3t19ZJ3idns8nSB2LHQYJgI
zolKrybbEe5Ly2wECkOpyjidkzo4NN0k8jMQX8GAeOqH5B+SQjF89mHVtS8JO6LFhkJq4BtYa3VJ
GMi6MQz8EDB6nEb+oxrafi8B5TMuIjSmQ9gO03ysIHufitEu7bizu6TaIg3r9MFaE6TuzADGvNaI
YQTM1Ba9+cZpbXN+Wo2Rx74r02HAJcHNJy4I3PwjmtwGVCw4VTjlhfI2TbIO/cUhMr8+uOWarQgs
AywnM/J1r1qjjisYn2M/86rYFPgtpohCdbgqdl6fZEAkT9O26WPoq/Y0TDbbdUPDgwYyNPSURGsR
O8F200uK/hW1o8EmzV4mjvNBRaG9yDfc1jm6q1j/FR2n6GVeq/xSLXb/Q2E5STdFy4aziHZ91pdh
CD34Cq6OIUKIhfzrtGkVdyPq0Lyre0MdZ1IO+TX71n8QyS0K1xid8aqrLv8lQ6/b+8tg4k8anMU8
gPALGYfz6pMuuFIkR81tynNilpkwx0myde+y0HT6G4RC+JE7zVYTjfnQHMEQ5FPfGm5GvaldHW5F
y9UVgYHN2cM0rlAInMSBVs03/4FO1FE9tHa54y/vXeSG3nPunN7owqOqe1ltsYOx3y4p6cF/81SP
P9JVDzs4L+wIrpe0ctdZNb29W9X2FNup6igIjeVe9FMQF2lR6mgaRyLBBouX1bbtzWHfr6r9Q4VV
7iZRzmfhWnWMY3LcLpR35zFlrtniOfgxh23BA9mVBCGtXbt11VA/WEXS1fsq1+U90kh9yKylvu+N
3NnxLrPRHBc9xZJaaFOEa3gQXaEf+JSHcUdJWHXQJJ45RHS40KVOl8Zjil7w2HHZSL5AVj0/mws7
gtywG7cgFYS5LukIrOrKEKK7LX3JWHCduS+UctFEWnlxxZp+is5d7NdCWoPl7mdcRPaHlEXO0oFi
rs62MsWznXnBewL5lkZ4jJJpExiIxD7mVbWRdWH/XaCj1o0ZTvMlE+18qJwSCKZeEWgbeRsbkJ5+
R4B6kPLZS+e305ZeGyOu4h1A3q7qaGqIpj+mK/xEbdlpdzATETqUBDaJVWbqnvnGKAMWmQBWlVZP
rrHpXhM2H3O8OtcYYoE7537J9HDhh3yAbRFsQhDB+oz3EFNrGcjSipJsNA+rgDbapVVptJGEl1tJ
ZeKuCFaVHtPZWDYd7dcBfFw9t6V0EmZK3qSf/KBh0LCSzNduSukb+gowCxdO0We8epODHD7L6XbX
r+3eskUw7BG69LJruBLNv6Y53rY0QDqVEYMJGMPZcap1O9Dn6nvmwsBqvFh60e2M1apn0qYt7ooV
Y0+7X8zGNbY96mj2hLjE3qTRCGksNoh7PYVlYYZGeEqKLJHAPhXdUQhxJO78YUQh1VzQB16DgFlD
0yU0mHM7PdDPuz/DTnlYjtwpW1gc7aZvHnDbyfSN/kGQ5uXu3FW21pVyc0y2Vgsi/27mpcFY0DSC
nT8vVMs8tMGh55mgbqPAziJB+4gsZrEvbIupa9Sb2vda+bA2c5YwzFusnsm3ShOIDtjaZyqVaeT/
zVMsGVXbvBBT6hunuaPj26nQ6l9dt122vFDSF/ZHUNoSrJdTfudr6LGiDUkq28Bp8yJgnMhb3EQE
uJKOR9GFKj/t+I6tnyaNyS4bXSFirkpYhRRsCM2rpJLeyLmEPJk1hO1lomD1Im7TRZ0Jo++L2AIC
0Q/W2CsL0YT1N/HtPczeG2RJM9iICoohwktiZbt0LTzvYV7whm86r1u8+7AW/noPyJfNR7iI2+YC
k1N1KTiq9WnyhXIPOu1yej9zmd192CZW9tfGckBeoJEz6sgQXOeNWSbBZ9gGrvfAll3lcqiNzMZp
1Fbp1stMVtaNS1J60cBLoYlkN2Az2fSwb/2jHrh7efWnFRBWRFqj2USKCwQxYkwGaM5IO8C253Ds
pQCiZZhtvPJnJ/e4YDtmMa4TnGvZtsnFkk6V7OZmSd+cscl+Yg9j3O1mYva3UmrB+DZ03WB8Q411
m7t69hF9GFOCbYKz9nDZTq/izqSD3kxYpmzmqjAA2xI6nmGRUq82pp0urpWfm/sm8Ke/adaFceat
qjsMDv3ChsWoOvahPlPUmXG89u0w1vE66UA+NetYGkAvecqiiCTrZLabwqb8bSDiq2uTpYHauW6o
955vzHozt1VmbIqby4B6uU5jneQ55hHMypG3eMEfODP3qU+6/Jy1PgpokNl0tsGcA5us66BjSSmx
RLhkzO4F3ZaP3kh9kyk8cc/FJq0mJzmMbVcnV8dYzZvbc2gcgHITWuziElDYfLazyu+bpvE1S4I9
8SI61o/So5tBcbYFrsnLrBAn/qalj89rbTL/Wd4wLgQ6NOSTy0S7ju1CrMhRxrJeeJAsKulyXg9K
ieShWkErn2sa9geXSxeGAF/dNhFqWc92kZd+HCBz/6DYIlPPbniL5hs45/XdHEQo8QJKyOtAOxOj
/jF3N6W9Ch6ctv9UYd9sJcrPXy81NaUKeXYHY5qz92xWzQunGeFSJPZhROX93edifV4W4Z3tRq2/
dF5UMZlIxdk3fY+NGjANqA8AhrksfhN00TVRZQuN6VosZwMwT0Wj7BdUv1R+1BgaaE270b/WOEO5
Ibg7LaOpcSaWjMh9e+g+w9wzkNOq9Q2IcblfUR+PleHjHayTMN8VRNnfGUubX61qojNeE4Ppl98T
jUMrZvsQ5ukY95Y97UFHhh9wZcb9nOUo7JCYdxhL+3CHoa35AxplRjhmmNar2XgJslk+tbpbfpLK
vZwtzCoPi7+cSh6kPbVS/2xOPXeX6ctxD3yenoJJymNr2NDVRkmNSfyXubPE9Ju5BG4clRVnqDBc
YPZisbwlFJ+Awx0pPkt4uxhroBy2v7bHNRXmwZ4bffF5CwOc1O17mwLVGnwjv7Mpb/81lYeZZRmM
lwVq6Ik8g/lcTst4dIFAzo5TyD+ldowjw775yI+is6Gszi6BV4bndLoRfSqxKkhCC5unpC6upk5u
eZMFDB6tJkUMM/UOzRQVEiBbMB5bYG7CAm0SFz0umHT0uicymZYJBCww+g2tZ/1o2wCOYjaanT3k
80c91YxcGW5l4VZPMjuobBloi8msj2RB0zc5br7t/NrmSjWBTllMq8i8EUy4o7RiTzsjLznCAPp9
elFGD4ogk7aKzNL6qUrfOLKgIjklweJ/LobrMJQLxAUNZPilC2ME2jCLt9nyUV3G2T4jsMxHY1rH
O4wwzTYJZbBLCWg8daORb42CtefIogSxBuayGah8b+5Da+/QvJJFusQYpH768LWHYQ2nA82s8zPo
u+FOraJ9ZGjI9NVR1Nok10VG508Vcovp8srLjT1sbIk1wQzjBRMmgZ7J+nu1cJoVmMHfvaGRv1Ic
NI9I4xieZ4TKzqimPUvaBm5IHiPoYzluGWDZKtKNv77x/AKt9G3wmqBvlVt7MtN/umyMHUIAPSua
9dXizCHejok5UJWazUXpUliRcFzrOTVEvyDNm/VJp2VHI10s9oUuzDx1CJ5cNsQxAzGj2rB0gb3z
zNnFW6blEJX9mOYbVoxhkQ5mKgh7VdvSHoGAmKro58EYuyB2S129B57LFJYR3I5+CFbOn1TxABPG
VIdBgXHUXVgfWgcNkDV9GId4RzcbKv9yi+du/O01Xv6BP0MhevgzQWNueenSrH4Klfbax9rFRZBl
Xf2hGvbUbkJNWssmG9yABgdfNI66CqLIHsprVzogXIBl+0oUxWmsE8bebL5f0AAXfco717zDoS33
BtpLvaP2LV8WikL4P1xumDGMCoWRRWTC7pz3ui1/NIHX4zseRi7C0SvYCkBICsKk59iRNQNXHwot
gXSz0UaBxrW9paqYth4zBfChsd67hRY/baC8q8JLsrWDhpuWr9XjFplpgTK0iYiquIx4ypY3E8hs
3CCN4b/z2Ap0FOYCTN4rOvTMaPJ4hobA147e4J/wQzqP7ezJx3Rd9aG36nJCXc5GqKbe+scK3vqE
Rd2E568NuMPQpQEDyurDvz2T1XSjb9a/yHJYR2u7Y3khAWfw7xB3C4E1n9bwAKKuoZtgi4oNxU6T
bGZMaQdKweDSZzLZMQwGJ5GdE9UsCfiFrw0hGRJs2JmqH14TPJjWO1EG4eNiaUCNtM/Hqth4zowH
EDPKGPv1YB1rCaqD5XOM9ZTi+cr6OhmjyRz8U1+lpPK1YdssJ4tsAkqzwWr2g1os0nHNbn0QHkV7
GXbTtPW9an1PvCyJ6oxc1n1JHM+PtPXUX4oKcdC0VPEqKnOHfaZ9sdfAelmdyfrbtbhXxBgk3Esr
kt/sVOmPTE52Bt5ju+esboYdabBgxsxzRLkh/5C/NJ2Jgw1zwzpBXMzMIQfjxxBixmPA7Jev/Vy7
x3rIjZ+MGNzmoHFA32EuIyS2rPPjbPbyIlKjAfIM2/5cGhPPBjuErpnm3xYKaltOFCMpUmozPExq
DjdMv5Z/rperHY4Dwe9kipeZ5P18g+SNLge9+0wGWHIxgVeuqdM1e8ZtHX6kXscD4wN3Y6RTl+2I
32ufp7anWSsqRjFZ4bRXnTftryY3mgcj9IyD8Pv1pYf+wv/JMGqNhnDsCrwuBZNKzwtjeyyrx3Wd
nZgl24LhQxv+9fAnEWCwmjcYm0XBAylGrEYdwgdHBvm5TPT8dkNirjbK/qvvu9NHlVF94Kda/0hL
AYsPE73Dhga2OjFC05EjR3Uy4P8fbyZDbC8GD0XUh+Z0WVSNmWaw19+Z6ThPPqj1MXGC+qGw1/GX
I53ZwbzhlS1ve6QGSF+mrMSslYgANHUKC4TFi9D1xyR2l2S6QvIRckisWlNErioYZgNHeJBRadC+
BhOe2R03jb5Ph7Fodop9gs+eyTVR4m/9tYwuaNESIkRfTbxYxc88sdCZLA0lHjI7+WdCGu5cOVbr
35woslgN7hjcB5MFVzQY1XiWKb6LE5uTzDelGFPtMmH2IIBD5xfHLIUxaRkKp0O5TVQBg5MXROPt
cV4H9TNRK6G1UzprL5DCxqvdMYSOw8bts7j1UbCjEt4xjTETiT9dlnjtXvc4ZTZZwP1NGJJdm2+l
5XnWXrKbzY50xZdAoMY0rdKD+mtwZS+jkZyUnpawjzquAXLrtLASHdHwzf0Zyk6zLjCU2KkYJxWT
wPOTjZoeFJN07I6GUzAPALNZYjkM4mj4urd/1Ajy0VAl1vTEJegPL/McpNlxbe3ZfSRabV02ZW9w
cmnmnDtf/xderhJ9D/oVVOc6MSrS3CikC3UVqi8Wlv0CY8QkdYCELzJ3g63R9ZPRxo7w+i0Qus0S
HembXccfTVs9mlud+eb8CZx/kwvpdA0sR10bEGtCSMy5In/PeWvQk8IXtNmy5c1Ylfq9y5jA5pfO
Uw5MQ9PP1s6siRLUe7Vq+l1k2VJcSEux54jpTg8bGQLlT0/LUNIGlR7wS52YbrdEhXCVvCCjBQFu
k1rIFI7Mh77biLSR6103hk7ztErIu3vTM4G/I+yGq3xwAvp2KGchwhezMeWwWSZ3XM5M2/RP0YbA
IBt8MmPcZuic4UYm4GwU1L7wps0IJtQeXM+at7YyEOzrVVnPIa75i7cE+DMYEC4OFonWf2UYGbzr
evX2iIX9yaF5eJSL85jZS3HwGyZno/TdqPeF+6tH/P6R4mA5jb3r7rTrMxbooKqQ2rX1SZ1ncHeQ
WpNjvXywaotCUkAbikCCo8yDV+9EXVI/20UyghGF1UVnXfDCFRHu3W7glspLLmI7UPscq8AH6TO8
PXpB2bOpBRMlnzCOk2svyz/QBisq5A2TUUljI3971UMzBdnD2hk+Cx3aJvYq+HalikowTE0qdwuW
ZD/o1dAXJoEliO7Nb7hhHbz6lIkPKpR1IvvpqA47eJMv8boMepvWXve29Cb8vzst7xAy8tWzDbSc
SjTWj7B35kPozPA4FD7jC4mHCo98LpcIOWXh2Wjn+XpbsfvROjgLIxrKMHbKQN/l/Vi9uVU3/yiJ
K5JRxqlw0Nj5q1ayDM6rL0EQrbp+GzhxW8GSONZql6P/iEvV+m3kLO/Bbem+rHZeX0rTL9JN3S3j
e63hvjHrtHtBl30O6FsPqgeW3mg8Ph8de8me+llL6H/65tjldUBXh0GcvbxZ9mIabfqjyWaLql2N
7ra0WEVbhY713JlqMnZLQG6lTA0MOI3T35d5yctGk27w6S4F3pvcW9PnPlD9CTB83U7N4v2xDZPJ
AaOzIOL+ANfulXOaEdYuyrLtD8etlofGh1A2sQ2dpS1sC359SIBW8Gc8phKDKn7IYjd6siB2xU4f
Qn7Fq/JX9Q/vJY5LhxwMqTG0YjsN4BiGNL3zOiLjNk5mLB+MGuR1YNTFGLgZt+RdFG8DhonXdLK8
LemFOvbStMZgDmlrbmQgpNxVhu3VW6yg6pqTf+Nd8SOwX4ZBG2P5J3se7B/FbIoW2gBsaIt1Xpqx
Nto1ssrFeqlL9MCZ52SJTd/ppk8UVM862ABJXUy4xPDBeO8D4x3Mp4PtsN+wBg+rlvCzYFs2rTft
TFrD4moOnUgv2a1FiZKi77dKF80aTUnHCKjJ6i5uHAjz/bjKeU8gNFPokXzEGyQRhj+8IDWy2Ahn
TButraeb7uu268EyJwXuR/rJtSOu8OA2WRC3JqjiKTEGrM9gVk/E8GDh0U5HARD6+bSehrZx4lDR
5E25IZHHmHHRYAwjr+iRumoMSD6qh7o8yPnGUd7iN2JZVx6Tr9Atx4j32rid0B8OnZqnX7nGb7KI
AU4KRc6xeKhDRm090RqsZZjY/Wm0PbypU8y/IFqIrbKZB1FQQBvdInWLPrKozYDM/VJjZE0ySeSJ
LCymsA30Y01NZEySGFaCgtZD303QxLRKJ34vONBJ30wWJhZmpqTdLvGT6uiBE5+ITprvnAxf7JJB
Wypz4T6waRB4wrqWBfFwQDDOSbiI3wCBs8KDOvSvE+PNPxXX0a+MDR672nbqe7mG/buk/d0tetYR
Y+Zm35g+bs6y6Ixmq6vUeC5E2P3VtV3vQO1RICdDtpHtM4T31+C2RoLBkIsTNumRG43mT00uyuua
+KjhYvB6ypIV8DkRoORlZsldFkzAXoltwDt5H4pFnIixgXUl07AERy/EXiGQxNxHyYPytX4NW7dB
rymKV8axwctY4ywDHcnrOp4Unx+ACNJaDhnw1JGtxknHtfV3pnmJDeVC8OHU/b2KcoVQC9ou8gEm
6Qwt5shA5ShTjUyLaCom42QiPG/lbFICw2JYrAi3WbXMonq5DWyY273pAHEdkSUxv9iLY+TM0VvU
LdQGaW4nH5TtOFmyPpAEWz06OdMjsr2KiE4AX0rYgR4uRkp1OxJi9XNcbeipEHQkZwfvoRhssmlW
1JB7Lmf9zp4L+WT0RDjgN6R5a6wOW1noFMue3M7QimmL1vRYFo3IeLKldWEie6NDUG3OgnvvjeyK
QcbdqLIBzdOrP8w5WG+15kri4ppKu30EeAnOIsyH4i3tBoecHKeIZNU6B+m4nf/ptmqtee9gpIvy
vO0Oq4drnTaURINZsLiiXNtxeSqAmf1tVpv2unVWU6qDaMAiofKsgDFtZg4uqkWlXio9FnU83EJ8
9kO/kpVHip2f7j2zmVZ6EK+qX9kwMBWRylN5A93CIv1dzUnOk9z0En3SJwkreZ400SlmpHWX0xg4
TU0PrcOldklmYuT6e8qLvv431D6oDApZWR317aef+kCbxoHxhVFvsUksTEaDQGKNGgiFkWcv9Cz7
BxEAvs/R8xvRPYWNmblZ5DKHmE6VO8/+nj3DYc3yVT6RKOOa9aJssPzbcpzZlwcyPJon5MnwSXbW
9DLM3WLvpK8h2Chyl/piDPU43zGILB4btkS+r5Onq4jF8HMeO149J3FF+tOh7dzuLm9KRA1maaiY
5LpYp4WjGWVlH7zlg8TG5dIF/s7ZaJ6cnJaS/bMgZcvDbkSWL/Cr1j81YkjP4qFZ/cRBQS7hNNK3
3QkZJv4eFUckux7++5KWVv5zweH37BjafR9oKKBOYMhwJogsd08jSSV6I4mHIVeM9jF4RpKb++ci
aSMIK2a4NS+jLgjvEgI7dkExYhkN8DotO4ILscjAbA1PLZpIbA+redUkfVxQ5wV4FejQsMeRGKab
ivnlK1RQwTVQpgl1STb/6xCd98w8RB7VoxiPRWKJcTPPBOWR2JD/GT3mnahkwfwTaad4JqZhvg8Z
+5fbXjB94x/rdlttt+KQWE7ZbNDKu7eRdL/95GfeXZ2Qx1KxVPPf2KHi7FNrnnlNG2jaNT/vGg6B
b++rdVBXC1p+2S0e6FkR2qrYZQktGrp5gTE8xEfRhLUTB7Dk4gTixZ/lbdSaW9JC/Q7OBPhjE6xG
AfXGgHrvDI3Yjj3GCEKeKF452g6ROl3NKyrsF8wuA4Lbr2zFgLYhnmDZy943UZ1XfVxKJD20gpTp
Ja37htzu6WfvdzNRFeUQzscx1H4sad9iIYvmHp6QICswserUFuyKQiGfr1Vd9icvSbJr0xYJQNrg
vPq1YZWnoqrJRhjR+K7B0Id7pwgJBDPEi2W2+ugmrkDeTsrwVFKZEMWk54NfLMp7aPokVBfEfgoZ
ckIK3263vV7IZguNzGd/0Yphqe+SB5x260UrDuYwBm2slFUTtQf4Q5RRfcL37dLfNTg0MlKaLjlq
Kgr44Fk/CN6nNk7yrP6bZDf/W7bIH6k7VFF4S4SKmr7yP+kDrB0y0LoliUPdM03SEGhWYqaRZQyj
tUudgpEmq8TK8wyKu29t4hjNXqiPhYQI81hwmVJLjt127CxxcOdRdtgzqiHYtn5pkGZUeTvsT++V
wM3tWf17bXfW1SI5jeyfdd434SpextxUv1mxLh+kR04SZ6N9dtfVec4yovW4Nk1Gdex18vNNz7B0
79tlwe9ZgbUgVAZSAKDXv8kE0XeOWuadsGh1Nhwmi7eqdmzma2ZC5J4m5eYKDTv5ERB2cKqnfkHF
IFuU0i9Y5EtoL3VMOcSooStn9asl2+usvVuQ0zDrZ2GRAx2pjhtt8odpr8q1O6rFDZ9Xo/HuSY0R
zzT0xhlN0b2zsP0wSOeLbk7mwHi3ZxBU7okc8U0SPsvqrsGFYkVL4/v52a2q7mcvpXVwAcdoOdMF
FYk8rz3GVW5+LXF+s1J53Kz5MB+ydEjugiaZtwEvvd+ChQIvgdcsjEQa4j8c9MItS2WHKKsnbuRZ
Y18uivBgs/0M+2BS4Zgi7f5TiR6LS4/bbiMA7/eIDJy+xPQ7vXOZ7aSHoC37F1/a5atJksEG16cR
20aH51UR1rCVQGXdZlJTfmwVtvq1MdUTmaLiHFj/RRTNdo/P3eBNCdhg09cOZnMtAmeA0BSMzJIV
z0VWTIRSsYgGCNtNhrulAD9pOic8VWQXvUqm7HJjI1/fp51nnZfRnz9Ub/7Rq5N/WJ6VPflDVt57
XtZvU5vezyzH6gDG412ADVTMjjmPXPEg6Q4dgsgeCY26lcDC23sLXRNSOP2RZKTm7Qb6auJdC1xI
YKg33ZRDCafxaVpavM9qNGJjcYsL4wVSBayx2vkOnHLaBhOphsSJ/eHi9X97Bq4bzZN6z1DDwg8l
xvmaGVL/HI0lvRvXodiRqmJhFGsZavQHso1Lqsw6J17YPVY2eW06DtknUpBIkrNI4FdRtHZ3Lris
Mqx7s+gVi53wo1QbEvbq2d5IwxfJ1czKlvlBxS6p8QkiOXeLiOygGpGAtofXIcc5DGrAaKL1OF3g
c/UDXdQqCD1KsgGXKd3zqq5oRGXFm8CmK7jnfiUKYNN6FUDyBRaFVbrxSh5PSvVLOnscrKChTwY8
Zvv3/x8w/L/kF3shKdD/bdvYkM4Qaz67ue3Evobwxz3hD9/70V+CpAk9qf1Zd/aJD+ezV8upkeZ/
iFz/335r5//+rWnSLL+qGuuEnxj/5F5Vw/dWWNnel/0AhgXKVZZSnBhxPCp39TbKnLtvBpt/2Qma
GgmDQlnap1SN9/S679xz/yEd/n/7SL7EROsEihCG1T7R+5BskD4bJe6Ib32TX9fbe7MJWGXjKWrr
5Jc76B8+j/o3f/aXaH4kOaAwxx8ZiZBw5bTWMTe+uajl/9lp7+BhtpGIThkGlK2T2w55TYH83pcp
vsTx4zUJCmGSG0KpiCOwjCEFv7cCQ9yywP/bqaz7jhSTXHS01mTrfTiF/g+f9u0H/A/h7uLLmZRW
a2Zm4XcnD1DJYOLEwmvKwCHOSVv+5lIi8eV0uj5zSZA+/hKr/Od09T3G+e33nsQvp3Mpx6BQVtOd
qjD4Ucr2ASDy3/d+9Nez2TtDWTMnOXGn3pu0cO30vdVY4svRXPpRor7m+mSytSFYHoQuv7eF4etS
+5GkVGIFUn1KWQC6da3bKqIwnb/3gH/da+93ltkzJ1849oFzD1rUH8GTx+99le6XNUGZAsRXwTif
vHm6U1a6N9vi8VtfpfvlZPJNrr2EAD011BrsOvtU/vDNT/zLyQwc0jIHS02nRJX9DipN7Pxe29/8
xL8cz3yyiIaAdDtZukiucqF1ZcdD/r1b0/1yLkuSTnrhAHarW6hCN3p/k0R88zf/cjALph5ylsQr
iwxMJjRaeoPaLf/Da+v27/8fXlvul7MpjbqjmFwHIlj9AfcC49oks775lX45nkGospKI35plST7O
lvQs3fbntx7ErzvujVQF5ZTK/gRzhB+lKv1Nb5F+972f/uXqdNNFkNdOzD8vcBJVjPS1WIr5e1eQ
8+V4snZ2tUU5dqfEsm7eTZ9itiR37Hu/+pcTGlhwV6vftqe0WQNSZaYrglUbfe+HfzmjDYFhhUW/
fMI5VW6I0YktHOHf/OFfjuhYqbweJy633KxeiEKii2zG/7TrWvzXBvf/4Ul3vpxR/I6mowvBB4Oh
/MU2in3rjm9I7sQLdiwltSyjvdH9/rHz19PSIkCoZj2LIKzXmPCV9A33b3ksBLKZn6iQXuc2K6fR
gWlQf8QCDgbvON7WM8gILuQxkXMWEWgCemVgxJYagHcEyRXaFqdeswthnn77C7MErL4bev/gYW7C
8r4yQX3BPJcr1qX85JO8tsky41iN7nMuw/uCdW7jPL0vOmNQtZZAqLR6a8Nf2/mNMb8ETVPGg2em
Oxi0MC5leBsLd48lXqxdlY4W8Hw2HS1oWgHPw6IBfbcsfhqv9HnqlW0ZB6eSc7vBA2n8IS/bZ4WJ
mMCFiK6eXHh0a3b2HUDKGdt2y8SpIHU5y+/DPknuCY/dmamaPgttYwcevK1mk/IO88udFciPFbbh
6I7VvdFMKmZcb9Cft8vPJaQy8My7milDbyadf7AM0qswIDMfCvJbLLZvTaSgLBO0sqEWoMMGWgtj
e4Obzd3UWXLO0xG6ub2zuupI49o8L0GS7IVBUryH5+NKzh8+UA0POxGf6doPk3AepkDMMU1gjcPa
X7A+DuESNchRO+SfMfKKsHovchjEfDD2FjzVQ0kaHIGF1y4kc7hui9e1qoOI6qzRMWLwgXCfl87Q
M9MR/MbUm9uwCkq9JYz8wcWyFkFQkwwmF30gZIO9D2UWnIkwnUFy9NnAmIxRVERWmiRRwLffG47w
0WG9ZZ8Qw3v4P8yd2XIbSZZtfyUt30Mds3tc66wHBAYCBDiCg/QSRlJkzKPH/PV3hTKrSlJVZ3W+
tVWalVEcAMTkx8/Ze23XMnDkFGKLWFE90lJEu9MzESUgozMw+NHnPgNujjH7QqrzoQDpW3dgsOhj
Q8e46ZrNpbSUGJlk2zU4cmbarUVyQVVP7THw2quSi3EhOW+kB9NyJxuqLKBTg+Pn/XRBj+k4hMXD
0E47I5VdsSmZtbi252Z3ClnLcXL0UwK2daNAa/uR8PD3GXBme6DMl1gBW7+t9QcD+dRWBxnPhZbQ
cndknh4YPMmdwITiSmzxdrgjXWLH7HYRQUgOaNV9eIyy17kAXiDoQe07/IPrminnKnRlTvzLDES7
099ne75tWzLabrxQKJj/qgHEZYxH5r0T8POCW5jxqonkbGVM42kiORBw0FTPmIkZlTFsbHvrEI6Z
82x3HZbhRur3MFzcozOUzDsBPedPA2gkDoI9+Ew/veke0tPJoa9hPgRlRypIuU8tVz/G8I9p+ih9
25neTa0lDFuG5Aj/bg3za+9aiGC8sd+qRZiBF9TY1E6z6uw04RRM007GITAp4B7ARbim/cUHh2Fs
vE3BZm3zIT60qXVJi/1VhL28MhIT1FnbcGdPczU/z3GWwRCJY2dHTobplwPp8n0dHXLdcj+IApng
scCDJpLFw23hOiKet3UfW0fHZMi/NrtR3wI3PzmxZ8o1oH5UnHMvNkiQAm1dTNVSWX2JIhJgQAJl
vsNw/90ICi0BblQ/xrGeXhiqYESIOfrYz8FjFruLmXLu82ub1s/WzMsDghXuDUjVXrf0sUobiS0O
kxWQKR4zgX2BJecFN7Hx6Gls4vB3EJ/MkLxea9D9EMyiNefrXr92oMJsxmHSEK1UixJQNJq2kVjH
HiKshRupGrGWaQNYSoQN5yLCiTrFenFUU3aNCi04kXFyrfEIrwqagJal4WRAcEbwzgCPj8eBAW//
s+FWF0XaXHCBadch/rZtICII4QGzgBFRY9nkSGmcGuQcrlhu56Cev1YFKsJUWek9akcT6e0QPtOf
Ah/mjrHmN0WnnfQSnbA/dC3T9MwruzcN6UgDg6qoz0HTvSPz1C4hRaIsnjiXzEe6Q6gBcJw4peu6
FfMdVcW8RchRzWsE8ygcGYW99XbDhrp3SS/UsGvpOX65yc6+GFM7EQDcp1hNK3PjzShBIq8pyDdo
btoB22raEkxp2W2IKqsZOTV26XqA9L0v9BXDC72t46dMt9ry0Gt2P/ktetVjMvSe8C2v/dwoVNMW
2P1Dnw+IT1MlJ+Y0bvvSgevxC6+dETHZzhnzPnqqFrsug+V8DQwI/yVEb7xSAJsMQ8KmAYJ24SHt
2M1pGR77bNj3jtEccM1HkAhq+yYVer62XNrHmqfvFYlRG8sBve5PeXhD45E4r9nuBvRKiRVtXRJy
+tJzxaUGY7/+Isjx8dOxCXdOJYDfec25jzLjSeecooLN8SYCbyntyqkeIJ3N3VoyvbTWMjHFc9Z7
jNBqXZdXdT5fQC+fLmwHpdxIWMquTpgNAFBPX8I0QukBFbVgNGp9AKGRd2XDWLTN4q+WzgwODapR
PndToV9WvRc+902bb2rc8OuMJzJUljISyYqiJvOjuGsxScVQYpLM6K+1Ds1AF+Sw3EQrLWZJ5hk/
o7EP0dZ+TMRkPYi6mq61JGdWWzg5+nl7NDaeiWXTyltmSqAxr5O2n29sfWbnwbyLJ1oIYDRDdLKt
VCYSMl9QOzG0Ncfaz/WsYc0qLZwLnoGjJK8KdRlGI3A3Ysy62wGL8LmkWX7E71M8YC3sNq1jhY+I
uCsqhK4a2i0ZWtMF6qKxPKQGmVm6YUUO2WyKeVwXFTyEkqxcDRW7Z222sTvZkYbkwNvEQU3yhDtZ
66G0TwNYacbtmHjSIXuwVTAQ7BHcMlDRDKx+TbYzWUop7CA7WR2vgA4JgVtcPwRUYj7Ky+JmChPO
XC603xNk/+tt/H/he3nze7Wp/vbffP1WImPBhNT+9OXfdu/l1Uv+rv57+a1//NSPv/O3c5nz388/
8sNv8Hf/eN31S/vywxebgtHvdNu9N9Pdu+qy9ttf5x0uP/m//eYv79/+ynmq3n/7FRdK0S5/LYzL
4tc/vrX/+tuvSwzjf33/5//43vIRf/t1XeZxEb+9FL/cvVfdaxa//fy77y+q/e1XzZWfLPTvtuER
jWBJGp+//jK8f/uWMD9xwxjIa0wgKpjF2dgQy9BGv/1qeJ+Ay9oG7jTHsOBW8C1Vdt++JT7ZCwwf
4LMtbIO0oV///i5/OE3/PG2/FF1+U8ZFq3771RTLJuGfmwfHQR4gJeQoDzEsgkf3p+0ybgszQWnA
kK4FA4IzqNFh/rXuOG/TNEvOZiqSYSMxBwFYRV3Lei5aPDuQKTJaMTosOUsj5P6gnGziB5lR7To8
OixuXRS/zB1TovWMQOMrTjLw1andsTWoKrt7IF0QbI0YAkRGZhuyrpLT0RR7e5xKngeikQ9xwYiP
ygCWv9+3FhzOuMALgYYGtYSP74zslBTYY3oipA2PeNPDW1p55FEkiIDtKcS4ngjNx2hlXaVm6zzC
JsakhLwK7ZORQ0xBfqrQggclhj1wAGJVUfSO5wbDNvB4Ka1xXdmu3V/VUb6kTPfgu3yNEOnXyPOC
r8jfMySAEXE56x4t270Ks8w9FQb4MD/Vy+40eL3XHUDvm8j0SZHAYNyMqIE6JGtiq4aBkWoeUq7w
pEFSs20NGedXXK8trFTyeDp8l9gbNwg2em9lFV1DjT+Hwxo0S/JijGRbrQSe6sZvAHSojWs7peFD
l8HGMuiky63Lse2iLxFOL4ICXb2C/yJLQP0Q7mHNTJ097FSMrkMBiGMX4kFD7jdaLGsPnVeVnk0P
uKTfg706WnHUj4yxUYUE4INfmHcl1wKUzmta4G5kfZtS8l5QPbObCRMb+Rh4/uvM9trHCgsx8J5K
6phoRgtobETa+is7lHBaKZqTD6HnDDirIW7rK8NFmLqtma0Zq0Sb0S5NpWJ03FRmNW9Dq3aQcMLu
11aqn3tnhxCptg62HUXmekgBovr46tx8hdlC3SH2EPWWlQA8pdMzi7WrRrzLrJqzKxA55h1lsS6P
7ENN96LqLBPqNoEguMJwpuZrrDIZjJpAiPyylKY77NHeNLXfm5NJdgf3RbtWLQgyApPowcH4rtvY
N3piRLc6maLaGhlYRpYWZpxgp9XSPtluTnJhiLWC80ZspbUbDd0EvBpPCB+jUnV3hMQItLeBGN7w
VY/9ihmmtKnno6g/Fq1Xf07MFl5vhH12ZEQaEZAgTJQNPuTbed/ZSpl+x0QGkZiLo2ONRySIMdsW
tbfGVl7eB4RcAiYutJDNf1gapD4zBZGfgbYFEv4U+siVQ3LTU6tgbqyUM2qPTdxTY8Q5XCjgqvoT
5nmohmVqEjxhhDnRW0aOmxtM3BJEMdZv2DiWNQ3wUAeFNsZsmTf9q6CmxRA1MnGe+mmRDKk8/2hy
kKD+lGLuZOvjGfdDm78jE8BsiAwWjeEcp4Gx6j2Z7IBc2GseoARWZ9nopH4aheqt7XVJ2w/n6BF5
HTT6Mqm5bUgFG89RlzpXtoXZYgWHtjbWjB9yzDZQyZCXTTAPwfWE+zzj0xIz0jId78i9p2CrUq1e
54kGFMFEh2RtNaMlQCDnIR2uNKZSEGvsDGU6Vb6i6BwzcWr03qiISHUUdT/ZXwDT+xi01oxiyro0
KW/JntH1t9wMupeisYHyOaDOCLy2M+QSkzt3xm6MRfJgJ0mh8Lc6xr3DRQhsCCtnQUvC6Z50d7aY
dree6fmNOY26nxkWqMa459JdQXRKqMbtIWxWjFZ1Y01+QfgKenhhoqUO7uzOtLCR9+DM/BBUGEaq
Euky9bRngvburDT5S9G9y4pjGZbtmbbhmNJCpvrjwIpgDrIfnXYgAAK1S2AG3goJ4vwfGp3G0or9
cWGzMPs4iPWFwbpm/tR8W2bpnRppQIweV8SKa0hzfb3lZui6OTlFid74LiL6L0MaOZcE2Un0zO1c
bb+rC/5Ycb9fYZdP8+PbIAfMgoTh2qzz0v2pYxwpqx6wmNUbtySTTMJ5+gwiQz3UcWFTVPyjBPk3
L7XM3398KanDELckgcCESPw8O1qMKAZIXBpiOIWQxMAaUxsAsJxlr62kcWxqYppRPYKjwhnP/3wF
2VHffHsbf6kWPMVvTanKj/bnSu+H0vC6f4cp37z/cnqp1C8seF9fWsqwn3/n/2B1aOoMLf5xbpbq
84fy8IYKtS1/uYvfyu/rwm+/9ffC0PmEwNpyDNe0HP5vGQn/URi64hOkAddxLWHqQscD88/CUH7i
Rx1bCpwsju1K+vj/LAylRAXuIfXUTdciCf0vFIbLPOD7a0k6HsgWiz6Oy3sR38rG76bKFvk5qJfY
eqJ11jYgB85DrKyV6SYfA5YonsP0HU3div3vjtO/uYa/3Zbfv7DLTkvYrrVUvVJS4fLGvnvhIu5D
9kMq35QItzbV3A0Y01HFrkxQvCvADfgIpS4Okynupd7dg14qNpWVRIdsUSsB8I4v0NDWuGGlXPWJ
Jo/ksb5OwE0P0QKMUEV9aXQL7Bmi13VoGjp2ShA7f/45lpHH9x9DOq40ATR6cnnQwd/+8WMMFUqi
wIhz7kWE/xpoMnZ08Y2T68rXahiJXQKZ+c9f8+dHjXSkxYtR0TuGSXOQK+r7Qxc6GoSGqQg3Ackl
WCGyD1MUXzyd+IA/f6Hl0fnjh/vxhX6a93TeOMcyyEJ4FNmXhtQiX+be+a+/Bp8GsvlyVZPv8+OH
aTuL/Jo2DjdapUkwJ4o6qyVF5M9fhd3Sv3wUeDyGJ3XuGVf8LPtwI0Izka5qNEI7b03pflnm3lNA
U9HrGroT3UOjjI2A2b5NZuM2ZyT/5+9gOSk/HUsHJIVNprkhLKH/tD64ZW94IMS1tZeWx4xMJ7Rc
WFjSvjXWFFref7i//mVZ5CJxPGTBhudaNhvPn84dIAuLpBwQ36CnsCfW8SuktnKlQqgwQSauATQA
R3LsW6dLPnq3vv/zj+vo1r9+YPqtjjS4xQ1dyJ9UZFYBsYCeOYnOHlM3p77CTmlubB4sYVfNt6nr
3BLgUuxyiK9YEbNX20o+rDg7VibJx7h0sNxPMXUdLZwtnCT7psP2DqHjNhf5kWTZqzlJP3RlX5Gt
kK7LKbNW00JHKrsawzbq8UPOGPcmNSh32V9/7TP2Fg3EGvSo1i2qZZSOc3yPaPVLGrhnJe3bsnFu
JTkwFIwMTi2E1q6TvBITDqdmbtR6ebWhDRBp8zak51KQFeI8lORNVaNxa3fhK6NROA2d/llOibfq
l285qenc6wFBQiTjNCskw82Fq0aT1hAvlami8u2JnYg26fMt2XYERSj+dNXnxzgxbxNy6H7/ZGZi
n6a+ni5tfJ+LnyjdMDQbwSHV6SlO1TMuKD4VUuf5VJAXOdBwX0NYoCfquFd473JYJ+5nTajiCRF2
sJ5apoFEmlhoQKPEd9Le4hMpjw5TmWBryF/dTFzB3L8i7be8IBR0PmUpeCHAR2c3cEdSQ4m5lBXA
CwGnAPJCGG+LuOjXrHhXhlOwlEw0LEeNic0srNsqzYk/tR7N2DTXGLyfA/CEmxxC/cqAYfSwnNdA
wKhoBdEkYxZdd16wyRJh+DAXlO+UEIl7gFobO2ogpeHWYxfKQf52GEdMy7ByarmO2J89iNAyN3rJ
QZhA/G4Lo/B2U6TT+Y3FlRdlHrJbBhT15JIrF8Wv5EYnPt6UaqvTTFmF3kAeoxbNW8aH8wUI6Ft0
yA47Qy4F7IckLHMY6ITO2ybllZLZm05BSIwUUy9SUNLa9IOcLwNCdDZ1nX3IoXo2I7H/9t6zUBQ7
vRD7IoeQVY7zy9CbH2znz/XYVdso4XbVZz4kw44Pl0nrNg3hqNJB8FB008XoYlADELzqi7TPbnM3
LneyxNIRW7zv1GMMQqb385wU+pqZRroGwgZEKxvU2qD1ufKiONxi6592heIWFEX7PDtcAJoTf2gM
VHbl1Dy3o0jxMLqEwWtA3kTOySygZ/vKiys/84xbokRxCPS8My2p+e2gOC43jd7zhyGzV6Q58M/L
7Q5xtmETyB6QLruilxLwpxfXzpSnHw6Br6tszl9h+VxhpzyZwXBd6955CYFBDaDSE/y7dDPz3N7F
AczYDnP0HLCNREcqyaVxr4rCGDYFrH787t6VMVm3WcKNZLrhq+VxYKYSzEcWNM+OWR6RTz+TXce/
iviJGQjwEYxLPsr5yjc9eOhJ7OJ9FdG0slO20w5WtbUm5rceU68/SnnWiaBZB7l21k2u7uVfsFN8
tCp7BfNJr8YWZxVRVS0P37YVGD5U85zk5m0TV9y0JjcHLk5r4Q6WbI0CGp9EirQmumzc8rTWbR4Z
+FrHQxW342HMK7nOXc1azSHmAEPYxOS13RyQfMDpFIpT4yjeJJF8yKRpt+CmlNyiVfbqtC6fII/w
E8WgCrW6JgMMN/4bgb371AZk6FXc8SppnpnrvdKMemb688wGg2MPvtkXOElXERYn+FK871JGH0wb
CO1d7lOcluc80+ddl0j281PHFrVsyotK9twVIcwhrecikT1Anynl4oIF56VZtZXllN71dpI99hA8
Ux8lLJHVpNPpA4d2cbJtmMdo50A3b7M0t1YsmcGLSkgBxwEpCbtdHo1Y0Y6WKDVMX7kDz0YN9YZZ
wHBttJzLOezGG2TvvJPBILbLs6w9zXcPTA+XdlC3agKvTWZOGDdynTXayzSGEaby3ASuXBISAQ4B
r2/57LKV47aRCOFtnDVbI5xNnBYxrZVem5rLXiD6QrIOixsAASpNNpz8ptFpF1h16JO53bRjSsub
mHqe9Ll122AdX81j1/u0GYh5JK9QPTVZxMhKK6C2Ns4LUHyYTUZODoan5NqMLP15tG3nUo11tQ1q
vfpMOvm4w5QwnTTQnc5aT6JXFWrpHZSwFwMTdEyTdDl/Cal6K/KltY05GOamH2r7K42/coEJ9lAe
uFn6jOkxri4IUpNJXrwxyK2oe/15SEC+jyzPy8OJ0I3xAIjpA/dGwkrVPH9bFiknb6ehgYqiEjxy
JA9AJCXfFLwFsTnSIdaR6xC5x3NS8cCwsEWtTZz+l7bRar5SA/PjNv5SFjzBvz0jUsbcOiame61I
XsOsIl0xjAjYKc14yyN+WVOyM67XDEe2CHH+yfNIKxrUQ4xfyryprO5EJNabHWWfC5FeprCrV/NM
laAW6ENZ5B6xUzqyBrgfK5NH3BZw3xJLnbnQYgAZWWmOxARQ9JHJExuVQDbrUmcmyk23N9P+PlE9
bLNM79bt6Iw35sAaooZF2l7xWKeifJZY7demqRNXNXI/ws2ev5AtwOAiesVMyB3WxB9VyE/j3OCm
XQqMb+VCYTTPk5u+4oJjJsu+bONIYmT/vFL71vn/oTJ1dXZiusOQQqdE/rlQGwmD6tBaamsh+uuI
oJO2jQ4WSh2omHTJjQIvZAGlXwfZQ11wciHZG6J+TshJESms7ZxAst1sW5ROROrpTb1ZcgGSZr4P
sYyviHRgbqXUPmj1N6iTxFwE2hO73Xunai5rQ1bbenQOEVo1Q3VfEzO7MEJBJ5HLq8+Cj6qhgRrl
8cENa8qlrB+vHK1ND/nEPVUEPEAt4WK1oYYeYi7e5dw7iX1lFdz9IOq1DYEkM7ARLCES8gGRP6xf
jm1RvWUet8agZn+QyAhyHIGQrWZr02nmf9DM/ctG0dVNzPnUDYKJqRDs9b/ftJWVgJERS23tIr/Z
9FlOsWS4e2JOweDyFGOB+/jzEyv+ZW/PS4JcFrwseFWCEX58SZNIImIks0XjwJHi5Nh7j4HoLTYU
Ij/U/LmTYl9jbvHzzN4B7L5ayjqULXKVe73pt0ROrsAOx/5Su+gDpchyllHRInJLX8eIJS3nXu4L
uZ/ifq0SASHOzD7qqnmGm5Ouu5n9RWLdjpLnrafopMZxRTXC8msukLq+tW9NmxJuKfu0mRU8pxhW
zKpXYI7Tjcq4FyNQSFRPbB6+1Vbo7Dx/NuVZKpoVGusE1gztwhg426pwrqqZn2RD8zwmhjpD/8AM
TNR4sQYZQLcfK9rh9xWKvQ9mHgobjLebEaYgaQWq8XxzqHjAEfQE24+ns+cR20mBpbCBpa+02dP1
UvZYcf2cuiBqKGKDQ4jo7cu30/eX2mv/for6Q2/tf9eB+59mtv8HW26GxXX8P7fcji+l+r7X9u3H
f++1scv8REPJog1LM8uyFk/K7602Q9c/QRmXdMwY0br60jL5YwRrmp948tFL1VlIaQJ5NCD+3mmz
PmEctnkoCqk7yE/lX+m00fD7sZ+yeMfpeEn75yYR84piaDot29dzAbXTisJyLUv2nYUNcTpmAjWu
XHvU9vGgdSfL1IirhVhR9/sZcCJB3aNE3wX7OPkAxgpRI4emeOrZWDUrm5o58vMgd25H2u1g/iJ7
H406meaojNvnasqMBxdDONmIBGD2LGg1A8qQSRcM1rDMrkazEU961QwHHt/u0k9iBprU7kUZzAZJ
906XZzAC6JOsQFgyKzO82XisSk1tM2dGfYGgJnkLGP5s9W6qsgssyuYHINGKx0M9FBfgtsm9Wihj
mZbLOzZOiG9q8M0nNomj2EQ4Rm+1XKOmR0hh33spWQyXeZ85gE/Nln0BKmN1hLLX7Ls6FDt89uBB
ZWLrF24+ekfdGuHyyGH0gDkxPFsNSUC0UWJ095ml4sd6DOovNsPCy8yr1SUwDQbgSF+eRlkbxJtY
OYRYWSOUWyFMa/fMIvvKB5fkbjgYdGmg7kanuOzKVyt1TeiyLuh5e9C9zE9ygOiYOZGAgoq77qWR
36HB8Xaeo1fbbFYm6F89cdmkqai7Aodt3hUkd0CdD5eSO86TEUFaGlp3JJiTDjmPvH8RX1YxsAEc
lt4Kbox+qRUkSG17sjnuZWqyaTJSiKg1Q/ZTt8QoRkHsfoHYhJcwapOzahG3REkBaTbLvpAdMFBc
e9XWIpvqiFrZQOzmNWGA7iwXq9GDd6WzO1g7fRrfdUwHSaFvid9eORGkWhJ6DGPb6f24U0Mni21n
n6XwTmaEQYgEKfZx6eTdkJ8HAsiLSEUv3A48iyS4Hv9ie7bKefLhCHhHl4njhRuM9mNcQ7WXNEJe
EnpVJ680OqonREWr0NLRBNYARVWzZ6IhL90inU81yPRH1SRwWvtsiY6tjGBtqTo/lij5vooZPb1m
28OCEyeXcmtZo3sT6mw2prZArFjH8jXDfMvWEWPrdUVNsQtbAWAPUC6ManD0vgHFjMMf5icXuNZ2
mmlqgGDndJkQrHFowpLdzrUT7dt41D4SMiO+Omos952wLby9QECQ+Ixd+9Q6kO2eInW0PGGAfuqS
+TbxenaguqkNBMmDlPJTBuEr7q9kPRFJ8WVic/asd1VwjPRUv9alp917JDz4aI2IFMkcDANdlT5B
CqjPgEoFCtW4k/pFAQqG8DmvuGsiu72dRSHvtanSXyRXMuNnXadyIiRlm1UZHG7Ijsc8J/NoyA1A
9aXuXvP4c7rLUetaYHTjcJiB6/gzwWAPmFpdWnGVS2C2CZCvdwaFZIrezLRCNhpJRNWID3BHi5M5
qeE06ablFy20I1h77u0kSTEEHOVVL0Yu8HBLcp6vB8UgU0LCJfZdjTlUls6GOGSbL0Zfuo9dMgU7
D6/lXZCyhYaIjpKTlE5sB+VcID+JwgujTzVfhkZzU6NR2IAxGZ8akTufsfkMHF/ZsC0wAEESHdZv
B7sPQaHk6jIOdXlPLkq9HfLW27gxzApVLbnaqGvXWuyAqdDaPr2czWR4n8YkyO/BZom9lVvzWZL1
/KDL8KEW5FQl7eWcH+t+Dk+z3hChFQ1kzs6ox9iyt+uyWyQOkJ2lRwEmxpu2nSZSLFBGz672NRLt
TZBP0X2dOANqF7OM3gcVRfO6zmAp+ZA4SPwTg4HNWmXvdAzIGxtsJHWheWV2wEsEol/8QIm6TgxN
3RKR3h9UJQgF7+P4HUJlf+NkbnUiPNO8IL98eobuFQMd680K7YvlUdLlEaBhxiuzvqnHxthOuGqU
T5TxBEDGg3ZVDTXsLvIiUsTPRbTPFvVO3LDeYnSoq3djnj/PoxDnrsCAv5MwU/aJIYPNnAXY3nOt
1s/EETb7Xhjtlp1pCZpCjy86EPfHRs+mG1ub53blzkBlJjeEHl8M41nPgviySMLuRWWUZAUr1lUa
Miowa8VNTkrEfCzoPd9ZNVg5fRoPWU92lxmXV7GVxfdYCgyUCElzbZmdR9CsaEOoA8P8UZDaDAaX
jT4UIqva1Gbbrkwbk2kNPS22zEpDx4s6f9YT4wV7h7dnN1fuzKq3P0dT5j2Yg6sObB/6YWNwXZ6j
NB1uwMupvZJhewljFCZululg/lL9ilo43BnfxDJIAVq4ZQSLXBql5+z6NGuBTzvI9WoUinU4ElAB
K/LJIO9iA4O5vidwxnmzu8gg09KLzTMeKnNt1NTLfhkqlKlzz5QfweZ7bysByhC1DBEhZbvuGOjR
1gr6zyW9lF03mDBkyIDxm3oAk92auf3Mj5B256HYAIOVgvov9RG1cgrycqVhkUeqadvbIJ9BYdiO
X85GtWYr2NHuDNOLAX/xDZv37L0tPVhCQSN6GgJuRA+Oh1TtD7bLYoVGPr3TZenRMnV4x0vk5zDN
zY0RMZeTtAz2ltZk90M1WidApfbBYoxCx2qqq2UjWO5Sr53Y+FuRsav0aI59kAPOHbor+ap6hH8W
wI5yNYF2gSjaa8ZtCPLdISBMRo9JUZsHwyqbF72H1kIXiziz0c553JOJWa1FYYYlgDwinddZHeCX
jrT6KqmFc0lHa4RqxxjDGDOL46Lc5kbQc+1XwimDa6dgs4w8v30F/zVjdKGIIRg1ey9sVLx6m2hP
oRpsHyJhcFV3pGHOUI3uothMP1yvS8CAoTyafBNm26Ez97QC6IJ+zcjpCi/nVUuJ4NfodIlt8II1
tn+XbBpbewzzRLxFwKmIXNG9/KVRPAHJfICAGZT5Hh22cT0JXTu0bereIs1G5Z/mKaI7GEFH4nrc
iyjTgIZ0oBwMMtDxr5Af4O0zqrctN2N1pblRvxMhAXV9asm91ph0laqJNpuh042SMkfbCz3vc8T6
Fq5c5DWPUaTCXUJs7aYMp/CUZSK4EJnNU3VU1mk0PLVvox6chQ3Z2veAFmH0cDOwvgFZBIfMcTQw
jGUx4IlJpjPZTPVhQiJ5tBpjvKsyKo2KxRh1XjNdOnTPri01jUS41kS0sOLcgo3i2RroUkwIIGa1
AghvoFmcU9rcNry3qpHi3nCG5DH3snSbtsRS+mhy1QFkD4CyMRtZuQsnydYBFqB6bUySzlnDWkL4
z5coC/o1jGJAp7AdTHxTPcuIKuXejg2Nlk4nvkSQCM5z2aIRrC1SdN2ifYP3T5kIuG9fge7mFs+s
lxn42FbSqFzVctjMhLyt0pRnukZiIZLhscnv7VYNRI0Y4yESoXBXrYDTTYwR/pFSN/c0DYbTKCen
9k1YvhcGx39jx2O6SXMbROSIsfsrAJf+NtWC4PNEmOW6NG150lUOnDMF93ssWQ2vmSijkkoD+yZ2
G52qNIlByUVlRXgLQrHgPjWR2yGeqVIa4am1I4eFrLl6Fmygew2oNx6BTuxskQJ0LPom3sahoW9i
zD0li0YX7KMEAmHUd+UNsGI6DA7M0RFu3ckLE6Tgsz2ifGNgOLF/cM2rXoTmttYpx/ARWYyRjJSE
j5KMUpKktOKCwZtzZN9Hd6IoLM+vwpSmxhTHz1q60EDJKbgJiJiGjp31F/PEsIS8hDLdQJUpkKdb
1vSIqhzZPFmT0Qoh+nAoOnJ9SCwIIXMm5aUFqm/TZCZP+6yfJr9iTvE4V2a9jWgHEyRO3i6VsSJA
JmLKeJuT8HstyXmFnJqbF0mbiludDIjYr+IKJo8Myem2+ugyy6TzpSVgwScbNtkwRk1OGedmqww7
3ne5mWyTQJbXMZfovix0/kIM+vaiR8b20tTdsCHbWeO1DW386qRusOEqh7Ik+plM3K7zjhK43E5q
bXhwoenZ6P3dUx65g6/NzvjqNFWwYyPTnom8uiiB9t30rSPowBi4dAjRIn0mddxt06U87GMNb5M+
KPcVs03ZcT2U0JG5uc70h4avo4zb1RCg0sQHnfkZsSHvoovVru0693EsLSpgAuyAwDTFG+T59C6w
8/la7wDtrHQ7O7qNB4fLmWGtCpb8bR4Y4UOmhe17H5IzxToA4GmY1WnsC/VKwI994K5wPoiMStlG
i/mWHmL9lo26eBwAn4o1YQ1Btlrano+e0prBpw9J3gI9Gt9s8Z2trIRDnNH8ucLOgx8oRI9/qSlV
XOPNZXczaNx/qOOA6s4eUUZUZyRi4mUGNNO4b70TF58ZdTYbDr6z6RX2tCmX2mky2v4qCbX4USgS
HrQB2cnKwGyy6lxTZwvWcQMy03PAey+lAnvVm1qSrrHM1MzL2gNW1wpN29UVjrJVlZTzg8YCmm7A
rQ0XdllFXyWZysOKk0Zvuki8J8EVCVuGMe+WlCwodYFa8FqBh4vLFGtFDOrkG2UyeKtKkr+l9D5i
29c63QfbVvwqNa6nazuNi6/8bLP6JpZd6XS1LgNhTIu8t9SPBGosO0bnJpmQ12nSUKDc4pgKEGhl
+2gRN/sadlrSYMeMFCaqabyMyjnlIVMlTAEaC6+IRrr33RKzRMqwrlUbrxC0FsKRzEmLqM4rAxn9
yUzZW5e6Jj4mu3OBv8E+F8KTl22tpYcqmsnPcKzhJsvs/0/dmWy3rWRZ9IuQK9ADUxIk2KizWtsT
LNmW0fc9vr42XFWZMlIUKzmrqdd7EAhEBCLuPWcf87X0rdJRNTLZCqs6olrSNuhwS9ZNg/xEcNaq
oxOKdQBZ1902YQruRzHKV0VvzW3KhgyKsc1qH2f2ZsIoCj6iQYdNmp4J1E7xgDz65bUxaeY1MZPs
42ZEXE0941ahBE1QAILQW1Jo/fUIA8iZciE/QZ+s3CGNDNqmbf1gRJK4Au8zvDQaEtU1IFr7uleq
7KCgO+e2VkrC1j+ZMXU5oyWJ9joH25VOk/XNNOr4O5J2lPQgf/wtoXbqI2Crei/8NH6wekwypU4C
aqXL3XYCcvysUr/+XdgD8883g5ux94u1YZZMUUtPv/eaHhRIpVk8IO+mR4I4I8fy2E6lcAuvYiuL
btN+HltkfOlH0aUTbSHbfB3EZHW04Al+ZNnx46PCrbjaINqtHdrqM0f/ig6+L+1wEz9iXpserKzU
dl7T1tusy8rrP7xAQ+/bLfFdKc5xTkv7zp7GjU/Q0oZtSLf2ZSW8aeEzo1fFdPzDiqpvpl7qxkar
lPZbIAgtCktJfFWQ7q6krCEOlpZK61DRyb62tfeQt/M+qJTH6zTMoRAT0MXXG473jsnWS2spM+t4
bTQj5GVflqYf8BSf4C3lG0kd5GDbGK30BdmYdJ3ndfFCr7d+i6RM+xXE802XoD3XSi68rcj6cTPO
zEP6Kh1Gh6nZjvhzV2lmHwa5Dlw61SP5F39+t4bK5ZjO8MSBNX03joaE1TIj7YykFI8PsQJIXMmN
79Uke7dDDAq5D8h7SbsqdQkWr7b+IOU3TWkkbhS17XVNeeyms8t2cNRe0D/2OBdTmChprIfojum2
irK4q3E0lPPaBPgyMOQDpmFCLRDKpQ/Yx/1vIKuaA9nEncOMyO6TzrR/mSjOorUSFMGVoQTAtUh7
D3+YYawO9IwTINBGqbAt8DrzVk1zhRxCDph8SsuNKOQXGpwBMWJZ8sNS+p0i4aQk0g8T3JYAOTTd
Faz6q2JkPdiJjH1/FPsTduN5mduyQ7X2TWtiU6H5W/5qg7RBx+v3PWGMQO74ivRmtJuG2nckWUZr
kmOOLEjjFPYu5UD4NRLScB+W9UTVLVR51UTGg8tTqbRVcURCsYF6Y63BpQ42ZisTn0iFhC8tMNWv
BCgEpBIXbeIIrw1UKoDoI1d4jFuKSYCZwUEMqfy7COPkBRequc4xPlhERsYStr/Qq99w4/kWsY9F
ed0PiXWntnUoEx0VtkeSZVXlK6XB8S4wLG9bjdHsKZBjUoFKyrfc4BCoN1gK6s4Jy1AcAfubNFaq
EMMf6yv7l9Lr7sbaYCBUnfyocqDd1llnPJF9nSIIgOWty3F6QHARbImHZeNa8E25Kcogc+1QI3u8
mUKyVgAsJAomyLx/USg3Azi1ZUifeWOGLohEnY9Wr0aPZJZ6E5E0UdRtWqPOXA6eyhVxkvSUsPZ7
pIjE/Ze4U4bZflD/yhDYOyO5Y4TEJIX827JYBbtMNh573RbrkniO2063+dB3XmDBjKWTblCBIoOk
6drHXq0NVyFH5ybt7eS1sw2UHGVMYJsN6uxLIdOTHIKy401jNVhbSpvRvK3Ddl12Q/Ol8Seae/Tj
J0dotokKC664G9kR6YhSW08H3ZrArTfULmtJZ0CkfochVEculDtphhZepbnLGmROD0FRN9tqCAPA
5Zkk/QauZt+KphW/hTenGCui+ZXG1J89kKTxGu/LnFefUZkRhXVDxJe674Mm37ZmLZL16NMdsoag
uEsbguMV/K+/euq7m5oUZmJJ1WJg0e+T+4CAzG8TsKu3OPeCb2qekqatxuEvnJ7etco7+lZSuoTb
bA8ywlavsYliGa2jXwBGH8tERiQnE4Jstql6mJKgfY7MRnV5B53joalbk/8FZw6RwriOqGKzD4cU
DIuZnKk5RkTfqQGkcz4S4w8OfZRjgiJJ7zxDiX8maoYJojLG6fukmhxuvR5e/dSFxJq2Xb0Z+3h4
wpRUrqBO97e+biYbX6MqE6u0twE8Tkbz2KLcW7e5zbHKcPGqYPzlgJNG3wlUCn/ZQPf2LW7568jw
iJzqBWeRuC1RfrSeSVgeB1yCk8zohaCfjMAQDl3Tym9HendlHOvPZWXo1HiaInvCQzQcbGJpevKy
y9RN1RS3hWXWEIv8kkchV4PxbRbBsAZ4pOryqcRD4cECuGKbFvy0QoqZq8yq8bXhTt8PZBVftbIV
7DnBKbFLBbMdebdltpkirrDWyBJe66ZKD1ESqYakahqSYpOOjXWUfHRXLNJ+sy00JfkaBXr4vTL9
6YHUDv+hHf/kj6LdH0tD2itNXmzhF6qHNlKyYSXsoWGjr4RrdjeGTeb0gE1nMsz2UUSaSQgi+ZVA
pykQtRXBV2Y8jQfFqprnagJ3kukNVulCoQZlm8rGKDASE/Ql3ZUkK+zsMLZ/Ya0vbtSwnzZs5/J9
72vqNq1kFW9qB9wbYeFN3iXGs4xpmiwBrSEBtAbXaWZd8lyESvYUeLq4HdCWYIhuyMMz2hw8Y9tK
8qtl0hXSVNvbdkMmvo46x5RGieoNfR3yR4D2BdlKDgzlNuiiB4OvgqObWv2QFlF7w5EACxwiHspV
mnGj96nOQSiKNwFGu2vyWtJXgMvhBrIjycJKFWlbGjoEFxpl/oUdsdj1QexfGVbICbY2cZlNGNnv
C+HLVM+VnKjTElC6M+oFYUiloegkx2DQcSZJdGA+wYi+sl+YmQS9xMKHRdl6TEQ26TvLKKif4s4H
cR/l8o50J/gNFsxVXPegVZ5H0+yv6C/SrID5ndCM0etRm8Oc+tCpei1P3JhDeOQGMMvUfcH6yk6v
wIuzAojMR9zwapKx5KBCqxup8ms4Su3zQGnAUQdTPQZtlv+cCIxBgOIhJGnIe2N3Hpb0wnWtY3uB
V7WmphpEprVtLDIGV1S8Gk65ddrTRdfZBgUe4SiOGIb4wW7gta8R4wBGAP4/UkusJe9VH4jbWJWg
kTmolVpvO9FoVOxiKtZek2Cxm5yUGjpGlEKJE421vtl3VZ2ra1AH8WOuVZ681iTb/knkYwdqdCAf
5ViRDKnvYr0biYDIWMDQsSkt6YwzEnw9GHPnzBtV66WL1GLaAOvMhh19VM/NCRD1jySuefpXuwlY
lIvJsh9mZu64q+ciwCoKpImIhjYq7brj9EzOLpngVZVtoImif8oiK30j9DGI7ul55LcNyP3+p2ZA
zNiBn8nmJIJoeBNDjuqltZsat00MzYpdhZWH9GUr7hrLovlzEFKfboOBUrvThFaqrstc6TeEt2aJ
MwW9eS9JrXBTi13tpjFlMp8Ljdx14OV+Jbs5TQY6aziL1mgOtB2Pl9aloJGW2TUmtSGQvGhbGq1y
NZVh8BNwSa05RLYq+8woq0NVjuTSxRU1dCNlj8A2PX/JcGtOR7obxX1VJNGvqWpzF6VudWdNHo/Y
x9tfqtWwGtHWoG8kJ2zfG025pSbB58yimweXBS7yjVpoyVdEI1EDjxwBsdM2En2fxCP3YVVbaZGQ
YcnmfyuldoFYQik5QcbkqoQwc1miBoOaWo3c9KpXjbpbeS1boSzIonvO9VgaRWXssyr2CNbwFIyE
qqa+UqhQnTYZxo2KEvbGr3yCYoGtvJBmWXF6MCiEwyPuDloR278hLXFoJgTquimw9K9MQLpuSpXv
xac8wYoQW8nvVqTpN0KAkRX1Ucu/QgxA5RPbdcmyUiowK0jBoG4JhKPJVdAaapzwoaRUoRy7Plfv
aRWbD3P/666n3LmGqYGQSc7H4cVKQ+1mMKyJiednXyi/RYc+LxSAN0p7CJNA2enQO+i/ycPTSDn2
aoS5fsBwTdfWzMRWM6h6DFDOV4gdkMhKJMPf2n42OnY9qQg4B0SWm1If7YfR6GJ6uCUFmayT6cqz
u1cJOOSYr64RrUu3thSruzDO+meOu/jhwq6M9kaDQ1Qq9ebJMshmJu60bPbUiORZIdzD1kFUGG9L
xe4PMdmcfFhF0mIKTHHVTepIlVQ1ngBLjLkTiya9SQC5PLWpRrmHG6KRIA1RdzV/RUn8kT3FabTC
2yt+r12DnUaARLYHQwJQ213QDOromEOr/8SvV9+SN8F2UfZr6yCXAfbFKG0TgcIBXs5taw3kfCly
Js+sk6STLrCw/R80Nv+f1DPYwT5Rz1y/Jq9jHb7+paCZ/5f/UdAAJEAypmqm0HTshbMb578VNLb9
D0MDbSBMc7acybMh7X8UNOY/VFPWKbWibeOcgL/hnwoa8Q9L1xGf2X/Eb/zPuvKfSGhOCGgUe2kW
g4SfUKtW91KTh7uR8gwNA0lCaTESWNDYI5ECmaZIL8aAhiGtUMqs9KKMCRu1ZHQxUn5Qzaa6kiIa
GUlf6jQl1RTfLMQs5dorZOuVNIp+H4iUrQkhAdmaGAFtWhGl0BBWZ5LC9+6xf+R/+1uc979aIMVe
+IDstLZxQbXavkjGWqdhZRVvtSmzdfOobA6b2WVKcys0+CbHaq1f+VUx+wgsOSCIMmiLt5yy2/OU
GmULJHuIaK7R0vXB8yvJNedI5VsvWdaNPYzWd9514gahmhnY8Yf01ZqmEOtCl5bfxr6xOJ4I6aXt
LO1qCmLzjOLxb5vqP3/hUk/a900tYFrre5KOEJBq1tT8VLQsFSgsFOkHZ/HkRZ8g/ZE8ZluwuSCm
/WcWuX/97fmpv3MVDrTjyt7Kpz1fH+kOtaP8jQ2A97UbylI6Y8P729H1r7+xkFV6UoGAiSIgg0sd
fprqmOFZkMSDOerB0c7DITmj0FX+Nq/96y/Nd/Du12SRqRKVo6n7kKf321QD677yKvHUVKR+rcfO
HKGqt2rqGKKXviSDbd7GuMFzioe+eLLsUjzJHQ3Svgu6nVUSgrqyGg2iGWwFdgGSwMKu5Zb8C15d
f+UNxLqdeUYfK94Ua7YwvrtziMIBfY+ucSk3zFkDB00W/42iQdz4MdLk1KXnf3936ZZNGKEiU+OO
vUmCS7ZDaHZm5J66NAvZ+0sTSpPRkWwb11PKW1kE9zQpLnwgC/mvHZRYV1V4a2ONKg6Yg3oJTxQv
6gyeeX/TJvCTOkBj5cYJmvhpAnlwCc16vvRyrTLgE2gEi7mKJDaoLtezyv3zdfDEozYX7sBYIVPX
tPrG1WOxjUdQcdF4ZtqcuvRiDUizlL4ZxCyXtDmi+aK3ytPO2ElPXXox9evCaiglB/QnLPtHjmoL
cdv15w9knhn/UuP/c66by7k+9JYWqfOwljh2GdlkwoWkzP04IKz8/fnfOHX7i1k5tIqQEXI0Lj14
CqQooOxX1WZTf9nl5z/7bmYmUScbvc1ITEeCtauh6lY9+soLX+ticma2lWhkcTVuQczhRMMcOpF7
2Y0vJid5GmndFUXj1oNw4GZQ1dLOGWJPPfPF9KyNnoLMEDWuqcwFDd2JRLe97LYX09PK0El0Wdi4
1ALwpPhrep1nHvY8oD8YjcsIiEkKO7VuUhaVuB9fvDSWd14V288J6YcH09eje5+c1wtY6CwzxmLC
VtGYx8HErOpT8LOy74SjduZ3nHj68073/ZDUWpkWrO/ziAQ7pF5zgd5eNtqNxYTtmKBKYVe1G8Bl
sgwqNsWFV15MU7jWGm3munaFaj43ovsKPuv28yEz39xH73V+Tu+m6Bhonmk1Re2aQaRvVU2POe56
iPlsSla0wqTd53/n1HNfTNZI6cLOyj3W4HFOEPPgILYm5sbLrr6Yr+jFjVSzeasATrAhv/WZdHfZ
lRez1bOxx4+KXbt0uMaV5w0vQGPby/YAxmK+kpKapGXDQ0HbuS6iwqWDfdlSsEzjCKD5BjLlD7fS
BQSgQrMBA03+Zc8bH8Rfo0amFzba9KJdY7KOcTG4iWRf9kyWXAbkIQzCZB4oOhR3w8gPROmdOw2c
GIUzeuX9aA/6NhnzvGEiwWW1DNrEfnvZLnSZxlH7wIy7rq1dXU6f7VL7UXjxhU97MUfLWlfIh6aB
r+hYSC0L3NN/Bvb45yZjmcJRtnmuYUav3RiibKHAKDAuHICLKZkT24r2jDXLytS9ISykWPdnpuQ8
yj5Ys/TFnMQyog5ZztjuVFN1cuRJiAMnLHt9kHwRo2pf1WhBbTzoBDbiuY20W7kmLhW1Lwi8euxi
eGSyr3+lmmR9C1IDQTbYG4dGhnmXm6kXrOOwMF8DYOf39EKMnTQY0ZOoyXS0QwzjGPmdQbZx46gN
MXNQfrZI6RO37cpgR2+8F6tQyOmvStHSbR2P465XkB8OEggG8NeatVL73NjLddS+hYmO2Q9jBMbq
qFDMx8HIclJRE0GEk5E3K4Fq614hX71Z1VgELtvh6IulR3TxWNmU5BGF6GsvyZy6Mi4brsu8kZr+
baV6zITCtu69XNwLvCRnXv3Hb37pm1KnXsKFwHD1wn2sJA5pQM5lV17sC4zE95pCcGUI0wVG3/YH
6eeXPetl0ohc5KkRm0ntguIGeYbDYWV77cNlN77YG5gNsKZacLhRc++Ya+GBoLLLvtlLEs9EFnCd
Ztks3OuHda1ZEWHWiCovu3F1sRbDXcvagFlsYs+MjPE41d6Fw2Sx9tR8leCPs6mh7b42gOQq/nDZ
srakVAUoF+M8UWq39S08oobTJ+c+TvI89z5Y17TFnIRK1ZUqxhx3wETz6k3gRW1t1Jxg8uzHhLWA
ujrdHILqo/qQRpymVOGVlz2zZQrJgI1qaruI9TqQ+6NQJ2sjgYe97Os4Ozrff3gjHPuaSX2Tbbft
6MNVX1w4cZeeZr65wZgTtuO2dbLDCbQm1/Syd60udgth28d6BnbIRYT7KDLa6GHYX/hAFtPWS+dc
RCAmXFu6hSjvoqS9bClTF9uFmE4sDqW8djOluktygK4V35aLJu0yeSStsQPp820PGGxKnw7N22UX
XkxZy8Qy1CCqRZAwOHPfHovohfe82C4UHXzEuuXSdXRd+tVaLeszS9g8ED6YsOpiwhKzIvUM7Gav
znazxsDMr481vV9E+beFmviXnYeVRW0M+/KkByVv1ApqyDle94Vu7rlXOsMFP/oVymJuKhI5FEnp
MzenycBcNkwbaise9T2iNETRpGulGMWhIiT1MHQoD1tsC6tRN8RvzcYVfNEAUBYfYGw+WjqiJ58n
xHUgYEx44dnfOA/9D16UspzJKmKCXPAlIwX3Dj3LXSEHZw7QyqnHt5jJftyi+UWj5xKpg3KIImBC
5EhAe9WIvW1I94y0Z6MgYN6YO0d9F2OqK6Q9+A77oTS66tsYGtmhLOzaARVu32HawYDS8yjwfpVr
oWKemVBCXOWS3h/hK3gXTQy4cH8vyhOosChru8qVi1QcdISmjm7X5kXLEHTKv69ejUiV46otXQPt
vNdhE+nF9vOxMl/i318nKIu/Ly335I6MhVW6QsqtB22om0OQGSri70666O6VP43H93UR0g9KM+Wt
lmwz2eqvQMde9Njp3v1997OkoKURxnxrrM1of6cNcOGV5yH6/qbDIG4MnQ9W2swqgRG+OD7GM/Xo
U3NosYzCg+Ex4OZxcbwBk8oeNMCJF974YiHVNJGoIMWoVowJkeNN5hq18evzwXLivuXF4pn4JZS8
kdnEJ+DQeX1DEsUQXHbj8mLtRDyPGH0oun1V5vljMwBJCem9nVkT/1zm3we6Ii8WxXK004h+XLsv
7VbbWEk8rrpW+jbC7dkiNgwP8kANzYticcQkVN+GKhFWpK2QGaRk45H+UrtvECjtZHwKxw4MnJN5
RrQbI1W+bN+4ZI9yTu4tlCjtfsTS4QqGIIZdIZ95vvMP/egBLBYRYqQ8wygmxR0nczh0lZ7uI6kp
bhvdCh1kMfm0smVIXp8PlVN/bR5C7+ZPqhRxPUZCcSu7bm96QLlX9hBquHis+hoN0twi7c3hgkhB
qtyzSuL9XxsDPGBVRP9CM4lAV9rOdlqPN/T5b/l4jYQ09PfVPRquRkfGxD6xk4IUskbs/U5UztgF
/Y/P/8SpmbVYEZBqSYjNLdmtMC6uyKb+FXbZZavNnzPSu1eh90abSAHHWj0Yf/th8dXL48uaumKx
IEjEzxQhvnhXwmwp3pTxsschFmuBbuOLJsyesZql39kBxjdWWFiXPQ+xWAmaqRmysW5VN2PmNg1+
WDiEF+6Q5zyS9yMRewhSMoPTWZoXR0reYP8s96IxIhYTOJqyquj0AKFO1iDfFBT9H7pQv7BRJxYz
1lYGDynuxDCBf9BzqHIIAjLOTCH5xAD/Q7R9NwgrAsMLSUSqqyZ2tMdDWGI9bf1Niy/rECcagQaQ
in9G7IofytLAKlFZ0tHOCmk79L20qQm0OPCp9C7cOojFpFZrkfk4IVS3CZEKGR2UR/J69p+/qhMr
hlhMZz9V+HIgwt4HsBqDVeB37RezncSzpYXJ0+d/48QKKxYfetUn5mGQ7GqfKSJxYSsk9/P+9l5T
iZAhyQuydK5UD5//sY9fH6Kzv4e1Lo/4gBtfdccKeO/Uu14Tn7n0PDP+/bsERfrvS2eDXtLINRSX
GW67BTbDlSKiG7wmWIUtVvLLfsFi1quYLKuk1hQX0sBvoac7WosXrYKyvfj6eEozjWUTVK6NPngv
hnLa9LJ5Lov3T0Hgowe0GKkovpNJiafShTNh6FdRZ0hPIHgSlKUSeiTCKapn2wvVO4584ZXUTZj0
CQ+cUaaaeldBcYRdmkzjdTeM9W/Zw9kzen51gwFM3PINxpMblOneYjcUBXawTS1YPbSmS/zGDWFY
rZYF+EtG9Qo1MK4Aw863GkFcL7U+BljpW+VFxLLYmnZsXJJXa1jyUpRY6HBNxsiv3DKrQ1ex4yOC
38uUJqRKLUZcpYdTEAyli9wkwgsYGsSFmufa+392lB+8r6VGr+3twBqrIIeuVBuklanaJtLK+DjC
HnWTMWFBsAM5m1a6P3nTCtW48kUil3cDVb8+YoGSJliQRkSMqqziaArwSa5t6GbbyMjEZUoeUj7+
fgiRFoaDqovGlYTZXcErRrtYj9OZb9XHC6C8rHdrWMp7ScTk2smS7LZVl22SjCyUvKvOSQVPLEmz
aPb9l3bqE2WMprB0AdbwfUjUHkJvUa0uWi6sxXJBgmSBySxQXLWMQIpIdnuUieg6U4X6eO2WrcUu
IcDi3Uipr7hmaA/bCUT0XVCzlGNCtL+gpzSf1AGO+Oc/5cS7WOoFNergoHRsACoMqpfOVkG1jeVw
J9BYnnnd8zP/aMjP7+jd113kYVCEiTxhOJW0Iz5S7TlVBkhpMAj2RT9wOO/I1gpIs1p//qNOPcHF
mmtCFYZmK5PhWOHxwaDWk1yWEq25mTWphzHNp0eiQcqzp9N5cfjoJy5W4aithd12xgRMq4P35xE2
tMJDF+7LvrMjh3aityFC1T+AR8qcthPmumgJJi5MgmtTaP1HcLU5wH4vgbQBHzCQo7e+LGYXZNil
2LVwUfg9VKVcmhoQHUXZbwXxU1c4JYdnzeuNW6Wrof3V6ZxdW3n+bUNG0rryEmvL5iq+Hhs/q/FM
kQPrj/AogMkK7J0+4cVh+L3BZY+fudWvo8Szz5SPThyr5aVCMpewB2sIlwhjZvatJzv2f1eAMMQK
9JX0nVnk40GRhdOHrfKm4be8NvqpwQRqx89SbxR3AfWmleFpBE4N2L5DzbeltRcHwW8cV8OF03mx
5EdFPnt5OVob8+GX5ud1lsr+md3eiR3MUm8ZCDoDFmLgGaA4XsNLVK99AlG/F1pG6VeJ9cu2MH+Y
tO9mGWBrIUXe0O77AeOUWXqDM1LvOfMqT6yn5jzT3l1dbzCSt0PS7n1ZG8FRqoQDI3Yez0VXnVgj
liLMXoGsmLd1u89lCUjmUGvipimq+EswTsOacMMcP4w9UlJSiDf7fJWYt6cfTNplTFbRgy3ys7Yl
as6Mf6hYIYuVklvxesh920nTxP4Z172I8e+k3nHMCr8485dPPc3FiughL/Wgy4z7Qtjfh9K4ltpy
PHPtRfDK/0pNiDz5+1XZaVoOcNTbfVCnhBjbIuqOjVcmP7WC8HY/xdDptAKmFagmMSMEdAJRiv61
aTxEFp8/2lM/UFncA9tS0PYic5mpXzuWKIe2XnPuF85X+ejFLQ5Qtmd1ql+aOOdKlcKuGh8j8pgV
hwQuOikVfs+dUYXV0euiyqHXlTnAFxB9ZYR0kOnQ9Gc+M6c2c+Zi4WDHGwRtIhOlkjbSBv+BvLOw
BbLtRksCz6CMd1keEW1Pj/xq0KG/dOqYb+sAdgP2gMQh1BhPIPAWh6Z/46Q1rtDEHP0zzc8TH/el
mFRFdJgVIVEvvkVynq82sZNJY73qlUQ786b/VNE+eBlLDWlTN4UyEiq17z32+haJ1I2TZBjWVnpW
6jRUOuugjug8ohHs36bvIo4YQRdMm7wOeCltpz5UAwqhcw6IUxNgKT1N4qLXa2Cc+64Mp7fKsINn
fFRyBHx0IOvKz+8DKkdOnDA7MiXClYe9kuB0icz7cw6SE+vZUqOaQdzuIF2Me0DAcl9vY29ca8Xo
WOYPuLpu32SXbRbnUN33C3PdefUwqpq8iyfJFVPbAhqFu4Gn24cYCF/SzEP/zEbu1HBaLFv+ZAZG
YdXyTonHZlsCdTgkeLUdjBvdmeF04mtpLBavaUqpv2mV2A3kcK19D8hAo1jPQDrqAx1Sb3PR+mQs
1qfJpPLSgIlxSeaFVtQCMTu3/p5Y+pZxv2YC3ECCbeCSEuTY8h5I3Jnl5tSVF6uN1bZjNfVa4mpW
Xu3LeogdKD7qmauf2DMvhawohcu0C8fExUtekPtuzBaysKq0GwryoOESON7EBRW/Pn8Dp9aNpbQ1
0KpCTaMygcIdGW4dd+Yvb+irZwNEsTNEMRBaAc4q7EP0IPyX1T4Z1Mg1cr12OozPsHvs8tyacWJk
L8Wwk4YlXDeAFErQu81mYpVInME71+84oTj6E0X4fpb2ZA9PgVcnrhCqtA36edutWhWxqUPqV2Dq
hrBwRZt5dxKn+HhbgJn5DWazP9c9OmHkJOHw73UCFKEsUTDt3aTPnUxJZPiT3ao2BbvrcWMbt8mM
3CuzW7Uf94gkN7SutnY8IbTwHIWsBMqh6yqSjo2A8uRzYMf+6dXXcNcdJTIOOkFYn4+MUwNxHv7v
tpqqbviJQSi128kEuMY6nPAxCvWMvnZYrCYM+jeW4Z9tzp/6XCyluaHAdF5MhLuTL2vVTgse8afS
q/lPafIbTpCYDdbgXvSfum1Ov+Relj0yq6KhPsgwqc4s43/kFx98RrHr/vWrEwuqYyT0zh3hYCiw
cfyIvMUsArhJphPHHt814kjeo7dzJrt1MnNye5vuc5CV/s6M2yJzmoRsaUlTok3ZA0ww2nAkzMOP
ym2mFuqTqduzA46jaDy0cyqxXZTPGMi9h2gU1ALFIL/peTOUzucv8sQ3UFus5RXj2Rq8gDKPX6e3
UVqYwCFLdL31NE1XXdvqB6F5ZAsbfX+m1XdiHmuLpyhJtVo0hoShZbKgrfmGTK4OztQjOSrl/ec/
68TfWKqii9wnvrcYW7ckPWBtsuHbROCo4OrUze7zP3HiK7gUDZcSvJWqEa1rlF3oBLrS7ifSra9M
sKI3ElisM4vwPKU+GHRLBXHS6SKLvaB1Y19/bUbN/xYOpfV00Y9YaojjqYkKFSixK1I1PPgNsQor
3cxbF+NUcqfVY3PmpZ/6FYuz6ZB6tUqkHBPYrLcGKUx1HG0+/w2nLj2/oHdrkZ2l1eQRv+mGAhJ7
x1dQP/O5PfGKl/pWVuGM2G+vcZMJUu+UJPp1qEOEXQGBIPUkhQW3+vw3nPr4LOWuJAzBDGmxBM/c
F7KfpHbaNFk4HDXOJRuyvwG9gemjR3GwipcAxr7z+V8+8fSWUldPt2XPNuHowb4S+3DM6l2m19Nl
72YpdfW0voaCO8BXM8ubqUxeIzG+XnbjixGVEcRnGLAT3d6vVb6YgwAHVZ17Iacey2JQ+WWRG7kt
cTjWiS+vklBD3By8fH7rJ1Yndf73dyM2j4CDhQFHvtDvzOtJC8mBqDX9oYxV+fvnf8L4c7b7YN1Y
Kl9NidB4z+DcG8kp/ZEJqniwzkN53BbEHe4DW/afvSSON6LXsptCLqJj7LflqkX/lTpy3/QvkCPa
VfikHiKToqQq3eaEpa1gr+XfhRU3W5O4dAU+aAMQJpQsmLGieYumYLqBW8Ku2mzDVwEUE0CPUAH4
E43yhtmCllcYMSAA2Ix5ttKw14uVChMeWqfU/YrGaNhqqt69xIE6fFF8SaKMqkROHUT1rqm8MVr7
eUm2sRSAWm6V+KGtTT4ldTLt4Gj7dfnijZ5YDV0f3BLB1lLrzUYSXho9hCBUgoahbDkBotNkBuRj
N40CNB4J9BEGE7t6CW04PCuZzL1jW80YcMC5AjATt7ILKP/ecHTI1l5rxE9JnnuQgZPhIROZBE9G
g13UCgJPAoS7RJf0nXhQiHBwLDSNT7SsA9fOI4nfmsbizlAUo9/kgQZYNPCjax0Axs6ra4+oSBIL
1/OR2KIXCe4CqketHKHjQrvSc0nd2f3k7TmUm46dxeHOj4JhXGcEYL4lcaAcQmKr8jVRjWBcRRT2
1robU9v4opd2SgZHk9JymbLyLhlH7afXytExFfNeMsXqcD1A3/LXcdkFT7pKAAfsSWYxbXDF4JMq
FN0xEnIUV1IA2AiyFbCQqC7tr5KZGFDhtWCdDa20VnS9L1axQib8ivhq4qD0GHhRH+Q7Sk3wiUld
fYzI4Mu2g15Qfk/xR+nEZdrkDBCecNSqRC1cu0+Gjh5iUWSrEOiiuvLkJiJDtCXhfRsFkBof20bW
+pVkaSwBtTygmbY0ENJqUI+Pc4PwXqFOaB77upXHLyY/5M0rOus19Rs2rJkp6XvOhN1NYoqAvwpb
xJWCLpE3wOGyaNWZnHTbQfLLtR/olbwuTZjWUN7l8HsSE5i8Ms2keJJKSb+25EnbZaNRPELiFOtO
0cEQDiTTFRZc4xWFbFjnWYo81jAIqXB7DoyvsuIBW+qiEeBUWvWGk0+ESaySCuzm2pwyoa/10AIq
VdX/Rd2ZLEeOZFn2V0pyjywMikmkMhcAbKaZcaaTG4g7SQcU86AYv76PRVR3V4aUVK9bJDeR4R5u
TgNU37vvvnuaG7uIeBdGBoS9eXPbh3T4xkmtVgeg1GwSew4lkV13xIGrEBYhXULXoHxFpOt67u/G
LKsUHaIBQkOYaronWBFUZy+GfaOseAqzpCKDXTOSkbnzOGcyaAcYIQu5bmGfTfC/HG++ZEMh944P
a6jJgd6WDlwUNVgLYe9MsIFFtppBPijwcQjDhSev0tbdsy9aAo99h5hpX+uJBq7lbcfIH4v9TPjl
ifC+FXBjbvTgiLtcfkpdxd2latiovs6ZNgIFnNdq52Z9pTaTR/Iiy7rHgmg6ea6XsboFHRut/tor
/zfRiWkZVdwS5OKM8ZxGvS6d61wv2V6bFvOb7MTy2oFdvtqmmYWT7ZRdUEOTLYPRJE4xyAbZMpZk
k/yVxPLuihzWPvDxu68x8dS40xjZP02aXzzbS0GYh+PBrVHk/m8UjwFxbcZiHOrMgW41je3RHuau
DehcCNwWgv/yKg3D5/Ga0zvAH3JvtovxzPjeu9YNqZFJucwgQGl3UCVz9wGLJRmcMjFJoPPzNKpr
x7/awC/Y+GjJuYJQciwM2YWuHFrqN7c9sypdRBXx8U+yM1KIE6v+gJDpbiTaVyDI6B0CbdQcAMt8
Bw6G3D27By1RWXP6rbeFtvW8zvkuhO1+4hmhzErS8pdRu5wBugT5yb5uFY6pRb9plOO1rWqAGE5S
l5EsEs5+NycUlxjbERxzQySbUVcbvvT55E9N/qCLqdoAo2m2ne6CEFpsYcxBXnYXC7nHtdubq9HN
m7sJW4lTVBuCag9eRuvFxnplbap11U3QHGN81wlv/PLHtIuGuuDQJr+RaMRYj1pSIKGOklhPYpdX
p5yttgP2Zx6vvd4Ne7OGoVlnlknxy8mvgnQm4LHOauhiRPQvO91RhcVRsOZvXj2o51YqJhw+lIHQ
AvZqExmXkvHYqIqRISdiIJM4vVcF61EBXuxswwu1wMdeug1J1fIyz3ObBIh+7os9ud3vcUTOYMqL
VVRbY3FQTmMHJkGJXMcdlCPRFvQYsV24P82ht6C69lp+qIHShIBy/HML6/yuVo18VV45c2mNWnsL
na1f9C5ujt7i2WBJzLXnWCSYbA7r2mwBmgw4jzgtC2kHQ5Km97aZO3U0yAyEgp1q871IJ0ZUpOIX
Aaub5dZNcvL7J7O/dGvinvWOT5zOXJ3kjorqvOYNF3pm9+V9vVrsT8SGfz8b2niAFDw3gW57GRWA
tDaa33TnHh0hEKxazUE3NsDfKkiiO83JvA/cKzhGXLv7XDyRn8kpmH/IJBuO2pAnP/04tna+nxnP
7bqMm8lOJo81woxdBsK8oQdlk/mtd25yXCAzfKdirveCuuJRTY6MRNGKyC/IhS9cYrpnx21It/Pq
6oURWrdzYmXt41xrt6I2vF1FGOKp89HmSUfl2p4lwCmKN/QFktgME1r9hcDd1nvwfQjRkagFz4aT
5iRZe46dE1eVe5P25WCgi2Y/mdUuu/m+AmFD1JXUYg9z4ucvlhc3P2e8nqckHdVTi4bywpFqKi47
o5qjxvfLFl4uaN2mkPl9Wn/nttXuibouglHvVeCTGgoa3FKRpSUgHV0/ce7yeZ6AKDfx/ESsZEcO
Xs/hXnSiPRKEOT0s5lxszSwlr7hKZu97gJy2GXQn9o4TAYGnqqYmCzik2iTsgLwx7O6E1YQ+iR0P
Si5kz7W5o1/zTK9/aU2v/VB96z4qskS3xmw6h67XWBCuNPM0xOzJB5NcGNdhfexeBfleHhqbT4ll
GfPyQRITMwlgSADWOrsaPzITGOfspnlBmQl1L1hcq2lDcqRsKgHRQv1aVLypx8HedY2/sAXdtSeY
Pstednl+nVFMq20ihLZbTVgHwcQ4uwG3F8+7wXVyABDj61B7VnSblo5ofG59V9kuofxSVfYv3cCL
x2ZhLb5U0iZWmMU9+c+2TaiobtAJkuXrnTWq+ZdSsFI16GS9tkIryXEXidZsc0h+SOQuUKlhIReg
TVlpBnDUyDToG/wbQQN11YoAjmIWn4WszSgd4sw7zo5tZV8D1faW+gqRqS5q7TQ5WmkTaK9nYHhZ
7IbhJdadCeDA3/W8XXVoWllW7pQG9cMRkJE3g29kK04wmZ5d/5b5zNiFBzRLq5Go49E+YuCrPjWw
F+R/N9ovac1aGiVFSiWrafF4JvZJizR4piOAeY34UEszQJwReRKVNjmJmwLLGsHqcUEjw0JcO3G7
kX/LbDslbr4g3xLkM6DFZBX2V9IQyuYrD3pqkrbTPXnq/kvWLibkgplQUjxuS7DWAoh3j7p6FAtn
+aoElsgZ059bEHW4UaNT3ZGebr3pixoil7MON7rSzy3frBfoKr1hlXKLpFfGnCyHVniXwmHMc3eb
mAv+OgjWyd4vJ+NaFWm+G1Zvm3h9/l10U7ubljm+UH/yJnXZAMdi+Sb1b/YfMWA7Ym81fWftm6R3
fi7x0Azh0gAP26lM6CXpYVrrheuagbXTdJlfMtk0bKcypJ54JW1X36YVW/U1rffen1khSzWI6LtS
NiSA0geuJtUaZPQLnLwyuSSFEVY2KVabhfppgocCX2/LD0gSbz6ok1m6bbdj5279tG1nbbf/cwNp
WH+Iq/9dB/kXbdCbyf7kJUn3C1CBMlzWujhVTG8vhK4PW2m4y2ZQhHjaZup9DFPW38Jdh/HAKEJt
rVTS8/S89i5Bz8Sbt32zAyLC9qVhD8wISNmvgzYzqBMWdx7pNpYk42nNF7fbGqtWnPmBTDoZ+TGB
t1acMAPMlTHesaBHuKhbFNAxLIswBbDL4D0wyGf3Mq+bX7lmxWe/mQTJw3VNoZD2QsvpW018RpZa
h2ezrvLXNCZVNCq0G7KaG+Cj6WefcO9+nQ5V3pY4JD3xIy6FTk6yNtxVPb0BKZ1YgJQxT7yEo+nd
DYT1rsQhIhOFNqcoGXKLs2THdFpJgc+MnIsRklWUZ1bxgIHAfyk6Z3rWOGGeJydO98TSr9Om9cCh
oVOuSxYZsc3D5TrtoTS79MzA/1aBNrfs4mkld7/Nb7+2Rsz/0TqNVYU1FNTfXWH7v0l6nOKAvT7n
zpTCdc/EHuenejL6DxZkzCWUfi0Oi20uj0NqcvjAjIZ44fv2HG+stR5/Wtlq7ota6u8dM50fvo2j
uptcM92S61+9zF1vfJgjCb61dOXWsuP2KjjoZETQqTfcToYJUHDaygBTE/G7HoHj8AYgp+SOml4r
IGcPAEqWV1rk13hiTzlK3Dz/9NvRPrSesl5KD9Rh1i/EA0vw1IFWgFmjJhcOI3vQPOAzSDEHjgh7
ZC4ynSmIDYcddJ3eUexO4tAmvlWEJt6NIqjXBjUWqtwJpOz8pDtWF83ssp0LepQ+SG0js28Epk6L
amHd1I1Rn2VQQnvXt5M/VicsYgxYKArebZVmgFTLzABA7rgfwLWVFS4oIUSzs8kWaBKxDoYYIY4b
QBbaq6spm5jf1HJx7Db6reUTnshOphjznYXwukTDoMcvmjKpkQjuGy4jw7MpWFqQ1WFFZgjtMtyU
hbOQ6FcMYdb8I9bt4qGVuXGqi7I7zjm/LJh9u71qbOmcBs+gdzdl75YbtxzERwsGO8c14zZmQAhu
ckkVMbhBks3xyV5hg8WaLe4tMed22OUjwb7Ut/KKiad7UoVm7DvDnO8Sw3Kv5HXJF1zC3sCFUvOC
NZqxHKZMc7e9cOVDJ6kNo5Hu9p1gtuLiOmR55tR+CBe998udsvpJz6Y4NMel+HArC2wukV/VMysX
zYZ01S5SjgQy0+F8IzSK2YBki6HP4gCsATnkhpY0QI+S7JN1nvjEIFpmURcDwPWpno/Aa0tKUwLV
Qb7BjcsX7xPYT/xst41CDWhWfzOki3XIpWcYYd6UxjMQreGqDLm+cqRC7iAE9AehA+4Pbuf+1bTE
2ka3ecI9ZK24Z1YzmRdgpxWtfKo3N2DpqkBn+mKv0c2Zm4Fr12f1tUp/lTqo98Ww2y0nuTFFRilM
LSiTyvxtJf34isfQtqIWQtPrLDAwhX3DwjH51+MvEGs25BqG7Zuyz5YyqN12eZvBHyUYrJBotFT4
b/7azt9gemnwR4q2cF0S46JMZX7N+ghrT6VsjheOB7YJQKBhcWHT6rsz/CMpJCHDgypORLY4kjCX
tnquzVy81BZEj0TM3cVtBv9JNOPEJ5mk/8vu7Trq4C8eu1W5W5b7KIEzTyB0dVURf9t63q4ElE1q
W+MoLw5jxp26aexKzATZT84je5iUCkThzb/J7nb2DVB7eoVcbFok8LOWd8VLNktoBuai5KtAaQfa
hUnjTiMsK6bWtBBH4qxg5V4R9UxPAb1CC0gVn7kF9QZk0wRFks3wnPnaFr87uIRUl3LX0Hr1sOVb
5wWmFgSy9FaD5J1lAcuoaLVs8tQlZYTM7szEWL9VK+zXvG9thJ7KB/qTZ/2TIBo+h5ljkAEOvWV+
SUstOffEv59nEbNk6s7FciBjnzhR5icLS6fUHhE/ouaKYCPvzMmxs4AMHXCozugUzoYMFOu5LGYu
uKkETxfUtiqNKJvqhNALpqz8l7CAnU1nXLeyTuMj60nVL3fIwR3qld6dOAzBykjlWEYUI1/s4D/U
8HP7xNp7laaeqjava6hymbefHH9ecaPX1n0uBNHksRTXCtbUoWh69Km6TnU4sktn/CCpXVUgeyr0
rNxfgoU1tJC9BKiFLMkfrNQyH8cmz+8qWffk6+nlIYfqw3wnlXfrMjn7JY2bLXhi6E2jnh+WUein
btCbazfqxj5VTQNDuQZVVbSMvXkHimWDCrBgOFAYaZXX0tzPa7FSP9Q1x42HBV0O1AyJ9N3jKkwv
nDTRgQuAYUwbtj4ZTtm8zMbKpZnbXgxvUqYfGQnxkuaeB3kYwFleZV0hL6RDqbNU7hhy21utJw8E
pVQXLjWWGw3qGwQ4JrPZxk5nn7j9rjB/Or4qj63uiSN5SsPRHdiDmsWaFCESuvWj8vgP1DHx+sFK
JRvZYDJFyJcG4YOEBOro0pqiZFzLC7HfKwKva75IoksQSBsTnhyPon9oeTZ/lDbEPM4Rr7+QSK6J
YKxBFOdYbL/BGTiPUtEb6auxPvQp+F2aMsnjDJOM78hel8MNK3TzVY94M/JJuBjeWO+jbWsvXWNU
m2GCmdVqvfE1wju9zzRvOi5OgVTdqGS85ryj7x2ScQjfoz+62K+2qzXAyCwLyB49Rr4d3CuCnjqP
/p3N4oNeFqBISEvfKwKWaXZ1tVGtsqlwRxb14EZsh6WVOyIT/LeBz/TU1V7/5JtVHLimbv6omLvs
CX1pN87MuUHc+08vy72XotVr4qgBB0W4IUQcZnqqP/Zdq19qcOth2njdkRubW60nZB+9shBDHYnG
nOBIGtp9J5tFbgq2eza1n8QRkxEpQ+Dd/vvo4mYJVz0RHiWuiIHtAeuM3HFqzUfpZGp4hqUAnUDE
+upuFqgVh9jOFqidjZ2aQaqrBJIEfkdKxlq02c6zZ8MN3GqYD6C0TVKOytqwjnAfup+1K7TmyZ1B
CaVDV36Wf3z15VQlTjQXbcE9V6Wg/6Bk0qSMy6g9DYkOcJixYy1efM2yhs08MHLeWIWg3dKV3Pe2
GjaeEYunOkX9Mta0XQNd+BJkmV9tR495RuBMueFRf9hoCeuN9YMWXwPRAY0WmyPArbU1nubKs6G1
MZvtvXbeUJ4NkYcWcC7dVL9bGgmrVUv9HwO8zcDg4+1liW7tdtkMf692kAhk+cmStRumVVU+FkPr
XQtPtTtI0/nbQp/YU691zcsy5P09WD315proPRp5ELvSdLo3z7efNOr4rdmn9qExJN4Sg7vkKOZ2
/NnCDH1w2+ySpr75YSqOHNQqLcyMMf0Y5pqpTjstW20dlx+dw2BbNKiMQcKpeXWlR5i+6j1GLAOE
CNGZyQuzGf/FAImz7VmQ2rFgxvKX2yzizNQAG5NDAqwMxFguD7ndia9EifaH7TldHWgqXbm9CUbe
AKWUL+vEBh+8+vob4Z27al4GQJjWwKBAdoN9darbc9EhgmiBs8i2jhTRIteKyce5Nzppb2rlNw9L
pzwP9U9rj25q6ig4mE44BBM4p6tmmkfa6uHCZmB65/cYY7AnzRUSj691ZKJM+b0hde+RMUF8Klll
omtKDO+xnif/IGwC4AsjT9+q2Zzf1zXuN721dshzxrAdM9MqQzLj5hf2N/sA1SF9rbWuPYKpGYGm
Ojj8IYEfSySeL/6/PkIHKe8Lp/TPDnTnSHQp1Ipizb6SxI4RR5wsgpHLov2QJIeU53YHWI01Eoar
eeDIxj5a45CeWh3yY9vEbhEUs1zPDeTx+YbXbi4ugvQKUxcKYchCj9w0jNTKDQAUKt1yteBKjAgT
vd6UP2Wc6semU/O+6nznrloa4y7rJOsanTcePGKxnyRwSoY1KUME7ssuf2+axGUGCfDnMPQOO3+M
G2ARWRQUD8zaSOasXEl4LDyaoClhGQdIzfMWKcH9aYMl3qxT7d7P2P58LFs5jCSi9buJMMWs+oIP
4zIP4lhP07h6nxiS7jWMt1GKcrYGq9ESM7K4BQyzKQPLzMKf6X+gv0B2dFd4buPMOD6emdRkU1vj
A+v1ZYc0kr/Vvg8WSHhtF02uk5EOW7o7Lc+tHyTp8VCsRYbnhUfY2PIsStxqJTKIwLhZhJTP82ub
3GaIabJqRz/VKZ7EtPQPHj+9a9OAJWm1ZdlNgLV/0nRnL4OV5j+ACcpPw445mhDKp6hKGTEics/V
WWRmy8NTrGPkL7F9dswq26xgIgnJVfHTMs6sBTeU3UGCArlTSyM2Yll4wfA6RFxIcu/nmvObR7A6
lGuFc2rwWRzkeTglyKKbyfJaLZzyygzB4C7PrW+quz41euh+HTMDMDZ+t6MM/aDrHG9hPWtK5ejq
x9WElKYD3QsSr14o9rQs7BEjz2UG11cqI673KZy1nB7V8C6dmow2qMvBON9oG7tVwZ7F3GgcSalZ
PgDM+B+uOSveJKeUpFG3aQPFzlrmdwsupLPR+MtdpUt+EI1TtbGkNV26yWQR0+rN4pBzX3ibMinV
g5dQhOjGMGzSxPYfM1YkD5OwuCvgIJwF0SgnkjM7aHn9fGRSV7609kxvkbNVyIzX2ZrG7cYgpQhw
YGqE+pwSX59LcIldy6DfXJedCblrZ3qF/ppw7TLPtw3WDAjl8f9AVYqA0cL04aO+fOWEZZC72GSM
AN0q2XuLMR9KVO02qDSKssHLDMh5pnE/pqBwKZ6qyOB6OrJanO5n/jL34OsaCsUxl7tliK1TRv+I
i62gRSrnwj/aHWcZw/jksCCA3WvY30zIp2vzUeW5/pCo2DiSd2wcCt1Q59iyzattZ91XUdVTdtc3
y4grwVFir6zOec2HUr0LwzB/TV3Wb5WdsEPrqeWtyhjhngaA8Ma2XHodGnDWjGcOd5QTIbiYMwwJ
M9/HOwRkLd31YP34Pvi03dbGLP89Lj3hcoOscPO1vDnQXW+x3YU/PcMiLqO+mv1qrxG1icxTjo9r
6noG7FDu31SMJDI6NlDWfDAOnai1TUzq95Ep1PRuuXGxbTRWcJWezegEQtvGCqdiTA7cJ5gEhued
4XcbxmF15DRm/Hu2Y39DvIT8rlcPEVlA30VlG73tWOeGGc79OGwXaxSfwhqrvaWK4SyqMaG2bmrr
o85sc1MxZr03JqdiQavrzEuFULPXXVO7S4dxvtAVNIR2CdTutPPVFesk1Axv0drXgRQdnvLF0/ad
1JzdYCRgu5IRGNBkVFYIezm/svKWDBsJQIfHCnhKg5TOgBhSTV03wayrcQiU7BiNlY1Vv3H8sbnM
FXYonWLtwrhBwiBLsH7CdWFApTUbOA5So2VuPSvknnegzWbCCRLiI1G0FsYRC5/+KfZF+Wijx16g
1umbfF3tB8vPMuYORXKkAJRHRnLphm8vf3GIEFRbwzYfF5EDEJ2Lcnnk8OsP1KE+8qSRf62DagKB
zyIcmD2y5rQWxqPGptEjWGv5lVSlOLUsLXzmw031tufVflIV+bY1EuXWE4sXIOnFX4RU/ErcTm1a
faTuLQcGeJQRG5X2Mep6ad1e3mGns1PMCI75fidv9KKOK9PIIMhLozG39Mj0bVlWLTf6bPLKGq7v
hbOnmOXH2fRMZvJ8T3Atq8eFjeWlgw60J4HLjMC1F1uNlwjXBtP7Xe5OKvLzsrh0mpPcQTzLH8F1
lqjwjsiYG87jaUyV8SQJBI/DtAT83hro9zLz5LMsy+lS6M7Netugx4Mx9h8dc0azqZJ1k8556e07
HQEXdEzDwUmW9rfheO5hNCqt22jrItPT4udxUHP+ryydN31U5che0ZSjvxiA5GVE9pbac9ilOm2b
XhLhGWvjuQTl5YeQmBKdNS/TfXGYFr5gLYkv9AXmGLap9hZragJRWWl7xL5pb8WpZQXj2mbHDDmS
i6P259fZn/K3FGPCAYhwdy6IrrgzOte+eEC3mrCAf71JnCTWgDQmOAqrvJd50Dgy/+BQdfpHc4hL
GU1O5u90k8s4Iiq3sn5VAFKjQq8ZkFbk4qrV7BHERlKcwrJoJj3qVA2utx0BPjNu2NnWGj87E9ao
q9JYzjDGSfbPFrkA/jalfMtClr+yajc2i83vMSzTSZ74M+bfLrp/BAihGrE18LcDHO4n3LirfDM5
hZMtpbL6NDDkXA3NQXWpeT0JfHCnStLX8Ye/KjLzzgRoglSFeRoCvxwCllXdoOZyDTFRt4cZt+bJ
YUrGN23YFiN+MZ21zk5D5fYwvVvT8cv9GudxfqJYnfMpJC3DjZPD7QsrtCDmhY2YktFB09MQRpC3
4FZZgUnOre3G1aNhyfolbpsijdwu9SuYeRbrN2mddUXgE2fwRa016FQY3dIdzAGhgHlljsQ8ujHN
q1W6Fr+8myiCltRZtBB02zhAAmKLy8zK+GWqFjnh03HsaefoczUdkzZP6uCGy9U+avSZfWcy0uYe
Hr/w8Qj3vcqYDgSp32iUfaW0M268ZFAhPychdowg3M920T19Qz5ujrxg1sW6M0xs7muXDiKC8mxe
V8ZCqCh5qi+B0yRio4SA+23nDmDtnqFQpXmVGVgrIIsYR9FDvsTOc1/WOExSTE2WbcyROw3LsfRY
MBb+zftRox6GHkcY1b7o7ZSvDrc9jSXpYEWiGzvdcwqGTGlWlYja8bjVs4QVBVbw8NlU0ztfmLft
hs46lrddoxbb9a9pUeyzWUhml9idRLyn3J31TSnG9h31VH2j81bvMnHsJ1u3OrC1+KpOjHSwxeU9
p3aj2WvUDQkFOv5wu7gUcp5/t2L29zWiDNo4eRe/pL5S7Pdmku663tTP7D71UY9Ix6XsJf4u48H+
8Em8bMPR10SUxc3wwcpafk2xdD3xKKeXvsj1d3OsvaC25vlsxvZyNazZAS8wLV0Ek4peBPjnk6f1
WsjN4fwuIN5uRVa33L21/rzW67Dl/Z9Dy8nMO0F5+y3UTVlyPb18A/4+8FAxteZHi7oKd9Q7AvUa
P7VcMozuU8WUGYnAVTkT5bhu6j2mmRYOL7BGrc/USXjpb2ZQ8d1C8oMBnt5LfrCfI1LcLJlXhErm
sBD0zLV/Nva9yPdaRXKAaUMaYXjaBenklPwljOaERuAfOxPC3LYcJ4qX1KszXEJ2kpxY/Vi/Ji9d
mEIarKkgqT/1QLvuSizoX/agle+CUSPB3LLpRiDNXL8GE5pTxyOypYiWm1HT/AdeQP+xbor42g6i
DwcKvO28GGDsuwX5mlzuwsfzkdB9k8ngPvtZk903YBt/wvlEAV3jmvlPrKCI0p+IcGK/zPrTWv/v
/0Ix6v/5H/zzJ278DueQ+ss//vO5Lvnff9x+z//5Nf/6O/75/xGAzhTYlP/9j88Pxyn6qX7+23el
cAtdfpbf//jby/rrO5e9+ln9VwTdH7/pTwSda/3dNITruIJEUVs4t8yMPxF0tv1334cnpws2biyy
MVmr+E8EnbD/DkDacf3bhaujW/KvemxK6T/+Zrl/Z+Pf9j3HsZiV6myk/+8Pd//nCPjP7+O/h07d
LNf/d1DMCeKCqdX5o5gh8wn/GqOjIC3BSizSfRnLNiCbrt0BF552ibvkm6o3zecpsYb7//IT+s8P
8W8VMkKNGNT/42//uhl++0Md/tLopML2DGH/NXfWUqPv4u/CijiUzhq1o2+00aocSrfayInDL3yj
OEMXTxxmiWnvBGNazMb/wz7/r/szf34KGE9chobg+/rrlrFF8kFbF3q2b1MUqRqHqkm8frKaU6ic
8qM012ffNz//5786TojbDP5ff+SuSQqG43LtGGAG/2Illx1AJM3u651mq+llsPs7Nnit5XEEX7Ty
PWCgdtQQF6fY6ewvWSPfRLiua4TngZEB0Pflk5Z/Eh8j2LO3hKnEtJcZ5q2XGQ6pvYEVBVjecOyq
23O6mcUTNxm4VRytxU61a8UFUlaX0e8oMgsqEHSxwbl3LfvS9rmV4F7SZzOqwTVMp1jmKtSWwXqr
hA6Et1mwBhqFj2OvdCBxVqCpCmrDyZswpK2iiVjNFgxE0FiN0CnMWwmfVt95k2M8XzWBb945rOyT
HKphSr59R48Dp7QK3J2ENrA27O/MNb9v/OHen9I3VmJF5GIfeOBmorhxY/XU4cU7LOxTXvUV/Zid
Av13oZUMz8bqycOK+0TfrO0BRKvQpFePxpg/JHMzc7uuVb5jLFds+3m9Ou06oexow7vRdr/aOP6h
FZa9mUqSsfzG0iONBfjAXHKX4bX2m0NUFSgS9HXBiIkj6Lltj7ZVOL/U4h0TpIWIwlaEzmpU3w1W
sk8PDFMkCNbUH8dEvJVu1m1QhCkumiHbTpqD+CDbOfeDSjpyP8AkL8+Y/Oor8NM2hNKMDnu7+Fam
of1h8m8FIu2fkUdIbUlxj8O5z0M9V+Y1G0b7N+CKGv9a0ebZiV88XSdL2UYYp4BaGck74secLp7F
/cSa/dF3h8m9pnYJ4lvl7K/hda408d7NkKkCBVq3fTTlOnVPNGP6vC/yMfk14AIez23r9ktgQ2k8
OrlYZCj8amR4wItGu1MtGDHXeWqGvV2Z7lmbayhXcAnm4ZSAH36OyaV4TPOMksIguqQPtXhID0Zt
qWSDhOp3wWxKpu8pSbZYh1NZ20HTVi6mcBZn9y66a8XsJ0u0bd61xicGtOGlWKtFpzzEqhiyzOsZ
6I8sY4XUy8WUbOqsNapz3BrOVUzegjvVEtJXgQd+w46EyJfx19AWJfHd1lAWGFtaD8pyO9jo7WjG
KHr2VGyWtG4ecyVgX5nUDR8u52sWzllTIBpoTWbshEyxa2BA0A5Qp43meVQ4G07NDO6W9iLvqNwH
doWCdkwYh7mdZ9nh2GuLCDMvdbDWEwySbIzB6esjYSbp88RiC236oHVmWJacLFEhnARBPMPORoXl
5y1tYJYsW4scU4ywwMLDVBUY7DHdeMNR0RzpB10x5eT1havr1gl9Sjv2gMDXEivjxtMzU21G01NU
Tx7Cwjv7J05/N421/4JpxiqeCAvx6WMz03tuq3h6VbVjPfk28WsXopixq1sOFTvbEdI2o6nqZP7O
W61w0+amnbyNVjt2W5jfRID1XYqqD0e3OmdV4c0hsHrcHyMbI86TNcWj/FKWw2/VMVS7R65Iq9uI
whzKk6+L/jCa7iwClOAbw3lZbzSN0jfG55gW4VNOfQOQmy6gCMu2IPfLBVrOLHpROAqN1F+3WTFN
J6uv0kd7Lid7qzleQ4wBM+sUOan7X8ydyXLkRrZt/+WNL2QOwAEHBm8SAKJnsM0kkxMYmQ36vsfX
3xWSyp6Sqqt8NbtlpjKrIsXoPNyP77P2PuXXNacz55ciNFG/+4R+DDOyh09LCgQaFKkxMF28od1b
weqVh9Y1MhtWt0jLE99cMzxPSRtmgZXO64Oc+ynnIowvcMPAC7e6GDMzEze2a0xHruxr6ktjab+7
gsAEv2lj/TZsyDzaaTKnXl/Yhb6KUQ4Z7ndMCgviafGtNiymx2djA6mV91hM6CVPKlBSjW/kQLWw
PGnZjxvbwXpDSoWoT5kq0mWfTUW5+nqegSfNiyoY+Zm794z+RtCxhRtDUEP1bmJbzW953tY97HIe
B1TVQIjwDyApytGeLH017rSSieK0vuL4lDkYJLwKHAlrkLUoAvaTBFfEPHV7yAZ0JATnGEtzviBd
twjaw33esjHc6HU2rTdEKFUtdHsU0x5rEsanc11PbtUylflOa1TVeuVCm8nrwLMzQIlUykvW1sDf
FmrLXWbl9S3zdEFuq7o284MlmVTPK7K5+BkzC8ePJ7gmX6sMs9pBjXOz6C3Yx4DjN7yNU9Ge27Fq
o7t+SUKCNKRMdrQhp1c2z+jWpaGLmaVZ471ViFgCvHQvktGsDd2cFZGEQww2oS9faiebrwYJDLLk
o9u2Z41J9ZRGJjprZ6diWw2omKVym7cG9SfHYUxbIVgVNzTcUbR++qEmWmtmf89NcTYMvb0UgiTS
Zzc15tIzIBbjbQ/Y/ikrI+2unsVg0tDt7bthwojBCo8dsZuIgyr9BtFD7vBOpEhMdAhyz4QKYBgE
qccXDlWqHxhLYziLuOe5Nc2iyWCKROnuZAY95o91yHDFcMm/WTnHhZ/na1HuLHYYzSulEyUHmHKQ
BuGUXXyca2vhh/3o4fQwGK8Nrndp6HE/uIhagA9Om8XbaQR63kq4uPVYyb7aQYs1BBvmetveICoy
DqkljTQ8uZSC3aGbuT/6fODVtwFM5uyk2jLvGZ3qYtvWG+uGY3tyg6Yb1Fud9XHtL5AjGotcX8Vl
7JPw++CMyFNDUs0OpgvdwtMK1tBss9SNQNFcffqeLmOUnnMR5dF+HB2aHMZAFYtaoVuMj2+ivNpg
b4J7tKfv5djgOOmG8WuvrFv6CdqpGpyWsQO18+oyntxY9OdemhiotP4oasUYM2PIfSLn+m1m10RJ
6v1xCot4r/cdMSpNk80bW+WQl51pX41oWmmhYsd1el7zznlzhi7cYE4ffhhY2o4ZQsqBuQByPzpr
fyz7GuC4wbylab1+MfH4QcAW18TkBlzNzbMvkW6PxFTCHp3qhun0nsLad5Zwvt/6uGiOmmnPx9pt
OK4TM9oabpq8qtoSn1Krfphax1BQdrO2LcjDQkhGQXe7C1VpuUUVOocmurVs04BhVHzjMI4cxqxH
fhxcyJ0lqrxUdr0HqBbtiBE8Nt0o9jQZlY9weO1p9MueznxyUr2eBhrUtKdcLUWh1pApnOKWWoj+
a5e2W0m3tO2ZC6+6Sd/ZUUKH6GqpUDO6Qna0sFBmMdLusmC6dfJyPxRqjyfnJAfSPQY5vTimDC9V
MvWbEsnMkz3bO0Mz08CcW/emmJZhq49q3LM9/BjcKttZqn3tyK/qozREhHc/i6a4SuxpMOtjdZsx
aijQ5/jI75CE17X118jIXqqI3ZlbEi21JT45lrFv427bucU9VXLllZq4D7nyS1ez9lGB04luP8dU
rKdHxKYBEkng06AHt7EWdGiehAcYYB/Dami9pOB6rytqpL7SbvgEQ6+x9fSBFjeqRWNY8RWNgtAS
a7gvzan1+CrNnkZy5JZ4uG0y1fUd1TvIST9Ohacb/UABqOFZ1+PpZDSl/WTCPr1xvsWXMWterXW0
7jCF9+fBEWFQVyo/alK7M0zCrzorfNItjZ1itNsNVzz60uoFCOEG/KzYcxXq32pdlgerQAQiTw9o
qqKbrKnYx+u4vo/ZumvinACF+Isx2Lo/paFvt8ZOIwWqysP6pS9bvkWucm8GxlztCDKj0WD0N+uc
Es0zJ8/lGD84mon7r54PYSbqnSnd7MYV3xxgoo4EkU2hMeNMH57q1uag428du1jLPCWLi22PeGsc
/ZnKBYw1n1h9ZTHbL32rPqeTowcz8By9/3pn47wIhlJejyEyEAeW+dKfTPh+LzZAaky6BQ+SVsrJ
cOQ96e8PZmwNu2I17AsjwJx3azKokOxF4dVqTqzR4cluiSIQ5rkuw/IcJ5q3TOlNyVyRwM3q1ssw
/G+izFoOCG32gYkqZmCO0QMo/xYlZ/ExJW6FC7myibGBVl4eTUdJg1VK+UD62y4j3nyPZTA6CbNR
X5eliF+caYyeIloY1I1u/rKUyrjE8HB1MC2KjBqMDR6qVJxdwc77nES3QAtnjJWYL7wkxbbm6PSG
aRaY30IzST4XCbWUiBI463IMfc0ldiVcJwatFmtQu3XNoI78WImUFcqUtfu6HdRxitcnYAhnL6pG
fZl17FI2Q443tapUUI6q39KMO5LnasAoa8mRLgS89RpHgbqG2VRTGOHNWuLiDXb4cWkm+TSYHHeT
g4IQsvv7aWw/tUqPHkZQVnYxlNfVULkfin72SpRtf8nCz6T6AjYkyXYp0Pw2jKNFt7Ul2sCy9PYX
rLThzcoGfsKKwA2shktAk0tuiqFNthrp5hMfjSemChEfpipQjGisdIZjZ7HWcihXwl/NUr/VpctW
f9XzjUoLdwkmXq7gMum8UIek1Ze1POpLaOqgRdr4hiuov0+j2ry1E2B8zstwIzEMnXDjwKnO6Ylb
Z+JbcGRP4ZqWeLsHnDBKzfcuyNmbtHivuGEy8yu9TJBXjZdQ+I7+wHwF3RbHii8PBXneHwDAhCfa
xnpWfMw3o6LxXqm+vIk1enJeqSCwZ2Kwt/qiEdXh2JmHZ69/KtP8TI6mCVpAzGarZ9JfR6oBeJXs
oR0YEGMXNvPuGue5rdEumANR2Lcm/ROaP4vrLRZXgkILy1McJ899M/c/uoHywcgGETBAbE3Y5aaz
WZnGJiPs5AaD/NfBZq8cK3FQdJdLYe7WGkU052a4qcfWZQrhWh+JfzCOecly7TCRriTmNQVqPSB4
vAFLydzHGMNsR9ukZi7jncSeYHYHLQxjCPhZmN0V2xsjF4xlXmO57LiftUAQetTaWiDQx8ma6wwF
70dxaHU0TUMaMpE3FYtNr24NE8rnYMqNWCe8dKmbd4fxeSPGKC234KPnuY/tQGoM2XG2ArBXcJh3
1RSb25SJj9XyVZ/0yL2TXfOpn8qO/p6RWBDvYLkVVqZJiMFwAmGBvN27tU4tmuduFy/ck5JqVC/R
nBpF+5YNaWmV+7mmH9Qf3Hwg7N3HeFpiyK5tS5rzjk6sPoa70TYLx9o0OIPBV7NoSlbzoGatzkBF
inXEh7zhljhfM5dCt4XWNabG3lZ6Xr1GXR1uwkYa2EnEUG2cvHWwvqS630yhxRS+qPPqkNjuwvjK
octEyjxtH9smHQH5XVMPZKItWyXnCT6+KKiiqx/4auttwYwnr1PNJ72sg9VhlOhkV7ftoB3TRmhB
qoWrJxvJBXYlNcatMKEyop4Ng8/wy+zobdDMLM0myQ1Mjc2wb038KDRIRn30BhMDlO0KCM6uwLAo
220UY95NzEK7ueYqb/QhT/fVBLBdRLbDkGGByD9BfPlub59aEiH6/doIvk8LUzLnnJOkt/v7ZOhM
Xk4318/OmlYrkUctJo5ulnYQ1g13J7yW6a1bLtkXXQtTrw/tbNswUqMhNkqzcR3PSVL6wtBZr1iK
0tzXkC1XDOUSRWJpYu6/q8Us4g2qI7WE7tYQKbFLyzIxotGv8d89x4keMtzdyuKjwUfrp31OhJED
ChOpKf8kKuIikridz+Q62z655Ze5k9mhH1r81vYmXYzOs9oRg43sfZE7tI8XaOKymwIHgtoL6dXc
y3UK91XXRrdl2PaftJjeb5tTa+RrfCGSe6G4mKofuraAOXS4Ds5tP+pnENuHJDHNHQN6CJlhG9qS
23EzOYW2beHfCbItj3mcE0QzUtpuqjZXfjJY6FlaNakHYcHcikYzsQd3y2NDj+kN5L6hH52bh260
5UZOkY7RWxuOXWI816ZbH3Sm49HCwbBZrDcL1reVEUlGuxNpc29OHcf8sJpnsY4/+nKgx9pHZIsr
2QRZ53QHKZc9HaP5vpoix0v4qt/GSWMfmLZq7Gq7XvoACsCe98o0tZsBdGnwJ4SMu3BSPUkLrIpn
JBocPLpo9lpRFl4shfI1mvyeKVX4RK2YHmw7YdEbWnXXjMaDTbAMhu2suL92bil4wvmYhxotJRNz
pW9BUTNTxi62iQn+Rj5CvnHSHPZZ08YoQuaM1Y0d14QR4KQJj0YtHSY2u+T/StcmPDEcknOUdRqg
U2o91ka+Dp5glAaDaNuWJmgFjhC34xdhqfrzmvGvWKlbRRtm31ldYE3ZTaUp664YqIcZzto8SpiY
zYSHEqdCnG2RNfQWL6qj+4Wo052McRqlkw7vY1zHizVbMJb+fRBy2Uwotvt0qLgcaAVmnpmMA50r
4jcsLO0pHSLinoUV73rBFUTqRH0MPZCOBs1VbrJleObGbmXOJi4iy069BW039nWGgYp9lul2+5LM
McELKMpBqOrusnDFPrs8/ye0jTmwuOG/9jbKpGdF82cLlh4oc+i5IzV5tI3mmbMwjpsAoHTe68jR
46S3xxBSN/RcO9I+LwIejnnYFZgHzm61rnLXzU1z1Olter2Uw6ee9JMj4cz6N2Ntf0QdRTKSMahh
FRbjI5kQD4tg3h8W9sWHYR5uQhzah6nX2PptSolyCpH1lmibSDMP0lS+0HXAt79iuqUjKDHzYrWa
Fk5gJwnVrqlG41x0/brHcOn4BhNN/H4tq0Obi3lbKGu4nSPTxmeZ6zuEOvfzEiXJRbXW92EOyzsz
kflO2TplCLX213rsx21uau1lzOfZTwURRKqs543ViwiDfr7cT2H/ghIFEqj5g0tVR/7aUZLUzyCV
cfLJ8z6wtkpgoLw8EFym6YFuUcBsWlrEW649IRefmq936fTNA5lq4DKNKoM5YVBxlxU9L7b/gudu
PriFE5/RSAmxqGMTw1xW34kBxmdtQOsBalS2xeO7wSU0McstpgqcMgVn7Ayt+U44nLYrWh0zYEUo
MvSxW3XfkKJghjLLPjouoopTcCzoC7l1XUySH5OdtNu0wgWm5Vp2EchXBQd8Hz8hA5Rbg3aDt8Y1
KSXtcAbbKU7ojBVzhuQeo7JzIU7oprV113MmPIWxthx6wifv0jCJySIJo2eHeiMN4O3z2KtXHUfq
bNvqfgkb2OElZzslPCPZkSZyKNhHm9l4nCZFyk3afhoI8sW0yrszGfNlGcSwz0B527KkESGt+1lc
MePYWhvTQ4JiPJQe1u+NUcbrJrP12PJMRgxlWxtrx5Z/XbyiIHTj6zIp/AMUIfUeoV8dGhFqrae5
Re0tVOv6SaAIH4mkKKODpSLdeMncyV8Vc720po6+UVgsb4MFjbeC/kcQ7UYRhL0d5MP8PMIi0Ss5
I4LgTSFnJ9qUaX2uTCsPnGvLvegsCuHFZKz0Mue5uI0ryuCtcmNyiDB/7DKj0XG1hDj4DPFuRAl9
f7dX3xc4Ac7iavYRNUsYpMh4CgdXXs0g3J5SEx/GRBLMfdg5q5eVCVwgSht5RCMmwZVawMuLsT1k
Dl9M65ofb5rp8ljWRs2yWfX7ypr7oMMhP+IcIemgGM2cJyn79EFqM5HEUTJxa4Xe2GfjOukbd6Kv
BVzebHIhq7sZz+SzzvlGGAzfxk3RtBTpGDOwko0R9lVJqG5vxk/oL9csWtVhosFNlyxcwboirp6Z
mKVu6Cq5xyU3oOXIn3m4Kkb36DvW0Ui75rhYud1j6rKHvUpMd5c7rrwfOdWeKl53TIpNmu0pV2vf
rVXN/TedHwyY/Q470BdGgNWzN4FIEbyEK4NyvV3019XWJVpxQiDyhmfEZaW3ltd+bNdnPXNsHAf4
xSgaMU5g66EBNzoO64PrqbMO9G7Sztxzx3ZQqKtEHgcz0s56nTfHVJfjGQ9u+BwSkO5xbxK+qITi
4pRm41M/qGrnpl3qhUiYe9ai60XFFLNNazBOpA6soMoBsNcSvVlJdVNVjqdpSzvDVTYu94zMRmPa
xBxPvPTKlDWTzLJqWHcJgRXTs+jFnNKsEVHo4amJfwxzz+XGo5pGe3OE059mPEXjFnqOuXYNYQX6
qYCl2qRDIwDnSAGBIMkyuzyxEAvcO3pbPy5Dt+6BekOUIEtuo9ZU6dZGSLksU1O+mrVh02JEcLuy
ro1x22Tinf6bGn3bqYgOnQFBEWsp/4WiOGRba80vTQMkNmlwV5LeC74kLdWvdJsajxE1TR9Wmgh6
qKHvuOKw4QCcIes2xfrUZgZlbHrV1uGN/EkKsq6ax1EkLBRbBN0SX1IyherRfagHepdh6jLQuXxK
WvXqtm+ra9Y3/dTsnTgktSpkhfv9LE/sjR7KdnbsSee2ZmIayhUFmGYvXhutR9lLj0yXAg7NoW9S
WtB2ZHHnHU68YCbnXOOqZHzfGjDRBNBVW3tl8uGAZw1Cj25OJTfQdneWVtLDgKLENnmJ6mo7zCvb
5DCb+3EwHuaZ/lfTAncRzufFXcvQgy79UrjQa5BSPikq5sZaaUGiVewdNP+oAA0a6wEjcc7P+cet
kbnpJx+M1txIBqskscvdQ2u4nCfhFJhZrB4Vt0DQ/flW4PUMcfDguXNGHNaEi0z1JRG4hEPF3Jmh
++GW5d3KTcLDLZPea7SLMYIeDCvF4Gw5Pi4TlPPYa+o527eLUHckpZzgTkc/NOovusjfTce5tRYD
hdK+hHnR+E6kfpgp9MKAV/khS4rovlgEnoz5ax61k1ezkyKS2JvaVLuiJqiwcVzXd5IyPuYcTcSJ
uxmRa9x4e91OTgmJPtB5WUTtHiufvnB8E8FkzlypaGGUU+2bRN9vC2S/aB3OqNWAe4yq+rqSWrNk
2k1WpveFifrStlSwIU1pfPgFb2RELIFRkR5SFN0z7w8hT/FJb81nePQ69khYUqeWLWRHxRdyptB9
Suc5uXGmdnrmi+BirywZktCNrNAVc4Tf9PY0b4hYwOgUE0kCvuhEfJUX85b7q94iOy90fZBpXWNT
G8qMfJLAxEVS2KD5kuVUF1UKUlGWLIQhfNPqwgiu+gShQ+PrIAfzx3X/8gZRZF9DOjDtMYMG5z5F
xHJ1F6dxC/dOY2xGWJzsCXx84mKHGc2WtypfKsq3NokfZSbcheJuwINAw4HN69iVoH1nekRJ4UXW
KH4M7Keb/+oLHO3OMCT7uKaQ+mIYJZYvq+nrl3/GUYyfczKBYPBmoSlaKJ8u3z73QyRjSthJW4k4
gkB34/tc5v0DVgouT4LrBIHRTikUvsqRdzwhKLsIGjAARpD2bvilHCrjFmBBMjpEy3OFGRTC96Gk
M955UBjEgfQR2e9Ba5JIFozFpMhhccsE5jOem7Npl/yRRaIrDUDw37MobPUAM5Bl/JHR+R9RaTfJ
17bqqh/9P4Jpt/X38rFvv3/vb97qj7/5E9EGZfXn41+ZsJ/+R/A7H3Y/fG+Xh+8d2Rb/ArSuv/n/
+8M/KbOnpYYy+1oNZX/9axEu159AMx186H+m0x6TMnqrq/b73/6dP+A0XcjfBJdFxwE0MRw4sH/B
abowQdAA02zXcq6UGdMg/oTT9N+kcvhlF2uNLh1HkMD5J5ym/6aDpTGq7vrfJCGa+n8Cp5kfwqN5
Wgo6jQe/ImNIUDoY3F9jN4sssZqkJdOT28PXqrubIDKozDgB6pGegOI8NrVUO5N/leNN4u5XdNEn
gz0mXJv4GxId8Wj5j/J6c5gbyxPxhBdptjGZp7WHlfuMu3O/6nnAPAdBCUKglUPL0wXuBwHxOsvy
HFqhxI2gFU2rOmgaWp4FkoURFTsqfZu4KO+UY18WzUk804lOUSZGL7NIQAG0B+5Q/A1T3qe54lIA
jMSj2ikevFALVqu/GSURfXg4GwuhH0saEXx3rUlmlI23onRXJolHgy8BnQiuuYtnhdJsearLX21H
XiNtD9Q+GKWuiPjy3jdFYKbVHbGKu8jkztSDa9R3M4KBIJSliq39LB+qqBsZchY+UYSXu6bFb6yN
nHHtbB9gFjnvtfKOLypF3gSQZWFkvYY2Elg0vFfiPeOlaHp+Fpxvsfkg3MJD3vV4PCYq3ehK24Nf
7y2eRpSLS7OS0CWx/fPbfZ/v8oqsnWgnlH7EQ/C40lV1FDHobti9TBWaQJysjxntPza8m7iETkub
2it4Q1eaTvBAm15Dhpbas+DD4BlZk/7Z0m0vEbhXH8rqQfCBxs70udHvQxEdrw/sJtYOnu5k0MrM
+8onc7yJx1cibWjWYOU2W2sPwYA71972bvfSIslwCX3UjBJ8KCfRKg+uq4Lz8bL0hI/aNKWKzNoX
DKrlmgIQNZSvWcpo+coojmllHCrW2kIgkTu6W2uxyeaMthV9tkrNnxsnw6qbvqvFfYp78fn3dZNL
/hq/o8i7Wyrt2CTWfWnZ20GvBestH/Z9Zu1Avr3rq01L8blv3ae8mncEtAaNgRc2IewTBWcxxptS
TSSoPBsJaZxhexznYOQbMGLwKJIYoCI8EfTLhbpsGNdg7bDyeE7LFEWqm9ApH0GrNlYRBVNbMzuY
C9iQfJNlhJVNasGkp/An9jYbHpD1/LWKT2VKz5tO3yGVzTZcEnlKbFX5IGcTjSx39aGpWE6pei1Q
0R8kwdsHLAnnYmjUI6mm6lzyM0LbbPSbSp0KG3ZhFQhbORFm225kIGIbK4PhWlXpj4YkgWtowm1j
x1/qiF+r9dzmes8PWwlJmJQErsmM1Ey3jYk0rIlbW3Hb8VEseDzqAV3c/d6DJOFPkHekmSPj63MX
YAdeHkiV64LrE1rIVTtUWCM9vcAbQqrkD7ss2GeEaZ80l+8uvSCC2/Sp9FKLOP1Y2jnpDlD+snCT
Q1+QAW2HVbyNTUPbJbhd0JHINiQgnoyKsdqbpPDfRVJXj4lTkrBr2b4zu9uaxLvMWXeixuVCe0lk
1avtdqfCRNMow5c6p/tVqWM+u4EquJe040kz1j9Ozp9w7r+iuv9+BzYcS5dUBxZb+s87sJZYrozk
VO1CAmM05+FaRMX2u6oKzA3cU0X2kC8w8tr6WXN/FeWs6z+HOf9xAJiWBM7SDUnW4IeZRGZhjyof
smqnu3JHTOOxDifkejolccw6rbjpx7ukM4Pr7jpj4SHmI9m3K/Z7DSMdMkFzNIWpvLkf6KSL7EdG
H8RXLhnCpIRpzRORcuOmWNUlGeTu+ldSUkVF8YSIcCSk8N6ek5eaSIvc1qA+wzxYlzwY8ZILxj1g
WS0flai2RFPQNmB7yJ1Dn0BtMOhCSrq0nEvaaL8VeXdWowE+UnjXLw5ZLIdSj071GDFPaQnArnxo
KcCn0XOG+OukPjkjsaFIuHl1IEcexPaBNbYZbVJs2uE9MiUG/RKOsLizU5u0f76G+EsUlC0BpRtp
WwSMzp9R3B9dJ/thpfJiQPhGs01Mpzq74Xh0W9pqLv0cv0lsTys0ZzOJgCvdvu/RGI35E9vWYeSu
gHmAi9wPQmQPM9u1lhQBbvHAwcoz5e9LUT9eX5DFwarksZ1Jl+iK4tx35RdVlXvLDarVuhhde6zN
+7/UM/+GJf+5gP1jgZA3J2x0R4sS4cOQ3C4nc2OwlmqXDu3MUIKC/GSn9QhZ3YpKf//nB/u93vh/
7PYfjwaP7/JAMPjK+jArRnTJCOTsVMxLUZch6dj1MrIspvgewyrfwZqeKJ0wTYqgnCOvkds5/NUr
/v0l/f1JOA7APuqL/DjI0u0iWTqJXWG3LjZNmezNpaUBElJV7PgB21D1+wd6Pc6a+TNhkx7ZZUT+
VTk9qem9nuxtbXFYaIaPi4iDNN0Q37Np+f/M0N5NdRfYMqQNzX5la4dYE5fQWZmWOe2vBQLxIOlG
TdWbYb6MV71bmp6tISiPjPVOzKfQOGp4MfX5BrCLzJ5vUr67ibijUbNTueGnpO/88+fyu2Pg41uC
VAilZZGMxVL4eZcqdcOIR1FB9eHIr5hQaWI8nO2Bk231xpwMV3imKD918TOxDVuJfG+sEO+LP82c
lslptkOKMWIeU7lXTXHudAyNTIzcgfUh0H7rtenBvFt1kqZncanX8WH55XCmD5exP1bX1ZOMGYOB
xubH0Q4osiKTA3vtMBPJ2lTneZE7QxZfNBrEXT4C8YzvOmpAbj1N1nIRtrbHjEqMrPFWLjQF2CTy
HQLQvu7Uo9H2l3mk5tTJKYPputae5TSQyf6rOWgfBlH++cRtU7guO7UOEvfz228SPgAqMUPxDeY7
dO/J0hQk87ox9AnlYZzyzcLOySiMfezinZz626apA2DtdQM1QODe+vvmVtM9dygyfnGI/T6z4G/L
gwsEJwm2C+F8sFyYeWPabYTlYk4Q4CmJdclm7qb1awxNWavsbGJQ5HZ8KaU8pIg8EQeITuk9JOzn
q3lxJ/MTHOW2Hu5SKFC9exiyIpDGQBnW3JMATKJB/JmwsB3AY8BhdrCjkQ5ku4uR7ghNI/fZvJc6
ER1ATVOXfR1RLa342z9/Ef7tBuUqk16h5MR2jA/nZW6j2phFXtGaM++v1Zghxr0RnsdcbAtI0yW1
94QH3FxPlGUx9mvUPv7iKfy7HdlV3D1MdChL/zgj2EKyQRjmKdSz7dXCObCbeu38fq2ydSzFOjQE
V5FvnWb55hCB5lYvVmox8rr4ca2ymVMU/OIpXV/1z5+/JImZLDql4zayxId3BUsP+t7K+rTEeVXN
Q5jKOwXzJOvqjkFu35qBjzrrLySVBpm8/cWjX0ukvz06n4bp0odUxsfpOehAIbqzxeqj8FTal6r7
ZJVUkAp8JJX33FMdo92vPBe7iU7MZ/3FABfzV0/gw+7YGNFcYHqodhkO0LXoPOlYu5q7C58K6Xa/
VzOlbWycioo+7Q4ZMeat8YXwmJt4XfaDNfulfUsC0fUrs2vbr9ddPzKLzXVdO1fWsO52DGP3lk5d
wrYIKuolJ+WqO1keRbDr/f6O/kdyztOvTYb/o+Lzv1HHMf7RZfgUvyX5W8lu8If38PDt//4f4/qv
/EvGsX6zTdtBtBEImPK6Af7hMXTVb6akbLcdSII/3Yd/yjiG+I01ySR29BW8XabFsvlTxuGvsVQF
XX9hUOXwXf5PZJy/bUrYGFj80rg+P5xv/LWfVBxRD7W7zhqtrzRZ7ixjHG40mvOxh34sTB9YX4t2
1ySQwXPwkqDKytEqcNGYtLojrFWmP5Gw1Pr//MX82YaIJMMZS5MEDQvzCAfDh1OLDnE8om/ztIoh
DE9Gwt3BtwdC1H1c5vEZ731NZmOY8G1ozOyO5PWp+cXWdD15/ro3UEIa7NU0Jy1DmM7Hme2KGGw1
0pfcRaTM2Sg2Uac2lp3TUSJ9lJf/zy9ZvxaoPz+eZRo0p6iVdZihjyVG5roLwYmx2kkCA4ZgVOZL
Zsx6TCtEF69TUky3DKoGdi9x/RBKl3Fn6ZmAkO9/8USue86HJyLJ0XNYmI5NUNyHSrom2YwWhrDw
wvfV4KdqNu6kINEmJE/mQvNFop9hiGeqiFjnV6Fx0crNNdKuAcZ6Qct5JBTOThuV/GJZXFfjT8/M
NkzXdAzMma7Qqfb5+V9G/USNtK7jiskhc9wp3GJtIT+6TVsS7/75Pfi4/tR15ByipuJeTdH38bPX
3dJEFmuGHSPMKycAFZf6tq8d45kkROuHQXrQhnEgQ+RjzS+oMMgsaX+x/j4e1uqq03IoudeK0xXq
+vO/vFijcROSbMpxR0wNMSipxpQ7VcwL7GzTmtFZTInxi/f3+rX6+f1l07F1QxBnh/X445UepLY1
BthAru15/SWdcuI5yEPK6AhXIPr8Q8KEE5vt/KvBSn97YHYym08U7Zot8uP3fUmYk7MuQ7sz6a+M
GBQEGw4BVjUrjcQLciZw/Yy/+JD//mr5cLlYY3g22InFh3VeVmqVkylaWFkwD9hhHeZwzKZvJRH6
3+B1GtKhs/E/G5DLhm5bSl0lfcV/XJL9f/5cI9vV9SttsItgEEwvhFD+oTBvxDuarcmwU11Nw3yB
CC63ruqZEfTPa9ugk/DT2+2gF9nXo4N6h/Vtux8np8dTE7LjVeOOMcb6pgQF0seoJT2uEjdxbz3V
U7NVa0UrMUFxmNMmOtJEThM/WqwZ7x5NKJ2oFsZgzlTOLZRL1OvuvnHn/CmLM/22BcXZdVP2FVdt
FBDqQrtsLaf/pu5MdiNH1iz9Kv0CvOBs5NadPktyzVLEhpBiIGmcjDQap6evzytRhaoCatGbBnqT
wM3MGym5k2b/cM53dm44MP9PiTINkDQnVpm31wwSLbyGpQ7OFoYPmUTD2h1Z/jPBGG08L5saxT3r
bOgSsDV5GdfurwtRDp/LemlmT5y0w4xHxDB6szIrjvVcMkGN6Hvboak/czXnJ3f2/nZr69wJb4Vh
DsoYiJWMXko7XPchpKlrNfOL21n+mHnB1fA+ngqAGudCj8j2bQsFgFPGn8Nc+4nOQveuVA2reRhQ
XeJqm/Qfb7y0nRmOSIibiGkP++ZosgnDFaVbLZBD5AvLNmQlbmGPiWva6XNeC9BUHKNJBQJuPwtu
gBtusSleMA3hMo604xfbVYyBIjabKUvcbycGoiJH0zvJctnGTcsBNPqTE1/GIVrj/RJ1Bl1AFZXV
BC6ThShXNTCWmmhN2RRKbguS+FZ/Z3roa48R4oSFgBfsrQN79WBg4RGKbuXHCVz2sDNgmR/gmRp1
Z/vE1gNlH2Rk3VfCSuH82nHWrI+Eu3AAqjYY4VIiVPURUpQ1EFl/mR/xsTrhQbU5f52EksWTHzCs
P7gN5e9b5QBUOBfA78p9Ec5c9C6GMCn5QJFIE+pprwP5DoDI+Ly7CKxM8s+NPDvmZnbrJ9v/i6Od
P5ZC2h+f0V3yh5B7oX5kC5QBJPfCh/vikK8AoxvtA3dqpjlnZCptJ6lMzE+dScXPq92Gv/bwXnhI
OugSW4tniDynOuLHg/1i84OhUUGwvNEZm4iHFTQYluZx8eHFhvCdyH2YRXOenW70f+AWC1jfu55e
kmJs22NL6rm58yHKdYnqrSB68FvDHz1ZJbPKrrf7/qKzGoJZY488y3bdR8td1Wv1ozNl5Jxs3+um
rcf7xgdFudDiYGjuEI8Z0MBk8hDuvLAmY33TLyeA7NWzU89elcQYmcRdbYUm3UOXwZTuZN1svWCK
qoqnwjf+sIdVWje/Csv5sxbYwsAXrf5vNsxzfA/OXF3RotNWT5DXAAOs6YBOoWVqSczQYv+yvMG+
Gz2VJZ2v878DcQN8h2opMsCWOLK3tunX4LnCstQerWyJWBwh2gImWHjpZ+22zoB+qLn0fu2O23DG
st0tK+ZZRSow51Ee2vrLZIWyL07bi+VY2fbMjBh0Keq7eEzJPAoAWHYDKtbRRTf9WKIiuYlvs4yU
qrGob/SKtTgKaTjLMEUpJnJQPbdGVuhKAtAJKOCjdWaETAzLRLpHGvOwDHGbT9sQ2CUiDBVE6ogK
1H/08CuQSeKZTiVubC8/1zZbMbSVnZUlALO5wpRnuLbYIrhb5U826kUyLzjR0WHG02bSRXyA7k4p
Y0pAThcwlbjNY+y2WcK76e561gfdoSUrJ0icuTAbApq4pWpd3jeDaI43MVBzR9RcuHesKH0uY9va
x0HbgACzQhZLCMUw0jr136bSCFfiuLy62p/u1tjWwCObNf89RiCb31qFfCLhQ0u3TVZAsrJHh4+n
GAZ9bCEvXVMyTNjryCJOtybK4104FWx1lqrAGmyJNA63rZ68fZf7wTfG4Nu7hJ1jH6/1skO74V9h
pmaXqun9TR0UJ6Hc/sGWaN1mtUIKdy3yAJVPTu+2nFMBOCn34GRi498E7vp0S8g5Rv7EHHUcuj1o
+rQ62SVQ21oB0GzsVR7jsLHOxC0g8RFhux+xkZ902S3feP69vQ91/CLhvt23zvphOyVbpdj0Zlt4
jWChpsE7rrWaXnCe4E1Y6JvA7uJCOkTjcOPt4eGyHEnlpymMZo7mDnvCYI3ADkhvaXblFCKxjQbb
/2NoWJCohOILVMqHrcnC89XanVB1RvD4svg0dybarfg2gDD3/mB9VRZaKUcP00XXTpvvoiXO/H2V
eXH6UPhW9NJgUn8k+Ysj3S/VLhpTv98NBUami5eh3s6rsnpE20ZcQS1l/NnX7c3l01YZS+wbRWnb
xHhopwmQw/0c6fjXogPzh1zfHqdABqK2HkS0U3D79uhYy1MwSIRYWqqOu6taTnCXdchSH7waiiHs
V2jX1BN03u7IHeHcLZ46p7HtcnLCK3go5nG4xrJCDtcy3JhGGTzyGaLNqcPsBkPmopZF8xLfbHSr
bUJ42cr+vrmFW0Iv+O03lAwkyovKefSaARAwKMndMnZY3lyv96sdxGPCsqBIylMpy/oF3S4OhULl
90XWDSfXl+UWRgOwJ3uoyFZr9V1c3pBjHFPRH9gYmBA67XBka+gh/Vzpawmc+sZMcyykWcSKgckC
/YDcU72VKKqP2RDzbpAz9di78VrsCPrL323MJ8A05n4XdDI7BJo6wYdmnOf697TCLlh5O6/2IOfr
GLlPQQgHpE0bGO31DBQmZfJu1ykGKJpx8ttk2TyQBWWdhN/ATphq+xfFoL6bKXrQ1nPiEZeJubRf
Ru/qAOvOhcaV5uZ8JS6w6iEyaoPwDKNQM/B1I1gby3cfKwVWgThvUSmS5jS1E+Q0PPXjQGWhp32z
5HG5Wwj0YkRE5R/nKbGjjWdtVmAnnHwFXWljxv3AGtuqIICMY3n1MbV/+FhId1Y3v7rkNlbV9Dqg
BdzU0CmYlq8y2Giy4B/WxV3PACm8c2Cn77Tvf+UYg3XNfosJmSF8ZvgqAmkdByPe4uV+HvOvIFtb
+h5ZM3rI3orJCgARKt7XaH0LO3ONZFondmfzQvYK1IXv3uuZBIa8n48jGYj3bmhefRKi9hnkqG3L
bqBdkFE4czbu3clUf01JTORNBtWxSdthQsXrJ27ZAz28WZ/dKkg8XFm5svn7iBp92a8PhQ6nvYzx
EOe4mt79Ovo7GJj3fVX9sILAOuNNYTRXU2wJlHHjmH8Q+PgVY7/CJmsD+oR4AA+7nt7ntvrmCL7n
VH+svc5OZGTKjYmJ/CyIaeARbG6w+OpPDq+1qEZJ4OV0E67p+1VidCjdUrD4Hcm6pLbY37SrDeNE
xjPZoe/R83EOFce1mH8pCGPbkDHDxnD+ATqE4REJ4kD4TrakvMKv06tIhjyPDyFFELIanT3MtCjH
1oa4IeL0pTaKhWQRH6fWeRgxMG8aRYnqI80DBA53Jupk+ScuLFw+i4rY4HvE9tn++llqOyDBUot7
Nr7zMQj8p3lJ1YXDEwFNFWgQHaP9ypn4JhfQ8bkk8DAqya6x4zFiz5nFrD27AUGqrgaEbZDmSbBH
CRymVrI4NXulQXwhmwuSVVqnuVQ22kq04n0rfrml+xg01kuwIGNpQezw5aNIj2X6zn7K2fBKYCps
g/BRTPPRU/YeMMB0RCONr7nROBgtYhWjZb7BH5R18hDTLxQlRydU5cliS7/RQ/imF/s4Zlz6bocR
YsnXwSVLz46T1qDGKJ02Pq0pIO4J7FGrFyra1a591rbuTKMDkZdwrXw5equ44jp/GQE5PrjruJ5V
N/iobLnu5TpibTceIY9h8E7U8PJ7xEJ+snrbexbcAs/TUFrnUubOnmkK5opozl7zrmleGrkipK1u
20Ele9JA21aQq4UPKyBF4SNwPfugayQQtd98LzP4Hq6OIPsCGvpec7NcySiAoOmiKLLraLyQs5Hd
S1hLW3t13b1pyYDKTEve05R2A/re7HMJRH0bIvhb1ZMrKBerTcKwBmk/5Th+ENbvMrf/dKfKI8TB
Uc8aCU+ChfrgNx3y9LaWH2JEvMveGqP4xNLtgRFQc22ArA94yx5ACOLEMqAzE4IMwtNM1N6yrUwE
1qCn7rdhgPJoITi6pRgg8L7GkSQaB8VBTxOLZ3Q34SgkxUyI6krbTHAmAQodHMGOaDaC6shenHNy
1zovA9qZlQin0a43+mZgdkhC08Z9zXG++lPd7bVql/NgmgJyIvL1yMGUPORZ+DDbsX9pC6lfsklz
HbGqhCRihUt9zss2+/YLdCWDidkNMzubzdbCFLVL116cZMYYdNsG64LXZSEZYCD4MolxiIe3ihJD
wFpgLPNJ9WNR2iLIqDDXHcGE1z8rxOSE2nKfpEncOSJNeosPgbmtpYdzEAkCdYDKuPc2mYpnMmMm
HkR8ak9jMAnKXr9wd2Vu2lcgHVBUiXUhLSbNic+t51zQAkd6Cg6umgFQq5uCF7Y5VBmnx29PljAk
pyhqrqmZ1WNpz6hyljyI6R94qnc0Uv6cTCleTYNGsN8vY/g+VSU1Jrgxfbb7sPsk56Rbt4SadfuY
Wo3tOIOKYJt6igixoUbOVTk6mg6skVzFsk9N/NeiZd8H3QidPi7F3ZLb2VfkjP1XDObqPNcRRBJc
ZpZCxb7h/FqReoTRXXpLAqWs4yMoWSIWlOl/B2hUCWGLmtDEtjjRCNKzLQsBRCEEIOvUF70jt7xi
UvKb2BM46jH6E/hlcXbnov4RZf1vlr76i18LCRZhv+hIMpJAHCSQt0eVhzzC/GblbrDlQbSJT3Lw
6lmDuMN7KT4j4PPc7Fw9V4qX/ERr7t/DbnL5SS3rIJijA9fn99yUM9NRoLhrZAB1V6CXQ+J8CFer
LX3MLWfwiMVIq3dwVPOejB/5A9nejGzGnffdLU/w5pl3H2FIrfesVDknEcG8OTXkjY0hkfezldq5
q1PVJqNU5hn7zPQbS5/6oou8+sy1njrdsAwP8a+NLPf5hB2FlK/zX4nMkS8oidZzZLzgrSzE8moj
Yt5NhjzKCTkyDAwX7gM19k7bbv0St7N9huIqSQ2oV5KtMKYi6ULIvO2YHgFwcnWak27Yrwc1ulDC
8ZOdx9yO8ELahF9ZK3UnsXA0KPT8+AmIflZuwplFyvIUC25W4h/XPvg1jdFz4Sp4XxDAN5W1KPqW
+FFVREWtXsvk049RaCAGZ/45kmyeFeJlngjqpmPvvnFN0+R2hQwvTjxOTwHEqnPNGbKZMvlFMsK6
8eoxAsjAj6LJXK+xhgU07LHKDbv2NbzmK1WCAJIBQXoAXlG4rv0KaArS+4rwKCbiczjEnk5/CwLK
CD9CzYPN63voHSESN0Q959U1SBssGfjCdXEcJTJxQHNAsxwPNlmYEu7KTvhdaXUcTDBuK2AsGHur
I3ZDZJb5EH8ETrnL5PQ4ceASrOsdbN/cjUgG2rl67Cl+psyAix+GnwsI2K03N+6Fye3UbS2fFOo5
4NuCtkbCCoAHNIJ+Q0SADMxbHjlHiSXtW0cLx/FE2uyY+ztJRNPWcRyQUm2ETufQFTNRCIxLhH7o
Mxt0oW8z9DpiA0HmW4V6GGhFAcxv/Kq07O0ExInosZUngZRvJuaPhabkht4wxPitMnLAQA3ZAzrP
DD/IobUnRBfojHWFRc3WZaI92FsX7ICmPBWejP5mQz5O5xZj5RYzO6POFNdmDGZ3xS4IJExcWLtq
oldLaCQApAuUxnU8FSQX6YuvvO+SzJgBc3iH2DgxXn2XM7NaZvc8z1ZCdPi+CMS7JctTuU6feh3D
i78SUFfegJNJAyBtO6NtgfwCob1w6iu+7U8WHtVGFYsgkzbNth6hnEka0xJHEpFhvvxZhvgejtqF
R/+9yavDOOV3fQuexrKadJ9qKJXABCmg5+e0I+dQIDtI3f4F+12/YbPxBVcX1CcKZ+DJC0ps/0Wv
MVZmCR9axRAUmgqsIiZ47CchgbFc/9Tp1UNeh9+tig5yxgCfx7482J187jrrdcC2WtrkDUf1natV
yWQsXj+6fDkJDAVb7RTnWje/kWKgEUtzc9dG8Z4GiTWbBMTfDhU5mbYBzKa50TqILZoDB7AD+21C
BjN6BAp5XGDAlJfl04qyaON3oSJ7lPncvmlCPZ1jNf0qHKLNJPNee1c4M1liUZTeCbIjz5I4sspH
UhcXDHpSmw/Uxb0uBHW0cj60jF+IynQPbpq575n2t8g7wvsRcfizaS15GT34gkXN2YIauPxStSoI
TM4jEsCR9ZUE+wUks+9IeJjXC8MT+cFwu13+OqXdxW9LKtNfrQd2KaFY1fnDhKkLka3BYHfpmdIa
eueYT3zhMlz2jqiz39JSxYqWr23No98UYviqPPARSdCslXVZcI7TzyGCJBnZIsYBUHfg5FCcJV3R
hiw35Mg2FbdCSjC/9RpTSG49OpF5Z4y/bXvpHP2KLFpnynOszQ4/exC95gooBjYpsbeNVJ8UPwS8
2tM7JWK51z2TxrEVz8TpMbPz7f6+svRdPmbBYzgtlXfI1gHoQhzA4UhrrjnMJ6Z+6jOKcHxgTrwz
7mR/MMLljXPjyd86aR5KsEtpfyfJtzp1nrChKnmZfAYrePv9cvdnxkepYIPHrEPDSgzPwajblBPK
j8+urS1M5GVmTjZgBngixNYddcVMYtProjv6dfgxuEu4XEyZ5u45xvz7ZgMjY+g8QvCGa5gqREtb
cBFut3eyzDQ73KX0hjD/mOXa02dk36yAHIbPwjNmn3mDOqkZMqy0cKIznpEPK6HYz6LpzTORM8Fe
By7vuUsOdy3NKSQr40fKec9W0bIU3zuMOgDRNqNpm7i1A0E+2bVSw7mDI814t2OsLwdNUl1VtSTH
ZoUH6AKuLC9jfTRGQ6ogQPEgjAMPYJ0IFNFVm1Rj+4PzcT5b9EjHmhtrA+ghk7ztQ3bnpqMbAgtn
wWDYkl2bLIuJT3AckmyA1UEFQERdj0txXmOj9mPtBUR28S1v8gwfWL2I8K1h/P2Oyl7uVZSCx8gp
fJ2qpuiINGAPhyEm+nguQIIct9JtSTgtQMkmMtbAWbF8nz1uuMTFsbTPBW7FRgmWQlZdocbJ3Gxo
drKYnQ2cPvBlxRjeQWWvf5BuZF66bv6C1gHWIUuDJ+PFCxXQkr3O5EhvecSeq2au7ry1mZ9ldYsb
jdWA6gmVBa7/2vs9zXN19pCv81Tx6K4j/9QmC3E/zfF4rmyMyob8gr9wKAiQaVr1ZXH3bXJix+8s
bX4BEOyfUmAkpWguyEupwOKhpBhsIe8/+xzSe5tlSAIIkgzzml6pDAciFZfWxckLeah1ktmR75kD
8pahKXpQeXPZVdylD262ivcBlvNm7EqViCU3TMWg/9cRk3h+6+JzhvO4xaoHax6Z9w545J86r51d
EYT5ydfT67LO9lGFffhUgNA8uMMa/57StvtwYfNfrKBJD6BpY+RARGeT0DWdlAIuxDPizhfRA50n
42J+EiXGSNIcijc2C6TQjS3fB1nB2whKHeNRN9yshemf4xTHMBeg/7d3uwghcrdspQ78BJH9dKI8
ipKaUuU9WEf1YAKE0pGqyKciTPeQj2ORDCq8LRmG8q0LxxIDaD9+5qO3HsZ4bhOv9oH3q7y+F7hE
7kqnL5+XqntxxzA/mAGiRCBkuAsxgW8sCryfDWlDV77t6TkKO+910pLgYsuNxreRRY6/JfTCEg99
FJDSBBUVhqzfwtodadBr0qIqrnVyoJHBt7/C0tAu96pCVzUGxZCERdXT/9EoJ76EjyaAIMWbevF7
qAveqH/ZLI5urJU0fJhUNzOnUZb6Bs9TfZBlVzxwRTXM5XMs2J3rguRwYvdZjbdw1rhWTp00ckbF
RU6IPJmRkSnrvGwXLGSCpmUHPNQe02vFfHiXutRKgaOtE4myrQHEXxQ/RlfF3sXqMqIaJ3YndTJV
frmv5i58UiWGzMwTYMUpVe8Lfu/6NBFlcAGSYRCktUR5lU1kDs3iZOSYFmQwA/zc1B671yXounc2
Gsuzo30gOBZIPEYCw5sk+AI/kyEDz/PlnqxIPINdYaK9597E/qQCcJsu34sLmHgQgLYapp53SuEU
9SZC44KqX/depJetowjQcSd/3dCgtZtbMvWprKijojWg3QCKsm+UcV40H/q2rC1xZZbs74Qchz2r
z+IIQQVjMLC9JAOGsOMNFonp6485ksUv3Bui2C43w2s+KZ9TUpTJFKzrqU6r7NFtCRUKx3DnAEA6
sqRjwNikHiViZo5Ma0gYpCDa0lUzFR3jYl9YVURynhw/Vd+Y+7Dw7TM4zvnAQMECOVkFSUyk2LGI
6eFgXdPDZYIB15hGTyihQCSJscAul+f3aOlheWI++NC5jTgxCvVthBq1n2IMYz5784u6CpwCUvNP
GWjtsO0drhEoigfay+CvBIu6BVsNYtGBfoTugocwNNGXccjsqhfzLicBvw2iMW5YnoRDlXrk0fnR
axXZjGKj+odXCwdM41wfiiX8zSKrSTCcMSuMQ3Vz+sCFXAhRjqz8lRjE25qpiw494NNPozP6SRbD
l4rEoO06cOGw3ZOvuTfHbFQrpmaEW9Z/HYkdoa1oYnURVCctbYqOYJ4A5DlOA/dXedsyat0t5U5v
TjM58G8VYxLA9A6B800YdhA60+VxMYhpgIEOIw5tX+qdrxhQ74BlsPxYVV+l27FsAJmktfo5D1AZ
tgNCjWInBvt+LPpVUr6CKEB6Pq74nlZUEfMEl5ra6bP2jT4NWguqRJOl16Lu6EN7szwFDH5ONval
dwUMjcU+Tvh1R0OGAZoFAETDLnPtJMxo8v9KmUXZMTZRkB2mSEEX6dsUzjMTLX87jADdjeflJMBk
8+9q0jGDJ/J5TxHPUbudwrXeqMws3Epz9BfC1fKGYRBXownw6qWE0EFhQyENoguUSmdJ+3NAFJfu
Bqg4X21ZM0RvM/fa+MJ+yr063fVDXLaXJSwzyJlqhQAwrcMGZRh8L0flIa+F1u6G6G3BAavZxHsF
jrONpw3xZDyin4AA818lLvqdy3YcZuT4lYv81yIcZtFLlstHERBQBjKVq9vNjMWZiKq4kNZ8nvpo
oEnDRHogU83FmVnGb40vU2D6lhf8AM0dPeZDraeLypV/HtvVv0AYpCPKa/FNrh1DWghCx5ksNdr5
0Qz3EydMCZXVNxAye/cISiQ8gNNiSeGB4ePracMP0Wl7SzExZbgPdPridGJ49bzSerRLJPq9m5XQ
QRqyYFiyi/WEJn+AktLCnymtxmApuY2CZmIBjw6EGYarAHD4F/j3Ww7BU1ahCmCMV8UXcEqkj1UT
RnefUuujkATqsEwR9bXRwNbCZYFeEpZLnx1npwU6vpBSe3EAMuD+iBJcTEw9mVweIqKwfWiRXo1P
nq2ut1tLy4MRDgjmXchbVZXdtn30NeLYkw+36UJ3xH2SWXpro2FmErSELvXQaMh+dcI1AobIovPg
G3m182LZVQ1UhDSLMOumYBeYkagXLOpUuCTsOOtGd3X0tMaZyR6YgFkXLZx+ZOAaeC+EBRQHt657
ynt4ClviuepXDXyMIFrfz/eMIeek1XRsnDWZEhtu5Hi9og/gRS+GcNmg51uZUoiu26vCxuxhLcP8
NhbCG2lssAWypuiKs3C9ajl4LBHZjDdZcx5StozwChZ3q3UVv8CEYfPTuQype4cjKolWLjXFYaMT
WwPpYDnPUiRz21Pb+GEPCa+JnOfRuObbgon+JOeQGHk6Q5zB7NYhTS6TV1zbgnpIlySDWWwNUC9Z
BCdtSUonkQIfKQzmblT5Tq4IuqTLsmCe9UrOmZ6PYWzNYLCrjE9/XJoJ8Y3tHjqJfculcZrgNIXT
RrZel6AV4i2riPqAhAttnx7dFA96RCpgd0V60JDtNz0uBny8w0c5TQG8jBmExgI4aa8tWAGUKusl
j2s8Nn6Vr2Ei4ZHgIYqbgTeBqUnmre7n6gDHXV3vPoLgxdSQx6ecguKho6OhE+UuYegxim7HKsUw
YaO83+rQeybKl5wxfpd3+CDVvmQ1AMSHgEMBSvOpttd8v07ebwCQA7NfqHhsLHWiiCDbG55OL49e
JMm6x3kZmd+Qlnun1mHfDf0vMdt0A6p+CchyfVMUu0/SYyVnO555dgnmJIgJrBnVYN1ZxYGE6Gk5
0/CyqrBaAxu5ztgiwRFsmfBtxmqYEQ2Go48Go4fT6h9jYv/6XZX3SFdILi6IquxEOoFUKPg7QdQJ
/0S2gzW9zVO/lB///J06Xxh3Obq0m7cstrsRCGXsY9aaKTeZH3YEKyauXfJHW6NGhmpVxU25WM5E
DrLNCv84fqo4M1Kg+XyQNWPzk7ppopyiky3YH97HDRkTqKGIiuUnMdrv5p+82173beUzyqBQWOpH
5JYEv+VWnc9vFi8LKdash27Qn0YFFzVqTrrVU2F6+UdPUsVS+EcNi9dJxNyhxhhtQNWQhAPZwHNk
oRVyWZAgOj47oCaoPJs0Grbev4uR7DkcmwMh6znitZs8b9c4ESoyfBE9X0E8L+ZksVjurjV3knvF
gJqzSzMSCoqBjHiKuoGPAXmSzQw6qmceW5weTMazBqW5Dm04lH12Nw1BADtAlsw8nDk+Zp7FKZrF
g+B/iwdvUlA6Ma2YXb9iJ9ygWnQfUtPbz3nIDYlCLJ9ONAm3gCjRZb+caphe6SbvB7YqLIJMKadd
34cuMrl80AcyBexPVbjxs56G4qGQ3H2wO6LXltRF8nypcAF25w+OnoutlVNeR6qo/qjZJ3KjKxyQ
/VNLOV5n+NiKUS171AD+12SC8rulsn0j54wWHeTorfVsWI+wF1v97wnj6mOKQ5XoED+j5FvkhXDb
6SEc64V1/TB/ZFOzV2nkQA7zeT02LD+bY2es57wtH1crZN0vHNmd6HdWJrfZoN5dx/kcaobDhQ+y
4waLOuNK865DChwZnw+TIdl/4j1ID2Kso9eJTMvEEmP5ukxT+M6y293RdPooUoQ6FlSVPw3Ohh1O
pZBtv4NXkZOTALghQsPkhsW5KKz2HqJ+mRRt/AxdB0vqggItmof+BxPar8qQAdGVVXlX8Wb/yOv8
KaKyu0Oi+kkE5prtfGq8rb5lQsBcQQJFlNsmLIAJritFmm1u0+tYXcJKOkmMRHsfjJV7J6GkbnOA
guS+tNZ89++K2P9nppX/lqb1/1F+1k16/L8DSnbV/3n5qsav323/X70tt//TP9YWKxL/QqyMWpw4
C48crQCJ+j/eFtjR/3LcwMPLgJMjiD2Bu+I/GCX+vyhUIh/pMf8kIirrP80tjvcvhx0zkBIb64dr
x/833hbP/e8OjiAI0DcjPPH5M+0giv6nuUX467x4axjs5Zi+GkTRLyDa8Mb24XocghIopZ0Gw84w
+kpvaxnpbccxcu56p+4foYpW27CIYNIO/s3uoYnXVJvGD5YfCKGWS4g6PUfikc3XLBJpvrV1oE9O
PGDJKpzmzQmq4meKTPqZqxM3d5a3zlPATmPTx055US3xAiLLphPqQEazLFMVRBI4+nUrxDfVuUzc
gAFX0rAUlbu0xysLlZeaqcjsGzfW8hiUB+XyCd9BLchAQ9TbqUZ31K219ST7ZXiCIBX8VgVr1iRe
c9ajRqP93gPF9sGxjS5LeuPrTO5wVMI7AO6FPpvfg/YzKER8lLND9dLVLu2AgxD8B1KK9W52HUi4
OHd+FoNPhOpgVYRWVmRAyC1FQfyhGMKyUAiWMxAsAnGiZvrpmiUF6KSRg3RoqCW6dNJLIvXbulFo
N4HHkHtTKjwGCV/ALdo1G65IFXp+9dm7h5gJcvGWa3ye1HhoJlDMZRwma0g7lAXDa+bW0OVZFXjJ
uK5LtoG6KOEF0MveO5UlHxpVP/puJX+DggesL/tQrsiX2xHmGWwa0B1WZb9lBOukiVCm/WpnEuHx
ThPHTDSM+rQXmJnlbZXgw4qo6lJxTKrbf3MiNVFiy0PQf+umAmsjA+shDYAOIv0Zs78pe8tDaS1o
CKTzxiH+oG1azz41XgIpxCcwLP9Z5tNKG20Vgilvpi/C6vKMYqbfim5C+YWh5uAV6iy49fckxQz3
xWDdL6F5yOCVbkRZ+zCQo5lNFaXSMY5sC02QBe0z7ewQ8JcliMgq9OuK3+BXwMp1wySpLg6BGoiU
LvMo+kBfim7NYUw6q+V1zVvCJsi5ICF6SFcGYhGZm56ryDEc9LzLesCHG5kHwb6vkLeLomRaEYD7
42/HEQGwtQeVYzL51qJk2mXasv4wpAL5o81X37AttM3wObnLUwVLcstQg9qETKi7nOqxlVTdbm5+
hnPNYp/fOoFj/t2FkBr8PASPx2RlL7TYEQ01iU0akKosK7OcWPUBDMuV3jex7lnLi+M8xE86Lfn3
pdO8sir+Q+YABnKQMDvT9o8KanFCkC2jCs1zCruXKN5etOvzOhgHLIklfMbyDCt2ynfm44TT4CcR
3/Zn77vrPnOnG79oUeRbhG7JdtJ9agGDoCeWXJCDU+zc2Z6uAwb3PTEc7wsVzXZoZ+/bZaWEqM3R
3ieKvoAHKCX+bbNEpdp2jYxvEd8h41nXeexNwNtUAqYLrIWdYtDGAPSgRg8eNbzTsdTtw2Vkb2m5
5wz5yY7MvoqNrPFBHlH3CKqnjehahwLBj7eFxdZ5Afy9b1MH4egEeZGMi0bH7+4sAEBHyEMJWkKq
MacVZj/82umrH9cYhNcOf8SDPUV6j7RwPVhEs9+yFsQzUtcmiZjgD48zQp5z3HX6Y8m89GVelsl/
bGPSyLqbsQE2/nfpU9BM9lKeGT3/G3vnsR030rTpK0IfeLMcmPKORkWRGxxSLcFVFby9+nnA7umf
wsdizde7OWc2WkjdlUAiMzIy4jXd4XSK9YeUd4pdpVW7QxLRCnIDqZcWQ1mmtOMs/7FqjGGhJpU1
Nwv0EhPVSFbcXUrUs1Hp0Q30n7CmEu7bBpVHLjjnYWZJagxceQCze+kx0AG1Bxqz7aQNre2sx6ip
g3Uz0BLX8EwGFKKPgDTUjVcwBLtDH8cgGuMibX5q9bjD0KV/jShYKI7VXXycSMwsOXB/zp+Kc8cd
N9Yz/QHtHAAT9KZQDPlwFh/+ImX9pv7yn4ebwgkrwlADCSAhVv07jUi+XMjYokabNaG141atcOWv
PbFKVucI37fgUlO8TVATNemTAp62KVFdMGR7vFD5Ty555OrmUB6+fir5d2bReOSOIgMomOCOObI3
J0+lxLC9wz6CMi6EOA4I/pN2ao9oKiJwGOXKspGGRwkzSbq6P/Bup1IFKNcNQuExifSdpOgVqOK4
dtJLY2dWarmqhtK8WJmPyuncOkNZ/8IDnWpEGa/GxfP140u/c+7+enwJw0mId6KGvhq5zkfOnV5A
vgp8lcev+8vcysMVlbttgKAGZVUAxBlG01Z6OKEGbGdyhCiNqCIkQ+W6y71aT+ZB458XiLPdUNH4
nar293Mh9gb9UYY+Zo2GmR+4gCpmhFalidrMoBvodNnl+K6OBbK/RiZe95Sq+YsF+v9z4sevVftY
EddT4v91enu9RK8f02H++7+yYVn6A3V1qNzcZehGS6PSxl/JsGT9gZwkdqOsJwsRDp1N83curMp/
6Ig38WFhOWN5NqbJfxO9FesPeKcWwn+sekMChvffJMO/RwtDlkx+3lJRhIL0h1TUZGHndR7llxE4
QlWuuUsu1Sm3jSYezXsyFE0+TMonsQkOJevxA5FUhrpOYFJFSMRMhfIeJj6s11w7x2rQJ1TZi1T9
PlhV9CbSrkNRuaxTqk5qXc1a8xJhNHSW27dSOcPhoETW7HoKY8rifDmRbeAkEO87v0d1IgjL2nLp
P8d3MJUwIAorPQKPrVjndakCAnTOl6xdNrV4uYCa1tAE73TR/J74AfVOtfc1FIh0uejpYEoIJBu4
mh+hu5JXSAV6HAkYlIPVnhueJY9J1sGnYf6ES2PjCrgxfC/8LFi2bL+LHQ7m2cQuI24H6p1ZhsVB
wdmKoLAvv1iYJmEOCjL4WHIDkhwE74COdaOQMtk6/vTOIFTK2ZWo6+BdmmTNLihQmC6BWa/TNgPh
cDGKeBErvfoO0crAHLU5tBixQRECudw8PzSNgaqtVPVS8zPG30T3KmmoXoLUwu/Mx2VqhpGf9t0s
azLApjjRm7XoxQDcRs4NugJcooUALQ+rnSToae3Ck+SeQV5Ha1XIn2XV8p8i6Jypy80K3I92AX1n
B+JAM1cR2/ZFFSO6ThinmE9y33SjnFd1fqMSG7UzSH8gauq8LLEFEU3Ovi6wpLuWkpWyUCsNMpMx
gBWMWwWZ5xytJApPNWZiNjWMBnM85IHQ1KZFsGbVZqJtFmjxmaYcAvfAI2OAuJRxQOiCoSMTowOp
P1ey+kq9VYAOMsRK4FFVD4sZdjD5gWZp8xYXba0CqieZs1O8TlG/UEuArPTr5W9AzAq0xYfOnDU5
LoLzio4N7mBt23+rshYMgsZJTw1d1Zt944ck27BCAUeDLYRgJljG7KKnUgd9WS1+wlBLIQ7IVesm
MktmYxZhazlyYep/BqS0NKpOvfh4CeQyooBeoOzXU8ETF5KIsl0onZr6u9piDGzLfQibRqmiSvZO
idG+BGHXAb7tdKUE1F6IlRNwKcAvpO5B1fhqa52X574EMaOrp56CsyELb2ZM9ciVBeC+46qjCFxC
qOTLQukl6zf7UsHq5EROj8BC/oDcIsEBjnd4oSTfQbORExVgpop6AXZiMCSR0rdU3IXyBKhUBkk0
wdlFybnXCREdIzHrSbpqKSk5uekq/bLADCHRCY513/EYj5rSIUsNlpLMXaaxodgpiMtwTALplEJ5
qyQc7tr6sawKxaLwlhepp4Bk3yJWT6KTgDvdnbuLEOI/pOV/DkqDhjRNsFqHfWClPXl7VL0iiUaD
txUDnKqQnDy9tH0FeUCugWu6fhQZVKOGQPnZKtq52sa4sZSzLivQIhpCKdJWljAAmz+1Gbzl7oJv
gBbl1Y+xqo7cdYPK4LbqoZcBjWxovZ+KkN4W/AmYF6p+0pFfFwoIFXEh7yuaCkcjKsXH7NRc7tFr
TmjLFKfmAEEF5syQm3LuaokCVP49FP9Xx/hVsZXf6lb/z8nrKhyw14/qx9eoff1dj3f8H/46qyVZ
/gNtFc5rCa1c5JgQkvj7rJZwfkdOHRUC0AgKVuj/nNWy/odiIj9Br1yXUWeWScL+Pqtl8Q/NHG2W
gbJLCHhY/50oyyhj8T+np4D2h6HqJpnE71leE1BkFzuRrshG2ncb83BeyAe4iPoay57Zh9n45Izm
PT4dYyJ6oAYFQptJIG30u3oXHm04jc9f//JEyOT/PD7pxu+PDwA9Etgy0kbZGPfoWj2lm3QmvgW/
1BuqSWjTfPr0JE6/D0HHy6gG2PabImySQ2X0vmcE+HajMAgX0tBQjz1bBd47rbDAGKlc1tjFLtoS
ExXsiUNwojlalTU4HAEEspOcMnT6x2pX7icRNH4FUfnzWVv0eYE1LD0N12yy0wy+u+m1qsy1T44z
rx47ugFI67mFarFr6Krh6RTv7booITKEYTiXCt18MqWTNqN6TmNCrNJfLcAcx8g0DNFyHG+FCBlC
OBVneFg6rgiolQFMPWUo8hrn7SW8YI4d3CPUuKDJkHngSBGRO9F7v5i45ySNkC91oNEeClKng3gS
f0DcR1YzDuv4QcbubGZyJ30ICtQoG5TS7Spvqz9F/G09NLbOcziigYMAdfo9j01lDYgzmwOavnjI
/yQ7H2sclJXPKU1HoMFdK8yrygS2V5VYz4X65REQmArkLmrX0KazTULn1Rb8AKunvsTfLa46uBln
84eRwLoBwyk6mIS2EByEYJmIxmUeKVq+RugYM2G/7W1LITs9x4Fkp0qReSfs9paxkj+fpajBxUww
6UGd8/mNtTrmvf+51URrTGA/JKixUDdUFSGtjkUOdRuhbD8swhxLr9KkR0Jx966Nlqa1DKjEfD3m
uEY/G3K8On8Y0vIvWpgKJ2VzVtrWCcJGdqo+iZ2ipu6py7k8hyPTeEIold6/G3GMAR9GrNXU4B7L
huQFF7pLu0WZj7a/N17oXRDoszcab9Mfft8ACAtDn9+HRA1RQt/GtdcdaAmSpK6w/8Xv9LKGyoB9
Af1xO3Ch0oVYREIobe6/fkX5WkSYFBws3cw1C2+pjZlHnhWUj60Bm7jECSOPt7hE4xJq7S6pAg0s
TtzEMJ6R/Ym9sBjSVTGozgC8STPA3T1hs2PTlHQoFYcOgI/nVsjWRJQbs/W7tND/REd5MllVpZ/U
SzlsKB4Ap72j326rrgGLFq1S7c9a/usCf1Ue+F1P8LOvMjlF8BRX9BDc6CZuoH8+Ni3cSqAvtf0d
QdESN1HwdImJGcnaWGF9jpmpTOb2zRAOVb0ozg+Usb7+NtcW/OSooUCcYj4q9BsVBQO3btFa3OjZ
myWlntUuvx5jPLE/21Xm5NCRuHZLQF77jWKTy673AHI24E1dbZdsmyWIa5tS4BKNRwfigEembIuz
ztnhDTi37vLZA0p5y957wCx1tyLTtev1rZN2lP3/9NEmh5VJjauOSx5NAsktehbEfR0/UpSqSzf9
RRtk0LnkrCgrwfKw87evZ0S6NiOTXd8hsw0/IR42QQQSx4bGWKJDnSKmrpW79NuFGuhaN+P/Tkrx
n3U9lbzlhnmuRpzBxpwHi9Dh3m0njkWcUVbB7NZcXgs15iReQyU4hYCRho0+9+f18bIsNrAVHJQ4
HoCNLZqVOcscKMNb3xOWsXNjKsdA9slWmjYQLY1yj6hXwwbNAGrBr1G8B52NayYyA7jatIhrGNoj
dHyFSkYNggXkOr1yVb6xut+Po88eYBLd4G2nFx/o2+ZiUEupT0e0OnbI084oj9uILDixsWwAmqUv
mFtjMX6Co4hohIajXKgD/qFyEvFdtHYpxsABCgXVIw1tjWSdXJ4tpXBNq5+JHfBb1EvQJyb1RcoE
qW4MJZWxSF8uTaAe8aZM783Lo2w0FGzX+YAzWboSsmMp3tcw8y/KXaQ9xdieBQOgYOh25h2uOYA+
WzQaRLDJwb3U75UW4LWe4KPzw8DrvvSX/vC9xukwkXHRSQ9xGqygpK9DAYkao/IUWAPoZZj0khRk
mdRq2ZUt6vHGTIqWQbmtLjpAREyF2nvSnbbbtgDHM19camnEh1J7R9MfwB4+VVb90jWc5FDDqJVq
IEvCH6FUb/Ns+OvC9V+H3amEmWVGp6oeCLvmPFoDeRa3p7W0SLC1dy4HaVF5w6v5Q9x03/QnkIoP
8qa8EfCvxZmpUFxU9zjihIwcYPdNA7GlSR3ZxRJZX/2YytRgArBIq3Gm+nwrKi+dfPf1BtGuhPix
fPkxAwCGRpMPl7UNPmDbAcEUGH+eNUpD1GE7L8zmgPjD0sJbT22OFOhAQKNUasoO5Ba1fgzK/Htp
3Q/d+lKUL4hyIZUzeJ3xqGFKVMf+TJTyGSAd3AHwNkLAW8TBPrCzggWJg3WnNvMsTxwAQZTIGs8M
UMVq4y0xF+fZxC6EDE4pIN9kNwQbyacjVth+8lx0G1GHI+xlygOKIfY5XeBf6ekw0GqZhBWMJQWM
r6fovR/zyRYeMRIfp0hvZFQszoG80RB8Qmbrew9l+Dzr5/Uv7Apx1WX9eghr5g/UyaznVx7R3Bff
YKEibACU7YjJ3S5Dzr5w8HHrNqqBJYkTJI9fP994e/0sxmmTT3ge6tDQJEHadPU8BO9dO2evKXFh
ARW0hs+jOrC29IfB/JbMR52A7mlsDTvtzwCA16JdpsomL+9SfS/Ujr673Ap911a1OcmXRJMiT1MR
e+syhUHUzDuKvohWtBcQxXT0z88VSiFEW0tfofxhG1pLvMEs5fwXOujqjr52fE/yKJ/GeAFhbNiU
iCRjuHTB41oSbiwL+drRMkmOMDq1stLK5U1U5OJLF4fDosBwyqsaUIQxHq0zo/E1RN7EyCliOA9G
qEgrLGYt3hZWA11TtG3Au9nmkEQzydeNRYl3NWR2JOKyoKW1lmHUUjZACAeL1mBbSeW9rJgdWw+A
5I8Ehmh743WuvI0xycKAm+hmFTBXJHp9A8tJoUoOiK/78fUqnTTo/skypoqF2DTWF5VK6aZftTtr
ljqaJziCUxBXJe+X8Gc0C1eXW8f+eCP7ZMsak5taH2WSikJDvwmDeS35LwgqeuL5jjurj+crjEmL
dn3lNpaN4W0a76G5f/2a16ZxctwjX4S/Yk/GmF/mF0QdBGrVwr7Asezr31fkK282/v2HGxuCEaMc
FIJyuIW9iJ75/KNctu5SsvXj7Lwa9zskY+KRubjYB4BKjuz+kJxqDm3mLXkj2/nz6weRx4Xx2RRP
NpfeZJUl+kYPfwvVjB+4CErpgpZU9HI+lndNNNPnxlqVUbuwi7mwOjez6DHeCuK8oH4DCJC2za/z
cxMsqDeHq3p947GuffnJrmyCIsBsKe43sYQBavySmMcqnuGrPh9wJ0HEKugcK/+h7PIW0MwKcBZ+
PTIaPSNixF+WnauVqyH0emMb0ZTQbiXZ4/ifTJc+2V95ICpxHfPdhhnxQHitZ413duUnnWz33726
PrmtyJY+jIBlFv2m9KpNe19u8zkJ22Udu5eFtdW/54d4AQfWqW15TvPMVexgJh1uDP95XVLUJ7cW
Cq/i5dQTQfrTk0UDBtWeFEEeCLgRtqLyfLgInOWuAj0aZkSY/TgtUO4Z8ME72erSBL+X36nRs2Vo
bqHb5ZuZQ6/Y1DdyLOXKwtAnp7gG95MGntZvfF/0NGFb7SutQtBqjWJg03w7mVStPKVA1QZ5LKw9
kU+CpQfbby5GOwVhoXCGEE93OaJ9qCmrUncFnIJPF3F5araltmrPCVp7h/KyC9HHQwrzRiy7tuP1
yfF+MS6WAPas3xSzzjU92JE2lArbcA17cIlhbmnTFbR9t7LxOVxinrXU3TlKCM7gYOnj+HblnOb/
8iNPAisQJ61HdIJ0EbOBQu/mhvl8HpaCcReJix56aa3sitSyLxA8MqQ5+oLcArsbNJRou0BKqWZB
/DLUnC493jVwEUM/szW4lW3jDgodRgDXjVDcCJfvJhmfbbtJPE4EXJzoQrLtyD3gvGHrOUPbcXjL
d7ELcB90IKXYy040vsG/yi00GldfT9XEH+OfA0+fROozPrtiPZCWpWe3XsjIoDrDSj67KeYYaJBA
X5lDR3P8Y/mU7NRFDDnWRh7yTJ1rj+JuvwDyFH+X1kHldQ+9pz+c786//J0uHLL4SSklz7yxwq4l
avoklJ+VRjJ9kyc154o7uMHCmEWUAJQVz7xP3Msq9DT361m5Vu3TJ/FZpaIdXzCS2US7aqmuMCB7
zDZIrZAKCM758WJHc9U2VsEhWQaPmSOsLde4MfaVE0ubhOBGyE7wYBhaX2kbKihu58WLYWvcyDav
lW3er1gfjuYo9yE/5/y+BZn6sXswFs2T8BO2p7RNBKpTX8/gta+lTeJsRB8Lg2mGoTqko/NloAN1
LG1h2y3wnpWXiMlUa3JRUn3duzHmleCpTba91AKkjfBgRhJijhKa2t3J7N4HTcHERaMeuY+QNlxD
JijRsErebox67WIz2bwYB4jQaHxp06567O1SeVbChwqC723tKRJ/ofyom0OkXfCQW6MWZufKoV6O
jerzLL2RUIytxs8Obm2yjUMF0G2n8+opTLB8fslXKFRIGGDNrczNKjvltuv1wi/5IM60xBEaF7lc
nHa0uQpEcxs3M6v5Jcq4a7q66kXWHYTZ/LzKMtR+uO6gL2RXIaKUkGzs4fnGzF3JNrTJjq7wV2vl
cZcpe/9b5tav0gLMu0ygi28siWubabKPUfuo6bEygnknuY+dre5hZd0MSdeqhVPnMaMQuqAY92q8
BP3abdL1ad7NmiX6tdsI3vKssinaESeW/UHyEB8431h0EwDUP2F7auLgF0YrWwkj91iF76Ijerj3
mYuY87xfZG6xHGbn19NBWkOwOQpb/ZDOo2+d0xytFbDbHavfbWfBlvLdMn24GaGv7L+xp/0x668u
Vo9XKQ9lPQhwuymt7LC8RGfY1r+LbrokXO5vZUrXusDqJFOCLZKK6RjHSu7ihas71n12HPFOXryN
bsTia0ULdZLVgDwVELdikMZNvPPKmsleOj/Nshm44/ng6q5uh/f9slqrbr6Bi7it5uJaO/TzF+xk
v/27baJOwpocFHpTtDyEMkPwzvtpzBG0mwvLW6fdtfRDnUSwVhbrUzmWZuBI2uN7lXMMKB8jB8NW
F1IhWZww+zO8sScnlmH/s3YnsSo4wcG0xi8X+m+4OA7lllJE5JSuXDnkrAqq6atKeAjnJ7ZQZIdb
YZhbN77otQv+e3/nw/EXCgnW5WO+ExzT1/Z+WLa/uo2x0B/EH+kj+gCz4Vg/nH5+/emuVV/USfwJ
/LI3CxzjN7JjzvXV4/3goJto36v8MbjSbA8te498vy27Z7f0jtAEHfPGPF85EpRJIhFbqOtZBWND
EvBw57Ur79bprlwpILxnkx9mETxSbOrjkqxmaJir82FmcoUX7dwrlmfvfH9ySyeY4SHoaAtlJtkg
J9gyB7zgX2U3nfkkj9q2W9Mi4/rlijc+7vurfZJHv5+OHx5LVaIB7WMeC8K4d5l1m/oIL2Yl2TQe
lshA27Gnzmt8vrzyKNkURH+lG3+PhuGm86r5gpv0UnaRDZn1nBLtIlwGM2N5YymMq/uzZ5vEq+GU
FIk6brJiFiyaTe3V82GReclcpF+IYua22EUH9XvhnLbhXJ+bTjT7euT3CvBnI2u/h+XsFIXokFIZ
Fq3dKPgbO77p5rEDGKIT7EvEFWgLKA9JX5nTf28VWyE9tIh4UW44yi3K/R4NdXRLL0d0meS7TgJ3
ilq+Z+TYCQhuiZ/CeabGzyDzAvjvIAm1w0CHylp05QKVh1wH0Ulf/GftI7GB63F71BT3XB+CClDI
PrhPc89UHNQLv35j6cqx/367/rAO4DdftEZjrmtHm532+Vya0SDy6m+B90S1ad7N1Zk4k1bl+tZO
v3b/ndIkRjSFkYgMiabUMsWR9ijxnZFscWUn5BAMZ8AF7J8S3WCY6p5pZ/Pcq9xvnZfNEVhZhvbD
jZe/ko++P+GHl8+Qh0z7MfOW9sOm9fQ5irj73EH8yZaXcCCcdmnc5YdsG98gD1yLqcokjwMmKZz9
ccQsgOhm7GNhNdgHxZ+HGMmJblC+Sqy8s4MlumeqoHRu7PeJRfA/J4kyCa+ikvlNN35nxGW88y5Z
pc5Su/OQ3vQebm3cayWZ99Lih/kM62jQJdRCN/JcoIG0HUpb+3Gq0dr1Br4wmqztQdg1S6h+WFwX
CH0umnsw3WfMyG35KCEl9KygRZy44sGnp4BeIOn0zmwPNXl5dWvNX/ns7ynMh8c0mgD/rg5W6fBD
+D480tiimlH8SWfltQGOsM/OKLXZ/VJ5aJfqW/7071abPMn5AOhngGeZncI93/e/BjcjqIVjqJcc
MGocazGFPGwmbi22MWp9Es3ej9oP7xmfKypXMGtwcVzoP33loc7v8Iohqt9pOJu6GWVzFFRdNXSt
xxsveW3MSQSVEXCJT2gnbfo7a09/7VzOwj+hc3Z2jSdIZSsvWNvYCfo1+jaKbhRjrw2q/h62W0Ep
/K7UQFV1L5J2tCJYDWiN3XilcW9+No2TnK9CFtQoGqZRk+wzCPBtcI/HyFZ9gGdIsDh+Pcy1RTke
hh8+VofGRQpGmQ3anwwu5ALyBiHSCJVYOpYZzHED4STp4hvDXcu33rFKH8bzDY3KVMx4+dGo7WhX
7/xjvo33CXmtWz8Wi3IzrBDPt6Nf5QKP3JU8o/XiVt9C8vavX/laNHy/LH54BiVC+1yoWSztL831
t1wMle/xIb7Ywxx54+yXssrui114p9//uwHfT8EPA6I4ctIR+yKl3Vk/IC3Wrc1AOpKNlq39lJ/k
h6h2w9iBFeBnrvT89bDXamTv6f2HYcOLgRi4yQraNw/pfTXOcfnttG/d83L4Za2Ch8scMU95nXrJ
YOvcTPN99i1dfD36lc3xfpX5MDgGgWrtn1Rwlcg8tM19mB/rUruxOa7d698/7Ydfz1srr7qUZYR3
1KpaRl7qgG4aS6MUr8PX11dxMXiDN+aI2Y2z7P1K8MmGfC+kfRjzBMEffgtvxFwi5LtRwYmiDMjd
PljLh/NLrtoUG512Lz75T8aqMp1LdoyW2n3bLtACAXEz0JSNeMho2/1SjieYmCvzLdPc9gm2o7wO
7843lvi1yZ9EpjQegq43eFQAKF7yGN04S65kbVNOp1DXloUsDbOuffez2clAQe0+eBZ9DGYdqZ9/
vXKutQTfrUo/TDS6rmehfY98P6J7eSctlZms2fESNpbvXR4V2dYfta25V+3gm+5ivzXWz8IdwFIu
Cdt0JtAnjG+U369dvd+rtB8eZrCEUM1LVlrvAZ1lfSHv4Jxm2hzheven4pT70Itm+Y1dcw2z+V5M
+TCc0Eel2WUMZ9g4n3DxGGbhTAecr7sHFNecxiOJcTF0cpmKbXBjbV9LodDb+O0YOMEUEoyeL1uv
xouGbMviIoqcZBc2drS27ps1Dphr+Vl+FLbRQXDVu+JHuQ5fsjsuZFQA9BnEf4TmVudtse88f42o
xNerYUxTPtl14nhwfZgQqFmooEcVx2D1/WRyRwb2IwO3i0WRDk94Y5T37uJnw0yypBp9qyCGy7k5
6UDkwuSdOb8thchLjB++jqZCbG7FbqmBXK+E3ItBMpsVtZH0uWgeKgyaZSCW5phF1gsxYrECIK6S
NwNeYYj5gIlPiVTtUAqt4m8ZXZzILO8EwExKYuIA86Zi/a0FzoXrn99hGJMjrCpp7SI2Z5b63CRe
ezGXvii/nmgmnhpIAIs4OCKcoQPiBXrY9S9F/FhIK19H9buV5ohk2UONToklrxLJh6D8lOT7JBwV
w7nfj6L4sAoFxEudrz/UexT4bAon9+dMD0WpbmG5Sz9UFbEmV3hDu7x4qFZyPT8jgOoMrZfeCEXX
9qU4yfjO9Qn6rTCQ1gpvXeGehM4DrmH39PxOpdddDnq3KLf4kgnUrPNlLWDrxD+BF4jlG/f28cU+
e+FJlBWrAhaazyPUiOp3CWfCzJCNRZVfbgxw7ZosTnJA9C+RXeqZ0mLWuL2XLGIywGrRvAmeuvwR
34+30tNcXqOwfgvAc60vJMqTDYf4ZXEJarLaee+Vu24treOHYBW60kqfVXO4Iv36civUX0lyxcnF
9ASpbkCwi1RM7h+13l8qQYdMcTRre0RS47EAEe8wkptLmAQOvYL4RGRLyp89PudKpSyyFtc2Lm5V
8aICDo10yuXQV75e0RP5oH9ur+Lk9nq+qDl8SoUCHcnFVnk2FspDs4/BwbnK+UVPNwYAOaifmxRo
vebVD0BypdlZcIZvPnBzEGmtfb6x4MdF9R+LDbfYSYSGsx0ntc9nMfvXwnysEbb4+i0/PdT54UmA
jUzsODqk6TYQen1pVYDeky7HRluW1jctSr3zLTvj8Qc/ewPj94V1jimwVR1vUIKRDkOsHxTBi411
1Z/mpxCvrl9fv9DngYg3GvfrhyNjQPMN9VAWFV2Offqar9pvwR1qZq/m9+HYvCQ3vsg7Zf6zF5qE
IBDYSGFqzJw6x6Jic1qGzsk13cGxOKZ18BRcKeAm2+IaK7QF1YWnW+f155uUV5yEnoZW4hlVGwLD
QVEd/L/HamrwYtxfFt1K/qG8Itzoq7fx79e+3SQQSUXUxdr4qq0j7LkieoPbLcLZiZJVP8vmkfts
OIHTebf6OtfGmwQhq4761u8ZDzuFpWU/ojy1ucVW+rwxxeRNgo5qCjXer/w4cq5uv0NvwI4XnYc9
1410alzRny2MSdwI00aCysUCPJ1elPZP7S5ftqIbNjfqDp8niWiATGJBpKZViw0BVfRZuuoWxf68
ylexG8+ocq2bdeWlbrs3F5CbVipd7HWc30iT3ut2n7yZOQkW+Cq0VawQEfkq308zvBw02R78eaLZ
krYYsoUgIUJonxaCYGsUek5emdnBc4BiQO31a8WDFplXtEBHLzfDMdxorxxubPtPj2NmZRJfjDbO
M79l1nPA3jPdIV/6M0K09h7a19q6w4do28zPLlTsGwNe+cxTwkteZIWZQ97dpMdhk7yg3xXRUTa2
w9x/AKdtLemN6btqHj2fbyUE4wr6bP4nIQe5gDKRxiFzz79LFuPXRvl5BeHhXwa1KdMlT2Q8s9EZ
IpxRsWvvquV5pTyBCXGTDczaRbbo3cLRVqdXDJsW4tx4vFXHvbYvzUmQMSKjRVKXfErDvSh9TOfI
kl00O1t3SPyswxs3uisH6X/AyZPeF6ycqkjSydipKM6pXXy9ID6vELACJ4ElHgS5iiNuUenJjZ8D
hCTuFckp9r7yfO7nWAYhAFY3GLk5GrLgxUOg3qOGQYpvfGvaR3mBZutpV++hJ9aoB99J1Rxvbvwm
fqJbjwhg5KNK4KzQ/SsXqJiIxcPXz3114ifxSg18rNfHaJt7lIjsYI4l4hLA59y8/3cjTGHh51jJ
MjwWxmrQD1w6VSWzz21uX7APQ/a0rEFhHG9zeq9szClG/JRjHGemLd8BAqjXfDf23IHuqyWqV8vh
Ljz6D9UONGH2mt7Yl1eOqynlB/HepNfFeCwS5Ct08TRPA23y82YB8dM02bCmxB5VaBBq5lSBq8+S
egrpz2Zb0SWo2X/e+ELX5mwSWWI/Ui+qQGRvJDdjq2O91ow2W3NEt+2MEpu1kR9MlO0xUsJuQT2g
jUx/cVHc2JbXxh+364ekTWwSVcylgCaOZre/Tg8NgpFOc6snceVsMCahRQrEPsxyQdwM+27vvzbL
0VngoH9r74NVi8r9vMNJOMWh1tHfvp7QK2n1KJb68X181EAxgGHEpnawMa5IBVfpssLu93ALpD5+
mk8OA2MablAVCIWMKeO++3Zah+qNU/7aZE3CgdlraGMX/K6PrlHVlHYj7MLcxrnm66n5vABvoIb1
+9xkopVZWWci3oCS9O7yaN4FlD021l3j+BtpJcwv3nkvPPq3oI5XQv4U0V7WgRz1OKJvTigZl91d
ruRui1KSvkOdWfbdgT64BFlylz6G2uOlvvv6Pa8s6fda04clLclDEyHz+g4L+saG2eY3L86fg0SZ
wvHbffhtVBHlc+czhcGuP8aH9KjQ11N6Z3hN9rfuv5/XWBhkEhNOyNPGYKvBAS1VD2L42vjeLZOV
jP5RTt1VxWline85P03ESbMbq+9KLNUngQAVj6HG1YLsHBtHO/0mzU+L+g2DpH/3USaRoPebGPVN
8hvDojYl4h4KeeetNm78/LXL5xSuXaL+3iE5NXYi+8KWaqdBrBBBjLVlD8O9P8tPs1py6+pGpf/z
DjvfaBIEcIJFfQkJk40hbKU3bdvCXMeVchniREUrm/LhBkzfjdGuRJwp6rrH8rARS86h8foHFutG
4nRlo0wR1abYlQX2OURnvbSr/iggpasdNc2xrBug6nekwyexcgqqTs9NYbWJwfGyygB6aJCcolX1
eDkYa8AnK+3u4mb7EhAWjk+OCN1Bn0VuCDILaPfRXJdebRvLW8Cvz7ug6OONE/Fh99KeQTgrHsvt
ALAuM3ElzxMqev5jtq439DKc3gtn1Src4Qu7qBfYLbmgpYEcac9f74IrIX7KRY0QyK2klhtk0R90
2BaoYzW9J7Anvv79K5t4yiXN2hhrPQFbB8tWNsIOARVbOPj3X//4eyPos485CRE1Qs0cIPz6cHqJ
EAhedwjbvzT50ZfdkPI4GBfMKm71o64VW7RpyBDQ78K7gysRRI/BM+9iFOAKaTmEDs27iPQywXAa
Eo1zOoa3WpzXAokm/75GhEoXk3JsN+bt26tSzFp51uizfBlnCFHb6qIunvwXrvdfz+nn+HSW5CSO
6HKlIWnIcLG5xO1Tk3/J6CeiXpd4WCyLKK2euIu1KcrcOEvn6koeFmKyxEKT4mdxWuHHU5zdpNhE
oIkRMKPuvkrxUVKQRowNrA7dHBJjnbOyhQ38rLh6VpXXMyVmIPl59v3r15jIz/5dsuU1JrlLJRi+
khp8q3gzgH3sLDu9N2bIELnFup2h1fpIU5QCnX7ofgXP3Wu0LxHeOZaHr8f/vGJvWFPAeRd0Bhbd
LSTqmXisjwhyr5QdrUpX89JNvKJw/EMHUHa5R735Xya3U6i5XlICNcZy0Aho09bpypgld9k6okVZ
OcKzuK7uqrnvff2Gn6MKeMNJ7JKNHIHjhjNAmh2bGVeSbfWYz+P7aKu9dRt/mW7CRboEbkjvZx44
8e7/gmE0fsVPNv4UUm6VrTKoEQkJTKMF4uB2jX/a0jhh/fy/OTuPHceRrVs/EQF6M6UV5VOptBMi
Kw3JICOCQQbt0/9Lde+gjk6pBBygR43ulEiF2Wbt9YHGFFEYC4n5f0tIrpXlGpA+Hhw71e3FvriM
hsesfpvghv3y7/d448671ow38PF0ug4LJRtDtMlmuIb2J8yOwa7+3x9w65K5Fo3DfQkOaa2FHyo0
n5ZUf1IrnybZ0Xi5BNkohEGhPkM9jpkx7Is1ufxYyTtDBtTf+Qo34m7z+gizbDEQyc2tbpLB11m+
491w50a/VWy51onTDFhd+CWjIcJhPN+k7KzqMVI7MzW8EJTnwX3KxNEGm5CFC6bCmkic3Dlg4oWL
Z3eBVwl9dUkKvGufCbQmrQANG7asB5RtkBRa2wFoYzOdktHzc2Wlo4cIOnTTxgUG78RwZ5XduCh/
P90fkQC3WYk0DuHicpD5kyFPM7xJyhj8Ajje/3sh3MoVrnXmdqOMhlaW2lZ9Ls7GSqKWNyG79+sd
wpvgzofcWM/XgnPe2b3T9RK5Qu+AvWp+asUTzGblhYgdTPOP6VVASxUR+jJvXUlP4H3CvvPY6RjP
tfgBXu6nf3+T30HUXw6Ja415z1yrAPEOj1ttrBmjVGo88LPoT2I+2JnuA6YUOC/mQceEV0lgQpa0
8xLzvd3AtXVNgUjWF8Ct6otRjcTOhIRUXZEDNb8bUsew6gNLQlEhmJ5iz40oV4HH2y7KS+8BB5GU
GqSOMvTwWHWQm5Gtf6uYxdTA3jLrHXFQ/htL3zDXrNy1Ygr7PMS0Q6RjWNOVW9V8//dbuFF++D0X
8Me6qkHstpoGnWM1aB/t9fewZushIcm///qNjW1cJYazOcNsK2txDlufqgS5+M6mvhGW/pan/PGt
4SQITHuOn26hB/QTeLGCh6uf37WounF/XGvAF5vo8O9F1jyS1MpC+jSsjbUWIfGYEJ/++93cCtyu
5d39BG6bAxIVujPw7vBhjJtqK5qSOItRdPSO9Z0tdyMZuxZ129zstdas8LIMDKnUb05b+EOf/vsp
bjU3r5XbHs87cMJQjIeJk3bQ4BoJlzqEUXTVplAlbdAFAC/Hb1fsGbrltXxuk+p8V3V141i8lnTr
gDkAvluggusD/Y4oznxmG3dbYh790l8BryJZIjAtwBZ5c+7kRLfKUtcCbV4RMAAtrOo6HWJA9pJh
S87lhkbgYiVuDEsZ93PeOv/jOrkWZs8zvKZzhi06rqeDu652kBSZR+VU+/AKf/GO850D8cZm/R0f
/LGpCpAqCHWx6E1AJA1Ipoh1/vciuVUg+i2c+ONPg58qDTfHoa/1/a4yOhSEQcgR2cEx4CZmTZHR
OQHPnibVjsSCTnhmwCQbkyUUzEsut41pRObwc+fbXPKxvxz8117zGTxXrYUgLZThGHWnfkd33+AX
Yu7JXQ274k64fWtpXmWDVSEa3un42Vqt2qr6EHQTjwbAFulUhS0gk6yb7mzCW4nu7835x/sdTVW/
qAwuE/XmGkMqa+h+/K2ScIxoWXc+5O8qF8e7lmTrHCb+cMm+9HT1qEsuH5JH1U5/M0MoDhNMC7Ub
jIMn+WOdkCfnqKQFUDFIKbw73+BW/+lakA0FEPQal8eE9ARzaSIooZvANGpw70z2/r4yfmdrf7zH
2SWD2gJltK3aGADJXF11VdjFGsZ85Lov7tyKt2px14LrdoFjrjPhTSqrzs9+/2SYqVljnA0eGuBy
He7ppm49zyUI++N5FmWpgSHH4Sy7CPIToGRRYimP7cM9tdGNaO5aX21lGc0rWPPD46DzER0/TLt7
wvBbf/oqdpBDBZgDx582nCfDfB6y2KgwUX5oijtl9xsb9Pev88fLEYbTO8qED5i1pD9l8AbxUKUQ
mGAL7OzO3Xsrz/99+f/xIdPCiIL8Ci+fRjDWAyOsqAMXpd61AVb6vNeQYHSwzclBKIB/gvjRvRBu
yKUHe6P43+fdrVrHtU76Qt1bRg3foUJDGeRoegBiALJHB353lT+qz27IlWdejiGZkl6+uvPKhqMA
3QFuANUAcp9mp2xhovT17y9067i61krPWZnTZsQXWh4By9jwvR6VD4mWWJaPeYo7BYibr/4S3P3x
6tvCVkp1RMok5xeLp+28UTkspuEnuNjvwp3BQFiBaoD8LiRowxb6mrurWdk401n9YKNfVve0kn8f
Q3C8a9m0whwnB+lF3VqjfuzzNi7fSgbEqGOvwGMqjXFHjF1pPID2ZiOoIM9wqaNaqkqkEjuqYgJz
k7Hizpq8sbGuldJ9wwsvE/gyysyCXmLcSYfNuYO5TlhxFne0RzcidPXq5EG2SgenwBHXOKtlQdfO
OokCtZ47V8GNmFa9fOwfv22/VLD7bvAMrMc0kiZ8Be64hXWvEXgjQrgWDTMxKNK7XDQYfE6a7eIP
G2M/BJhyjqDWQfnj3xvhxvGsXiKxP55C8VBNpS4+Zoj7DzhL+5fxBHV7ry93Kza/lgWjnjqY2iW5
02Esdcwf56A+VGs7dF7px/CivzpwjoRNUb7TgtoLtNavwhwOK/d6XLfWwFVZp9SamvXD5fGgbqkm
8G93XkHDhtzpMt04wP9LFEwMZSwAlcE8p70We4QDgPOhlPnvH+dW0Hqt6u2WXLGlgjDfrXA4+OMz
i91HmKJH7uj34bIGBPI8o4RpPdSrOx/59ycCaeI/F0S/FAvnl3xZH0MXB8NKW3HFrzF9SvwJrSZ9
1ZLQzlEwrY7K5bCc73zyDamge63u1ZlUS67jk6dPzNvVbQisoo2md5Qn5qGOlYA8wxUDT+rtKpDX
fPwzRPfClL9P8jiud3VaeGXuzRWcK9B1y985fs0lNoMMB+RjvsrC+a1K5l2/g0Y2xPAOOykPS+vD
BXtHNnbMV30A4WLxfec3uDQy/js7cK9VwXnhmYVu4OQaA9Aj42GzPHSxETRJt75n+vJ34ww871Vs
02pm5RYWJIh0772CS1SVwbDFVnzOQhHALnmbxVZkxhgytiDiurNd/n5mutdaYJ0tnUqmxdi6pf6j
SGgP3RlWww37/Peb+/t2d73LYfrHaTaj4l9wGy/OOxQYxuy29xSbNwIY17s6SKoRfqbERMLGtvoH
iuDYGS/y04hRL2u2w1Hsyics0ahM+JFv9XZVl0G9tt707Xzn1d2IWNxrKTD4l+P/0zW38Dj4gFsw
sBWYPugUH1SZYPp2/SK/V5C/UV8Az+3qRXaLKFoLnZMBWmCfDEGD4YEv9egAL7leUOf6hFN29zKu
x7V9ty779+zfvdYKT46iZvNlScpX+iwwxoFw9NMOjTBLZaRuqvjuWO3lMf6ywa61wUNjaIuYINzo
TwpMUnwnmXCzsp3AMXcn9771MFfnSe/OwEaWEi1ll/YrVwclF9yl9s61fSMPda8Fva6w4SqnYT3m
H/CIUiLgyiw/D560e+KTW8exe3VAgPYyF30v1K3zmJ/QRSbn8cd8hiIJmIKyxOg1Zgm147xmuzGs
a38O2e4uM+eyq/72+1xFJZVJ/r+sa0ESsG7jxTnQxIsYjAgqsHCjNhR3ttWNE+NayNuBD10vZg+9
FYrhi9r5s713e81X2D0zhb9HWEAw/edWcojT5rN+UQBkMUy7WyWcC/i0UiiSFBa0sDckd7LJm4vi
qjE+Aya0SAfHnzM+TmWYtR+9YwYODPD7/E15VabX8p5H540wwb06IMzMs2ozhw6XlaGBSdMmlfSr
9+LJiaeuDv+n4/xaimtSzbXUTBjbTCu0DxtAtqCeCLyA2rHo/YZ6g//vD7p13l3LcIdCz3Kt6Zdt
EZARsuKKgHDyWmchmH4eDWFhHRowpOTC5yw1l3AY3lhbhMa93XbrOr6W5Tqu29UOGZbtkK1Hvuln
AJTh68IiFYOCMK/NWoxIJmJdTinN0vkTx36ff9N621D1zvL53Y78y667lu5m0qEefPlhu9qeMSfo
aw0Jx+VNBYnO2JIpWjI4sLnLvm/2lXyfRYagwQw0/krLOBM8GGrxNE4sMFVMbgoWAE53IvXKgMOw
N+VR2wuQtUVAsxUqHTAhrZGSJTZMczW60ZsmouRjRCeK6bAIVCO9PHfO19zH/+NPfHWelapRiqnC
G1Y22Vr/YWeoK9ZOMMf1vl1pD/zMKv+RPN35tBu7/tqOu/RGprEB7I8+yFcqTD3HCH3fOL+YZ8G9
rvhArRdW1XBn9u9slr+7BjnutXCYa5kLnKABu19Mf+vnrkMlibGDnsOmsH7qbIya5EfTgrHWcmbE
SgAj921WRXXJtrazHIQ4w5YEoAJsARjr2naUG1ArFD4lUwCv/H4OG5OD+c1ARJh8p4jMfj9L+84e
/C2h+9vyuzooXQA9F8cYwQDKJOwm0E5ZzHixVhVxUIk4u5jgAUHZL1Gi6fU50YuvStk3vP2CybWf
159L9dFzLZnzb7d+YRoKWuloKn5rriR5Ucihh8s1vI+9x6xKKlT1SzhZWGTcUOxyGx7VHQRgWR0K
7cVGI0e12MHkSdOAXqo+GMU3XE6CpoCxXKEAKf86tfVuUJLaizqAMmb8OTjieAbbYdgicNrIxgjv
yO+0SG806mCE8Z+XiFI64FZaMPVVUQvQQuWkrViIgu2zSAvo7pQ7Tc0bp7pzdaoTe7Z7YZnz1oWg
3oShsg+MtJ9zjGbPZ294+/fmuCHgcq9F1SUWVD1a8HcewnEHbooXVz9tAg2qtdIT3L3ghOIy1tyg
T8jWeR20CEQry/F10E0bX99WKF7GJ+WCPupWQxH0HYqZ8NEY9sCXUvfOgrx1KVxrsXtNM8E4wIbC
gVyxX7AU35iHJVIvVkTVqxNIiUF4zMoEGrDvxzvv5kZoeq3EtjJbqvlEVJSEG+j9uwfgPgNYROf2
oXxp3DBvDot2HpvPvovVB5EFs+tP7qupTX4n+YuOEUtMsH322RIa6FqpZTyMu3kOijqkKPpZO1LY
dzL2WynJtbKb6JiHVgyEiFq3Fjlw9QTvBO6EsFnQoi5/8zC1D8F3+6aKeyWRGyv0Wue9NLKZKhUf
CT++Ux3nqb3qjvfS01tZ3rWgm8ysq9hlTGHAgEWC7FvfWw3ecDr8Ms8ok8PMHQ6Sm3ljnb0H9jOc
2jpYjhostBO+udflulE1du3rLNY2PF53l83+YK/JG1hDCdlpqRZW62FTH+gOlQ8F3m/0y8RX+fe6
s/TfyrS/nL//JQd3Tcg6pA4zfUrOpuo9qPNro1S/2NA/cEDuHahCCs3XKqiKFngUaP2roZ1KK1+3
ZRe2HdtxkYc6TkH2MGdHt4x5+zDwR2IBFciA3kXbAehE3wD1KZ+mY9bAJ5/OX0XWr2U+71uLrlyO
7jxpQP8hMF7WYSRddQiAWiSbXhZQAQxl2W6WTKIKM0Z5nUcjHD7rIjIyjPqq8qRo3uy3ng37ER6j
gRiKyQzhg++7esrotu7FbvQeBYY9DTWFpi2SzC0wunfQskhObqDoH7jyQpmNce/yj75MVWsINDyu
5b4RYkKSA3aC6mf9L8pBM6nrt9lrAub85J23cqcORGZgcXHdVDJupheVxopETZ27LQnqHLYI1VCC
kXwszJr6htbsc1rATHMeoXMqxyZeZBXJflojWHLbFListWnZ71leb8DtfBlIHXoVe7KKKWlM863w
6mDq6K9iGg9yKlLNS/oGvqeSqSspPR8DD3pHtk3ZwkjJxC6cdcLgoGSWrPc7buHgMuyILeASwOJK
f6uqhOprkn/xrg9NOACprukXBBRwh/nOgFFdc8BESt+o8kGM9nvnGnuv9UjSOr1NI4fa5HOguvjV
c0FhyyJAOmDehDcINy1AnZSJhWCsk1TJQaagonN8vMUL7tvBfznodgSAuG8ZOLww6B8xDxbXSvta
2G3+anH2Qui7rOWwtSor0SYr5EPlrmpzfte6uV5xw+peiwKe1J7JfhYukmXs4C8ZEfmYFYexf2rt
Q1F0gQIkRBPPEnaSwwqe+IjoHVYcizaoMi8y8qTSApKtZ0aBOqBALLpejw5N2hYAtj5UYsao2Vdm
+np5NDBOXGxInlKyks16ag8dQuGiykAHb0BsjtDwgWdeMfqqDOFNi6ULxndph1RJJvhUy3Jr9lt1
DnrzAcbitblCIgoDOFc5DdO26CBpsROrDVDAdiKQfI0gq57VZQdWBB2hkmzVsNX8TJk3tSp2GUxD
KPoosEI7uktx8gBsnDGQwpv9WD02WLfOKyDhlg0gN3u03H7L228qvifsObMFHEP/aCYsEmM4dbJI
3Mp8QbsOE2IOUhJlCkuTQO6nFrD57ANk6UGBPa41Z2Yel+zMR52nDlMPMBs51K22a/U2EqB8pbPM
X3rNjXMb9cTlVGl7isG2aXxfKr7BY8wjepMKjHu650wsweDJzazm0F9769HIvFQy/RFs+ROYtsbZ
zcZuRYHCVYpQMaZ6YxEUJbB5G8oAHmIwssLSMNHAauH1RPyGq4FZvxiiCKeZnGFSOs74zQugaYUT
c7EflkUErqOmjhHRgUZTBWBIG9NpeRkEBtSBehs8BbGoP+X7/q2ebbxUehhGMHQV+EkVA0rlJeTl
QJwoORpZMlKwVKy6jJGeYWgUQJjxPGkkbp0l5JYRcKfDj6SKVBMh0yP1MusF1xe+ZQrL4V+6U5xw
QFVFhWV0BPpRePk7JqiQ05ZZcLvXvYSUlhcLteMro4Ci3bObN9GYx0afsy3NH8fx0ItvSVof5GE5
J5U4u/jV7RLVIhli7gC7g9o8cHo16IyNraxKl2Uh6/cLLFzdUmyVok4piv25WtGgLb1zBrhwOOA2
NBT7UZcd0F9KtcYLHhNR71B58vKol367dXCyHVSUrp3jIOFhismlon5QB1+p36HMd71HkEPU4Zft
geuuQK7xXnuJOq9A0LCkT+xA1oH2C/+nWFIigwZgDdfXxkCDlBENAcMf4Mhvl/sRHB6+VRc/pyeu
HUt4XrFIIoHJRexqG5k9KMtPQTGixz41CvsOsC8cmNVWff40tMVKIWDOF/WTJAKGtBXXk46uL/R6
0dHEHQonNjCFZ3kgAE920uG+6g0dZvdV0PXtFFRw4IVFqYUrzcIpeLFy3OTGGSd5OQMLNMOy6N1C
KyG3Nh7yK5ONsKBwmsCyVoW6yIDxBp+QS7kTzCl/aY9tGU9WlNWY9bMD/dKehd6SJobjJBgGg4H2
5ASaXfpYPFHemYHCoUApMYeUH0dLDxdH+ooLlKKz6wDacXMcoktKf+oF3i4Y+zg1YDJUAKGl0q4C
ycGoI2x8M7v+MElQ3kBWQOljjli9BUqu0mFXBpLdEPXaujEigOuFgZ4xXG0kPtf1gmIsJUYs8NY+
ymrfwY62Qlo0YgZzx5bUqJBLmt+GCqcBM5z5nqhPdFF8jkqAXDt2pHVosbRPsI5KrG6bm2FeYC5Q
9A8W3zdD1MGyy0QhAGBUCryTfFweBgh8iDxhFJNlLch5LAJcxHWivgRdwHyaZ5xHbIptjJ53eh/I
eQKwOuzVd5d8OSBUSKQxcfnduzgkMEnLcU5B8ALRLMB2Wso9I9D1WNMirz23+ZPF18blqPDtYcfZ
Bt2onO7tOWphto0KtelzJ2ganHNvyvRIlzNH0mL24ZClOmba+oTJlQfyJ2p8r0u+Qf/RxOZYig9Q
pGJX97aeLXaI8sDtHVHJdzQZ9YLiHCLzqZmtNMcv2uTqwUQWWjel3BJge1jboh2F9lxgiiXylmlN
YD4S5WqHK2auDraLupFWRMS2P9z3oo1KtmDRksCw9VXe1RtYUa2Hy8tHRdcdq7gHIVQsoOLxeMBB
3+C3QOVGTtMavh2BJvqQzfsaXfpBOMdWBp5c14UM9Ukkcz+wQLRia6EOYIOkbRriIORWVx4zo950
+gfQymzOMJ0vh6NRKkeMnAQCBqFwmTz3DmpKytpWgD8VsJicRs03p4C4ZDdOwsDxxGwwOnm76XWH
B94yI7LSVnr+2jsoGfWmg6BK7RDsISgrdCee6UR/LQMufOIYIaExxMswQ/Z4YuZ2PJs9XJi6sF8M
v0f1H0VLdec02L9VikvAMTFEzpe1ObuxzpBW6nZSiPEwja/oF/vC7AIV3oEtHUMdDMaZm0Fhbb3a
gi6bzRtvEcATw1IEF1tpPzZjF2OwEvxI0GRRC/AUCnyyWryyzEmU7ENFyQDVNn/x1p7zAMpp4uU6
wKeXxYxBoIyZvvvQtolFs3XjuT+zkRvhQJQjZWnWqB8aAYepxE9tDSLRmxFvDJX5J4m205K4jxCS
W5bre84Ggm+BKGRp3+d5SrwWNk/DM/XedfVZLs/mjLAuauqHBehETcYzwB3wd8/SAp6VCAUC3San
UTe+B8x3BSpAKPB966FKowdRNjs+eLpvMCW1G6xYpV05Q6zzRKXk03REVHgSFrqXtiJfAI8HnLVl
djTWNvExPT+Bl5RvBKPjdrQ7QPGYLNJintYDDLd9DPOeBq7tbDkXK0Md3jju8BVmL72Etx/aQiJG
vO9pAmOVk2Cwn4mN8B2SfdTZyyPQ7oByavRXRZCYDBTwuxGOL4MIuxryrblfI5pNRaZsmEZWRZMl
wIw+w75vY5pKMo8IcQZW/hgeLJVzsOYsQO0d912dHQRpWHY2+OQ4LaGS4GyPy3ljQF3ctduFvJfe
m2rhqNg7lVf4FTY8GwD1BKKgihoUmTqrixSBo2SYYLODdvemWybgnTGK5ZdeX2wn6a7azDg0Tru1
0HTLG7pZJg8jbEgG2iyucxJyjeH1NerKlByN8mXeTjmNy6UMrPlFNe33ZkKaprEN1bChUHEl1jfp
3gpESJI2IMZjEiASlhUtfXfQSxmoRlzovzr0el2DPSraqYF5Sjs+gYm6pWZ9nGSOSQMXfwnAn32P
T9C7GW7v9YygzXjpWv42G96Kd9UzK8ZnHfWZST+Kfjux4hvcC7AvQT4DI2uYM9yL6N9QBcN0ftac
c5AxNazARwmWCPZCFVXNHics55HebSo0obV49hJaP3pIBxBrXPau2aylp680BnYZbn8xYpWAIH52
epGKEseusMJZgTJU+xjVsz2HPcHkkKl963X/ao1fWIQh8jGcH0FGadQWJMyqKczEp+0AN2588yFa
HLGdEch1Y7nVDNVX5LftKr4GKjV7MtwHWobUgSM5St0cNhQTaqkGezMscvQyDWwipUpnjJMIe8YZ
hxbqyEPdfl2Kej27/EmUUA90dKWrAVVhaI0hmtoKHW/tIE40Pkke4myV1bvp4CUFJcYwCN5cv2rK
yCzPGaZr2WthhC4MPFRl66or+gsNxtYKcliGs7fReLXcFFHCMiVVh0qGti5HcFC7Yu14sSVwUyNN
2VhTf1xGd5fDMAPzRmrHQgXtXikR0sIwdbCDAW5WsoJnKmIi+TUtYDuB0mW8ZnNCAGtoMS5e0jzS
yd4UHzbGl9yBAIyI1G6IVXtXoXILE0zwxmQVC2dt8z1OzxY3zEC2BmY11QcdxpIT9k8jQ1cFtBWs
QtMNPfc9h6VOCzK2nlroQWYf81MBYYK4+A9TPXaW5wkjfV0dSBSdQBnR0gYbSuwzI7aynesBUBQg
02kQ8Ukl7J29NCjOok0t4Xa7eHsXUbBZiUiDHxQKwn1bhVrVg1yEIxtRdkfzNEfGZXhVlCNb0Cts
axU9tdPMUPSVYTPnOxjdJZ1ERjHJtSKL2NPgmVleCgklIFEiyuV3BqpoWc+xGDjOOO6XbTLkSWvV
cIJ8ak147CRUi5w6w0O0G1LnIScGYuMytNXpMHIntXL0203jS81hRkXbFa72ozKasVLHGRwWp9cM
8xstq9NZjQx7zemPg6NnYkg7Ig3l0oykOpSVvouxbXRy0l68O2Y6QFzP54+uOZqY+mA++ksSpB+c
ALWP6Lsaonr22TdID77g9jPtUr3YS+UVdO9EGcEtc2ESADM5vH1XhuC4ut5OqxEZZRsPV+3AMaRG
Go46GbfKr4s1JLJlx+kfCj6Ob5ZQpzczEx1KlW5vrhWFx8Y4JYTJCPUJERRFFdugQ2cSma+OkW/C
f1zstZy1MGQfzXXdTusxLxPdAzrCXo6LpmNiqorlPKRMa78W2y53CIHPnpqzFaQmARybztJoToKO
P3mOxA09TD/LCieRBTs1LuanMtc7qbNn+5NdIHuZM1BslQeuz0EHHDWeK1Tn/pdbD0WSZ9qP4moR
77OveTxVYr90QfNuiE/0CHuMfiDn6UOjDupPGwZjZGijub8EcI7c8BdFBwcHbnSwqHOTS7PFRUZm
7poSA36Ro4CWFWqjP7NIm2LJP3iJb++b2tns/LoJCvMynpBix5o8Kuu1q8VWlwdZGwOOhhLDTF/h
T4lAkEHyG0p1o6Fi1wjA4FPwBjzvSDnGpX/sX9rBfDbelDkG3FtLtD7U7LDp4rp87Mmut7oAnWPr
KHFZW3mIYgUmWeGLXRRJxfct/m2Nx5tQbfO7eteTlMF6cwgYSQQcL72DQRIb8GyIipkTCSCZkQXn
awWBDn+yYSqVnQahRz31h+qztOMMqnMtNXcGlIh8gdviL4dUfp2h5fksMLXWrYixobRJiZ0AAo9R
11H+KvpQL9OMfCvFR7acc/k5VEvaaHELN6omROrHUCbMW5gE+yDSdiLymgN3FhynkLPlqIFVawRy
S8Nj4n54A9nXFjyFbfxn2B4WQAcNeLkmCyaCpVGl1aPR5MhAT4JEuEtmEuoMFlik2EFNnIiu2Jru
1j5YzRZT5C6MdCCbaULvUxkEsuwod54pKhPs0A2ptoAIX6FVD9swYSMP37RkjTBBwdi+Cs4Bhiq9
J+qljfVaaBhArMeTbX46MOglKDABUj/iMGOvZgu2o2JHpthSFhbqV6fD7pf98qCfoz/NcLTQ/Tcw
W84jGH1qFgocO52+oc4ki0PWpMJ6ZNWutbYc0/OQgFNMz0PcpCoRLr25TTU9RUCw8C+WRTW45TUN
HRTtZAQ7VF9HrYpM8jKGCEf4YrDD4gdXUgbU4GQ+sc7EMRv3CgotYBD3O4QjDabMPhHjhaJZabBk
e6Hcd3/hUume+bcl4lycazs1MZMPzj2wOhKTHbA0loY3HDLKH0Aw9Y0GLxOgevXkZQkAloX7hGdx
+AN7NIvnfDrAa1hZnloDkU1RBqRk+0Yij0dSbRcUUqY+sVU83LLLXpiyYGQaxCQrNeEVVzWo3Gxq
r04cRrDjYRHohVpxVNYmPKQZnMO3VPBnG7dkjSBML5DM1s8WP+azz+lDJrHkdzbSGWbiF4AkUDVh
/wzu5hzk7nGuHr1lQdi3Q2d9aA+Qq/mOs535kRlPIttbCGg5umB1bGThoK9ovSkxZ90bKB5WMepW
hKXdieMchDlzp2PJIq95bFjs2O/9sqYKaryJeO+q1YjBX+fDACJHxaWJscHpHc/lFMmoAs+ufTJz
heKmX/O1VcYwYQGCxHPi/hu7TPEiaa7QAR0RgSzH0nlq2Hdff9iie0C9HSoEo9s2MjAr/Hav+K6M
vE1G64sWLUPnBLGoh5+v89RVgVpEwx8m+jaX+wUOIflrx3KfGg8kSxjy8dx3vCdzClF28/akRR3M
SAyWQp0VODipBiRiKALV4J84L5rY2JAdVcVmQCiLc8QO2g7rfUtw7/c20nkNZ8qihCgNIaRoWYoI
CMlyif0I+BDWQjZhotqHMzuqXh4G2bw4w12Xf5j8c6xfuzYwMVMEExrvwDgLYNFro1aibTqOOop9
gIhhYIAaJQ45IndiOq5Nu/Yd49lFWJEFfAlUKGK7BwEvSYrL46eyjgY/0jqw8yQ3viyvDi37XOVB
TdKiTXpzhSYHruHBCUbgHJon+AaTGrZlym5mjx1Y2s2+J8eie7EYCribThmjATMDpH6fvNRQfxDR
CSUPbEQpOuKYYlMtGGGrQmWCBicQAlQMn2HNI3pREY/4ReumY2Y+Sp6jf4Lng1ELsKyW332NfIWd
0hQhaROXrNoWwcu5E4rf5d+ZvbGz9QIRbBE6dTJ8CYJQDQ5OGNO3ouJ5Aod3CvXugLlhxIIdEjz9
7KHivjWAQXaRoqC4pGIvl7gCE/v/SDqP5caRLIp+ESLgkdgShk70kihqg5AreO/x9XPYs+qJ6aqu
EglkvnctKImUbOswc7PmPTVpQ88hPPZJz9BobaX2axGWY8a7nLzDtnRka1MgcaZpQ+U6XVvHdPJ0
9X350+K7SqW6xPJ7D7DJcy6bhSPnfPv0R7lh4VqcWPkBKYlk/LbAra+zLsC2V/mzzIZzNKMYt/Ml
DJO0OMEITL+T7nV70shnBQkQ8OIrN5AVkGCnblTzJ50+mnPJxRJtYnJbGNOCPzO7jyiBgbIyjlrd
0brARaMzmIznwI7gH6ux3c6oJQ3rEWqHVicxJ/XHiA9pelPHPU9CVoMROhp2vNq126PcIe0E7HVV
/R4DPljnYXJJf9LYI5V3Cb5bB0mWatMdJiAxxBjWyqr/yuA4Eittb/WHCZ4TMTZvZnEq6dXqV6Yg
d+B9lEoX3eNqmX+feOAD2a8lv8jTZUJSxOpfleu59arEl0enlNyg9dpuS2y1HH+KYZsmhTuNMGFy
f9GGYLVYYh2G5My3l2LiDWP9NGg2QKV3SqprOHhNtanHXfNWUwJKwvw/ds8AKaR+D1ErCi+49QjK
H9a/PnUjxSllEuo3qr3C5SPGzbDr4A96T+WO/tOSnfKX6yT3EyYYBrrXh5+i+5iUi/6qEUOgDpf2
Q5vXJX8jzVvmBajyWoTKhhmExjKHLT6IPxdNdjQkW4QnGIW15UoGl2Fb4HNYp0/IjqP3FBpfSsxJ
6XX5HrDeVv+i0M3a7zhbg7TSkC2mN0Xat42bTptAXrPwmf/01HKaR6L/Vv0XIC+V0avkU2WkvqWF
4CGrnpoGrVznIO/ZMZjqbWMe4LFX2fyic+tKPSisX2nggxMVs189CQDiIv8ryyurRGZu9LBc1dPe
KLmmJ/bWrZX+1MqvZlyf+D9BUJxsan7+D1h6PnL6KnmJow3RMbZjlBv4AVRcMsBQtHybyVamiVl+
y/jKR37zgkE6vYE3r+BareAm3+BNWrqZzWldT29Gdkt4pqKKMHGiaservu2qY6WtrdkNJh+0BEEY
ZQCEcOeoG9lleLvIN1o38rZWfJ43a/rsuRbCl87wrMDpw3VQFS6VsOV4WyIiD/Z2fQMqHn/6sHbK
D12/8bXLrZuRVG6uh8YHqh6xPHwv5j4JqDWgYpiwwpqhRqr51uZ3A3omfm+lv6VxVB4ca4b32D+L
CPSnjs2xw9zRKs9WSrfPf0l7sEIvOS/NXdPBVxRuQqL3P8iKk9INU3Q1ewN6KYnrf93oSADobm6+
qa+1jX1mrJN0kymOzexKRY4gXaxbC8EZ7WesvpxC1KZL+Sbt17yaZu6DcEv08wEnZb5sv0dfc8em
nsNNqc4QbQzrqCDzUw9dvbHVn5H/c9kO1rZKV4V0D6q36qtQg12QvMGcPJceu0ek3xDz1X60Bx1I
v5k0R8sujblXBi5zBdvymx3cpwhRSOnwJTCrKQzai+EmUGKcxC2TswlDPqzk4RmAFLtpibabf9oL
E1X1qk/5fjJZ2nR/5NlKsaGupFcTs0P+p2vKo1Tw3mZgeRNEBu6qRtW4OfZz4XZmdbD+f73T2FDS
ADWPoxPR0lSWXzr9BzhXzItVqx8SAMRKMvonh13mTtvA2nMNCZBnI09BiWirCdvXRqt37Rxt1aJ0
zL7aNFXwT06qT3sQ35Iar2uo5VVqxo7ebsw09fNR9yzhqebAxbIqQl9nmz0jZEJAuhKKW0a/avSt
okZQ94FYs4JTNthoW6XaP2G4yJXNf1D2+S8t9JtYI3Qbz155qm99HXr9/K8fNBcFSsvFBea80fkv
y5qnLFq/nro6cohv8wfDaxR/EX4B1WL08b/J3KlQJ5PoH4XusYzXraOL8ZDWZDB3w37ueIlzMDEV
ew0gtRofy6vdPkJD9pORWLc69UMrvQAB+Gn/rO9Sr8PwXOwBaicqcqvmOSfLxPtzBU3N5IU1x2u1
HMDUgmV4KOIWa8mlDLYJv9owpKsu3cgWbVKuCYLuz1F04N4cZ3+xmbFejH/h+DeitA5BAFYM+ERQ
WK6i70ekixppWSGJWg5H7XPohRnunujDDPDdncdwUwy7GSQWsgoqQQsvdgF/Ac+zNZT9YgK5q16V
cgouu3IGJtouC2zcgVs47h1h+vp0K8jbblaB6ZUYNANaTNaD3G7L+Vj+WmiuUms4Ay6DUgzDWep3
0nXpXqizwEM5WA9DhHy6bqauc2tjVyHahj+TqJTypN4mbZunZPdtKblbpdQ2cuoNvc/CrTevun1F
7UKcNHICSb2pPPrMyXxHo+5O4T5hypAZEMhrEUSpQRiFBEnRwTfwCwGv2+/MevTjxlK3M0lF1HVN
vwOawBwC7zRwlus901rupdDEwUTeuBZt2uGUJ++2eZjHYwrLCtBr7PQOvR3gbv0sAZxqP+tj0P4P
onFgT24MeYwoCvmMb8N8qpVb98/+zWJz1ceeGfxUEwBWHN8ms38o3Awzv7mP7mX1laEEs8f9QJOf
7oyxDymqda6EvasbHPFSDwqjxCNlemSMzHzwO21a2RubpqrglKXrrLjZw0szeFJ2kuGW+3RPA7vQ
xH3+qEE9/2R2bXDPdfVbBn+GcFKbpR+tcio7fO6ycVwm1+DznhySc01n1hlcneI9HmlLUnIvih9V
fZC/Bb+mT70p/w3K955EVz09swJCQsIe6fphKRO307k/cQy2yi4s273ewAGSSATFmMvbZWCTADkG
6vN5lztmp4OZvacLdDpylh5xQNb6Oh9vdif6ZtLnfc0cp5qu3b0syimrnWkk9HlN0Iav7wPrWXGq
e3P9mGR4fkfX/uannAJFje2xfWjIVmqGjed+k6oMFqhIMqcE8WNkQOljY/RNHu2rwmpSOZ22mRZP
u9rnoXmv74nt8DwAggJWKCHklvQvKz5JJaty334UDJrKRwPMEiYbubDduViFKGRzV7NWVSS76jku
oMPd5+z2mGc/CDY4gWTxXdO3egI9x2INU3SyuQ5KhQ99XOvdrurZaGy6P9R93X9jyX2xyPzWF1+C
xly+gwG1RPE6PqRnEkz3IqHSaCpabDs/5tCQtxOrUrkQ9HcINVSxz3sGVkGtvKA/LOExnR91/BFG
ni1/ylB0sX43U3ttvEyyN5lwj/sMBN6G/qG4Q47NN1uRv/tc2oc1N01A0OO7ANuXqg8z4Zh1Ixrd
CUEfvojMj1KXXaNAZSheZoOIK5MvB6G+/jcFuzyR1jL8dRRs5ZEPKLn1Q+3bebquLTgciLvlVKGl
CyFAEWIPL1XAORG6Jq92Vf4k0TEGmQ5Dp0FEEjYb0eTOTDsbC0PUfBvSq5aPiINGNPnYPXlDQovh
HeljEfnJUjBDgGub3FK16Vnp6M0GepwsBHjQ0lOXjatKsQ49jD75zpKjqZc+vFExCdcd2gikVszb
g9Ww3qfXqCIRYMiMBg0UiIlabVKTchvBFp5nfsSuCPMMYtLdRfUllDXPJcs4kKI0HpryK7N5JmIA
F6ZTEZVHRahOIS5S6z4/6uGid6ecPzDMvvivWQkyRnHJ9N+gIi37nsjI8xUWcPVVomY3Mvxp6Yg5
YtllTg5QhXNU5Bvlnwpob0c+yEg9L8ghA1V3C/MuVXwo+4qjcPkq7e82DJ+/Zc/zn6CKMUPWhINu
MXfHjqpfxylC+ZU/uLKFApxomasBiXZupZ+tCYSaTWTa3MFBsOkgIIMY+JDblyL618LDz2y7w79F
b93/hCqnxTj2UOshO1rNmSgL8VEyEsXNx5ClO02gyYqSncpfPBTWnlrMfT4pt55MgnFX6K9BetbR
MobBu9yOrbvYyqnvhsBr1Oe0WT6iLFnne2l62Ar4NUI3p+dH6d9j+6qqgz9lu3aBpwouRQiipF26
cFeqMIdXRdoYwlvswDWHv6b0ItgV09pS7sq0axTbWHqL1YFJ+8csv3UgprjbGjp0yyppaJwsQN5T
EmHzazd2xyRXr5kOVk19WZTvDGIU8x+9QS7RzTKscw7TuXyNLRdpZN+Iseadm5pvc4rfJBuuvVoM
v1AG+CeUj1pTbuueN7zrDc4166fvQEq4gZVREps+FV9BNO/o6XsN+92kvlnIikssBHF9N6Tw0gJq
NywYsSUNhxh2HzhNyE4RQ+ymDC2+ocmRX6nG1TLD+KbpCITqkJm+WMqtboe30qK8R0c4Wv6oYeqp
hraVatSM+XJf5CcExJETyja6/2MWweQihNKDpzKQvVG3m3tuU6UniWGnjwNeAHLVVnqhbno7Cpw6
sVKnl+thHXX6d9hYoQ8Timphjg4iQECiawPdoQrTfXEKJL/LNrpi429z8R2M2vgucb8HxnkeXlk/
m2RvC7wTdewWKJKKb8PUXYsihGVlNKxTKWH6AieM04T/YumqUVLEEopVxtbGCxVNkHAKwoZUwWM2
dRo1gXV5zYS0rxVpdISkeQa5HCovqu2K7tYbsasUm1n7MgT8l7rOOp4G9auZWPFz1BRVAVcCZyme
BB0pxKXmWAQZLVV9bKLqbpoKldsDTJTqIWbXd4linAaCN4EJZqZYAYRF6TFj8CY24Qq0hx6RURlF
w7Zp85dh7HVYrQC2i4DhSKzrWubLxDDnWCIPnEBq9VVT64oXhXzelg1N0qvJ7ELwHNqiOeeq7QhO
EWmqjlr7aSdilxM0Ug99SYOT4U42OlRDq34N6cUq820c9njj+hh8P1/LwckY/IQWFBtblkYP/Cyd
NEGgLUkBxTHRGJwdpkhL2VBCoXFbTOEBn1LM1Dnnb7O5kxpftXelsQ6n2yD2Om2m2AN427qqu/BY
h35HYQd0lr6A1ScSeKSGBkxBmqV4yaSB+yvWGw3BXPMFIU3x8tlOzQ58hW207Jy8ea1ozQjZbk7Q
25K116OraXgtUROta8fgTBC9MTdLz2aRLRs2ABuDFJZWIbweR4PmIX/wSwJs+9lytZAft9qGtdj2
c+T3KBB6lcWyfo9Gr+77TZ1p21rvdLg3RqYEzSGiZ87f9/paAqf24sfi3Gb47YavrLMJrNEeVfML
cBY0xbEL46NSbjJ1fFnsP10AdudsKI26m43Wn00+h0raiuhb0yltkVzsZ6RF7TKlrRy7kL9ke03l
o9tUyF/sJvhqipoCnSRARIIab1J0VyrNr9hSFiYfigHb/t4p8kZNotscpE5QC9rudMcIYpQQpYQO
d2jnddtYxH1OZW//Dk0le708C1dSwthTjOBPKdGj8lJrfUuhZNUhG05k+hZyQyv5F9AHUcVNvuQy
ks6WRjArtPdIsDUXBpC3o+1zP02STV/b+2iaYPIov0HFNELIl1MINlYZkxO1pQ/UVpY6krMB+EYM
RbJPphpcKjrXmNpq4JE+LQ4SZJw2KJsFJeLUl49Rsf1YpCfkucc0Ti7B06CogTv1jPcLvpUc1Y1p
mrIn90Xvm9VTIXacjL2sJ+K6IO0sR9P2i6doF527M0bE5AfR1hxWi8g3NlJ/g4FKZztJ8CaVqBS0
W8crX0MvBXnDyNbJnjl8DcunXm9U9k4NOVmD0iZiPMGjJ7mheW3V42TZzDqVS7N1oBorteOv+K+t
iP4LzJcUBULDoFxYTOnmVyrVbDCS6U75vajSN0XM5mmG5gZLyFjNn+ptJdXcbDhZ1dmM3qUGlHon
F+XzhSticidz87syedC0DzQtfp9iR5NREEda/a9Cyp86g/iIw3CtxZAVNShcKuu2M3diS20QzUv/
WjJh2okZx74h4WiG01D8psF3NAB38gqL+Q+RwciEnSf48TtQillWvMb0l95vcUfI50FfW8ElUI5a
0EXnFOemhgrxZkzLb1wN4y5p30W27jLzz8hjalaGtYFcjC4/H6V8qZ3Mkd6AIYNYcbvKSbvX2FQd
k3xYa3Qy1Lip1m26p/KOvGu0IZON5ld4cZcBMZzL+jBHCJ5Qrwo1h+XPXTNqNmaEEtsj3s6aaXLg
6VqNhEs9h9oCfkKG2ZM2diZhnvzg8kV2goSrQQUis3VXnzHJfrnC8ap7TTEel3EbB3tVnFojcUKO
mHR4H5orpBPU8phDpPp2AfKG6NTGlutIiuEPMtcaDE00pJ+DFJ1SpnG92U/SZz/aPof2JdZrXxrf
dE0nenXEm6C5RSoZF4NZL8+QMwwtJ212CU1hbLpmIQOE8d8rgx7eVLnw3x/UyEHExIDMS1um3UvM
JpbnyyFUSOoGp9AAgbohgVadTyIznyomZZ3Lm6z8WmYSPybdaRbVUZRHF5Q7e8r4OXDBpl+WhXaK
39g+4UB4SOVf3iOAVduVBSbf4dUotSx2AcOX2cRyCtKRLTub/mp1cfMqgiAhyDsX4YiugLU3kf5y
YaIgRd2I0D5O1lHoV+TDlADYabwZqlmw321rMZwnecbdMrRxRagqhHaRQVzrHetnTSCK2c5gDpo/
DP+i2hJXlAH1aoiK/txHIPoc+xO8VhgpsyvL+DxsgKrkRe6T2hkq/d1ChoLBozSNc1Vo6xify67B
lYxxRSo2IqfOUWLw7mfBC7sgopzUIHKfiU4fVUXu77zc02WQEG9slE4uuABBR5q4W6vhYaLJqbJ0
sarV5FRIXoZApC8JmNM01kVLglmQBa7HrNmog4SkdQIDZBC79FJ4C4fMnSdNvHTT/DVJ4IaaITeu
UFEPl5Z9rRWq0+zpCuKaNvfmuSm3avivtEmZj5WzxiCqV2PqlLZ1VltY5eykBq+o1DMvTT5rzU+n
e99waVb1LRAXjQBr9IS9TJOAeJ/Sn4Dlq6nv0fhQONwi8dqZ98kA1VXeZEDD5KkIuic6ZLHGn+Py
2BztEe9AENX1izVDMgVGpmysOFK/AtyqOcRpuMDJlUHg2gxX8uBrz+WuhzgPltoGSbW2Y5PqX91S
e6NaY2gOXqd42GiB5ebppLzK4jfoJYdrwajj+B2JFL0MJoKMRqssFMGj9N3IIQ6U5Ktt879wiUDJ
7tXSbuskeJeAF+T+NZ6AZCMTwU1rZOkmsiaV1wdVbym7OY/finNIGJaCESB80c1NJv/MESWDQkNX
rP3ksTgAXvSLkKGTmU2w5SB94xw3Sg5Ma10U/7TChGDsiCSalH4vT5FCWPBPOd7NHp8QmLyu29x3
6bqd840Jihf2XyUp6X30ihMLuTsqxIGPm+NhfOtHpKG6XLCtJK4BoqIusEOWHm86xmgQdLCp8fnT
JI1f1Bdo2YxN3haP1pKvYWF/5lXOAA1+ac65hLbgGe6A6HGd5817ZzLeAbgl5nAgkDiRfHTjYTet
LQxRKJh1CBHhNg3bTpM8ZepUZKwiCXoDQjvXUL0YJvLvKjGCD4BfDrD6z1Sr74FvFh2HEiEdJWwv
PRNkDEwiXaX+KKilcVr2C3eu7+Q6ombRQicfQTlJS+6xdSk95yTLXF4al5x/KunidUO37WVEIIvY
03K6wlY8KYhaGuFkXbyOg5keY+AZ6T6HfGO1cqisFyDIQzMAfAvzrITlBvl0Ho7Nx0SPbNGX+IdQ
q5HwbHX87wL2g2V5Xta6hYqv4cUyiDas/o0BQF452R992kA9R2zdEg7n3NTBZfTKx5wwkXF6RNZe
b9vMFpvFroFfI/2lSED7mIVkNyzt+qD1KM2E0iA2lneByjCctG6SGGx1IU9hKw/MpThRWgNtemTD
FurBxRxNACTLOEqWuFlp7SjBsZybF5OJXhOR3wrAYuFwjO1Tm3kFAixs73WKOGWcNqWunSgFhLp7
g4ec8Visx/FPra19ntieLviG4b/4815Bd5t83IRDvY35ayktGv7hrVRG30g+Ofg3c5nvY9vaBO2a
5TjqD8ZbgGanquj2RrXSlooTgO0u1uAgw95FwSNoOB15UBDXRPHyUoWG38Fu69MEFCveKiLiypFW
GvNsIvXGbg31LDv18qej1OqCflsXnzZdTMQ/PCenEW1c8Wv3d0m/9dYvOrAo/gpliBR0bL0bS18j
Od26afOjgmg0VEeksztWAyayBPU4nBsQf6qfteQRjGfG07IDw6p4ixFdSJYvd9JNLZuNHWl+Q3y8
Mz+5GG0Kt2zpa02ggJ/LzSDdxzpdmyTZ2vFend4rzEjqQK+bLjsibp80h6lkjZMNEmDk86UfOdgT
Alv6H9sYo42uBtvUsD4j+m2HOltPlk6tOIa3AuNNjiBPTU1UZggTTGUfMwfpmDeDNjy0w20c43U1
Y/0zq52GhQBToEeg4tMH3+t8UtIA2YnsytJX7MgD9vkStIw1KTSmXYrawwCly6NbY35L8U02XfxF
yNces/qtVj8WvLxSk+raP8piwQOajD/zVOKtr4qHUibnKibEttW6szJZb9Eik1+QL05lz3sp21c2
EXMt7XZiq4CKJWyVz88hjPhrWlgQG74nDC1yGP0iSuI+3oMd825xepZWug5L5OcpVOahr85RcGOZ
iUpI4X0ePm2Tft0nXmckPwbA6XibpTfm/bgOzoMBdTURACCHI2LroGPfAJJn/991KTpwYxwvMpLU
BaWtPQ+bjuVEiDhbqaI4qvXsLka+myNDvdKXhSZW6/BMxt3kiR4FrqKEnN2Zsq6M+UcV1nehflnZ
eRG9kzUSAhe1RZKV2+FRGNMXCvYytb0hQEQeTDKocvmcjsogf1Ma0HxWYDdMup7nongy4c90Byab
qZrZdYnd0AqorJmduAqtjSx8paFkMUZdWhzpy/E7tXEs3may8XWh7dMccrkTwW5KtZueRH5qaG5o
Txgx1lWyViSUpUjbe91Vm3WRHCURXDFDdPHPOFqXcP4wwl+svlD5bKGmIblqdFWMSyJp5xacvbGq
ozTJjqkLvzRl82pNKUqoyNJ8ljgCnPLRx4r4GY+4rkYS2nKR6F9WkJI2O9SUgWbj/8d1KUNUqqSs
J6KWIM5qrMB9z/dkTP4SoTnCMDkVdyG+UP4t2k8FWaAheRjcSWKG4UCp3oW5vLIzbU1unUKBG7FD
+ThggpK672lJj1a2n2uYjrB04yLDWmEhGpo36TSvIxEeJbQG9ZQcjKTaqaGBR2Yy/L5SVRf/j5cZ
NaiTvKsDUIO4it6bVPZ0FG04bKmNRzFctn6Xj8ewDZwQeqVcZnT5S+JqwnKzckRD19bKV7XYZgS0
QsSrdG+txultTtQNDQ4A11sVcdtIG4CJW83NQkDakzY+OHh75S7mrR7wpTnYLBn2r0tEfAuq9SsD
dhXeeD50+4KeW7Rbm5U5EK9VYcLG3BbTn8qXjklCqQEN9G49iuDG+1XIxOlJfyUieW1KnUbveUuy
CmGiXSGVSirJVTTROXHY8gErRb7L2pEsOkDeJHEbNvcwdmv4mnocd1ZlXinfqtzWKC9te5ujtaa5
eqztKxBiRXvr6pIROmQR8Mos0FZ1jSWt9GVYV01MTvZMX2Jb0YpTMvUYx+9Y2ra2XKxDJVXXi7L8
TOZ1ZDarlrMt/ebTHTqcFf3pCKUUh2BeQyxOUCY+dG02G+g2xa5G+SDajRwp30NbITLOdxNAjFrs
xPAbagvy8/jHUjOwcIm7zyYX7L0r48NECDiFdOI7WljWAm3Z6zD4C7NEP53wu4CizN7MRT6fJF7s
QTawIiiruJ8+sAx19m+s/VPMzdK259w4wWRCE8/4jaX6GDWFq+HIT4zmkC3nRs/WdL56DdyRll+a
4mEl73PDPYjXXOyzES17g1xcOzZkU6WNAKR88hV+aWGdit3sqUKEnzUYWlGhtYt1aKR/GpG5Gb5h
s8EG8xQp9XGFN194OIgicunabkPPkJPHkQfFO9OYqOK49RE/q6ZwwmFwy+WomwW/GEYugBCJuVul
GmgRISqWxCLbzNVLrr6ozDfyult2ZMYC7K8WcpCsCUPr8v4kvkKvrLY4dGNQSWMLYKTr62441b2T
A3OFNz306oIhG3W2/lc/u7EARkT6JqHuQCeBUil6QUy+SrVvwf4Mm4C+ShogXhscutKxj5CiUH+b
IsazWcpVje8IdiA+wWhKBtcryoo6yJ24LfxxHl+qFnLjEPf7dn7MupuYhqOm+y65tNPBRDCqxqdK
lng0o/RR5frWEoJP78euzo1U7EwLlrexUWVijZS+GTu2rOXAfRi1wZG8NovcpRO70rapBcS4xYpb
dvDak/Eu6/+MvEDXZe7icHlL6i9b6XN8K1gd6lFxcae6s9ohf0jXUoJAVuzD50/Uf7Om882jlwKd
xvrX64FXdNWbPPQvMXRMbxEc3eylIcQmJnlRE76GyfOpiC+GHe9qPmk1UHxYF0dr+m2nHYQ8GySi
MsImYUvbX7qRu/aI2Zjh7lWE5QdGDQQAEAI+NWxeom6DlKDkwUBUMi+FOw/fhqEBF/XAA2G1JhcL
PLVh8x97ksotR7XnrSLPs1uPOpGcxUuZZCSzRExhxdCBrphDOPmB6Ohaq1l766lfLzSEaWmDuxPk
qZ/at7gpedvbUKbhziBjRe9U9RxKivn2zO2TXZP93g0Ho9/aCsBBaIMl6Da6TTEhE8UChSVFmu/1
ckLamSofaVM6S0tSAXr4Gu75YXG1T+GthgQyME7YjR8kzZfenRsTs8SMH2yc8r+ixew8twEzao+y
X6nfLSqHm7xn/Bq7n0hTX5pa2YlnFkSVnyuyi8xSxJtyuDQAx3Bqi5KuQkAwAXFsKVyLWGYmw/Br
85dyI3KOkmkbjH8hFmU7YoGLgos9MCYVYq5ORYNIDX/9wOZJ/6yBt29UTsFze6ygQjT5kSnGB9FH
Utlv8yx5aCF+3CKfrxZdAjdQ0w2jZ6eDeQ3nMUP4pOBq8Fretaa/CuJ6kO3H0c/cbdVY8mTVE1a/
hV1ZVwQ9VVl+i8jLYm5akKqRLciITjMD6r5Z/wzTU567IfJsVKHxjLphPsekmq+Ys8kPQPobSdY5
XxZHGwMnab2obX/UrlrzLrlDG+17NictlRwD9tHKoK7rYK2CDEXTTZ8ZzMybAHV122BeHCvPGLFJ
x5Ly4V/+fOBin9qytWa+INipg9uoU8oo6nX1HC9A3erqE8tvP/oixs1GP5UJRs7PivWgVn1ERKKE
pSbPqLROMhq+hP1CSQlzNvEfB800MUpgecO/GMWZuxQF9/jSHq1RenoiL6A7ZfJa1z7GW7z45xgy
dGZ7e0MvSn6AzE89hSq+MUAGP8xfRe8F81Uhk0Xa8lpiaa1sv5E+xw5hTeL3hjM1n+i+Q/p95Wsb
7KLxdVa2Q7BJQ8md4nOQvGRoT213Um9Z7c/jb5F7dvEVw8qbn7EBOfXewaLGj4izYnyXM8+ihGo8
qACcUkE8TcE+u7Ts9/l5ykHMhfIUecYvocVgc0o5NOzhYhpuMR3V4b3Qb2IwT1JofFbcnZk4MgO7
8nCEmmzl/q2Odr191xiWK3DwbAhKr7XN4CT60VFbvrQYj0evYgJjWaHyTx9762TXhB22qOzLzNL3
2tNUW9eCyE9ocach4zxXWibR9mgbSHuWhCNqycEYc+3UNaixtHLe9JKAiSrbXWCVHAv9rK4HBFhO
je1Kye+1/JMl87rGSzJXtPQ2y0IAzhDzi4z9rAVbJWm2TVVvMgm3VCatFUwAgkSY/CV69sFMXrT8
RsIRQXKSy84GYjZ3lSKzeSiop0E1tzakfwusV42PKKXIvlAZYEy4DWWt2dZtKJnikQPvG4OBaMaO
V+ef5M69RDJLdIknOIkuw/9IO6/lyLEsy/5KWb2jGlqMddWDa3fSKZw6XmAkg4TWGl8/C6zsThKk
O6ZyzPIlMzL8AhdXnrPP2kbM8tutTRg5bbQu9UtFvpSVrUlIiAykaJyHXNWLbm9q0kzLsnynGq69
8F3tkdwEwBHS3LkLQorEossXryX11ZHNjU+NV9CT0Q5Q4JPlcGuFKa7MdJmaLABZov8SmaheXVIz
nayuCd+mKodas9/lSrCPlOLGU5H8CuGd4HhnNtoMTXAutMJTZmZKEVrpbyzT3cg9BREQ1tqkW4Da
qEkAxtewf2ZKfp/61DM0y0Q4tyuQ0V2kzdOh/CggS3xdMVRrFldlqFTWAxa6LNNRd+uKwnuWB6Lb
pOaTmc1t0ZVbigW8IppVmfgoZPaT4JMWJjOl69AOXO23zmadh0sJYb5VbFtvpXscV9zu3fH9s9hC
wU6hAicoLSFI1w3KznhdWdXSQMbmSvHS1q9dx9uXaHM0kSjFcD4PqcCNdWsn5UCdbmUDjJyBFigg
sEtmrcwWPjXxeJhrVBcWwr0j5wuLzEAZugg2rh2eCFm3r2WLvie3G3e/MwsZiEBKBuhL3VEQZUbn
BlHDHIFp5SEpQhU4U8gHRmG8LNTsYCfxpR66V9g/b9vIvEqrvd8AVaqqN4Q0vrAxhUsn0BYgNx4l
2z2zI12cBy7FCZzySUNaM2JY+8BG4+S3CIpP46ikgXX1E4xqBLwLnLiPDKuh3GYmzl/6BwqeZwMy
8bqZUTM4gUw8gqMeewSngV9roqyh4FNXrnCblofSvp94geFBf3gBbcRRz1RX7EJFls5EsUkHgaic
7zvZ9ZEiamSHpC7NnqqgoTRWyzVO9C4517fKMUkrqb2L+mDiOY4AbsduwkEpx3ltoc7p24sBnxtS
z04KcNUv0HdRpyQvs3COXzo5T1vY+8QbxImmjWNdMEIg56Wi97rBztCqgHVhd+mOLVKQ1y6J5aGW
vgmw5yR3Q3ltVIVntbJtpK1ePbcloIOCASZk69KiVpFqEK98zEJ56QvWb3axwt0wfwnMxfSmPsuI
PajFtax1c7njpGbxUtnB7R5iluHiWcmkjYf+Q7QoMvcd/dlt7thDKX6iJHNuUmFmpy3WE9XG14Rd
qBbI6yG/9xUnWgrnGdgKtfjRTHducSQxcghnGTP7Wawpq4w3WZVvpKDcxa6AFknFpJVT4e+Q+4Gc
7WT+WxtSeaeQxT39SZWh/34aWsOn/kQ5r9MgTKJY7DFidM8vF9HOvkrW3uxlcV9sgnImrpGWiLMH
YU5pHVrZ2a6Z3VQLc0Zweu6s3535KzVIexEt9PL0E8n6sVE2gqu6piAXguEo545cb2BUiWg8hOwR
xPxjbsiz1FIITzpLQndDEgxVK6pRz2+oUFI4l4NvJHsRlpzOdhXpqpqj5yYDeP/iFw8eZ/MIoql2
lblXlhRuDJTelQN1vSPL1AAwFTX5ApnrVfMqpnehdta+a93QgAGwq99E8cFX7gUoiekSNYtzKbpQ
qwZ5wIXcmBQ4PdTo82J9R72rWi2RO17jOL00bohK9+5dp61E8BgBuNC9wIGmWhgcAclAM6R2zlMp
oQhHDkRx4rJXqblexQ0h7zWAwsNQTkmc9r0x0LpQejjH2UXcK68g6NKrpnpWWJfZuxgcUXAWkvDp
00tyrm1Knb+wQ5CZm+2sAWJWz2xYUDHxD6JKzb3xQPpWU84VtjHOi1W9IXVBwVvRbHW4QVVwMVC6
IuW2BaaLjEz+XaRMAu7ANnICfMd69BLNi6aiR3arlRf1F5QossO4rjwTRZ2B7lyFuUNNkHofyuqV
5++dBE2MdRkhPwRI4BMiKpZlty1kFR3njSlfVPYbZjZle6m02VLLXvr4jJIiMtX3OTVYOsYeKRMU
kBJVMRKRLPkmYEpJ2U2uehXkbfNGTuurvIpf5MBYWNx5JLb8KOaOB6cONkR3FmjWnJuEly9bSAFc
NjnBzUz/RbZxRG/TlUuOFa/r1NlE9nMhXsQcpLm2p6oJuxb0lQzNBFnTJghZdZQL9rCe6LyC9Dbm
qYJmjboUWV7vwzFJOSQqmKQpDx3FAFRs+cVd3u2q+ExGYZCjdUZDl/mUfXs+66dWvZtA22yRcke1
mWNJrfdEAzDKo4bBaK8qdR9F11BgJGdr6SByvCVHxQZH94I6tIDKOOepkL1H03Xvg3gTi3MrvQvK
6zSWF1LtHATOfVFdU/KMFVhszt2KypJCcddtEswQP6dIIKsouTk9n40jG6M2QvEyRGrT6lIkndBY
KFOB3CjUz17BORe1Yo2QVSfj53Jg60PpWlAvI4mqb8iR5MEbN58hcmkVKg8DYh6hvW8y411Q0TdH
5VCM8ZwS4hK5VnKOr8Gtu9cIjwEknLkImqmtCCoEjHo+R8eZGZxmmB7BVioK0jX7RtiV4V4wd3W0
s3QJecVtSMYtRBwTFtdpt+n84qomIBRahOrTqlyHBG5nmutea571mtjaPDF/F/aZjdxHRN4flTfE
hJdp2V4HbfOi2PVGbbu5Qv18G4ILlp0Ltf/Vxlul3Bt9P3W+ObI3iiPGZ6w3tlapUrTvrn3yUiAZ
36J0JXOeGwQWc4LgxBBOf80jH1McfUzDdtMqFmgq8V1pa8Y5xfHwhNohqfjXWhgd1ro4NVO3oX5D
G8xJ+9eCjH45sdsdAWmLIyRxLOSNz3ko2PvyAoWiiGaQYp8hkLzIqICaArCrP+6pxtj2Rg3TLjaN
PtgnVNQI8qUSbk/3zc87I/Dnr5s1B381170qIAscEeUslJmhWque670Wy/en2zjyhbXhpT4dCCpo
qSFOS/K5HTCzPIEdl0UexU0ChO90E+bPHWRq4wErWqiyQ6E9J/1CFRCAvRzwGpJTMLCa489MlKCR
E65QkexjtBFpcC54rzbUccHukWm1i6i+6FEAC29BRnzZC7ZOQVInF1ZmvHMDlmSJqG+KtrwgmhfV
Cy2yFgqiWG9Q8Wfx2ia1x/0Kfl5QmAc3fJWkG9evF8TD5mzAubQvwIApBUHQwHuq4osEaTacDCtk
f5F+5fhfVu3KEu5T91UKxOu8J6XnR4vaRXsnQVm2fELxQoVH3X2mXtc4aZfRBUKKNsXgoP2VeiDJ
8TqoSIt01k7gKxK8xKQnfm37OzknHeNGF3lLcQo3PDKgPskoL0yNiXksHVkztNE0E0su2ppekDoo
164AuI5a20dBde5UhwKVnR3BkaXIvf5rM08bz7w4bjokE+JZ6aT6jZEHxSX5J8oEoiSxoKvHMWiQ
0FggqgrAopmGNsHAPgbeVkd3J1HoRSWNO+VMKHJyd70dr4JOvxEqzjgxWrDYYA0gfq6JJZGvtygT
l7VQoOJsuCxXxDYTQmaW6JkTg/+IP72pjiZx40ZF7biZcuY2hUDtZVjaCgz5WHjyEhGGk0eu73cj
o89Wa4PEji6LqBs0wJdqGYL0MNT2NQ/CQS4TplsdzjpUzLiIz8qGQrgskPPr1uCUIyd2cdtYuo/m
tZHImg+TjuJ/Dwle2EN0qczCnli0lSOkcXV0Pask2fdFeKN7vdJh8BnEWZJVAkqR4qh5ZRsk3UjN
iOkvAUWrZib7zoPc0106ijfkYNBqFN5bXEU3aditVWTIEYI3F4dJE59ABy1pnlebJidFQ/Vpk6cE
5AE2Gt4ycvQpS/pj7zC6CrWqZYtyYCUAnxpSU+ho5uKz/Qxl2if0D/rEVKj4MzeaQrBogRQyRZ/9
pt2k11793NwJ3DfI4b00F0wrID3r/kxAosTroyfnhbAaAY7zouegNjaG/0yMEqisPLMeyvcgPEdU
zjh8CzFkJ5jCvvGQY92hLoVXzqcCKgvYkW/IiIRiGewKwAFUNONBt0Y5XsaA0WbZLwqZc3EWXcGm
NNVlUFwDJ+ldB13gGSH0eMI/4IOs/8OVUR3dz+ROypIemNM5kPaVsgl2pCXOUVLOXNyjhdmtifWX
Otd3eKjO3ZWFCHIm4D2WrnRsmHTujsHCnnF63RBXG/7WIppT9LgAjzJXicw8K0uK2tbhnOrCS8oY
LsI1B+pzaMeIY9ckA7fhutpUZ+7SXFFK9VdH8Gjf003HzvWEt8JFeU7J/Vpei9eUosJ7xu27WYBN
WupbunnWztQFrNL529OdswhWRDvPqPLOpkD4R27k6mhz9PoqaFn1ZQzbyDouqB6ZD12kzzjMzSns
n3kr9+70RiwNx7afPuXw3z9t9jnLQxAMbdl74SbeYktw1b0C2J7Hy78YF1NHG41VIgTJ5c44ty1E
4llwYcqo8eKWY9fpl/j5UGSqo62lFOvMbIPGOJeEofSxwukm8xP46MLKCrNJy5cjq4My2kdixcrB
rfcESsh2pk21ULs77hLIDoxVo+NaUJyZ/UtoTR2SjpxVldE2USVNndkhove6AiEPmVLIdhGBV6By
wFOaRSrjOBJPDIQjh76P6NCncaCQWVXDkIwZG8e6F58V6rz1qa47ctpTRuuqo+ppF6gKZjmOcV1n
lOQBRzz97Y+Fr5TRWmQYkZnobkVEMk8gFgU5GfXAtfRyTv0EmOtW77WlaFAum6KuuZRaMr2eBmQK
eL+7jDSXMyd+rkCuFZgBVVYSHUksZ9b2YoU+WAYK0iGGxKsGNLooeGd6IYvb0HTFswpixKItKV+p
qeQGNhWbT6oMoxGnXRuRmddbxrkZSfA9bRsEVihavysgs/MwbZHuh2oCtwAU3emeOBLkNsaek4rE
NDN9L9g3jg+fTY/r7lIS4oqEKru+5LKF9NhSboDY+kvSG83S6mNlI0jtS1CawkZy6mbC/+HIjFRG
SymZ2LxH64jnRAGOB84369kcosFM1ib2oCNvayrjRTLXdIp8aMJVAm+do9abxXzMZW0gftMkQ1w2
rVHs5Tq1Lz03r3ZhRJUbkFef8qq0X/gsshPnhmNzZ7SGul1E6tvQW8ZQRsTA25mIqjovmzipH+vM
0fop6Irui63TnQvZHkcFuV2ZFvSYiU917OFHi2dR22rSKpgDeGFO1BoebLGvZXF5elAeeXZ5tGaK
pReFGbrYc92EIqOK1q8CRKpcNC9h7U8N/CMLszxaKCk3dXu5F2mkIwRT+ajGo6Te+ZHK6dI9M63+
slc6Ywb1fCGrCFJOv9uRVU0enXgz6DJZZsst1W93VfSU+BNO08Nj/7Alf1wbPi3FpkH2Nc/4XUfa
BfGA0UOVLVFl6S71fvHXnn20aupeWWVxMjy7QG7aXHlBPLEZH+uV0dTPYVEYecQvD5y0MrhpxAk3
qWNDaTThK/xDI5vF6hxtP4jhTlqgLIaad7pDjkwDeTSH86JxHEHm1zXDnWF3YcuA4denf/vYBx1N
YEQ5reMPT25R4ylSKTRUpccHE2aGOPH4xzpnNIvdyHb6OkTKosoUeiukjXVQC6/EPE+/wpGzyIe5
0Kcx6cVN74C8TfY60nBH7O2ZZBjyVq3B6eGFZzJQWXutkGx6IsP9PN3qkYPwh73hp1bdEKFVr8bJ
vvKqlyRQNCL5SrQOQnAKSVBR4wBD93RTx9wupdFs1qsqYUvs/T11N8GFeNdHlCLPhev2Tpl1EwPh
yFf6iFB8ep/U88wU11F/XyoJF4Y482DGZuaLb6D9TKmWn3LcPTLipNH0DlvPkhS7ALuKiJ26mtC7
N9ozoaMIrXis3XQipnNkrkujuZ5FQqiq6Dv3tWh6dxkf/sy2Entz+pMcmZIfO/+n3nId37GcNPf3
qrOqvVu/vhSnjOSP/fRotpM5LgVbDf29AJMzMlr4uMssn9hRj82V0XRvDE6XUk2vRPdQ0WMqqCCb
SSAE5z1g1ql19lgroxmvKX6NHHPoe9Jy9Tr/Tc7Gx53BnrVANd5Of4Jjs0Ic7d+dKZV1F9KKD9Mq
X/g1FgjQEmZUvlXCzqZUIJtYwY68jzgM5U9fO/DKABtiWkLIixKe4CnVsmaxhPGeY8kw8UJHPrw4
muUWLrN2kMBx7KyHOnwKwwLcxevpzjr228Os//QGZaRZdutFEaiCq5rqVjjYbulNdM+RGS0OjX76
cQquCkVGRr5X90DZKwrKiHpfidlSTSZWwCOTWRxNZrWs6rqOaaEq7+GOUY838eg//7Ax9p+3NNut
Yj0N90V7KajnuMhM/PCRELZhjTqlcLvQzMIo3KcU6luk7dBeU548q17tx4IqRayfpkQJx15i1Dtp
L1WuGWXh3kfWmxn3ZTExan7eEyBCfP2wlRT3vatbwd7shbUKhCMn7OyBUTem1tGfd1HDkkcthGou
pDEtVAJM9hK6xZUtvJc5PEvFX5we+8feYrTmdY5HhFnz6B4KXCv1JrBJa5ORT/op4+tjH2C03gV6
0ulS65KtlaP7sCjRaApPpx/+SAeNneJdXxGsvA/Cff9a30ov6bv9SMHh6d8+8thjb/hSKeuQKtpw
X3a6BmVLfshVYeLeeey5R4tZCYTDMTw6vXpXl5ju3esr9/r0Yx/76dFa1ooIvTLfYWZhGkB+CkmZ
rMIC6X0dUy34snZo/cUeGk1iI430yinpIeobsESqKMk//Q4/L5nGR+7x85KZ4XYFZ4wRUyL6OItX
4pUVn6XPU7nkY78/mrlWVWix6dD9uCZKt/h8DTbGOTWdM9QGp1/h4yT1/S5omKO5W6eJ54ofn1ib
RRfFc3olHMgtKL+UufNkbub2EhHm6bZ+3oANczSFS+F/RpPIaBIudJCN6R483Pr0zx+bCKP5q8LB
cSQK2Mj7yPAZXsLi/vQPH4kEGWNfd9sqEj0sknCvybPkAgkySnA8CSqEve/drYr0WFvYD87E7fxI
N4293YUEn0Gv4z0Cwv73+a1woFaUZM06+YsNjGZ1a+YNSX4agEXSQ+650J/kWwh5/bM2sd4d7bHR
7A4yQTIVnyac5/Y1fg3e1ffiWjigby6ltfla7qWploZx+sP4/ZAEfZqDCHkMmeRruG/eg36OlI/C
YmhmB1nFKHye79y3anN6GBwZX8bw3z+15AuiLpq2GOyFGOWdsbQUYWJiHJuExmiiu40td+Gg5nAF
CDiJg1NboXERhSxHTrYQqd328KaIIyLNDbVzC6E00qWpF9VFWSTqOgnLZMc+by9Pv+qRhccYLQqq
XiSlkkrBPsNHFtHdo3OnDYq4GXUGp1s4cu43PkS4n3qzEBsq1zEz3Mev1HojoQzNWfggvxrX9iO3
mNOtHPtkoyXByhJDxFIh3BsukWHC5kmeT7zAkZ8ee4K7qdigeef5RaL6kYGlqW9PPPWwL/0wpMc+
3mKkdDn1Pyz7PcMsFqjsV+q0hRTZZIvTHXOsidESkIgGeIi+DvY1NC/q5EF66KQQpq6Ox35+NP2j
Ku7w0+XYHEXk4846b924E3GiI+eGsaF2JCollpL8dHMNshtDnXzRPkc3p7vl2HlfH83xNvM0wWyQ
BOHZ2N7WV2hzBjfoy/JXcVn/Kl4mmhnG309feDTfw8wDfxHwEvi74R3TDd4RMzBm0toj+4ZpszIx
So9MZF3+uma1nm3ZHmLcPSoUGFxaCWxw3dgz7zWdOn8em8n6aFsfzKtVaHccbl3sbTFcoeKHk8rS
yFeIP2D8m1P5ymNzbjSdsyoqsF2m2zLMCG1hU1XaRD8dGbDj6gdflNrezshR1AIoN2yVhacEUNbp
z33kscclDUojVL1FBfR5CflN5ABnS4ePX/6v1/b/OG/J1b+HTPGv/+bfXxOwap7jlqN//ddtEvHP
fw9/53//n69/41977zVPiuS9HP9fX/4SP/xHw4vn8vnLv1A965XddfWWd4e3ogrLjwZ4xOH//H/9
w7+9ffzKbZe+/fPvr0kVU552eHO8JP77H3+0/f3Pvw+99F+ff/6PP7t4jvhrcB+Cv4GEeY5/F+O/
9fZclP/8O2gw4x/Uq1AQA9ZLU/XhYtS8/fuPdO0fpmqZumkYqgpchPUpTvLS5a+Z/7BkUaL82FJl
WRcNlSlTJNXHn8nSPyyNP4bYLEtUVLIv/s8TfvlGf36zv6Enukq8uCz++fev5zvNMEVJ1yRFAvFi
yab8La+M6XOl4514gCPUktCFvqq6CYwJKltAf4gGzlgN5gx9P7G6fR2HHw2z32qGqlgKPKZx0Dvq
dBX/rVw9gCECKmi4FPsZvbv99EH+eN3Pr/d1yaEVyVIkWZZFUxFVRRkLMLW49quoKsXrXlCwh87e
bEmA8CfAUml+O6of7wzpP0sCfm9ztHwnRZinrS+K1wWKqsh1DAy6I3zLROfKTPPl6Rf8ugP9uzGV
JASCOU1VxPE2nQiRXZcWjbkx3phWgJAqC8HmAAbobyKxcVen2xttSh8NarJkSpqsqJCUxsHwuiqU
HBtWmerp4CDbanGe29k2RmxOYd1trnbC1pMpAlKxLbnQyt6dWL8+gvp/blcfD2BomiQZYLwsSzdH
23qisDRZZSIjWBCU80qVLzwrSdeZ0BibJuE6lOoEb8U6QfrsxpiJrGq5ouYojf0Hz4u3whYT7qnL
8dDol4eSZU3V6BVTNGVVs0abAoWdppSG8PCgvFKsVlDWUIaFhdTa6Ddmi9Zy4jN83SPoBRrUTNOQ
NUjMMpi0r3tqzpFJN7Nev4o1y5l3pneTY7AiRWm2Sv0Oi7xS7m9x22pnbkYBd+MPVn7eXEi7FEsI
LV+IFD44lTGls/22nvBchm4olmbIBmVqo+cSZRRKkdUbVwlBWyjcW7W0f0V+lS1FC9i2q4vniCb8
TQeEfiIR8X1k0LalArJBKmDI5lhQloeOUVQ1bRtOcR4Z/ju0IOUONvyKp20fDKu6dPGWXfcaRneA
GqkqkaAYG7i5KHXXnVutLS9Of6efxoVlKCz9LHWWOa5YEKiT1Chn5zOlOXFsE0pb6VRvgaA+xYUp
TySoxp1vDQsdPBbWOlkcuv/roGg821YbVsGDaVXPFjDSPBVWtZDdtq38y+3LO3h8i3L6hja6MvJm
bG+wWgHfyYoBPnH01RsPnKxd9tJBtW48g4JJbNRVKGPOztEuauE8K5d1hfY1WoRYy/iet1Dqp9M9
/bFhfJ6CH88gq+y2EtsqQ+/ryydOrqh9I0uHmoKzvQGBTXlR5VWlX2jQb9+tdwPSDiVxAn6YMOvn
7tbG0VD9T5en8WOMlqcw9zoUeTyG866rq/xVqjbQ11HHCsYOkxvYd7ArMYbLKVffqcLEePvI357q
hdEQwKUssiFuSocmXHjSxpE3uKJS4R4blw0AkTuVotkcTOhdGC+8xzi8gjA7lXUaHcL/GA6fPsVo
OFR+FJuqKkqHSo+APT7V+L5VZo6BxWssXqcMkNzCHpRKqNNj4EOL8u3tFWnY9BVZV8fRkVrk0Np5
oXxQcQvB8kuErD+Dm4QnU90fbBj4mgK6kgHa7P0CF87mV59cxOqua1ZNeGsMiBZlUys3ADujdOep
mJ7MHX0vy5vTT/pxrvr2pMwXhZ2bbUwdDxMNLimpfukAULS1hmrFS0iSkJYSGK/lzEBxl+KvvIxB
hMyz1/odE5h4KWC6jXBvlcbrrLpAYYjz1+BctQAwfl/g0uSCm8HzFJclhOkTQ1se7lDjZ1YlkUWG
06JpjQ9TqWvakaDU8iGI1w0GOM+5fE4BpgAUiTgXEB/4vBtP5eGXOH3qEjq86765a6HkYYK2dydW
uw/B66nnGR20Wilx40SoeJ5u7uM34cyNC7Pew8Lv4QwYS+od/ABLgy1WG24LeOrOVzYS4BKzunR+
kd71Q4DHZ1i+IdQVtFUgPnjQCjDRznaGsaxz9SxT16m31mGLUJZ7HdobajLFQzSlTxomxKk3Ga1d
lliWlVDSs7DSS5xjDHjRa9t8rrp7Rbk6PfS+neAw4DRVnW2S+4Wky+qo21TB1SwrVqUDOh39WllF
m2Rtb6y99QvOyER096OK6subjRobvVmTpGAxDMZ5hZJX4Z9ZmcOap6rRWBoYaWLyEu8Cd60GZ1Rq
Ai0SOD+1/cFrNkm3U/zLmugiVpwpyvhByAqa+Fo873G5Gfj9c+T+2A5JN94NZBgcl4pHdQUbLND3
vuthzSfMlOa2UOBa7F1/6auLqDtXsOVtCD7oycIVDsDGJvp3fDT7d/9amsgxkCvfeM/ntKkKatxJ
h25twTDIoK6vpFflsdFh/K5sD1Y+ZiVAfc5xhs2nhAUfFUbfepxNmI5nX+aA/HUfFBoMLvyUHrec
tU99RjkHKjyswCiGbTadZedfxNo6gYS/arUNVartb1UHQrsokWsl1J2uXHvV4BUj+/cYkuBdiJmj
HV3H9UJlroW4Ct9Th4rd3AZYjILl2FuWLuTo0UoOEGwkoPA4cpm3PRiHdAMvLFnEzdRK/20tGsYV
JypuwLJuGWONUZEWltE7dHLorot+jhG9/Cyyet5TTIvpXiXtM2eFuVRsz/HZw55dnykQfyhK1xeU
GWEGcPqrG1+jaOx5owcabby4kUlR0bbSAWEVmlhBvvfV8wZ+zyUMz3qIFl3W3mWt7yr/TNJ3oIsg
Ccs3RLRBf0qYW/iDKYnhAOZZUIKNZU3LR8G06NIcSu/n1Utxb7ymi+5AUe4zmkDjhtFl99sVMfku
nCUYRR/Mlf0Igkm5H5BWEMrf2VqwKm3uI0quZ9aldUUZexatmnoug2Hhb8mLdCf8Pt0XH0VQ34ag
qRPyILShE6f4OgRlchQSlDbpINxYl9qr/9tS5tpLJJ+V6laUVjr2xizX5/lOe4MLQR1kdsm7R88c
xK1HTD6TZ4GCuYvyQIXMfXSbbbX3/IIhB30hfqxghLLpvHqH+Nw+i3E7ui7O8Tibuk2Mj+4fH9QS
JZlzLcVrY02QbIRJ2Vq8BJ2b15RY4xVOclJIASoDEwVrvOGzGW8wnaEnxWssw05344dqeNyNwyVP
JYLBnftjyH3KTjSFJUQ6eIGD+xt5VXHn4qy4DqqFpa5xUiIqA2cwpDIJtqI/Fx/lGYZ3t7iy7wRQ
Y1SOAcMBf1vvy7sh/tkvDGF9+glH5TT/HvSaTviGw7/MiWA06K3IyFMkz9Ihhzk2I3He3rL/a9eY
bMyLq/LOmjreDiPnW5d8anC0uOVhhDH2MLJiLBFtCsXidJEOltsLaHn9XoWFy6kunlhtJt9zuHh9
+hJxENtmNIwF+65/LeVZc1G9mbfStf9cP1v34dvpbv12jWMp+dSrY8KOoEd/tOZAYScMPzef5d8a
CKl+DvXhdFs/D7I/e3QcOHf6UncLjasbDDex3SoVVYiXSVJwrqQCLHl0sR1qVcB0BmBQLM5XKmXK
g5J62dq3FQRo+crCptO+EMlRaPm9Gu9VhlvNzUvDy+AmaSfxRj+t/Z/7Z7S8uL4gVLgkS4cM8xd3
0d3FySbJFw3MKmpSXrENjqcEP99iC8Nq8LlNZTQCGgwvHJc27QHlNeu6JaXMcXHDGROfReVOMBYg
UwaQw0y7sqcEnD+e2YiriLI0xH3Fj6/4aQAKDsnyqse9ChPPZ6fb2fhoLeOX9EwiT1NeetHE2fr7
jX543z8b/Kh//dSg7NQxBTSZfNCtpWzCPZhr1irqbrEo7TQsGpju2CTEMnxnbxaI+kqeEugNa8e3
qf7pCUYZnTq3ClXBketQ3+ZU8wKThmAK1zC4PT0Dvp29h+MDS5lomENEc1yx7Too0ToKl25ALAVg
OMJq12WrOrIpe5Wxhv6P4xSj9sbvFVSxkXu0F3TLELgzlUM1btaLTp/3IomrRRkt5OyaGnGM2bQ7
TJpR2iypd/r/e+3RJGpMVbObmscwgWPCn2/mUbGTnCdY6pH5n68yo5ceTR/NT3rTdmkNpJDpzbOW
+psVlB2AmU5IshGkyWW0N5u5beJjssVlGxdQZw9HD7P1wY/HBtFJsRFeSWAI5zgMaTAOWInk1elu
+QgSfhl2oycd3Y60wK7NNOFJQ1S/5RxkEp7kGGNS55xcuMXWSc5SZw09Gmy4ApWbCdHWMuLn10y9
UBHD2thV4cq1UFKCCfm+MXd9dhHkBMAW3QDPDllHzwEXUyi9rsAqaWxcOma08Evg7lbdIhQ2iYSH
OxfVzLiJ6onT2UgOw0gf3lCXFFUhWE3aZxR60ATXrzyZN6zjy1+pRfWtN2/1bW4sNOVJCbYWV/v+
KmwxjJ7aR78dkkdNj88LOFeIrkjTLmbD1trHWQyXrw+rsoKpIM/lKfnC95Vz1OToxBDHXvPH9wzP
sQDHUbXe1dZK1H8bLhNur1hLo5g4F31smuNBJCuiqCuyqYnq+OTmCnhzin4n3RCFKzP8P+D8AKsj
OLMC12/hf4HBxr3AyomzgLfzg5XhriUicc1KVmd1ya4JLHZtQwRKQUpiuDPHLwyTY0ie2qF5svbi
YNL9KvzqnhzGosNPlwt3KAibqbAdD7myAkcuQlnfm/jnClA+ObAOB1UcuVwTaw3s3NQHcKwYLZo5
tkdcICamkj5M6u+9oJPfkxXZIKH5dc8MLb+SnVIQbwYGejXLYeqf1+/ggvuVYV9a6hzQCqOAulL3
pUrWvYd32ix/aHdYMFszE81ZADzEpAP2HPBUnAfMjVKsKmz3npxbWJjMS9DNS5AVIUaF3VlVrFpz
puMQXM3d9s4SYJe9I+AP0a4k8wZ+H6AXrOzWhIooAVQfXJ1w/Jsdb03uaESF/YnT1beTHINPVv7s
gdEiW1qFVVQ+472Qr/Gzz+u1J2z07XOGoZ4kbE8vXfK3wMOotdEi6wpmJ8Q6/U2QZZu/GnxqM1o2
GefHxGElA8iJ2TBQtAyH0ngQreDKNxuMuF/zXz5e9CxeL8FUBOinQTAsNaCTRcX6OFp/OkiIGLl6
Qe9LN7myUJCYOHPuJadf/PthZXhxTdQNfp6GxhGXOAtCKcqxIzXcATQBN5arcfk7fHHkGYKokopg
BKspgN2N83C67Y+KuW+D/FPbo/1CaRXLRc9OCArUFpQ58Q08I0NQe6gfGoBy2Ch3M4Pr+BPRngIv
K7zp58KGQkQwD+KEHumns8znjhhF2xxLTBqvbbC2juZ9NE+uIbuKII0x3pk4Pny/Eo36fLSLxFbf
CVHeSzdFh9MW5rcw4OoFAF1owdhyObA8lJUg7jHFON3jky2PNhFMM6CE2rxkDukVp4J25jTLppkX
3FAG2ywMOtEYLYzJW+DwKU996tFWEgW+qnQaDeu/qvv8iTGmP/cmlq8z4V54c7G+gcfY4lcytW3+
uJB+GmPDMvNpDmlF5JtGQF9rykGRFmq9cLK1iFv0EnegZ/Wtatcp9stiPzGcPkqKv7/xkG4XDY2k
7mgFt0KjVOpGBBmFHUy+wCNR6LDWwfGvXHS/dBMzCvc2Tx5jA0MT/9Vzbrq7PgVU/JRJEp57V1iY
9Ta5WFKBmEpEGAHKHb4IORbOBRmW5emh8fPw//NxR8uta6dSXdLyjU0QADs/9plia0tYjS2rbCrM
O7z7t74ZgluKiBSCOOTXj1KGQtikairdxOUy03HxStu5pJIrQGpw7qbCzMay2d1Nhj5HCIh/n99I
bv1vw6PRkAmJmVZawltybKdWAV4PnrYBftyIceeiOqtqsGGL/oFESCCvYEDo1SIIFgiGLdydlWUl
LQqgD/HCDbZde4ZIGdcRGOeg2nXAFeqN4638egvneTDRbNewNk9/px+3xT/fYEwyMWNPEoooY1ip
85LIdM74IBra+U9lu+ldzjvB4nSL/5e689iNHFnb9A0NDyJIBs2WaWWrJJXfEGXpvQ1e/f9QffBP
Z0qjRC0H6EU3GlWREQzzmde8LEmu15UDZsTz+Rf7HKCRy8Wupp6ILHavLBwv2vS2kwP5R7m18ysk
Rrpo7w6HRmC0ctRdsZ/JAQFyO8U+b/d5+UkVd6ALKbqZ/VYl7+blDmNwgHoWdrX1VTPduWRNbvW5
FV+TAaen3ZJ/ye0rFEYR/Ya/FWQ4aGEEWecNZEnq5SY1FfkYh7dJ93Rhsi/OAaVxCyiKQ3kc3KN7
djfrRCWxMxMI+PVdRWhnI8A69JSZvUPxqfWv3P4hrd9xWoviJiqu3HS/5LRlH9SqHxxgOlvWmynZ
+r9RV8cpRe/iYpvhtEOsRhBG8HBvGFiiBDFWt85Nf0B2vNnjUjYDtsQF8It5IwKeXhYEV0+vfHh7
es9d3JOTdza9swfAUIvux47p2aiWDWSIm67ZVN+9jXHtX40ZCiUouGK08UAV2TVZ+F2Ex7CiILW3
MZFQQc3c7I2nttLchUjYTX9SY4u31sAyWYfK2aQSU/lDXR+Ye1Fs5qNdPqE4ZeebqTsC+1zNquKt
ui+wJEg3LA1W4woXvGXvZN+LYdebd5TYVws2zOVW+75ggF7dBMm8qjD232Z40N9IX1tzjxhNgDsO
Fk2t+lz7F1QEXoZG61o5tm8LgWIQZeTTW6qVmJ/KNiI0spGP3QsMLJb+fRmhHAgkCNC+jRrM+6i5
XtbYe752+gvFzPVjvPhY//oBZ0FpO5pT7zTEf1569JqPNUZ70IPNmym8cMRf5rVnUz2PxGplgYki
2Bbhrie11JjBOg+me4Uh2oAfKk4N7Y2LzWm17arj23vyWRngrWmeRV7A5Zs5XPdkA69ebxBv8NkM
87UwDlN5241XKt6reReG10l7kOl91B6gT/llMPMsXiqdvQRgnC3F2QWwtHYpQ4RLnwrU8tyjR3di
2NlP1S9wew3wge5STPYiQjkb8OxIguix8RBl+gAcV0H98Qq32MCxPovisUSZsnsYCriqR0KXcO7+
OvEBdGMKgE2+64CYfQH86sx8Lhc7eyoU/lhOjcmz3RfJrveXr5hQ4A6SLwiWl8O3CDubm2xNvzpl
TdvOXSWilVIH3Yb3U1tgM671H8+sNMZxxu+2d74R8+mDVeifeNyOy+Te8WJ9WNBYvBBsvYgumYRF
sig9dEId75y/urbqXSuR2RMENfpbTjPvZp6tw4WN+iJsIR1HBNGCRgzuFuDt6YXQu7OFNKEbP2Fj
/3WuimVn4ZUXyKqnxZSFcgdU+dbnVgOeRucU8SdaSJfm+vJaev4VwEeVogAlvDO85Nx6VRSFOn5y
ZlqZWYevZuOkm3LonCu73VZYnxx925p2ZOhFdTSM2y41n9xGYqiKD/rba7Kehn+dXU8AaXFQY3NQ
izB9ZDxOl6SZ56aPwzB6mhlk2yT5Uzx3biD66M/Utpf4VebZWVmHUzYyy/TMEFkHNXo6XOaVSix+
xdxH69YxE7mXVh9jj2J+DPHnyHEUPPam1SL8XnxvcJfBRagybrAE+lKNvOI1apkBWmPNLsqLnzRA
IygIx2bEhrGYbbhnXCxSTdlVjFPOhaj3HAO0/vi1C+Gxdwh7hTrbPlpXLhAh5T+aM60PjH8n1MNL
e++H2VWIyLQyXHlVRnOPlD26515UGPuopYdUN1kTuE71CVJOFiTCvDJrDyNz78aJtbFN3TndqGHY
jcq69H3PFEgJhMQzzAp0KP1c5Z4TKyYdDqHpRuJpduR9jFra1CB9PWH2ebOk4QcjyYwHs0Bb3Iln
95jHdbkrkT87pN50j+FgfzPPFAuBl97qpNBXA2r8dajuEnDd2KeL+H3IPBFRXYgC0M+8x0dmuk8M
gXlngVjF27v1vMzDbBwAWL4DpthxXP453T+9M6R+okT3NKZYKqQxqx8hwE9wUbo71SYAsdIvriOH
vdkRG4URQBq3yEDBVcRsbTnM14YxUY2is1xmXXifJpTgcHfeJzS5YSg0D73pVgRButj32OzhStqG
W3Mmu357KueYTaDSgEV94XD+fKzazil+Ypr90S9q/zGtEQE1kumjSahZOO69YiNtKqfuNnkyHNVC
rdSa1XRfxABaLOlleCVmuwH97GsrTwMS1WoL3CndmhbP/fPP/C+/5P0/V8EZk+XsP//frJUTpsu7
+nf51Le/f/d33+v/D/gtctUfeYPg0lbf++T7v7ktz3/iH3KL9P9Dv4wvB4XjObviXv2H2yKt/9ie
T6blwLiQBJ/cEv+lttjOf8BE8X/pudFfBDbwv8wW2/yPLbgUfQklRgDw/ytiy+lzul5O1Bv5ixwA
yRJqy9kpGdCSHoYyiTelOePg6mBphoq7uPB0nOE4/xkGNIvFEnASvXMmYD6Z1liFGDS5iRweHbMT
nxpHYNya2E37OLgN6ASs/ThEZV+OM41T32iD1Js1YI7FFZ/jToM61eXooaetUWYNHDM3blTpFB/i
DFEaHBycuQt8LmM82kfgMarMOQ7VgA3mzjJHD9doSxpfi5DKx5Qn6acxy3Ds0xOyi9u46MFkV45L
+hIpsQ3zMr1pMomtm91lHnZgFjnUv3bJf8/Lv1k3pw/q86LAa/JNSE0SapN5FonrMCtVXhFDLOGC
x4Z/7y7ek11+jBR77X+34ysDnRYSXg50FnUvcZbJqWOgJho+67q6xwaNqBNQ4WTtJOBYb56v+za/
ML917/zfgIH9ZPvEUGxwGB/QHc7lCqIkGUarFIj7aiLGsUJGGTH5aof+c4hVAya4piJLfHuuZ52s
f0YlXLC5JuE3+OcC341wsCKZ5hCH3cHfVP6Y7DKErjcTwozvm6ygfN+5TrafMpwW46avDjOSnliQ
Su8CNupZA/ZkAZRlEWbzhTnIPljgsydIZ17u4BFBFD0ge4lyq7pTlrkyyHAywWClWm1+dGf7914U
4ZZrd4gRNUmqEkwsc7/Yi34Qt1JJzIWssNUY1kzho91kw4MxVL6+rlspp82YRVVI+0obiGWng673
Tev0cCgwRsSFckKWLW4r9WkGlkwv0UqdHncUV/1YbxmxF4WU2OK0tqN3bZXqxzoaZblxpMKX01V6
3leVWlk6Yy4oJagu/RYLkf0dv5kPx2o5ysHcFD4MyOmzmEk5brRUmgJXUXvwkzyn+aRDQ/+oZ1Nf
2Jln+P9/xqIACt2IhxUA6tlYRV93TpQmRjDgYY6xd09J0OuG/tYy6uR92q/i7y4ciI5+HabKBn4w
edM+rA36YztWJZ4lMEVvlRVj9CTadIe7dwr8wyY9eHs/n10Sz6vi8UqsZA2IK+dFKgrac6bht2Kc
bUwHxzGNFq+fqdv2xkjjYjS7/EJ5+LXFsYm9YRoR7EMTsU637RC3ddNj9LtpOF+PKne936FZlOM3
XbdRSa/GoDDTiDg/FtrycXq2Cy03VtlJzOMsCjyjEeqrZkmyAmhmhjPspIrxY+JCMNvEydiZF7K1
s0dsXSMYoooMCXc9rpyzNGnRY5+GNl+Tg/HYUN7IsMRCAv/Cp3hxn5EKypXCo5QjbLh1p+uisW13
cgAaONPZ+l0/zP3Ox2uoMSgV5SYU5Lqe+wtX91mN4nmnciZAVoIRhTSn1v3x76ZG5FqGOcD6F0ID
pFwwEU1pLDSKyBMa31e71jjHTB0GWbh/zHR4O42bA/APK/3w9lZ8ZZlJZ2yxhh4Ksu7ZT7H1uBBM
ABZfLAZzejKQKBku6VicJb3/zJjaswM0nNSJLXY640LlJIOKzkC2jGgrO1m1y7IJzkZshXQIoePb
38Zpzq+8vvS/jXTXuACL+Gdd1cl9lXtAhAe8KgKyd/Ovig///WlraRy3Skmp8Owh1dWQYazVs9Fy
/FLVIIwrIpvo70dx4I84gFkJC1+E+3XUGlXjk1FHqezfu2tp2qxN6/PbX3PNn88eJw43yHdBekqo
eXbKXa935DKzzNKKsQ11uuyQLPV7AE92ErSZXRyXcAIAULjhhULUWTiyHlfCTQxoQQtTRngBmkvm
UWEZTHaedh7WcVWMqyvbzXhIbe2jlzJXd7AXjS+uhoxJxyhKH96e+xlO8flDUtyhB6woJL1ELXdR
IwbK/bw1U0IpwCjzbZsCi00yJ300eDGPddtHh26wxivbrdubLKXUkknIRwtJ1LXMJ32nIk3X3Oto
Lb3981658zlg63sI7dyV544Kg6wSYnIvggzXyneZ4wwPEUZl9Sb3l/HWy2Xd7t8e8bXNsPIwuNeI
2l68MnM5J1ZpSYr8HlyTpujwip+M6kcZrXJWEmZQYrnWne48/eXtkV+5VCGiEmiA2ZQmt8vpacdJ
SxSqsiL8yaFH5C1CPbKexq0f2eh6ZJ0T7uquCS9cZa+Mygb0eCpc4lJ6tqejzmbUjvkM5a0RBS61
UxN9nUZabbvWmgZ60zIZQHuNS3F4e7bPrKGzUwdQnSKlQ4S6Jn6nA7dzW0yD0+BUi5atx6arumNn
NKbkaS8x/StxEdtFjqiNXU8Udl0PqTVeW+C5/+heGwaicfYSUcYS4g/otBQ/uizywEtkhUltBbek
epv4evmRFNZiHv2hQddDRWNdbNzcbvIdadgy7WXueXik28UYdDOBz1Hag1ot9wqNp2SxdKB8+Ovn
d0jK4V7cjel4Y0VEnNtGec5HE3PyAW6E6d6n02Drg9l2eRUMZerQzHKRlAlmnwJR4M6Z3wZ6Hijq
D8XUXYJXvHJSSIKpA3OYbeWcg/Qs38gHyoScY9/sb8Jogq4j83F1ZKniwxCVNOQLLISTMZ9uDWVX
N76exb3vp7Qvs6a68vRQX6Wx5d83vTDfjdZEgnnhm7+8aLnDXfpLksMFwuv0k2tTRV05xtEGe1Dr
vVxqtcN9G1nyt4d55Vb1KCpymbEeLnv7dBjbb2fN5yf6gmW8HQuPEpE5OVETeD3CyF5Y6VvpkTNt
vZ5OeJK54kJU/Up8AJeKfE+uwhs00k5/QT9lQ6K1YwQO+tZfpInHYuqb0aVe3Stnl1xKcXKhb1Mo
PJsoGVwhSJypJdQK0/EcZJYUqMv4oV3stRrGONAUy64qGn0HZbbJ3mswHje7xb+qk4xGeqHb8lNc
cW+nAjCxL2N4NTrN5YUFeXmrctThEK71Gy6ZcxFV7YtVyJYntihdXorSindlLdLPdTVF94v25ZWO
0s9zL5wLL+wZ+Gd932xi1TV6Z2ST/vbppyhF61M67wwg/o065mak3pWjX10JHamjv2BL6Saj84dy
D321KOquU5FO9201VJiIxM0lFcGXO4OfA42Xt2yN0Z9/7r+CWC11aIqioURvoKlQVBPum9q8BJ8+
q5P+M2uHtM5aiZs2l+zprJ3RnstQTgY2H0OxbWY8kZpWowIrm9E8FIiuvZ/I+L8uUoAua1OAZ1Fd
6G2XiMre58IqaesIv9i0YwNOKaly+qKLC2cJuo6MI/nj7SO7Xvanj4EN6nHNP00PCOy5/+CUJUXV
99QHpqn6YfMU1EEu0KdM1JxdEm97eWpoZiF3wJ6ggYaKzenaRIVdGVKzNkuY4lm6tCjupbn1sdHC
+YgPLsGF0s6FCb66D+nRCWF73C3uOTusK6i7taujaunHH107bPYiVFzPZibKTa6zJd7R/5CwJxcv
w/DdLgOr88YYpiJq6Pgv1xc6M68tOWk0lU5qDJyOs/e3tKp5mEip4Ox0AgjETBXKqKe2CkAEhhei
qtc2JOpDHupEFIK4lM+OoRU7FAd8Ft0sDQtu76ypz6dzQ8wBwhsEeWUaOMECS/CnY5SEClZBUWL6
uordtxs6ZDPIENNODq6zxPMXP4/WUr8T9+k7vyn9ZN8vRZFstHJieXx7c75yednrTiHdgR/LNE43
TGFE0s3oHFD2kdPDmKbpsfK0H1T52B6q1s7vzHBINxG9u78DPj2fY4JQCP9rvZyFOxs6lUtLacKn
OuNZndhQmV4+9WkBFEMYY2I89H6Onk4aKfVbWNPyYR4lsLu3p/9KGsqFhbwJWFmyJN6a0/lrKA5z
PUp+hF0mH6YG3dCqjlzQH+qj12H1Oy4AhbE7ADWH1+8XEEtgWzOp04/NhGFgqnyis7COxYWg55UP
oyQfxPK4N1ZJqtMflmpvFGYUETHnrvw6TH2KaTk+C3cJRoXLIe+Fn+0xtLSSqwlPn+Lj2wvzyl3O
J12r1rbnSHKG0+G1EYLWdhMyw9CG4SQnRAt0dCkheeWcOibpqfdMOmIHno5S4njcexUXx+Qi+x+o
Jo03lYk1QmBUznzhnX5lSvTWiFoIKnzlnKtMpNWYiSEncGktqhowtiRkgDRBiuWvl47yJmsG54HH
+VzdO3OzRMloPVIlYlBxOeDAIPLkQtn5DGTzfHwcIEwKiARtBfKy07Vz82TU9rDecb5DKl9j6x0P
Y2ddJUnVfXPwJzKv3MxEzTeXgD4imUIFMKJf5jQMqI/0+XdvkFTTYL79KZIIXVGBy+yGv8yKAgSj
kk2lXZE//f3iUO6wyAYROgBhcPqrqSkqT1ujEeSzJ3dJ72uaxrV94VZ7mTDY1AipFvK9wZGc29nm
BRjUJWIUrLAQGuAqPSRmJz9aVezCQ4ca8faszFMuzz8fg5IZn4HGlw0p8XRaTZwZHVGwEZABgHmd
G+OzadIMsBbcGKMWdEBShPMtzWwkVPIM4SHs/uBfTBac8yxZrga8PgOVecXR6bxo33hA932y46sK
XS/b78vuNu279kKU/dqRsBUHXbJX/RdcAew6Z1m7oRFUpEkkpG1yNLTQu7dX59VRqPVx0rnqrXMD
hrhvjUHlZLXV0qnrdoH148q2vzDKa3cJ4n3U0xAXdF68ZEuUJfYUrm2YKvS37ewgr1Ejw76FDiGT
C3fJa4N5BJ/sL3p76Iacfu95UaJoc726gRbxbTIl7VXVUUqyq8i/EOW/tnoccRfWCIUi3qrToTor
a6ayYWstykOwS7bdVd4X9sPb3+iVwBE9Rg96P4nl2po5HSWLtduOoKGCMXH7DTF+u0fHn4Zx9zh3
JSYgSXPhe72cF50ZjguwJ65lqC+nI2L92tbWQIIXkckGmT3X7zBRmS/s8JcfSinf8hRQpuds9ey+
kbKUme54x8ZB5Hth4GWOV7p0d9KNo8Pba/jajHwKp9z63APkQKczGlLZxgaiS5tVnBDihdEEUdMt
F+62M0/j9a6hgAeQmfIqmx3lu9NhMh3rpApL9PjB/f5scwdrUtOu75pFNehT2uU3kUXp/VTEzY1K
9XBMXaPfZ6nTbGU7/Mym0n+a0f68s80l/YSUdXhJ1v+VRXfAslDWt+y1qXEW2eVjZSXFKsbd9TFV
dDD6KHT0k0/7NTS/vr3oLzcuxQEgMzZACnLg85sX4i4lEElBpBNuHVgl3T2NaMCmtNp5ffDa6Cnx
pv6SLO0rgePpuGdz9PtwmKuK7WtEFC9Va31P6zrf81PQlvAK9SGnD3pI7cW4cnXvvPNHwNCZv1SB
NrJqP/YIGetsqr6/vRysMJ//NN3kh9HDolpGV5pWzen2KBxNC9lfko0j4qZ+6PRiGB9xP8zz6zYq
VPq0lKOZb4gt5R+v4xRuIGA76dZt+7R+ADNa+huAfuJ+9W9R+zQeGtIBK/IQs+MzHPnwuXtIoghR
F9Xqkkrg3NKdHiPHIBD2sQSr00pvKrFIKOPU/a3Aq0NYm56XxUTMnd9msE6XRW1pYeHeBxd9Rspo
WUAs9XNmkQtMjvidL53zSC2cFHaZpuGBmlRqQltry59jJYGr9YOqE+KXGueUcAYRteFXarVpJrb3
be5S4eSFXZu1KGSWUwACRH/GWDGPd34r3WQThUvVsk5mfUOtELCy6XtAY7Ilm37OZsP59QCWtPxB
X926YRZhMpBSZQoM148/uS7mXgH2ocsEaN2HWYOKv3ejptrHwsge6GUlYhbjbiqrJYP0KeUPXKLK
Hz7VyJKwLBb2PmNNlq2YYwMAg2HYH/yMhdx0YxvtpDe5alP4MzWUjvg43lWlaX11m9L+1XV1vsLp
R/s6Ckf8AnM1joeyLo3tLEXtBlQDW2KNzs0QZu765WdjDfVnB+kfe2GFp7BUVhAnTfUwmoSoqL9Z
KIXKApWBvSrTmG5U2vY2OILW9gMpQ+9xiun1kBnF9XRIvNhGxi+JY+sQt0n+WEzp/KUDk/Fl1sWD
1QzpVQv4UmIoX6CJ1JnyZzY21efQN5b3S55W2UanvfrlTfMMk6o2ouq9LVCGBIhv1enWKmL0Bxpd
unLTgEOet51hKXgEUdR/kOPg9uDcOvmJQoe1XKcq9qxd7qYjWjm4ydcUuAp9QC4JWZgp1lO8Ncde
4cU31uZ7l7P7IFpHkwVIz/jcJ9r7CerOxk/Ui+Iniz8rN3ruaDqKcLId2FP19K2TVMEhhhriY96k
xR2mKHm8wfdwNndZKy18z213YJ95EepRbHNUh0blhE96yk0MMMZI3k6OU+VBOov+fkSc70eWFtN9
brv9j6zVVXrlTjK9anKiv6Wcwa5S++ueqhT4etC0SaICaq94y2bWLG90VbWAHJ0B9kxtVXW8xy1H
OLvYFymSc0A/Kmy1QixKtD8gGGH3CUSNqanD7/a8GDyEhQ2uZNGhE28E2EN8ser4MBtz5mCptKgn
NRpRT3nXqSOy9AFkso1XRX6YvWj+VYKd/tY0ncy2Sy2GdlPJkpIHRa36E/ZhZbXNm25sAoPW5I/B
xSRyU5dJO2zqyPaWTVdYtnOY6f2Ah538st3NTqKLm0Q0dRU0vlyKozEqgLJepa3PWdtVCSw6bd3w
e02QTWY+/smkW36QAwlmMJhqwhKq76Zri96uu13MGAGSdCqS35UvEUdzhYEiVBlVt6X24ET4U+h/
E1U5frErL+e7LRS3AypZE7KBlQFFNSHDg0roD8U7Iy+ghxix2X8AfL98GdaSxNA6Ejcx7Ar9je7N
PN7G/dJ/Es1klaQCqnu3SKVHlKmU+dUd4/B9wpUNH7tLhkeS/+XB1xHgHRQiSYSSBsvSA5iEBvNg
S9vjdePho80nb2UTxLL035V4nvzsOxmP2yldpp2qU9vZRokxPSxton40Y969E1PVxkFtj+LH1Axo
Zxj+lAmq4A0g3I5nauO1SfZnaJX4rFNhxkRfXfQAdCvBcDpRnbPhHKuVPO6JJaiqxbG3Jk2Yx8mz
KCHKeQSfnCadez3XSw8bvbGHu3zoQ2er7LGZbkJjKOatSJP8Q2RNjXegomV/kGbfw4NosvRReE38
gyyNgjkyrUj6ULL/nOihf8LMcl6OwrXMmqoApzsAPtV/FnEZPl9ABVd62ty3rjMkQRSLhf1hGeGf
alb6cw8+IntyLOhm3Ny+dytssmNQ5HX1s3fCLD66gwFHdpx0jiixk3/08mYp9o3gsQq8MRlhNtGG
25Gj0kJp9BAZN0aj0RsYllhiTjdZoNK7cWih5csKZeM6n8fbJOynW6sP4zujCcX3TnbzABE31790
NqOwmtZUmK98lSIoYtmlA0HUj/1vmcgwgWzzqb2JebTza0V3cpP5KW6aZmmZ933e8m71cHnk0dQO
BMfUCrN3NKzDdguSCDwYjhp2H8SUJVPAQ9yl29TUEyLiOFUQVhvaREesMFE21Ynrf2cAuKe9k3Xx
PvZ6WWEKYMUfJ29pTbiN5qFNYTjmVhRfRxMHThstbcwsTIuOGyCpTbrlBlSyii2ojxEGZved48ew
zpQd/VxsXXTbxZ7Mexm2Ev6E31bHLlS0/g1EuX/aCzwGymfYim7iEmm+bSLa2YN4ZthomHgtjFG3
tsMxsMPB++FUJcZfTu23t36ELUNWJDmN3KaIvyzLaCNt52A0vG0LW6yYdUrOSzRZ8aHvMW5nGDeC
QYE487fE8hHfNhwejoA+hft+lpLm6yxC/j6jbGJcH0JX3CJWXhmIaBnVu0jbfrJJZtWLg6nbKToO
cvS/NJEXmZsl6brrQTsOF0zTzphTMI8AdNIS3ucY6m0Lsy/8bfEMGMIzyn43T5XGz8mvweZF4N+q
jVmLBam7bBk8vCKVVwSR3zfhvrEN9AbdmHrnLuq8fLgN+XK/VOtOaIuayE/pNETwzltSPFradNU1
a5riOzEh5hXF5KPlOo62GAOID9Z3jT8DyEBiPsR+ixnVIMedlURGw+PmDQffrLeOn5r3eNf46PP1
/WMdxvG9szTRuziWrr4uO06vqS10aApLzo9t2a5u6WNqZxtvBMO4SXWnvxH8QfevVYY2Rygm8PVC
JtkI22HWSI2osXuIdG5+zRqRcWkt+MNvswF8e97F5ca3h4lOdiy2Q934f9LOMb4PcI9uxaJjBe6x
sZKN5A0NA1FG5d5MJjHuLUvLo0rbqd/FpgG6pTUTc+/Sl24enU7M6Vb15hg9cj5QQpz7KKw2Fecw
D+CSeF8nncX5dZ1ijHSDr+kIfTgZdHrjFnELUCUXebvt4jzNrjIl7LuhLCroDm4zqI0hKZoFJvCC
9k4NTQjdvSmyYtcozN+2DV7L/cE09OAdXLNM6uvZSzPiBJG20d4IhUoP/oj0dpYNWPj4xjB/zFsj
faoS0593La2EPMg7w1bIIJbtR1FZmdjYC47IxCwZSgpN78NpnlWKwP0w+tlnIFHInWDGKuDnutEH
Vc2FeW26c3xdza5ctiqr4TBkvibMZqu8b91V4skKISNCBprSa28cpruSQhkdqhkYQQBkYyi30zIm
PXrFbj7sOqeDn+zajQ9kJlnmY5l5Lvo+/sy+1vAUbrNZyGLn5l3h3uaV5SPFaC8D4Uts+NFmQsjv
URbu5O0rPYa/xrGP3P0y51G+aXNllkdzUGCYy8qL/4xuGvLbCFbu8lKLexWayzo4IIZtPHnmT17P
+ROHSc1Ib+r8obImRXWkLt7XMo7Dq9oM26+i9st34LKzcIcHQHOophHfJNcs1rAakvy8iYze2bVD
RAOdVkB3a9tDP25ULXRx2y6DEe0WEUo4SP1cH6HtpB3aMwQFgdDKXPZ5p91u3zoF3NcKUJrihA1Z
urGzSA7btNDpsKvDEptH6nA4AmZDjj4iwnDLJzDyzb0CtW4dYzQkIKL6XVY8ZFOc4SYlctzLIzk2
SIhK3HsCIAy2PipL8+f/T7S0mRUNwHkqRXAVECQiftMjcb6h2YK66tuZ5StdPooarodLBj4Dyj4X
VM/yHAl5E7BYplUNArn/NcQ2eZ6OQUp5MmQdPEXJeRI/unbA50uM3XVez+Fvx5njv6/roNOHGQj9
xhUSelav0kC7yrZAy4M9Ex9qI+t+uwgTbpLSji65LLysJpNRexC5aIR4TPysS6GskOja6pl4U1VB
PPrddurS7k+Jon1Ax9u8kMO/gltTSBIDCgMptUJ0z0pjVgN8AeJbtLEdOsSiH8s+WIzF7wMvn3+F
cTF9cFTJFSiRcc4Mr37XaGTDBmWOQRMuyD/HoV83QW7M8yFbXPrab++F14ouDhh2CrogUeQ5IAeI
pqicrgauHPEr5zHOl8Cf03qzjJ7xvq+BWwxlpS/swLVWd1bZoMIAkAuWJF0p/6yWJ+xJzkMInCtt
G3+f+n5/g3eP/TvrU39rhU15zMapcKhnoDDgTo5/oei77qnT8TkAK1YVqiLyH+eVWDOC1+eVjI9n
g76ussk7dmPRfe3M8juRcfh+LigWdAbqZX+73O4K9bHoktHTpi14WtKZE8O3qklBsTCm4ZoUqLi2
RNjsFkqfiHzq/Au98PTCar/c9atAhBJ0ZkGnynO5E6OVfr4s4DetKLXwel+ThYVYqEJP4Zb/kV+o
nr6y67lcsIWgGw1QgqrL6SyRCRvmBhokagNVtYeCm+8iO8w3y0zEybvmYKjtzjavpWdnk02O0pDm
gOeMH33RlPsFpO41O4QOn5348WZC7ftSb++VReEp5BYEe0Lt/xzYN6Xo4cXmHBGIIA4xZZTJRXWL
m+xeNPLX21/95XYHgm2vmx2kC0jhtdD3LzjNZIi8gMUIAmqsqlu/clvjmNqG7+ys2FXmpvft6POw
zAbE0ZhucIAdRnnJ+/gl0YaaDhwQ2phoYJJSnP0KsHXKiVZEiRnqvriuzAWz7jZO7KdCttOj0TTy
2xyOS74teXrsrbZMgiv4Fd4vwxDIAr29KK/UXRG1Au2EWp8LovmZ3vqvVUksz6ifaQtjikhFA5cd
oDpBRr2gSV/EFUXuIq4PUYXwUdosKAgOVrNvhnA8tmk6fh2pB+6GGmHpt3/Yy52x/i4aT2CgYLWc
A61bc/Yt3bMzUuzQtvMCosHFIBnLYs845ktzCW/48jIC10q3AdYIGFdaqqe7A16IaNiI9MvLyfus
aVLR0e67jAhiTQsiTYSdIq8JR8IzLznLrX/56U3IDLmI6K1wJdKPOB0c0m1q1aEG3zrp9tA29YQM
de5e6BC9sqTsPA4BxBjcwl4A6xwnXeSKNIxJGz9k4Kjft+Yi9125dFdwrvQlFs7LvgWvCm0wDgow
ZR7e02lllCoMQ/GsDU0bvVOF8LZlWrobu4eJ8/Z2eWUojC7RMSCgWLGtZ1f6WJit7G3YN3E+LNul
79LdDFgGEnk4X7pYX14kjMBmIcalM83ETqcVuXDNxlj8D3vn0SM3smbRvzJ466FAMmi3STJNZZZX
GdWGKKkkehs0Qf76OVnqmZGZaaH3Dw2oAUmltAx+5t5zuVGrtDo6Y90+YeYpWzaKtXeZTgkJADFm
o1Pla/p+Xs1v5pQ1IZpKPWgHpsij2zQXVo+mshu1NWJqE2+d0YIQWBTufFGie/3Dc/4/3x7ic1D8
ojNlyfrzU558hfQz4WpqR2dmGhYP3rHjLIK5vK6Hv/8ofj9S2EnzYftoCrmGf3PET5jkitKrMbVz
YlXX/VhI+P9Np97ytK8lHrWp/FQ7qI8ucmUlrJXMLJ1eOzMthqhf+64KvAoVWCjYYZi3beon/v7v
n+O7LuKnKw61BMzlM6cC1wjq25/fEDHoMi71FUonW8HlKclUYgRzJ1YfMGvGdDzRpqXcOUadzrtB
mf7y0OqlRCJcuHGoXJs8ALQQPSoPzvht13bNOZCrY1ztlQ3qcVZB2lVSDma/nYpumDedFWfmxsSV
1G4ou+r5orJFfzlWmSyioUxUJBM9VQdtjHU2EVqhlivJquJPqVHv97lfXjoOofPqm3cAJvEvh00c
V/SsDWiiXozrbtY6TYWl7hUvDCBEE67eWOURQ0S3CIvFKtstNydzm5d+WUSpwlxzlGuTAdUSa2+f
ssKONVjDs7oXiN6/uG7OCDH3rbUJnIHPfkP9Nb7kVWMyaJispYxylaWS/WKW3v/9p/rbMcoUk8bi
DLHmP/YaP3+oXRKXBRVnGmg67Z7f227Q9sv8BzHk74UV2gG6JMijZws4R9zPD8Nb5WVGPKAEHeP2
lFejr3ayXmQalpXV4wfytPUB5kvNwDurq33v5XKErt42IWHkDTpFctW0EI4FXmzmHbEZTZ7K1z8o
mn5/N7C+oZBlc2n6YGbOf/7Dnd1h4G0oFnuBa+Rql4wSPhttXvRP33OudA5CwDJUNeizfn4UJiN2
ztXKKCklX0JDFKnDks+z9g8H/G+HLip908UbzRnmntuWnx9H4/dNWTlZMLctdKzMIY+YeUm0VEPd
7PJEOcfpvDMKpLLkRW/zvdz+/Sv9rULgGfB+YspGBPU7CHTW60kQipcFltloW2npzcbFcHZiXwtT
pxKDiizN8Hcm68Kbv3/o3+7cPDQM8XMUI5JYtvI/v3jF8n3UM40N69ytwYz35JJNY3zHqWPcqhiW
998/3v/x1Tn3ohB8LF4sNtqfHy/GxYeelpHL0Bb6QZXW24LL/g+fqPv7o5xt2/RCZ4fmuSb/5VHo
h4dymXKgMpX9VDCsLrapbzHT76kb0iiXRVKwpkzx22T6WIO9w0C6tCjCZiZMqDEaMV03mRy/aJZR
DhtrYV/sjlYz7qe6Lp9QlajPsZaOnAONZMouzXm9Q8dmXpWuO7hbc87ckUSg5gyP5Zm+qNY4g32L
YrLClWsKmpihzTGGJ1kxc7PdZrxulhbKQokskq1/rWn3GVrA+KtXim7a45txkm01Q26NWM/GeHmR
CZdhoSETCAerGtaI8XNlEaeZJNaWWz04GyRYzpMZ464O+7Y1b+lK5uYjoKJ4OSqzWJGZq2noInTX
ikZFwm7a1O1Q1Ru22/J5RZZlhGnS2gqecdpMvKNjY+6GYvWpKVbRXGta7A7htEjWV5KL5TZBcIWL
QZXxx1zrp1fZOi0CAgwN8lPLGvpgu+2AoDNN179iRf+NPPnXuX/9H8TEOTH4p0hfwNvJa/8z8uT8
E9+JJ6b34SxDIrFWMBr7Mc3XND+cU2ytc8HJBUk79L/EE+sDh5EJ7ImO9iz84p+T37N8LeODSXHD
T3EXIMmXKcc/iPLF0sTV+GPZQB8GiISTD3O6ye31l3GCRQDkTNc3B3OSkJwlGM7aeMNWlp+NvnM7
9itBW8SuF1bk9nylAmzioBBjZbCTkvkTiaKOEU2sM656K4tlgKQjJydwrYw4yM1hfTZY1JDl0zfw
hoxiMmXg8dsurgbbbGB5KuiSbRl3d6uofT/08TQPYey1Zr5hr+LdMrd28UEqk5imuAeKsKlNGrdA
+Inx1hl8OHllq8c8XeLTEK88LKU68H8uOVc/uFj2F7IAvpoG27WxSNjRu0WXblGhPE0VVAnXvjZF
dZ3aw7NG9J+avUvNTk9FrtgIMsOEDhlPY2B3WmRSzuH+j9JW7akDNuwA9vy9LCwwJkalsvVD5yUr
VlVbDDcK7fNn24Se2djEFqTmZe71IUYFSFB9RA2yl3r7SiT4FW1FWHv5kY3Og16o28WD6cKOKWIv
Di/XnTda0kaSxZKhwEgqjMCyAQ/PL1GXuD2BUJ4+g61Y+BFrDWNif9qeynUUz4nbbJe6Ogye3xpb
DdLR4K17lVkLiz60PB3MumWlSTVU9ZglOauP/jZzms8UFS677Zm7U1kfWq+DUFgdWoNSuPhord02
G620REdyK1d9O5TlwW6nW6vIGACnz73zmGc6GKhPiSe2uWwu9NVE2TYHxeBcagRFa67awDRjsSjm
5Nnr4n5rS8meGuhW6t5l6fLAHD2gidglNeoAKq2wbNI89MZx2xZg8B06nYbRr0O2W2a3F3o8vZPK
j82SHzBv3gA/iWJyEdAHRM1IOAMtfpM5d45eHpGQsJwXZ009uh4B+LzSKvLgvDBz2VLLC2kbUZvb
AOAf9bLcGs7EQe3yqs2HMWmPcrB2GILF3aC9OI172bRE0hXdl96br5nIAC9GVsWnlrnyhtBqQKf2
Xa7qb6PVM6uTj5ZbbiwpsbQsEzFLZWRY7XXdEuaF5ic3SdDJ2cpWvguDUxxKdZWhX8E4defBc0Mp
HEzxXTxrQSHr5DS75Y0/6cVDOpMOpxaatLjcO8W0t5FxIuloI1PXLpw46z713eWoo+mRihXMWvSP
Gn/N1OCgwzy7rpqUvInlRL32kY2oHupefp1k046JFmtu7mSsmPbsTaEmIlyxompek41B3CG4lq2R
ZUe7i4MZq20UM/9CIk8wWenCsqz3Rjbhk2lDwwO5r2fe1Wx1XKzZJQzBvd6WF6za1Qb2543bqkM/
FGHDbgnVmM54H7eN3oEjnosrIIAHc9L2yrG/KbZMXjVvJ74hplYd9LkegrK/Mp25uy60wb8Rq9o0
cjxN1YUyzIRezeSOmd4XzupuEq+9Zf50FGOM9CWfdbiB6Sbpy69O37GvjQMTCyX1TOgvVIaJVnxa
9N7a9GPOTHUpw9zRYeiMdP9LvE8F72gJSq8lGwGv5Vy0uxo8RE2SYelb13PPbT41Q7PhQyr7jZFV
5DqwwqXkLO7RM9xXA9+/2HywC3Jfi35Xxrx0L7lwjWqf23KTaV2FK8zIjqKvmaQnVwtrPwT7J30E
/qj5ISLogA75kBptIK2zEBFRTMEOeybWqyJsr6Xi4cL9ptoy1IBCOd6wN1BisWFH2HZrZ0Tn9ABL
EPekz0s5H614uWYBRxQt9NE0Bt6nH70lCRubbDUrPyQO7fJSOPteQtAMFkaK3rCEdalHhUBJIPSO
YXRjf8bJVHJS8ZLgu20cp7/UWcWrPLtwNeNSN7oL0WM4dIuvfeG0T63oWfzHydaUMvSlOMV6/mLp
Kqyy9FDZKBit9V5PhkscqwH50gC8Ezac8wVwEr5OdRewAt2W6NLU0t/qpfi2es3WXogU5q6m9osj
rqXUN0p6kWerJ7cYtn5FmSXT+eSOzkHoQ8j6UQbN7FIx8tqk7+1iUnkHd7xtrO50Po5UTONSkJys
rK9a7AcTWtuNcN+U7EK9zkI3u2GsMG2XlSSNXEKuhuTb5xtt1b6p+HKo1IW1uvvRy0+5WIjBavrD
aPOxC3U16ylR5FVxreLlhUZpk69IDpGj3lCKBglagKgh+LJ9rrpWfUEMsbeae6+3t7OfHeNCJ0JQ
q4gHrFCr+Ea1eBeuahQHosLKwFiy49hDcjz5QdzEzdugnOE5nYf2yewxru/nPk5AQM/Cv4WYNxso
RCW3FkCV/Vvvi/5RrX75pLcDU7J4su0bNXUY4Fak8y9NWsmnfqnsz0vNQ2+IYCeLp85lDSko11P4
NANXY6V3ZH7FOYLUFunWF1HN+AJlavoPi19NBh5Al7VZXKbys0wQgQTpksxZlMe92URpl+D7K508
pThu/flkseWaI6X04qu0XKy1Zqv6k5ytmJwkiRY5mPSFM6Vsua5PTWlVX13DnL+4otfTKz7ipkds
WHDtpLMkMVdHPxYVrtaOu9Szym7r9k3s7d0uMaywXooBbcZgxf1RyUU8D87Aa6Quep9QnnXmiknN
JnOKWoUuUAX0ttWYZwccnw75g4NbeJfIAe2gttfCuC3HnkyWuMgkuhdH86xN6kr44ctQLNpeaIiR
T2vuZc5uVgNSI9RD6RKkg6/HV6scGiesel2zIpXkaRzGmCiH0MxNMM1Wgs5vgzTH8IOZfr/AFty0
PvOw0UDumfrCIQZvTtKrxKCgCHmrOheSDjmouehkeWEZrc5WoNHLqPOqLL9wF9Pl1MuyqdvLZQAO
qxyyKlKzlTLAl6YnYWGzBiIjKjHaKOWO0UYDGVL+gQjA+Bp+ao4WSKcQ2ZdLxWyOMs9pIt9CW7b3
1gz7tTEPqjuq2vO/GCjoJp5WW6U0hLEgFWmoJdcnvFvU0rA8GvKdStc8aay2SJcb44FMY8h16bZR
vkvSqE/oHHIskYX97MVy23XlZBxMvV511jYpiFHNr238dZ6tsTpcWJhcaDojvVOVjHUZxfZYnwcu
3nijSimulmZhfQEHakgi/I5Js3fmWZ83yqC73PbdkKuIXq81I3MSsbETbkOkDikY2Kljdv35dkRD
2Z54YunXtXN6uWFB3y7XaCcq5+ROppFGq9fmB33iG80yjalM6CatZ0Vi8h0bBbLyiSTui3k4zMqu
X/2+nE5xN0/rxvRJJauS0hGctiInYjnBwbldJomSclXDdGzbxsqDmPqdI0UfMtKb+qqzD5qPATDQ
2Iija3bwM24GrbBe+jq3kihPJr2koVx6fAq1QtOST85xhJ2Da1grnNMs7TIPdZK7xg2dhQWX2KDz
DtdJWXCIzH6ljEFeOAR21jIw9Cl++Z1KEMvYKXdQW+HNphvMae+1ISpsorelL+TLMrpTsvHbeAbZ
keX4b7w8LsjQs3LDYrK5UOhMTpb6oYJEdi4bHIWatencHurt2rxVsps+j0LZhImNIxI6geTulPlj
+1V2yVmKyjKdJNZ6IkTJSrpQGgCtWD5G7Mro4fU8JYHNFiO5TGVZ7UeGBSLsBdUSerr5ybKqhKSg
ASyOIXOI4flsfrbbRkeyFs8ZYcazkV3Ap5PHcqLyi5w6rstd1VRZtgM1pN0uqPOy7ZQ0ySfbfUxs
8sjTyhrfWJgvJTnVlnoopl6I0ExKaivPSfwvVnwWLjjrsFwvi0aISzrOeA44ouNNmbvco8GCJDGT
rNq5RzQovohmaDLMA/YwhrU+t1/Yh8o+iru+EbsqtstiM+sxvpRzPM8h7RRhuZWqhudF11oXWAua
gY0/GM6XpvXENzLhxJvlJgwiEI2KF3MWdh4NbIfHsFngEGysIp05BXXDqsKSDf63ZG5n5HjtZC5b
ZpwF8UJrg0EH9hyCdc/u6orKtHHvGmkpY+OvhfyCv2okO3Ue+fiGzpmGTd4w+AyFY3Jj0n26JWEu
wDs9gyAfIN13okfvh1yqJIQVhlTTBSlKWb5Nrs/tt1vY+wVmNcP6lrXquDGvhnUxtWIhC6ZusBd0
XjFvl9Ylfc6ZEIiHs2i62zTOtAGAcp6+cM36b6tcCUK2V4fIY3vxMHnkSTqhGHPmKd+2ZqruSt2q
b4dMGK9YbhsuyLXmFrauPWWX0r14iVbunBdN2fekU9WpoUEBbpXaxE3OLsKtpgXFhJCrhcSq6ayN
L1fzs5d5xeeBX4mci13Yt2XVZ0SF+TZw3veJxr9nO/86A//+ZrbzmvavWf0TzZYf+D7asfUPHuoG
oEnnfShZtkw6v8Ns+RMwPGcBDPYufFdn99FfMFvT+SBY2J3XtQC/PPMcPPXXaMe0PzDuZg5j4Cfn
J7H6/4PRzq/7DOGKs+EZ0xcyfsCFznlO+8OigCmOyN1y6SBUe+M2z6tvkKWz11z33FOlYYYucxxK
YprWbe3H1ZuVkkXBNIOk4NRfX8wUBSahSfTGYrb+sEy0fhl9vz85890a6vE/0/plFG239axpKutC
rV1pzLN89C98ih8VlQ3teKKy+FWzOnovOUwEUwEU2HRt1gYgVPPLHIToi70I68br2s8OjKcwtmZx
Dw+QJqbgcHmk2NUxnVnaJ9FnTJ763jbcoC+skoLfb91Hk+o5kO6k7RYXx0ewZBoTk9xxNFxBCd5Y
PAju/bLaTSTjnKgoB+csIk3WVBucW1DLB6JoetedvpZeiwXI0C2OFfrO5RsapcTe1EWlxGbyF+dl
6Qfi66F7/0nf8Evckvv+RpKUh6DC5gG8X92UDAPKXEvbPuzckfsUtcZs4snxS/poTGdafDlVb0Zr
7KZyiriL1hVK2/Sum4pNrSfbxr1n7uIy1miXjZ8rTDV0pCN5J/w26m2aUHBJuDc6y6O30P6Ab/hl
V/D92Z9zBc47d9/8FaO/0gM0SS559sWUhckgrYAxXf2HNfkvK573R0EpyAiW5TUEkl+WWYa7Zik+
5D50l9qKNJuPtI5Jl8D8Vr2s7rwyyciaPyxbzPOe44fJqmCrdc6ww7LLzsDGaP/z9ZeIHhMJu9JQ
1F0VtValn+aKQhnvsK5ebTMXX7mE85zGLGlureqsee1pjGA3VtXJzhaaBYyjN6Olg5/H56Wd9NzM
n/LOYM6zlKin+7nYKQd1bZjDL/uDhujXZfr7C+BswxfsmazHftXqcKysNqDpnpDICfeAmCnZCnA0
60ouoZk7zbYfBQm0U+xuHUrGbbYIrjn2ZHicPHWw6aMDokNLLEsMPAY6g/0qtCKscM3slpIsd0fe
ViUi4qprcswAtntpNNp8zUxO7JxWvxvWpb4u8qQORzv9k0qNg/vnD8hmXc7Jzd7XArn3q1AS1xby
unEmEW6y+r3Z94cu86YgMa1vYINCz4Ul+sPN4+b7h/83kGukWGQhsG5EnuifFcK/nHploTXxVPGI
bd9/XDDHbRaKNbZIF00lxR9WuL9q0t4fDcSaoEzD68895ecvYFMUei8tEu9s3UH+YA/bVs9cshQz
shMq4W27hezP5kbfOx4eg0x9+/tX+36I/3QF2JR0UGJ9ZGiAj349m8ZY65fxXEgnjp/syqayLsqx
ig8lZVgQSzsO08XsorHu8aV1HYBqWs1Nx4qKgKF+YkMwufQ+LAUal9GMGD6uEwF2Vp76tCeDHpp4
ykKa65T+oerxh6Uz/5ojmBYxKkxK3f5YqVvLQ+o1zIZ2U9X45FLHtiNGHsmdxNzxcUrp6sq4JY4w
7yk7cQFFtkqZEQxAVx6MjCRQZnUo6Qnpw3rgHFjwN49Z2qExbZiCMuAVkSpW9X3R/++a61/vZvz/
v+h6+iqH/9i81sWPZdf7z3yvu8S5TjrXUOfEG/2sevvvuktYH5Cl6Uj1+MZj8jlLgP+qu4T54XwN
ALWB43TOIuGP/qq7hPGBcxS5EOI5IFgkzPyTugsE8s/nCsJr8b18syDkcwtgefdj4cXUXbTp+SQx
fBzcsfU4CGe8aTNl4dkpkr1ztkJPs8viuSnXo7eqG7Psm21d6W6gMBf0eOyScYPi9DQybN7pGsFI
fiHWmwYjF7ubvGMIokxrZ1sqRPS0HCd91LdZ5QwbWXYooAeVRcxsDbApIIPHGoGwf65sYC4c6SWH
UJhdY29FOmhX8+o+atgAozNPajtMTv4tXhrj2hyM+glrnHHTANC5ZQHQ3xClo1+4zswNahoKptxs
ZkSARSd9okmWL24bptPVskZ5v2NQchkrrHPOcJH709dO8ANs7e8SXdPCzFjfhAl11qkmRtoQ6TdW
/2Jmz+aY3TsAaFK7P5hltbMXebDSQ/EaGyZVl7qxm/o1drqXeu0+932N2HbE0+wTD8YsxVXbbG5v
sLTdGEnNFU+vRjzMfo6Nj4wyQs1pd5AIZveGhds9dO97otVxcdfulZlUUZJhwVmMSPbJsSjVzew9
55kbioyxN45eT/knR6rTxBk+1yOprY320hGvsoEWejvI5N5f2MYhnnlhcnVnDxUL0vWUFu4RG8+n
olmfZlmSLzns4Jg/2JMZJQQ8i7a+PWOjXCeGJZIkLmOLT5IcXiX4kmjx9TSRLlVpOY35J1Geku6r
Wtaw6fITZos7s8mbTVslR7fxtzTqWYD57oiwh2eSIV00qm8dmAwK/o2j+VfcfPad9K7Njkf0kIa5
S45HMT+suR3YUxGegWr4Bz3jekzsqOvj16qo3wjsBEd8q5n5dZ4W0bIeC6I6E3xl1Ci1DLV+u66f
JoKRU/WYGgQmDqJn06LdV7r52jbmvhDXlrHAKUBOBR5hR/YZOague9eSeZm2bmXSPNjxR8YQllXe
9XjYFDmlo5nvNC3I0+wm0xLGUxb2tTzysU+Kwb4aJu/KrLmbNY+rfIrr8WD1PWVdHLaVvbc42Onl
L+F1k2hjvWR9cpPGlE16eb1ooBeshkeikQ+7gVuGKA9a8SKBzcYty7O2CFx9YX/At9PAxTh5u840
L33LS648ZVxgBH+xzVe+Qce1l1tj0j8V5qfcuzNSPqduj6+821TT/C3Tylu9mO8RG4Wzx0aTG5Gu
xMGtn2uIt5vasY+Wp0V0Eicx+xe52z5kox3KATueeymJavWKcdsbd2wrn4zc3VrzpScuR/toOv7Z
A7zsoLmexrQ4snr1yLjRk3IrChlZDPDcWuzMbIikTF78knm6TQHMbuee0QLXpOfDCth3453VfWVv
ykxv27Pgr+18y6AwsKneZu/ARmzr6fIkmnyL2fSycXyyCfd9Q54Ey/KG2Uun2B01LsLHYkOmxrWt
9c+la+8XM35way2S5JxqRbUGhubfIho4as7tlHS8Deau8ZMDvqloXnd11UfEm+ylLSM7fVks+0YO
LIESWTL51h/jbrqij35CDP3F8KCatNkcrTXgwmmIVHdpO6yV3TrZDbLFsN7ureQiLYjZ0B5Z2+KB
Z/GQ5CwhaeceaNNv8MEiayVhnVAkdErZIDdkIWyV8XnxFkrsNUx8/Hf9ruPr2wMPcIvp0dThzvV9
/C0lssTXqWmGpjj6uCBHOu9Nm8THtq7fWoBFHOgx8lcyt6gPYTtNWyed7x30lWHpGVNEHcXavC39
J69ukdLq7Ysfp/3JSvP2sh/Kjk5VPwLPvBbaeuqWxMcYp+XHRZvgV8ZcrSB3052V5W/pOF3HRnly
fMaq0IzzY8yK3naAIjSGwZfD3Vf8KKmdjNoGA59pvd5jdHwdm+lKlmV67DB1RsNQ63u7MKbT0Jp2
gOywurK489zZlTRv5kUYV6b+HOeRjeI2hLaJ014PkuwhTRxC2WXCVG3ojJ2XuVvpX7KPei1LGmzM
leuFaUAQSOQ+dpdb9hjtLl+aB41cuaJsd2VRDcd6pxWefZ3XxQHWCT7fJGEr1Md2aMbz0S91f+8r
fctQr0EBkT1x5pdgVO/NOFxHJ9uVenM0c++5S6eHxgLdlfbuQ591cTjzYQGfww3ajaeqvslg7KNU
jq0AiCy7P9Zxk9m8zdP0ZR3Fx7SfjnVOIHqcFIQi6teWhkncMPRnlFXxa8ueLIBKshkyrg51gRqM
y3wjE6y6TWmuTGNZ6Zf+BF3lnCw0j/0TXVMXoNNi1W04EdqsJ91Rw0ETeXLwDHWZr6+umT7PC3+L
9Wif7yrCB72qWFmfaW86/thqAgiqrTu/7uawSMSyXYbzGt4ur+p2ofCAjeCUaASm9VkfxTdt6frN
aviSCM8zX14wEHZUT6uvrBOcplOBYMxY45dijm/9Nr0Cb/M8W/Pr7Js3ts0dyhreUDF35l3SzHqY
+tpp4KYECtKqd7muE2prT/rFTKD8xmz0bDc3DNjT1qlOGgBk0nlZ52hqFhzf5T10AMUtv8sCQAxX
/bR2O0va3TY+v2Ml0msQM2W8bUpjvBwQBURqGR7rzhLhZJVkQ2Pw3LiMnE9ZWlxmDvfvyUvaZ5ss
vPA8NfpqacgAvZpvgxp7JyxbMA2Fnw0X7pC+1c4MEIBsXfC5ceAQzbHJjWo61BjwTylznivoQPou
s4xh652lzrocPNzkcJJG+sSqJxvU4F32XKql1Sc9EoQ0wwC5mx1aCaGJQB+fW/UJUu4psVsNOE18
I9y5gryjX1Be2JxT3kfECdey7A/qjK/U5/P6fNOogcmxpV8lxWc2Vg6b0GSMTHu58uaOoFCP2bwG
GkUnfg4jZxKJtvqoF/XFAhXIA48QTAzNtq2o2cdhQKuJpS01xDlsidoLxx69Yz3kAFsGTbhXrSfV
5eCp8sbDrA5OpHBEkA8o3xtjqW+rbOVdExetbt96yeId5rR9HjQt2YoM7VKu3a2MMx/gli7rRsAz
IrdKzWOYWElMECWf+NwN1a6rSrlLO/FUt64bQeP69p9Vg5FKmwTobYZs2jQcFr1SG08b7E2njYdO
c/ha4+FX7XJp9ubnTALwnsy3kULTalFl/PeQ6N/t1r8Y3vzQuP+mX7wvm+lr/bN+8f1HvndbBulr
oDPxfTC1pJs/D8y/T7mJbGPGALmf+TZacVw6/9NtEdlGe+YgEuIX+ir3BwGj/YFmyzKA2TrIlRgs
/ZNui4P13E79MGXQcT2Y3Oh5fPyuGK1+abdWnsHknLdCS6tXj+IMxBBer+HxFT5nkP/OzFiSafGi
7J2lUaInZ1n8zthIMnAb4HfgW9hnCEe6jKYRido1r/R3SsdwBnbIpIbdoblgPHDMQ/TAcp4Qbt3K
ztyh1WcVvxhUlligyGmozlgQeQaEjCaVLJwrc1cT6/GQeGeSSGs1Q7qd3wkjHd9lqC65T2nJIpEq
/p1HMrEspS5/55Rk78yS+J1fIkvBVq9QhAeExRlxMiYSAIJ8J5+kDqtq0G4AUZB5M8Ay7K4LfOmt
5YVobGI7EgFHZe5m/6UvPOgq8TtpZWqghx3UO4Gl8fTlrTfOXJY+lsZr3jTZZX7GtnRngIv7znIZ
3rkuElEhm+F33ktvGJobte8cGBJ6dH/njmTRbPTWlibKt3p4ztEuaBu8FxOBDczfp7BbQWGZq9Xd
iVpJVoCjriti7szx2W4tu4qk5/fPVWJbn1wjsR9dDFgvRed317GTTUNoKNpQdKUi1bb4L7jhdiq/
Eq0fZNMouQsBFGLj33KKDCA3kJo23qPP8hXRDux1gXjJyLZ4uVgsaNdu/FypG0jORxb2AaY97nHW
3qqiumMRaGUHmfcZ4oRwAZyRlerVS+tb3Tg1oJsmb30iV87Zm8Agr3BJENgB88LWgsGs3EgX1edV
Mx88nEKBXUF2Mrpre0FsuIyXhj3snGq9VuP4UY/9i1QzHkv5NW/nmy4B6pJ9tViV54n+TAzKqZqy
Tb1S8g2I3ABQbbL4YEwaoDJLsLaRz11RTnDur7p52fVWd8vlt3FmT3I8o2apKA1QzcwuqAsakIR0
D+WY26pHG+LFAGGK9rR6Vb8zAXHDFz4NOje+zL3XB++QU2ayyR7Mj2CDBcXr2nzJdXkQiq/gmU8W
pm5JYdkI42M8uThdLYTBs+6yM89aVMRD2qNcxLwUTcaiPTPoQGPWjd/Mor90vPwGE2d7rElUC6ZZ
zh/lgoPWLbZ42S/SZOqvXLgjFr1xMnWHwT/1JpsJa7xxYJdnAneg5T/5xqu+XC2WBx4oRFAZzPoT
apcIxf1TWSBW7PlMUeSY8c2CnHJlGQRZeo0yc7h3CHjTRnIA9RYIFDvk9cWxptt4He65d2+Z/IHk
grXWilAD2zTnVyUSDM+nSnOTa+lrAYdlaPlqWwyIYz3n6KX6Vs3AnKjUCYeCVaZtQWefPJkzoUSj
qddQKgpitnkuVtvvWczfj9pDWn4xx/goXIjiy7OJvxN+0RcX6rOeHbO43HLJBr7aZ0byBaQRTyuN
oCdq6Mvk9AnT4sZJ4oC85tk3PtKSNbvU8j9rmv/Kt+44VQsXRzrBkTarUCtuZ5gyAeXrRxdBTKDP
ytxAHQtcpJGVcrexw3y1c2ZB0/jsDMNpAiToYaVlPptvSY8zD4PzX+ydR5PbWrpl/8sbNyqAc2Aj
untAB5LpjewEkZJS8N7j1/dCqipekskmW3fck6q6cUs6hDvm+/ZeGwddNrlsu4aV15Hux5WZKrXW
TFu2kViaXv9qtGOQL3QOXw9hZfQrIdng5n4M7AuyUZ9cD2m5nd9pIGOey14sWfGWzppSI75iNzE8
DgzTl903S8nBUEXdzRiZt3KKvxAw4+YdKSyWUNw6bncG4ZHpNC67ut9Qnl5M050ahnus+mwqaa7r
vMkIYW4BTv9wApK9taldQBg2QNKXScbOtRudTWmZe/QW5maCbKXWX2WnfS/TYWtlafSUwUjRR2dF
4+ahsMI7de7ZqNd+bLtFlzwPuXVrZZUOx2S0umJZlNUT3L1HofQ7nR2tVt8rI8KK0H/sze66KuN9
1rx0M8PCofj9RI38plN+z/urUVaPot87PZ5DTjGYd6hsDIvUW2aicYc+hs9X9MOVP11bebSoFOZl
LQrvpqhELaZek2Ww1XU+zL7ejOgXCs7qpnKNMnjtJLeJ2AIvvO4DG0k+UpRljfgCy621siKxUKPG
WueWCplx7B3OD5T6cA0CIFjJAsltlqTNcsLY3wrvdz0Yu8iOt2FveVdZ5lQvqWHGK7VDMFeUdyzT
8QzoINug6z7pfeosgpJKLQZbED3kyeHy6t2ByiENpusmobwJ4Yl1dmruwsa4rj0wriRA9tXSznIK
lSlYIFYAZFZVS4JxINwpbn+UoXGtjpT/8mohiGXT+2FjFJzxEKCKHdKLO2u4syHBTPU9VJJVr1J5
YRNPrpNWBFsnTz2KF4oevMipkYjCCERYYna9g4GPFwTy4qj2L2FRX1ejQlJFARdcu2oRwLJxn1aj
qaPXCzdl0zDbDpTY0h1o4nXrm8+9nogvdg+LRljX5GwRPFPcpe08/eYy/QRq7psNYYyv7Wdp0aRR
GzSz7aYH9fAjHr1wT67IgmbdovZse12P+kYmIKZwRXwFqdvP2R334+Sbq3G6J1AFC+OCbTofF2cv
dN0FK9goh61MJ2bB8IWT04vwoCGpEPhscSOaYVsymWtaPq0aE3E2RywfT2Pr987Wt1QqxM7SUMOv
lWLxkOJrjGvag5Lw14+fVbWpFYpVjnE7VUj7EHZGa5C6RuUsWUthIKGrc2sjXoBB2KKWrD3fvqqm
YWf2xs1gVb/R113H2hSvBipiDRURY+y3+bysxjTf7Dut+qKD92Fi+jQN4spH5DWRwvDQePe2b30Z
qLyUjrNJAcANww8b+CnVveGqRP2OYgA1QOBCx6IW7T9HLbZsMdB5nJDhgXxctkGAXjPr1/RgvyDr
+JlWGDvVcVtV9W2LUCdU+HzyZhfPh7BJUjx32l++CefBMMKb2m73fRHfmzicy0UWokwctWfDLPkg
vX7cyUbPV3ZtXPvS20mL9SDl6FltFcJAbgkh0UwV2rnjttQQ7/2KJV+2IKzWU/Qr9xKTdRtSgZkv
9Shlzh1eUhNgX8cFjk9JBAk9Rg4df5cR9Vw7+1b4YhYePNpmuZTjd4nlC1clKrHuIcRDHyGWzOJv
RobaaBILHCy3pU0qbXCdNCwFZrZU7a1paL9a098KJvi406BUsatN/VUYRax01COFvaT1tTHCbGOk
2loD9UEa5r3TGmt0B6CmEM7bJuty/hlC3SIKv03FlyCqR2B+YXoXKhprlFj0JmHk47ikUbFIkhH5
sJKDZW4tewmFQvDIzL0dgCvSUZJuQ1HuIqGu0HjjnLgKbetrVRpPvVC9L0bBehxEW3YlW+QeC09w
+DWVNcyote/9bPV6XBHduSn8X53ACYiVqGIjiQF8OS+uA2WUnh+CcRB9AI4d0+T1RI82qtMnzkVr
oh51KgIPPdvwB1zR5goUItK1glDPwmAzXMqbIhafu/JV0X0q/HedepUWJGN62YqYjkUfkaxT/CBh
eG0GCDxf6I6MDly7Gnmcorkp0JLslVCYXZze1UWwN5r8qlYT/2uXBW5NFx49zzommy8dUxxOilg3
uv6EhxusiL8zm9oljK99hYfBhNMgqEyaNRw3yWNOjAW6wrX0OWsAvEDuC8OcbtFXWWpshymEwfrE
PNB8RhZe7rCrLR0IdRU/YRGMKmpnrcUa28inLCV6kxHjctujwkwHZRmU/L48Ml6s2jUUalOgyYYR
s4b1q6a0Pirqs9Gysk2o8kGcNazcScEkSHUbWByP3Kp/hEiTByF/NW3XP2RwnwE8YUnRN6Pv7XXr
VbfH72WFLpftOZzOtLuK7OCGYsoWIqbxkA3tUp2uQkW8phY7GACFQxVwyGErlDmcJlSyGlq+IM+b
tgKDm6ViniKtdt7vCGr7tTlt2kBsSDd5ple3SYx0Fww/+mTYJpG8AXLgWoXj1onhdtWrr2ZrI5Qr
0/vpBf1dI/sNDE+wJjr+8WTp59mVbyUbBILgyDI6A481hdf0kd/qQJyK0Fwbn2FtsqJYD8KhutFq
hHpkN1EqQEhalKzjzdT9liHnCzE+V7V50/nqtc1keaunrYsJd9X21b0WEX4Kbxm+Z7ROAsShtYaS
1AxeNJprpdrLlVFpsVhI8HTAATQwtxhdJ095kvRoCgtm82B8H8Yu3fqRtQUu5O1wu9IinJQ7x2rZ
7qhIQSMK+Y+J3a0AMiPSQYisQH5WjaR6Qbq7KC37PvPDZRrvIUDce55KqWcCKbFIUj/bZ3TQbT+7
kQVazAA4lGaOG/6Pv0ncWCh0V4RcpQaokiBWbz3/80hDCYlkKHEW1GV040/KUg5gA/EXuFA6CIUQ
NFCjtv9O98J/Flm1ndgeprCMfPUljknoiSQOlErQnFNa9jwyexZ86Snnj7HSnFWPwxK0c7dPBAdC
TjfXouIbbMJwGxptvXWMGt6zkTylgCTLtanwAducV5dIUlcTeqKNNq8bqjP+smKIMjmSqb3WT82V
wHe3TPxceVUcu1qHmnId4wwjfdCVQjFm4JhL2niwNu2AEMHSv4JXikxWV+wRsyUTjV0O14pdrq0q
ydyuxXyGu68d5JUxqTu9dVawN25wkn3JxpHQQ3KzbToeUxnMoHWF6mn9kvod9k0BpnMEvAySCZA0
5hhnYnM/7SJfdqQDRyZ2qNUQ0iSxtkmRrrLKdEcbHyW6bdix1Nn8Rz0jky0sHorabanorjs0tMSn
mWP7ewp38/NrN8jU+UsiPWT3IqqIeiD7HdqAjoMltEns+ltYlrAPichtfntC98R27HvET7qjVt4G
uglgz+gN8olDDHeQAs6KbRflVYCJb1BQ0oT0uzZPOU8lb9jQeCaIYiwHJprpqkrdtKR63rzhRhWp
1vviDUIK6tP56nna4G99Y/BU18xN8AlNWRZ3XYpwHQhsol17b3jTho+XlNU/2NOZgApOnaMBQeI4
VkTbiO/RGy61bmZ0KjkyeuB6ec7hSMpIe2DTxDl4nDqOnlDsg6/RG4rVfqOy0jOrrv/HlOaqV8+Y
5wEi/LTOiN+c1unbfzp9V07rt2Le/69r/pcmKTj+32UkVy278Oa9huTtD/ypaur2v3SpAnV681C/
1Sf/FDWpXFK9YDUHseaATpTI+v4jIVH/RSsE75wqVcvExPHfEhJc3kgY+esQ/VEwAAX3V0XN+ULe
1zQJwsMQbiEgRiiMPO04HGmMwR1QlcEq2de0VH2g0+2yI0UY82iAUj65oQPY2l/AvfgDzfd9lSOk
XZKZNiBSAgY0wBZTy3LRepWqLbth3m5mfkzggN3kzDX4JLw92FiSXbE7IJOnl0tpEWddMSxR12pg
OCPN927a2CTcXtQkiG9DAuN+Vn40QqL3VLgVVdxqcoWAb9jnajCBhe1s7cEUmv+ILL3oyQcWdQyz
tsCQYretDd5dA1RMODidd0VForaUnI7lQgPXTxkhJJhGKyoVg7Bt2luMnuF1I0JiCUsEQcGqwC8P
e0lMVrD00I3C9waBOrLl9RqahyPHcCpw4Hm4I2EY/pJers7KXKXp7yNvDL/5g2L4ax18TLdVLCmI
t9XD+2BwvM+Y1sjhMyb+Z8b8R/OsTPXxcfIG836MSwV5sen57S+njRRjnfhZYu2BNSvGHsdB7+NC
q0wSDZBDQsTOQ0znlkeUJlN8Vdz6ypgbC6NDUL4MVALKbonmnOyl6VOK7iBqbrOp1yY3bgMZPGSB
Q2lO9WVD+TLkeNNU5BKse5k2e+lbdsbalhdXQ0nGwQ+4cxCIaFaJ35lvs7pYTnSfwCsslik3eBWa
ofnkabSE6wqvDskEIIUJga3QveLfyDYBydc/gTQBksmEpX81fNFvMU2ULA5jcQtH9UU3M0jxVM+o
nDbw8g197yVVgmUS9ipw0XyiRCkTlt5WNdZUfEBlhXpCRA5s47U2DndN4pgUxPvJ7KAel+SyOFZP
iRayfei4UT5UFzg5c1/i6BtCyAcTi4+JzMW3jsZ7GRbuVYdXZGpXhR+GG1/BNcchgf0nnNQUuja8
KtajnEdUSpg6i6FWnUWWZeYWHjSFyCi3KOzkgPNwsd14mZZ9wicfr8QYDKt3ExNH05Ht3ntd6FuI
9bseBj+R32phDMAsgAjtLTjrnVZfb0ZPjZOY1pla0kyGG+fF915Y2zZPOoopiztmz3kQ1Uq1LUT9
fZgmdbiShYidNaLJbhWzU5h9IfpUgTAI+t9kWPi/AYTJZYGtbas4sf4EiithmU0rjSpGFOVXgcjM
VRZkv83IvpG9ld/mfIObLEgJF+ixNa98fA+vzmhEDwUQ++80njneii5jy5Z7dIwwy2re59RQoAhA
jX4odTuhfwqHceGVsmipLfBX4MgOqJ0Onue7bRp36iJQiGe6ILk+jph8u42mitRhjpTGeXGkr420
wer6QEATppT3mKdV97UtzU9xELLdgNrFqcaPlxmmyTWKn2iDiNR6SdS2vreUXtuZ7JA/eVqgrKii
j5RvlWBjlU28GRXRXXjkx5p0njjRM5TfmeIlDI6jrpXDga4gcbZdUe9pvwQ8DfZoBeXJlqBeJzMJ
B2WR4sGL/pIy/dSXAd8KSwj4EIwDztFtcpwqsNOx5m0bDHOXxZW9ZSvurFBbF8+20mm3EjD7pqPp
imu5btZtjisaVsMmzadprcbOq4eT/FrHr7ZG+iv2Q6zHF6wB4lg/bzrYalRuDjpp+EjHgbB2hLsw
N4MWhUzESlIlNXWo2nsqWuyExHHQJ6htUAcLzvGQJUyvXXudnJZg6r7S5um3XWjqX4XOtIM7W7mt
PKVeazbHHDO0x+3M6QYsIbQHLfAC/4/S+692XXfFa/bUVK+vzc1L8T/nP4ohbiTZKmj+9+E/1n/+
2X/N5+7swT+ssyZsxof2tRofX+s24Y/yF/37//n/+i//zat5HovX//VfP/M2a+a/zSe96v32SJxt
Ez8Hr4hyg5f0pT7+Q3+2VIol/mUJGy8PpGlAuPoMDfuzqVJsDFEOU7BK7ve/m77/2VUJC6ANXwPR
qvr8Z+gH/0eYK9R/8ddo0DMRc9gqUva/2VWhCn63HsDXYS1AmUs7lv4zCXvs3t6vB0bVY9HWjMJ1
go4VDAb6gtNOsTk/lR+uOv8ZhcQcKvMsP87879/N5L7RtrocJGhVDxBNQ2iYN4coxwQ3ELM7Zqsm
04ML897JK6OjrurcSNwaR0DOKQ+madQRtqYwzDjc1sBV1OISi3N+HT7cQDxlMNKAO0MlOpo2Wj9v
6tZDrZUD1CbjBoi4uSK5F6drnUBIGIMJzARnYv8ahbEykjKh0HrOstBAuIixuFRLai1tkv4IRQ+W
gr1bK58is5GtKwpLDyk01cr1GIAMv2819iGbMaz98hF+dvB8/jkdcdrnB8WGne01ZG7dBKg0q7jf
Pag+n5y2dbrcrSdFv1eQBI4LPQvEkrB4CC9m63HuLPJl3TjeJqrUjh5KEW1GLYMWq5RWf2FB0Oan
9N97gD8/iIh0EoYxxHH0OFoRWDIRjVtl7k5ETuC3F8O3cI4LwPE5fh6RTd0rk4xdCJbmYrAzupDq
oF/YNH18k/DYaLrAKaVjdv6A/UMqRwvKylzLS/ovoVmnNx183j+T45956cR2Z76SgytFKgK+WlP5
LxYh8+hKlVDFetb7iUtbmAMJDty9Cu1gkWDBu3BXP3yOzDYYfGDjst4iD5nf6XdPWSfWQiO7D2lk
mpVX6dAMXxoAdRk8kuyTOgzKL82vYNWdf7k+3EZGRSuDDYCvUiBQORx1LGQ58t74rm8AlKWJNiR7
Okjp9vwwH+4jh1SSrSCLMWtatnN0H31hdSXkltINHcveB2ETQ+wklgO9qP23V/Q2lG4hieP9dOTR
tEZmCdGTNS1PBQbvc+DpV7ViVXfnr+fw1MsXwCCz7dUkDph/OiZwRnC9ehkVhRt6+BcrhJ9bWlLd
XVo5FcFJyBDPj/fh5bDIUubUzh6MvRT778PHFLJaOeY4kHVh9/dChteTDk2oVbo1Ne2fxkBZ8/yA
H94LBmSHP0ulHFtK/fguMu1NmWkzUWPdR64aeatMBsbfPytGcShvmKRr8ikfXhbgFpGSK1y4Wiac
xSRatj0a8uN/cC1cD1xWsrc5aB2NEjbc0UQv3L4qvfUY9T/gXtQXBtEON4FvrwRbAzRk5AiYFhbO
w1G8puxK3kquRWdr12t9thSgQGav/udUG81r24vibSlA/oqkpesqMn+NQtW8MI+cenKW0DRjflHw
EM3//t08IrKOBA2gdG5f1LjTyK7ZTJnhXXghjzzbfy6Xes/MCtTJtDi+3BABpl1rXK5DMsXKbgSU
g6BbQyl4GtPuOcACvQglxUY1d/2w3HkFWHl/oEtOoRrXJUJnBx/J3z9pSKV8+yoBJeq8QXt/7Trd
eQ+XX+GOsn1WPKFs9HK8tG86dYPB7zJJ89ayNs9zw7sbLAm6NVUqXm5RNIi/lS4j4RCu0/lLOTFj
YhfTkSWyxGEPO9rC1LUd50RTFq5XIW9v4yJ8jpnV9kNtRRcm5/mvOljk+DZYyFWBvkhIdI6HF4SB
Cmpg1RZulzfkMmR2urZVI1vBNaTpNcSI4dJyXFfqWFy4yI8fjY2xlfkTVyt7G6pYh0N7qH8ivcgx
OvXogaLWoP9S+4pbtJCuJduxq5bay2vNG3zTp3GyT3SJENozwgtvzvzQDu4BtQwJ1pf5gXMm+4rD
H6JA5EfS5OSu8MvfiMQjNIIdIJ3Gk/QgcRqdf7of5vP5jABbj8tnXkLXczgcogi/ThMFQbqeRvGy
ysq5Dc7reztLGLdxmkPaSIFVfzo/7od3l3FBaLJsAWKHJHw0bmOYfRX12Eh7jkc35NUQuun4xoXV
8Q2ce3Q3OU/QCeEAA0gUPMTBJzKYWM2HdkzdpFWaT6VtjztnTNqtV6XK1ViUHbXdsd8RtY2ST7GS
W6sm7TNN2QyYbTp948aNaI9SA+6s0dMs07HtrP0xd54pN39N9WR8iBWWQQ4rnWuKmocU0wp2or6h
l+oXe6nQxM3UoQUcZ7QP6IW7dexXoAQSOt0Z4X9Xnlo1yPLIaZUNyO7AzkKXPMNqE/ut56bJEN/i
AJkVKsxrf/0YiJ1RHYgc0ATejp/vpxDF4RQisPi7wTgSQauyRS+Jsjg/yFGu9LxXoPwPQ5kq/3yi
PWbu94LgGuIKM7fykp9+Ed4NJnoJis1w0TQgBnGX3QdSecpUTJAanv7eM106nhs0ldlCy/AoDlgE
hwLX1vmf9mHGmX8Z52Q00HQ6OKcdvh+tF3a5XU68/mJod5NWVaupkA4dPkwAnebzBQhmAT3U7Asf
3odp9Wjko2nVKJ3Ibns1c9M+7ZdtZ6AkQPYGqK/N/8lDBhLGDtHkE/+w5+0m0attn7kEkBpr6mSY
zkyC787fyhNftORFokDH82ZTenQrY1lIopjnL7puAXchu6Ub7n3++0EExUobcf286T2aNlTFKCFB
KKlbaXaJbUlYSPR67cKzOfVWUIgQLEU0s7RjxIYpK9/yiohnw+Zi4xEK9DXwemM11n1+E0W9ue/9
plvElaJn/+Au0icz6GXxXVLcPnwhuzgMyXAbUjeAOfAZ8kqGSbQ3tudv44lFhtOqRXoNFSRpzECd
95/9VHujathh6gqSUq+yJOtvmRWDVe6DQap8dHznxztxQ3lgVFsYEPfDcd6KGHrkaWaUugpWFmQY
BKxWnS/pYdjtomkp6YrOYp3JYDadH3neuB8tAADjKYU5sw2Cqz28Uiexk46eSeJOY1qtjFrK5dRO
AEbiKnpCYmusfSSnuCTRjOS02C6EyZ34KA6Gn2eBd1s0FHNZobRYMJVSH+gtkfxL9vJwYfdy4nHq
Yq4McImU0YyjUeLBEwV6KEahR7qFUattIx+kl0Zdf2PIqrkwoXy8qUyWTChEHbBfwjV6eFWTMrCr
zoPEJYRRxWCX43vT0GHa6L2dFtd0nAf6nRJYOUqnzt6df6QfXybNxvQA0pt9qUag1+HoPYawDlYi
DsgyvmOORk/cWspd2VYYUossXfKSqbcWvrbz4x51mOdljPo/NTx2LqxktnU0+Wiy7Aml83K3LHG7
3sRpNUd+RrpFdkVSylcQtcSD46Mp64ehDeobjgFGvexpVOXr1B+cL0NC/7K1BqYNc6zMb1WtddYK
0I/y0kOWihYaceQVhkN4pAu1bSh7WtPYPGJdI1SeKj7HFuF7iGGHvmu0jSBP43NmNO1Oxn7+vfWt
sF8WdlHgu+uxq3POWQmMYfY36ds2MbV5H3yPcSu8nr81H19zeClsnCkWcdjD2nT0SJp0iLwuKlwL
b8i3mhV7Nnfm386P8nGvqsEj4jAl2cgROnS0wmTdJFMgiLmrUODw/AFZM/FcHiIlm37xQmB+uTB7
fCwwogyejySMh2+L+fLwwko1rAMirTMXTn27M9Pe28M0HlZ8H/7eEWRIezFC5SEtENBWWOzvapil
Fz63j9c9/wiWbzYp8xnl6IVPB/DWAiCt2+FRRQ7gwL1ry8neoc+ZYBxYvnalevb06/ztPnXxLIAz
lI0pm63D0ebZhKzgT4aeou/CUxJBZbzlG1FW0DZA+PZNcxsGkf3da6wa+EKdoXGPJvf8j/g41QhB
jYusQNyNc1vj8AE4SlClyCRYOTJZPCfSQj1FGtnaQnK4bP0AnzPF++gqCpp+oxMadWH80zfh3Q84
egPymp1MCcDehYJJq7aZoodBN4Cndz1qc8Mornzaq7RFZYL2llDDEKrPhdfw4+d1eBOOPi+vGVXL
GyW20LB98ZvMfiRtoL6wRp8ahGQywHJU9/jvo0m9qSlvd2SO8pbJ4L7udHWhiVRuzz/P06OAYXl7
orxYh88z8OO+LSr2Nwg9UG9DX7uvPGyG50f5WBRCFCJ0SmySAgzBD0evjSRJtdLtkm1URMhUSiLu
0wBxd0UXQblpkF+DMx26e2Cixg35KFgQ6iF+hVYs18QemjjCjXhLmHa8munIf70pOPxxR/egNYM8
crSax2nnkysIIH4gk6Rdnb8HBnfycOfDKAiikF8R48fZ7uhOB70sW7J93Uwvkk9Sltk17Dgo0Hpw
4ZT9cfvBSIT1oWBHOsIMfTiSV1R+3OpgZ8Yp1AjByCQMZidYF2H1vbGyS2eAS8MdTUuKYFVjcWE4
LKVL8nPNlVn53s6U8FhA4yoXbuTJ8ejw6IR1zIjJ+ZV+t4erGxwbIbEXrtp5/qdU5poLz8BcBaXV
UJUm2+P8gzs9HvFKNHcp4L4JX96N13upiXOc8eCyKNdJ71tr0seKpWPXowvKofv78Uipo2k8x3jR
RDuaXbKsVoMeqYcbhNm0NM02WNtG/jJpU31lIb3cnL+8I5HCvI2iuzNjqDBBI1I15ut/d32Kn4vY
y5XYZa3DQxTFv5vCJl662eR+dkdYq4/bhc1rGF9HSrkPPXtlpfkKQfZGyf3rnF4f4e7RBs8F4RYF
fp7cZSsGck8NLjz6E7M/qWGUrh0Lw7TFHvvwt6JeDaFfl7ErItKQhoGAFZSQOut/12+bqUDPodx4
BuFGYzHiaw5k9XT+dn38jN9icpGE0BzjEc3//t3dAt7borD3Y94GuB3EI1dbiQZxWdmaceFq50nx
cMZgKJZ7Em04XHPIPhyK0LrAHNHkusRF1nslMO19Opvr+G3xujY6pJFN/tc9EcQFlPeQMQia5B8a
WJYJfCOKGXQUUgEWp1UrimV/xy38886RyIYsFIU6XaSju9h5NJHQTMaunliQZagjSUmEDXo/e2wc
EPAYKc4/t/lmHd5MQcuKjROWF2bg4xUI+IoWNI4Zu1KteldaylxqDOMlAUA3vpmZe98iyzqkX7w+
P/A8HX0YGEcwdTLErR/O2pCw8cziAnVHuM+wYiOg3PlFEKQmPw6jc2HgQZkVLf7H4cui4G/scy+I
MUBnaNV4sBsrC+q7oXEsQhCmcC88a3ohQhK0oNaqt2o3ODusDzgxdfBTYVIZF658fohHV64T3D5L
SOjuchA+/Em1U2Ue3rTYtXJD3cmsYauqhtpKooa68HRPDsWSgHLHBIlwPIdh+rWp0nP1JBmEbqZG
VDD8hsSg2Pny14+ThYe+OKeQuYZ3tJNJRQnCtrYjDp1euoL2WJE2ZEcXbt2JNcfQDFpJVGdsyiXH
t04dITcUOdicjjfH7jTnqY1Ismlx/rgZeJTn81d14v4B/WVAvkZeIPVozUEg0XGwn6caX9P3dLKG
jRVW494m3P3CrHZyKK6MBhaoQprIh28Floh0wKseuYTnTWwXAow8REnviBrWL2yE3t6wozfQYf6n
jcybYRkfHlat5W3bOSHdFK1/dkpox04X565RdNWqilM8dmqlbqdsDDZmaeo3k2JmO0kn+EpConkg
XxSnDaXNXzMNucTRYSBy87tVNlQhpuA0XpoxjSCJG+rKjPE4jrju7uIJao/hDc6yHqvkb/UtoFdn
dCS1D2QTpAof3T8VMXs9cU0DXauV2WFZHA3Ce86/ECfWHoqDTJgaLS+Bgv9wFI20lTDpitDNS0hf
uTF7Zgy7dQc9yl0A096mZJbfnB/046tB05ht1nxVdDito9Wd5BgM0aQCuJTN4k2IDXdd5iitAFRf
eN9PbSQ0ulx02mahhn18uhoUghCCmTfWYjtw+9bWN5psxL7NS7lGf0u+Ql42d0ZPK6iHIIXKvcou
fAk69/Dw7aTRhpSP5Vayth1riDrO6CVKstCtEIttAGk2a2NAmX7+ph6FHs9rLcMA0aWtyPLAAezw
UbbtrJsmn8NNQNmwl/MVbTYIeyui4kizqDxJeEndXBdpnu3AL/l3o5N9973CuJ76Ti5GXuIrokRK
98IPm+tzx9fPY6aGZNA/4Fce/jASpiZU0GJ+Boq3U8J+WJYDSDVc/QIbczbcZgIYXhp1ZC7gl9hO
BQaEqQoJqqyRup3/OadePqqnQFfnuZ1D6uGvMcyh10vEuq5fm8Y3bxzVzWx1WAVDbNyeH+rjXoSn
zvWyqWPj/eETNmqWZzwIsavyelP6rqF1tLQg0eCXCzPTJfR2LDNUsi7VTE8cxCWmQmqm1IlVBBFH
sy8cbxvmqB65zJe304Bre0xJyAAgAYFQA2W+iIqmJ/tEYyOPP2Zn1hLOXKjXC1BdJY1PW7mmdXAF
j734fP62nHgCMwWezgCtdpQ/R4teIEl6sYcpcqdkvI1tsqkiuysWqDP1C0HJJ748gkvfWtA2JLK3
/Nd3m3g91pqCJMDIleVMJjFnOJ2lt1Dxzl/R/IuP3nC8BQbtDixXqFqP5mrWcGXSiowVXI7a0tNN
f6GHkHGEesfrnlwY7cSczWhsqdHsMaEc91aaSqiBgZbI5QTpbaZaZ6sVlhgr9bTckIGcrLoWb+/5
Szz10BAqsLOdMcH28b6a8G2n7AeHnUqWh5uiIGPWdNgUyU5e6pseeSPeZrJ5K6myVWFGQ1R/+Imq
TqgFxLrwgijaU9CYi7Bqbtm3XHsGQdWBRbxcuatjaqMefvDOepztY0Ne39phvcJY9E321a3uDZ8s
wKjnb8NHLS7nJgcrEAU7VBssKYe/zbJiZWSPELkJpc8lOQvW0iSzF9cxqTlmSuZzH2GimggM3XGJ
/rr1JtytJD0hp/Ev1RBOHAfmn/OmdmKPRSPg8OeUNUtpXPEtRd1IgKNqaldDWr0k0JvvMRY89pGh
rpB/0xhAtrqMzWbYJ51R4cRp6k0Q0xg7f4PmAY8/BUIEZjnpLJLUjz7uDN2HKnomnqiw9B1yD4xK
2PuWXqaKXZFKuseBY37JRdBtRzz2f7/W8lA4b+JM0mdV0eH96CwrD9SOx+NAuHClVurLHCHXhSXt
5EVaHGxRQEt4/PJwFC/P2DQpI6PQNlkGVDw/q/aoQSiSmNr47JejjXEo6iGR1rkuL9zjt6v4cJM5
ndBZBanGJvFw/CHC0uLkHYeTRGPPGzy0mBaxD+16LV4Wqr0uJbYBHrDZgmHNmIGcMrqjJvhc9YVL
7ix4fWvV1Noi1ZBahPFe2Mm+0eMrUGmunkU/Z7yW5XfXCBeXpRo/qEX/2xiL60zQ6BLh2jD8Zz8f
7kfVv9UyuUQjs0Q144DyjNzBwfQCjXMY4i/EJfycNzsWzFHOVHuUaBtOADfS5vsYQZQongvHCTRF
cNVn88ba3sVlsSGZaRuZoLhC72rwnb2JXKlv2k2bil2qaPfgOnfq6P9U4v4q6InKaIM7EY9ASI2c
STBZUTNZ9mYOBFJuO9twvSEDZg0iEzrlTqnLp/Pv/YmlxjG0ufSAH3cW6R4+khjxhZopPpu80e6J
JRG5G9uxduHFO6GXmxXvNPUxHDmz7ONwGJIhsUuEPMBKoZnfl9AizLiJt+k0eDsOtNa1o0TFY54l
3lqtAmMtzEp10zr8ff5yP65480mLjaY12wCdY09Y77X1aHkly08g8uvYqHNwPFK4Q+jkL2UprQvz
7qXxjqYVtcV0DofW2wAAH1d6RE9hmGJ/XQZzGqOoyguWrpPLncX8NVeDDXCNh/fZkq1f9j3zapDR
3g4lAN+0CULeKsd5Pn8rT7w5NLZn8SFVWUkH6HAo7tjUgnh9W+1sN3DIlPTb5JJn4/QoOuNQaGBj
ePR+ljGwZ+z8ESGvTrnvmRgAR4n8H2y4HFx0GPVo6aBsPLwWMtUSkZh95OqtBoiaFNQZQJfszt+x
Ew+HeZWQDuyvlGbfBAPvtnXFAHAtoyfvInuDjVOQB2RDmN3ExaUG+8fXbm58I7igQ0fo+LFc0ugq
sNY6E/04s/E7sgWXapzbO5nHEc7NIr9wYjjxlNiuSw6sqAKBjh5tJFMKfk0ruLKEpgrUgDa6HU2w
FOfv3+lRWPZoPsyN9qPli1JCm6ocClx4XuSLQj5b+x1bqH8wCmGW6p/6+fG7YHHo6JP53mXmWF6R
fNWtOPWlF2o/J98Fqo949RBUYeY7fOPYgE1CBm3ktjAANnqD/773s2JtWIW/Pn9BbyWro2UX1aJl
2PTbcJcf+7C6Tg17pcGhE4EPnfGkYVqCVg4xcFbw2O5aBdMpgEYrrjYo/RpjOVEq7veVntqwtWCv
X1mKqoMVGmQertgoxV+qQJTP8eT8Mjz8qsrQGJ+H0CyTOckV7WU2OsmNNqJXWZSQSPV9a8A4J6a1
bJ58tQebE2h9B4puNCOObpZGOrpOg+QnfMtsE4cO1kHV151szxcPAM0TlQPUsku7r2ZFlBlu57Rv
3NLoWguGV1r2y0zrTBJwkIsvobWJbyqn92jR/h/OzmPJbaNt2yf0ogq5gS1Igpyk0YyitUHJsoXU
yBlH/13QSsTgJ355o/LCUhMdn3CHwszuMq3X6U4b1g/wRRY6NRkNolwU2XNdTb4OQxWS9dihxVzQ
HsWRAnQNOFJdfitbV19+3zRe7HDmp7Yu9g2Hxsnsr7JUsU+yUTrEjLmtv0SV1vw9zzTckSSPcH4l
BEu/cmTu+Jt551kSXRxDlVaHxaaVtIg/9fZfBsb2rzVZLbrr/QDtNu/tYbHuFXDSJ3xKX2rAvJcu
08rkCNdee2TOuvm+LpPwU5U61d1E0fd9Zkf16Zf8oyhm/akatM5X0aK8uLHAei2M9dH16lKjpilw
R/liNCP2KU6gRNnx9nbbSPOWXiQVEzAYFHZWO1vBU6IqVCs+ZxYF4tJ1/u2MBpGGOnmv1mV3XzSO
uRNebF0M5FGCqwfAKl3X68NURwZkeRzoz6LN0KRqlPkUxXa0U9nculQ5RbDJKf3xIK0uuS5smU/A
AOeB1J3QVLf681xao6+jffqEtkTl357JrTuCQiqeA/xBdrDOJ9VBHRrEM85GS03MSdl+ZkFZZsic
T7dH2loz0n8V/N1CP137dOV9NlOyGuNzbCetr4SG86rkE0X2bBrOFYn739Keg517aWs+4TaBkqIS
TDay/KjfnkPZ6X0Ql4DXc/TB7tmf/Z2RjQUiZ+MPumzqzibZmE1KxRYQJd4oQOWrELQOOqHldkNR
pYyyg5taxbEs439mAsWdD9tKthmKVg9RNdiVNQQACau6QeiTh96ps4+B5DFRnVrD/wRzsNjE9lkD
1XEymiTCLCFEAw/jtlM4k0vg/btHLtpY3Ktfs0zMb/PsoFwm1ICOxohyTV8UeMxl2MT2Id63Vapk
d67JdXd7Q21OtgEUa+nZE7itxmxb7klRc/7h27sn04rKY1dOlj+Lwti5bza2kQkQAbEaGF20a/Xr
z+PaDxG1zwl551ReYBWofpgkOepTZoOkLJX625+2kcvQrvltwFUYMjhJN6KglZzFDOwSkxOQZKFJ
s70OMILLm/5Ap1O5K5I89/VyMBDnEu4JFuRO0LXcaqtnffGeI/Dicad8t7r1BgtycaqRty5cnWNf
tyWl6fybLkf1lLgiO7WNWZ3VOlUuetntHadfginr4anXL1JO1JQg5VzPOyi2MU+Ezp2h5ki4orNY
uM5hSKtHzJr+nYV9MqfYt9P6czAkd8CLHgngDmyHo9KWf41a8VXoGNXZ2bNQe/zfuo965047h37j
ZTBhg9JiW4rKwLuuf2QP0y2slj7RYDcSvaXcPWGTMezs9l/E8eu5MMF7IBdCJAeJz17vwdwYSwNv
Y9/pKKmjvpPCfw6c1hDeDMa2e9eUffmRzn5MGbuxMPWY5waZmCoxpoMZicA4CmytEIQrcuOhjRoE
l2bglA3KOmiLn6I+AXuAIIdAwNewMKvs00B7DXDqTjzZxGOCD3uR6I9OPVUVtdUuCfEBq9VmsZk3
vnd4IuNblqHL4iEGV/zj5unwHW5z9jUWRUtwRAe+8BAfQu+pxW75ro5MvfIR96HajoO1Iw9mSork
aQomUtMo1VfMK1WMXmXVOveIQ6XZJbDwgD7EzNIjMi8S8RNbyYhoFWv2NGla5dEe3RmzoyrEEdqx
jBK2WjaiXzxSmHoZkeRCPXeKv6SW0pQnNQhGeRCBon7FI9d8GZ24QtcKyX75QJNldI40fwfRN5ov
DQSHjrY72wCBUJx74tcnj32NnNIhnfI0OKSdavQnmrj568518PaqI8ZZMKd4LbhglVbXga5IFGFn
4aJggIqr0eHqrZi1ixtNYSQHc5rqE6Jgk0/HIPC0JhUePw5/ky6On50q6O9jV5nDY9501bHA5WXn
5729/elhsTd1Adl1SdevT0Ay1nobV47rN6KZvCpUD6AbC6QarWMRCe1A4PQKvxG9MmNQQOOlnlUi
54gK8jy92shFBkHzUIr8A9vzdPu3vb25OZuoiQEIUpf8ZDm8vz1MosSnJeDy8rGMeRxmQ0zoraov
OYpRXzSFosnt4d7clwQ3VEVwIbRc3AvXQU7YVgkCxHN8NsN8OLCtnMMcIXHumBQCxySk5R40pzjV
/hrRYdpZhzfLsAzOJ9Jnod35BjU3j5mBHFkTn+H0oy1rhO/tIf+soa7tlV350zL797e/dnNAuoXE
VhbN1bURKtZFTjWUPTdfXwY4PuXI709QV9yJOqtZWbbXOdix3R70zXULqB8EE8/CouwH7ut6RfFZ
m/Oo5yvVzubJG6R7yINpb0+/2TfLKDx6VPAMcEvrypObooCthHxaFWrlXWiplG0VGZ2iZkLBLUjT
net9iQyvbvdlPCobFK0p0mtr0ms+0rKUUbUE/uJdVcD6pQrhPKHaP3kA7sSh10traVvsdW02p/O3
gVdXS9WH9dgJImQ0LpHjncPeD3pEpW4v2sZ0Ug8lTgO7D2ZoDc3CDrPp9Xiiz13k3RnxeIHnEuaW
tjqNT6m1y/x7G0BBVjYZj8O4tLPX6CElDHE4DCpkPUtdv9idNF7LcDQQE2WnNk5c3rVTJ89TbwUP
WiiKYxAbEfpsifLx9pdvzK9F+5NACcYGeMJVCFOOSaVEOZrlqjr9yLHsehdbmnp3e5CVfzhtQT73
91FWhwKVIqtWHBjD2M1hfmC6yUFXmn9J62Hn8Hx49GHu3Gr00fdD4adLjlOBkCzOP4aHvt4halG4
pZdmHodUPQWomOfJFJ2mmI5DzLM+qurL0CTv24ymCTg5L67wNwV2+kAWbp+atm12DsTWjgHyufQS
AQhwBq+PedWVGFLrKXrZjWJ6AzHvKbXVT6CZ+qNuWnukvLf51DKDwrFhrZEPa+t++Cjw5ZxbEZ6j
vvpHxBIz7sk03qdQzo9ZYL1axpSegBpFj1zAqInDG/YnG55Vb1h7GN+Ne5V3FOg6CFSuOGuVlOcG
6p4w/cOzW6IGrRgDfmgqLhOBjgmCkCitO3Leyyg3bqClZIzmwIJ5gl1zPeGkGGGmtWzUuGlf8jDR
P7phl33QwAh81CJcBPKOaqInSxHs7d6N72VocnTOKS0Fa7V7qRbMGIrG0RnpwodQm5E2Xxw300HS
xxbUnFrc7nI5fh1Fxz0VvEgh7gy7+kEC/E+F+1s6VD3F2v6nHaW0cyUxn9J/p0x+CRGIPTZ19wSF
IkHwqfourKI5dVnenkI83W6fw43DDgGYdGmBpy39z+s57LrCtiaXORzx9PBdgX2di/HJTpFocxSy
DdYJUMUvAdvfYxqqYjEuVWgwDuQdR3a0Dr9wcnYO4OaiAJWihwCBgmOx+pY0TWkgon4EGAYDxCzC
LzCV2FHYfFqLJZ23lFx2tsLmp8HbWFQmwL+sWzGpGmduL4zw3Jjuj6rVtJOF5u1OTPg2rSSQ5pSD
f6GKuDSXrj+tqAMzcYAcoPSQlM9mZWPFoc3qCX+wzs9RQD2SfqcnUGPKJ6XEuKnCseQE5C/+AKZp
OAw9fovjZFrP/dyaR9pHGjFsLeaHpMxxrUCYHw9SFHJ3osvN2QFfgmABZU/qdde/O0niOGgVlSXp
3MGzdSSO7D76+R/2MIW6pbC63Lyrw1imRVA7FYOodtOejSSzTnadl8c/H4UoGcYFqDdqN6tRDNGm
A00QFnpGoCKfRI1KOFHB7VHeYr1Y6QUq88swnK7YqiCXdalrBqLlJg3V5HM1zOadVGlHYBeJBA9J
/RF8GIj7ATDsXI4v6LgIEAIg8FIA1JcBPX2vSPHxSPO8uuz8uOUJW8V8VHlVRtHFL33b6+XUQxr1
Iexzn7ek+w6azPCQI54xFZ2rexUHLbJp3haw6XjR2BKqYWf7SVI2e7O0TPabHwL9ZZFoovO1LlvO
cxHnXdoq/oSj43MYj49VqDiXWc1M30qM7Dkv8WhDiPcnXYzsJ3rIBACY272UVqG93J6VjT2OnB+R
PSX2xVbQvp6U0G2GunEKzOAwyTgisKV5UQC15k9HWXgrRNtAqBaVx9Vj1xQawPwZ5SdbIh6t4qV5
F8l0T1Dj7RXKKMzncoNyntbMQhP/ItTt58AH8Kcf6xKV/xhlvoOuxyMOpNpwQKp53DlZACveLCfD
UuvmTaUQDbr3egqbeDJqa2wDX3aIScXaY2lk5Q+aB456Us10OJfAWV2vdIvaOHRZI1+tQIy4JGTW
qOFNPvMIl0J9BWg3vYATU3iE1Wc7cd0PIa5h38YCJNzJBZtJ22DWs49RZOg/KsOe5kMpusk+zH2s
fuukhsEaSsKTQimpzcy7sR6RRXbp8En8O1IUfqUxJx8TrOwDWI2xO3lxFgUYXVPoKo+NlrjjMbaK
MMCOzFLcg6PoNY4QtgyfetyZHuusC/4aByVaqj7l9zjsJumlCURGVP676KXvSvOTNozZz7zV87+T
MqzwVwhVa6CPZfVsZzcmL1Div1Ozdd/FCBzZxyZXGQpDJXR749keicDEUIJxsCG8z30a/UicihNQ
oHn9XcGcDf8iZYy/hHrRfbaRsb0z4Ax8xn2pnL3aYA+cExSaz73ediCE4BP9GE2te7bxsQR4adn1
ZdJM8ZItsvWgjnTlUavNODgZgHcuUQcdzNMVVX7DlXfAfdVsXqSpzV4VqM2LQ7vhEFnZY9plCoJq
TocZO142FFzyIfho95X1wO0iPkoQKS9VkgSnjHJRc6xzd3oo6JO6l1ZJYtNLkUNTjrXTlOrfpUjx
yjWxe44P5ERWjZxmSqqAXpvSeJkSuPikzFP4TctnfOI6TeveJX2U4lZolYp5+J/EoHjEhgbgQSwi
uNil6b4oqZ2/w1PO+iRRKckwGxmC92Pltq8h+KvQy50U1pqWKTgzkXCHnxxsf16GOMs+3z79y+m+
vu+oUUEep3+COMwb1HlYu2IM0iTwwwZp0CBCoKErNP0sGvvTn48E1GNhoC4y5mudGyKLSq/DDEwS
YiMPZRP9bLu0eqe6TbwTem59EwAxXbUI4mEFrmKDAmfOqB8jRiI18Kswqx/mMrAOTad8vf1Nb4kD
wGtRJkPxhruTdt5qqNQpHUdhg+LA1CDTZMzZR0XQGuZuMC48JNMxMhtawwCMj1g+wpNMs72r9df3
rNaQH8EPUImB6Q2sLrmhNIDSDQE+YSGOP3JEs9YacW0szPyTPnUPEKVrzw6c4WAFzfc8cShudG7x
UCvtv6H7LVGGh7YN/ooxeLQjw/7ZlXN4aRKj3HnlN9aFQhKUNDJZ/CbWkzVWYjbVgr3WKk1/RrL7
H9lk3Ql+dPDHATvLYi+4HggF9GpWGbMTBiB9DAy3A8vG8wwx97uiE+JINVtFCUIao2cCHfjzfUcz
d1GrWvS0ADhdPzZhEA8Jw1CaFqH6tW+1Ca+/ZLjw/9r/YSohx1A/4uCi8bxM9e+1XK013ShnKDeN
VK+LcSYDYVKhJ9nOO1+1uceJStnfWBcC6l5lP66VdgNaHq7f1wO4iiLAAdZVrObUzLp7kvTl7wYe
35NiaXjgOmV+VxFJ7Dzly9yt9zgSOuR4aN/qlM6uP9gO43CiUuH6c6LhU+Ri9NlHo+PHMx1ONHFr
bEHJTqSFD8PtM745Mr0V5J64UNi71yNbahYliqRs3kLuPuV5XXkmLo/3So+0ahoP4aepSOqTnlr6
ziK/jf9AXonFa5qmOCjK1chOiJxKHULd7EC5n6ay1OhvuHtqU1unUiP4ZnEFu2mNEh4qejVxPrp+
rgTxsUns4DskoUfgWGKng7r5PWQhQCwoqrwRqDYJgiqZ6q5vxnb1Dqxmwc6N99Apy6y82Slg7y0e
GY1S4/IrfjsaFi12l4CDUXKknDChbnxDw19GLZP6KafyunPXLFf8ejx9ESoHykFt7g15uU6iEViK
6yt5VD27E6I3YdmWJxwG0A6fe/3Yt1gzG40RPef1sNcY3gislzodeQJ7RbfWbenYmrEvyxg+MMRw
JzB+ea8nQsGpG1kW+l1wiNR4/PLnZ+K3QdcSU0OpBUCjGLShNfmjsYMEb98s9qFvZS+Ta9ZQYWvz
qAj74+2BN7+WSihAPqhBZOXXi9va41wDZGFx6Z8hGoKjpWNIeVHbqj5MbVR8QILrx+0xNyrKlGB0
sJ1LL4lMYnUOO9tKAqScOCFa9L2Q5C+k59E/vWkrh86Yeh+hlBnvrNzUfZHgDVej2euFCmYTQWtx
R08YAiKONNE8EV8spa7eN1Zrv9NneO0ZW8SH42lfKtMFMEKT2Ac0rd9Jimvg+NBWRQ4u568a3Y8a
h/LX21+3uX2RE0fvlt0LVvZ6Rs1kLKJiYEatXEkbTwWg89A1LoE81gg/YomOaqqF0QOW0JgauUG9
J7eycf9Q3eVxwb6KAGata4CFtiDb4nlpi7p9UtVYPsWj0z3VwswOs5EXT6rVZ49OK/B+Rboet8Vq
eI/beYmBY6oe7VRIjGFH5zIgLeZNXR+cZAb5Np0qLI9UIHjt7AwPujKr3oDkVoB45wWVLXQk58x+
iqUWntC3UD9ZTj96TdkIrC3z8aSGTXRUdeALI78Fb1Nde0BiENU0zaC1PMYzbe5TZ9BEMVH4ooFq
Rm11drI5fzK7ePqqaWF6d3u1Nq5QlA+R+wX2QOFrHUSrnawUtWZPWW3WP5VO757UODJ2rrSNJ2+R
eqdDheI1/czVnogyKw50pyKgtBRxCjM8f9NSS45h3VAqmvCx1rM28wseE//2923FsgtbAN1Pbm8S
k9XtXcRaP/T0eMipkuyujIyqf4DfrHcHxx7VABXOcvomrUS7K0MOBP4/6LLJUZxgguHPCfjD/CuP
6+5DW+KCcEDyCYdJNcKtNTaaBgnmWIvvolkMf8xoWmD5C5OJe4kofN2oSKfUUaSyzFmuGRcFbx68
u8cSPG9VHGfd7I62ZSA3R0LhK263hzrbOkUGEFDeu6XKtwYvhgA+xqkuCNIyMJkTJsheWzbyYmnB
zhW8tQVB+FAq4gIC/WlcXxhYOAlk8PhQLe5DXOHR0AvVUN3Zgm8pa8wnwfsSAFlgTddq02OcxVkz
10R49TDEvtbEDg7MQ4MA30iohtN0n/QfmroOXxrXmu+HQMbyEisSA1sJGJAcqJja1GtHN/5we5P+
gkqunvylYAajhYoShaXllfotxChcoSSBkK4/tPaxUtxvWHwvioDZKQ+tS1mkD/jZv3MDaiSh+ZoN
6t9pPz+VU3Yf1uVLVw2nocQLWs0/9BTGy9Y4pGK8KFpx0pEyVlzY2CEbpjP6I6SP2tNRJNmZ342H
lKLfAhuArEk9bpVAxNLuUjDxjk+CBDSyA5+SlZ15aEzrUXPb9igWJOHOvC1bYz1v9NfBK5ArL6ZW
1/MmJzXt5tl2/El0zccgTqxnF9hETtF7TPncqnU9svf6b/jO+lcgukPtNZ37XakpSXlVH0/PWH8m
P7BiHesjxpRPCdX5zIuwVf9LVzQELieUUr/I1Gojry7QUD1MQaB/TYNE22PzbjyczCCtE1QVwTut
84KxQ8M+yifHb93vUmYY9apjdpeXwMqcHqXmWk1t7ODrFIdioPK3p3KjR7toM1nAdYBgQihe5UMy
0AJRQkDwE/rBnkiqBy1ozkpSf1RDh9a3lvtKJz/krvYa2cpPE26FHjd7Urybu0jQOiI/+vV8Xy+o
hhxymIJI8+fQfacN0VK/n3kv8zjEIrpqPRH8e/vDt24f4NmkQ0sUCJzpesShk0gEkRf7pYYPsJs5
4lBEXEG3R/mFnFnvVG44PBigF8NkXp/wWEUABMNuvw2nb5B2HT/PapgMIIqPeprFXpnSDC9pqNyN
KU69QFS7g6tF1icnGCGvxsI821pYned5adzG+XChlR09Tig2PiBGaOCaTfl2tCP5DlX3P29YLqLq
CyZoAZmYa2H1Zsb+uikNx696PX2gxaf7qj40XhTq9dmdE+UpVJRx50rZXBpiZBjPUJJAuFwvDfXw
GUGP2fGpzCRUMCvbM4rK2okQto4dhUroNbQryfL061FwmC9rIxgcX2pO4UNzsSmLDq5fzUXyCd/6
5jGeY/cBV3TnQy0ruTP8VjWEIsiiS4IywUIevh4/qPvKlQrjp1OCQgfhGLFkGt8VICMObRC5H4SM
B6IAzChVkVI9tzt950dszvQC+wLJx+u4bn4qZQz0qqf64UQm7teBMC8tUmfH24fg9iju2q7OAq84
Ujl3fMWom8euyVEMcJX2v3wLeDkNgBk4b2c1n1RtJgosDVtV67Aa6DRxDB20P/7Dt4BlQSaHkBYo
2/WqSSs1MrPr2ZtxtFjG2x9y1BB3LuWtrQkID4IZxJhFA/16EN3Bpa7RuA3HKNefpTPH7/BeNXED
d5KLIQVabWOD8ENV6CcXtNnON27lqfS6+AUo+EFGXLP8A2GkhYnaMkcjEsgTJfUMzzvtMDeoHOdb
a7vJV9NIx8LDVEmdvVi1lJR2bliZ92Scqeth3VOGuOzkwc+up+bmuUrRO0eARoJeR26hPKpNfEdY
FRoibbULNdROTNkf0kqUzzPGcOHB6PjTU9Jq6aQIN3vl+gxfDVc2324v6laaQqxN35gYbPE3vp5v
UBlR2VeSGKaAHg6x2CJ64FWA0zdcEnLqU2t01mFUxfTh9shb797CKqWjyB0EJH81sq5XNg11XqE5
jN7X2EEcKzv9qtX1B6dzXiMx74Eibf7F9YP0+4irDWxKB4CLyjuElvKRNsoPKfT5AlXoMA+zsnMm
t4JvvDfAgCHrCxFqzfCq6i7u0o5XVg5K/jWri7HySnS9T1WDVkVE5PEIoJ4Ox6R8juzWvR9QpzyO
hpMeOqf7p9JwM7494xuXEZhBLl464nAK17X12lWcTqEJ4oeIhV3y3Ozv/z+yjo11vRpldYLnPqrD
cLlYJ0QJzqiJmz5icjZdxaZ5n2JL/Kyo/yGfQrrLAcFEUYu027jeS+zdATtbrlmjmAcSgXk62Etx
4/b8vdV9gs6Njg42K8vDySReD2NjRKgVQBUpLun9i9W5EfFKVh3HSItOTag5n+uknfypCepjY07G
fWHk5nf6j/2zZgXyPkoV5TB3wC5u/7CNS5NEYEGFkj2rFBWvfxdqsWbbYyCPabNdY/UMSBqTSTIl
fJcPWZrRPDMUze8t44uj1v2n26O/FZFxkdJc5gROPRTutWVFRiIy08wIfFLGvj64STg8RYHVl4cY
EgfKbvgbHlOnCV+1atFOWVjgkRcriniY28rC2hHMsOfkJChHha7xCTMmGflJEcvlLHC68GWW5s7P
3rj5YF+SGy8sQoCRq/tHjLqlJMNScXL14Wnquuy+Uqrusysj5EV69FIEhS9fbQJ7R/Fg4xzSjqBX
DLcZyMi6t5qqGoWzDhY9taPuHy0Zu0PSz84OXXtjlF8QSE46Pl1vZFXdROLrPTvC1ybMWT3XKY3G
s8wy824v/9vzDj8RoOVC7OKWW5eTVSlqo2h64QeNK4+qkkavUVInuIGP4jyS9niZG6Svfzzo0mwB
XQQUZgHFXO94tmNZphrWJWagNxVm3O70vnC1L4Gt149FOec/ajHaO/fnxpVO2RDW3lKwQM913ebB
0yim/hQJH/Hs8J6Ca/M6WdQWnFAzkOSkXlppZfCudsGcjKPtvkNvovQLmyZm49C9NkX55wkDZTKO
PrXMBeq6xgRFnROETmPYvnQDeTHSqjtjaVvtVB3evpyMAjESGTdwXYibXE93Kc0oxrvM9nG8k5ea
eOKI9MQRIbaRJKXY0x7dG866Hq4x3KZlV9k+LCD70KhlfXJ7ELyq6IKjHvd/HqVz/En26KgZ6Bf+
WvffalGxVGplVibbH42yPo8tPVhZKsPO9nl74TDKEqBzR2P2uO4y1Y1tYOnQ2L4d6OnRCJrxpTdC
Awiewnh4ID8KEAeHOR73JF2W+boOfCg0gsVeLO8R2VjnBzIs3UxOpe2DgFYOk2yQITZldRenot9r
Rbwdis8DzsGEQhxaVzZLiZ4KAaTlx8Wg30HLC+7UMa2SnUtn44sWxRhsMujeE9OtwlZqBlkI6cry
ZaSED2mc6JceGJFfVKLYua03hoKGSaNmQTLCwlo9rmYXoU6QRxCBY6VAOm+uDjiPuMeymPdKQZtD
LcJ2i1cZ8KzVMYuaKG7qwTX93IoLXxlQTg0HfThrkAl3NuPGrY0nmK3ierEAAtZwbBppdRvNpulj
e426URoguh2F1jt1jtMvWq2pZ0p2886qbXQmmEZOgQkFFxLUmmOtaiRN2FEbyJ+SBFcD0nZjCflU
CvO+l2mN/nhvvg6h/iNxjfhDagAjxAsm9sfZdc9Ramn3M+ITR1uarR86qfTLpla9FvWbRxEMn//4
kflVJCNexj0OobPra4iMJCAJnOk1ZKbDZcfd4B9MkGiXOguiy+3BNu488k7az8zNgpNe9sZvdxA9
OtdBL8j0G+yvHwg9rLMyKT06hxigTEo2/DHqnzALeA/ZLpLoICyvxxtkOXCEQeQGM7DNWkNbKnOy
eOerNnb0Lx4Rhs6LjsH68IikT6pSxoxiT+ar7crpFMq5Re6f6/z2BL6NdyjWkUYuzSMg4GuYKhbk
MjcSQVVwqrXnwG1CWOzxXqi9AfZHbYlbHO1mmtm0tK/nrcrEaCGVr/uYFSv3iusEr00alnSlEL5I
vdhUipNTleMd7mPjv1lRT34+muNdjaDAMy0a68G1aYdacVXMqLRIiaCBluK9EkdeJ6K5OQCKtN9b
Mpr8P50gmsOUM5eaL4dPrC6y1qiK1i4d3U8tiuyyDH44Th3+l0EW7Q/EQNFFXffQtGrOOrR3dR8/
7x6IXNF8s8Mq/3j7U94eFmySSfMQI6JIRN/9ehHMLEwTJOAoLaOw59GHiQ5z25ImAKNAXDjec/7b
SHGuB9SvB1QGmN7JaAvUEZT2fpJ1Qe0yyv4dijS+jx4juH5a1x9IzwTaIB2ZWDxGPjpCw18ZTldQ
woX72jRFdRIxNU5yyPzclAjs3Z6Xt8eNn0lbbSkf01BZN/yMeK4A7QnhT3FaHaqOQLAc1M4DC2Ds
LPQGJZKx0A6giMt9xVNyPSX4FrlguLDfjkOkEKGe1UetKLSDUiWjH+QllXJUn+/UsmiOSPtMxz41
lYOdV/nOHfP24PND0MRfKrkkdGtqn+mSocH4ED6OZP1lCJAkNyZ3r3i0UbRmGJgEtAMgzLzBKIX5
LJuA9jVdhxDOP2SlSxhEnVc5FdmVVSIXMiHZKHEheyhBQ6MQqWk767v1qYur5tJvBEe3xmUVSUTa
Q8/fj0Jh4rkaFQdD7cw/vkkJ9BeQMfAFUot1i1EtHa1YDJn8uB3EMZiG6ZLkIj/d3qtLiHYdlDIK
JF40ZxaZxfX+Ubt6hEWjL5Q2AQjQ0caLNot/h0iQdOsajKchze51YoCd0GfrkCzq2EuJdxF7WX7Y
by8tkrJtICuTSZxL8dA2VnBqAolVuJbvDbV1T3E7EXoDMUUS0rgeCil+Qykn1mvoxvzYJ3S0NC1O
cFVuedQt888TmV8pGi0iELQLAed6PA2HkUYZB+Hb+lTc6V0sPdlHzk7osPlV3O/LqV8u4NVX9dq0
APdHKgu5cA50TUrS8Di/xNnwyRgr+f72RvlFEXuzU5ZGHKUawsf1AY+p+0XgAzl5gJpORV6Nh8Dt
dDDIU+DroRHezUZPC4lKBODVeLzX8YaE9FHKSzaix0ug2B41tTXv1MRANSLr5bFV4n9gIupPdPI0
IL9WcdFarbxv0/6vWUKvcDWwCX2Qdc95LowTpIfQQxAkPGpY4BxbDRxKmAQ5SP85Ot/+4K35pYpG
cLZQfdR1X9qoOqOcZioqSi11X8o08Ck7MB6cANqPhraHKV0WbD3BXGuLtyZ9ABTir7dNSgNQDSLH
9qe2yJFn79yDYB6PEVYMhzA0Sq+BHnNBc9e+DMRfPswT9OSHOnqOzcG5VF1veEo4T74148MiO3M4
TCpMkr7JNA8J9v6pwyvmMeR9pG/iNPdu4IwXx+6HYzcvYM8hnO7E7NYHIGBq4bmoCV/KOsAfGUMI
o0G11i4cj1Ecuxix3Uqssz4ZyUMxoi3wv1Kr2zCua+GnGQTKUpmbe5nw7s00Gb/cXpyta+v3uVpt
/lKrIvYYDaLG1SuvbjPjs9Va2nMVJMahwgnojB6ZdXABTR1uj7xx+YPnQnnMJeWliLBsm9/urTEs
XLMRMddyb1WP3Yi2uiab5nJ7lI3bEXQcTzoCmMsduQqtQMmOqQ272e9li+2jtMpLbBSPozU2O9fI
2xQUO67fRlrtuiwzkDqXIddIGFoHQ88HnBQAaSszkCOhYJlbq0r9XyYR7gQx8BKkrg0xFPgcbdUk
vDpWPp5zt1ToGSR7eOatSaQaT3tsaQBZ60JhVEVhaZYUCtO6Q6FGVXIEtgb9vlWsPczc5lDcFguA
Bizv2ug4Uuo4tDQpCDbT6li5+gfYvsmlKUAp3N4ZG+0PUp7fhlo26G8bsMhkB2bXtn3FtsSTK6LS
b4IifTThYPmjG5TflEL+TJyx9ey+iu5jh1ivy2vhVVKtH7rc/iEB/O/ERP+Pn0X/A2GxDepO2+du
3GYZ58LIVfUsNEwzj5NT6PopLlTbc+B+IUsRD9Nzmc1m7QVW1Tw4g1k2xwrnsYs9FUDP0Dmqvqat
Ou4VTzdSRqrvS5MTeDAWRGvRIFSuWPyeJTIjG+mJyC+L8WF2xTfNnZ8jBVSVqpHAmDDfouS90Y2X
Xo+ehgXx3KXx+6lU7mwt/1xY7WEy1HeNUA7DjGLp7eX9FTyuXoEliIanzbtO/rx0mX5bXkodYm4k
RV5HUQL6290wPbhW2J/auEXECjMeP9Ob8hLim+aVczFc8PaqjkR38jSNxnBSEL4/pdmUXBQpzXdu
l8yP9mCD4OaROCX2rH35H6QCDSy3hel4iXWzmovhBDrD9OD97OHzNgBeTDw1a1SuFhzsWsJ7mqsp
FKlp+4s+94+pbAoPlZj+mKgmCuXB2B4Uo9fPip7N7yM3BzroxqTwWWZdUlge/u0J3tyo4M2gISMM
spANricYF9lxShLX9qMFodHUGVo8emiercBEWE3O6Jw6SnzIFm1zVdr/1n3eQ5+WqUd82ntDrXZ+
DRlz50pc1vXNulMSABBN9sS1f/2zXAVsiuTJ85soeORhzz/YaVh9aHs0XEtV/deORXnJIK76xoww
3+1J2XrUyDVoUqE2Bd9k9dzoQ58mdhLYPgnPdNTiccapJd5zOd6IqCjvA+pdKGVE/Kuns9OCoaGE
S7uowGPWCrrhMZ/kJxO2wSlp3T/H40DywiILVKEgy1g32hfCQRfXwva7KBCnYDTiY6UjIHx76jba
UQyD84JJRZX8aS1dlTWRoSkDbZI8TTsPMSB5oHD8ZdYr9zjx39+GCeGIurbujbBAbtd5chTrGHXj
59s/5O3sYpSORD2CPvCs0LO83kC13mh2KAfdHyf5FymXfrAUaLwh1vQAq/J2Z7++ffEYDuYT60nx
Gp2w/+PsvJbkNtI2fSsTOsf88GbjnzlAAVXt2PSUyBMERVLwHgl39ftkS7PThapoLDUxB2I02YlM
JDI/85rz4VprxN/XrvSjuSqK8CmDCH8syuRet2vzp9sZ52Nttyc3AwKGOeWsSJ0fbHv87uhI8f+N
9XPJhYntCIm2EhlFHeVWZ4MvXBaYlq7w1NBYmjp0uoHMyln28vtrC2hBIZaLCPzclIHZs4MeY9lF
wl614+w0g1+juvaaYKgKe0ubw5endm0oylAqaT6VWWro50NVaokuAgpVNNkrNRQpQCh1cPGdcqJ8
Z6hru9CW0+IQgfC3beIhZwoNGjF8EibTfG3UTXOHumkTxoDZ7qOmane24WUigPQ+qT08C0kx3CLV
OK6XPElrpraqFLYmilNhiu8lectQhpHaloECty6YC2/vC7g8NBlap9INn5Ru0daED9h0qvdxoR2x
a+9ONT4cfoVNy86CXh+F7xluHBpy2+LFOihLq7mphietZh4GQZ0EBv+eO+q1HUInj4QG8RwoWpsd
0oiuQYmT1ybF0OEqLSu+hQ1WKGbb7Uzo2g4BWsLNS/gP7mLzMaMgrMGParWjmvWFn8WzHXSJ0IOY
/NUfoMLuJDhX4g9ArhrmYIhRWQgnybk/+9Ak1mydFNR9C21I3ygusjemGlt+jhR9WLKBEt9ARjmw
vUi/UVt1vTX1tj10ldMfoqmpdnbs5fx5HCJ4xFCkNNm2ARD1JFu0ZtUj9RA7XGpXgEXLsSaD/BhC
Gvr6s9/++XCba6FSaw16n4npW+9C5FHb9DhxXx7hyn54eaTLnQruiA9f6p4Ql20PtB49gLKsGEmq
Vpy8NprCQqvaHceNy51KQ4ybh6oheRD8qvO36fYVarG1tyKZ1le3qVXExwoQ4y0FpL1G6ZUJ4ViF
zBBRGafLE0r12cbpgQIOem2tx9VCcBifG3FQEXHeSeiu7AdGoVvm0gJmh24+PTdSLYEw8Hq0+qSl
Ml+8ivLoURt7m7eF7MrPviQqQ8BHIATAMb/opjYiYsmMWT8K3WiPCHsUCMr0yseXR3lCyJ9HsyDR
0LtHPxZYEC2o87fkVW0Zk22qRyH6yDhM6hx9WSvdMoJ2QvnHH5U+yoOpiFbiWVzV7zOAps0x7upE
3PFXpjisez1RTkqUNyPChEr3dpld4/NoZkZ7WGtnDRI8+x7bZBIVjhsrWODBHjpUaqvU7d/pivhm
ZWPzEa+wTPOjRqy/ZmvUTf7QCSiRyajodCiyqSheJ+5EBlVqWashAqywofIO6Ovs1B/VYtLguxmT
+cXqBbfXLPstwcurdbnPbPJ5oCjUDSRzfbMDcHWiZ2qP6nHuy+HUzalKjpokn18e5YpsFreVrGfS
saAoslU/SAjroaIhOh7NCn3fdEoeq2rtENBDFSF7sJpFyeA5VFYWYGXWQjF1x+GNlwmDmmtkLA+p
Yk33uYiG18OaRzADwVntfQzy9D/fOOwbSl6ysYI/0BZ8sUJ6KnCbGKgoz4iR201yoP/hojk8uesc
zLWprL6l6K56ascCm/Qo8oD09oVtTdRBJnMIPHCh95REoq9W36WlNMcaitvGjozyxvEGoqtsaA2w
DWkfWr2DTKjRNulXGsWjd4pTiwESRGRXvzdwjoSS5ULMrMFeVT5pYKX5QBCa9mD2dXRjDFQBYT7r
+iM0n/UhdXrnnWrOOJCp7VD1QeTgGOajVpZUB9QmRajpiJUctMjyZj+r1RF216j3D0vWFIcMvipM
4TKvvvZWhSdoryra55TQ7lVaL0l9s5QL1RskyfXQxXGrBjICUv0QZegR+33SmXNQuJYYHwyv7MlV
jQS9lIR2JJVgyvIvb6jL0AskDqErqAUQTeZWuWNS81Sfq3w5GrNd3UtOa2BMSfnYDQqAltJLIIP3
1Ws7n/eEZy8/GEYGn0EFkZTrgmmBSz1tYI/WfGep440OLDUw3Grc2YtXRiHfNrDjIGZwUK04P8MI
z01lyjiYB5FNSMmuaOWbs/3TAFFcDuS3L9mXhMyb+0yzWgdhvmE9xvWQ3ttgxA6pXbp/Yy7PR9kE
XXkLVdzouhVyUSuCsl3qo2fA53p5R1zezcwF0AdRFguGgsT5ik1uPikoX7FiedX6dZcavplX6yHm
hNtJu58sBzcHBUA6sIKcmQYZ76Zu3RadMbaLDq7DFJRlkrksfu3IR7u7QtFXTgSlaB/6WY2reyXv
YE0nxoQxSawuteJnhuLa4bCaw9emScYHzzWT6GRGS/vRo+6dHLpGgfvWQApEy6v1FN/rVoFpX13p
j0MEZzYYWy3bqyJf+aLYbbIGQ3GEA3ozpzzHUWihOnpc3Ny9W6Yhpo3TS2KtqleHyu2VUCkXKvJJ
4gQvv7prm51DE8gOwt8O4JrzV1dUU4aFSsari001KDLo8ZSQ1b8zikQMSrCbS5J9PkoMrtdJF3c5
kkJSZ7XKKVCMaC8xu4yoJDGATPc/yJTzUTq1KyExmlAAFiP5tFrjcAKnWJxqBIAOpYfw3Mtrd4Vj
SW2URo2s/4AX3Ib002oXnaAXeyxBPt8Xgz7WBy1df42NCOFtPm5/bsgjvEWzPsGW8t5gPt6cHLCS
vuGO1buuWvtbtY5HvKMwcFBGFfm3tAbTNOntjdm15C5N9t0c1OQj9KFq5wi6XC95+nCaEhMCW9h2
ku2+cYTamvOxM7XpOHVV/pAsqf0+smYdY19h76QkV0ArsrMF5xBhSpQfTLkZnwXWBDdjhLLLjOaT
B4I7S+O7NOmju1lXP9qzkR0RKYFAgubhDdlaedBqU7xKG2MnSr32HDRsZLoiO/XUg8+fo12izFbn
YQKwWjW/AdsqIAfR/XtTN3H3h6JQzgIkMJVVaLTT8rbSnM7BQMz5WplTuSdVcXl4khVLrTfCQMmF
3ITMc5FabI0nNW96ikbniAcLobmgXAr9p28D4EIUg7i1JaLc2tw5TpbgMlQw1DhO8ZdxUUTQA9/Z
ydSuLS91fyppxAaSW75ZXoyTPHu0i+lIa+ADojrRoRjp1i4rgjFz8bAO1t3sTOZB0cdba8h+p1Cz
B4S7kvyTZJOOkpASWwOKPn/F+mI5Y7EkbOscDSWLnYQpnx6/Lkyj9amK1rRPPOM4V6I8DNPS30UZ
Xg51Gg+HMh3NnZNCbuzzS4unodZHRknGR0Hi/GnyhqLRqFjjsUxt413TN2swiTreYRNe2UlovKOm
Jnue9Dk214jWutAjekZRWr1FiD/u3w8rDia+qhj9zoyeqifPpyQpi7JMKSVJSfq3VbBpghJOPN0e
tUnVsW7LBkTNVD1JkTJOE0LmuFtrv9FHY4CcVZU3o12L+0Jrv+hlKcwQAnRGQtfWuQl6L15LX8TG
9KmrRk25w4Mu65BLKCroHYTJj/2QjJ8cZH6+F2ONKVCFK242quwb/KLsvYxpex/LuVHC5IyS3SIQ
uuevS20qxUQ8DDsbEGchqaf7eUaf+ZvAtueoD4n7tois4our5PGtWU/OK7NRGh8tZ3pvKVrXjTl2
913p6Iuf5arHpDTnBgwuMOkEYvnLt9B2b8mHpYpMgQvMkUQNnD9s1zSKHc2iPU5m5RySdXUIXaZ1
J8Tb3hWMwoZCyYSaPxpS28595HRSJSBrjyDHoIoKEp0iaWo/SpcvFWiSl+d0gfiUw1Eeh10GEF9C
4c4nVcRuicE10Kapz72wFMsSCHO0A0X6O7ur1QOqbI235pyYN6qKDaZXZspNb7W/Z93EdarHfWj3
ovf1XB/8fO3a20nQbgKmupcOXTQWeVad/0toL3LewAA2zwrOLhkJSo91YiePztKmD0aReG/1we5u
NaWmuzYYUYcfRVe/g5W5vMucWnZNFpAqmZk1+mHta+Pt6pl74uhX9gYdMFo1qFvgybPVRq8WXNGt
pmyPM2btkPmM5JjX8Z67w5XPhSiIUaAXUKDb1jGcVsUYJmqwo1664hGR9v4VllPjQaSV9aqJKvsV
arR5mCCvu5OKXsBCWXsMBTBTAnYOJnxLwIpKHQ0+HE+OhVV+Ku3a82NDRY6ly1Xxfm4N5zHqocGa
ffS5yW00mvN52rnutqcucpI0PVSXTgTMIgot568f719LnxxjPI4rZuRpZ/d3bUcFC0GNPZHxq0PJ
Tp8ULpL46/OhUEJV0sFFbW3N3R99vhi3S53+apfNHh3iYl3lpGxyAnIsEgOkSM9HQjG8LhunHI9t
hH+lmmDO4+S58d5eujhscwRbZsTzgmgqug+5Wq2hafw0pYBnIDeWAZpHRG9sbxg7ZrW10RPH1QV7
YaTlwHUx7B2fV9ZUZuCuSflaxV93s6aZtXrQJyMB4bXKgVP20YFESdyX1AB27sxrQ0HNslhXGhK0
qM8XNekB5Tm1LUCgFGqgmXFxV9dLezdPe5J42y9SLh3IUL4Lug1wpTd7crWMeUpiAAuJo1aHWKFP
JVwrv+lwW/aN1ejfYfo6HMEK7ZkranK9nscFcmhkpSjVc1nQd9xMEu82o5uaThzjdBFYhxmabzUC
ar0Xd76WrBX12qRq3/eJzMHV9WQL8GdC65r7JfGam0gnx+Vzs46GUeZ4y5vrhzaqsp3c59q7kMbd
ssYvq/zy589SkZEeUJQAKz2qE5AOG6H6Uxc3Ywhk2Np57dtDGMiJhFoTTXBEgIPYJL9E9IvAk7w9
ekOjHhaTsEhM0d6V+aSler7wkCipJ0FBINiEnns+I+qeAEziujkapkD7G8jq8sVQ2QV+vDju3YzN
DtwYbDYfi7nvcVxOEtyTqkXvNJ/qdpaismlMUdhUth4UiWl0YAGdIeigEB2dpSiEFFCPmlMzQmr3
yd/Nz5ro6WE3a4rFcZz39UIiO2HGgB5ic7foA35/appybKi4DfuLN/VAsLIu7Q+FXbnf+UXqD8sU
w8fGNOI4yMZ+rOhTQ43z1yGtT1kxVmi8R0XzNcqsxPUrs7IACtnjmBy9yELTw6008dYaNSxaYyOX
sj0I86tJuX4o8wiwF5mO36WmGdDrq8fQzFQFwoCSupRY7KZ/M609RvQvhy/bYIk3jpaqjAck6fPy
SvAyczIzqzkW9TgHqpE3p8nzsWhqtNTZGevye4MlQNBBqYrSEWp2568d+ZAF1HbZHEG/dkHp6VGA
wm8OXom+f+MoUYAc6N6N/9TTO99ssNdsfDy582EJbBMa0cD+BPWdMsNeATmamkUelHYnTazH1Xtt
tYUn6LROGTDgiB8jftip3ywnwZd4XaCspPYSfUGfZ53CxU6Xx1bktXUy66FPjqaO+G3URXZOt69Y
m3BGTn+5tb0ufbfA4R19JYHgHabtEOl+he1DGHkJMmoGqft8UDJjxmKIvFAP6H1Dv3fKIYYwHduD
ODpTnOZoSGgqwvRGixUpvmHzGraTaMqgNBoA12maFt8jRETfGVOx3pjS/HJR8cpiMFN8UPjc8SZf
R6/mxrCgoby8fy6KnJZHyAZbGYU+Ll9iy/OXWrWDWipNn1MQ4aVmSkZLuhRifZOuTV7COqlzX1c7
o+JrypPhZhgaY6CkNihf1gLdqlt1HesfhlhToIPUUn1Rlgg5malKzpW1mIT7/bgWtEzWfgizprHL
MM7Utb1Blw5Xh6la6vLNy5O6SMk5ltgo0iHGoBfJ4p9PKkmEMeSiS48DvspwlkZTrIFpKO2baPEU
BwvJ1GsOuZJwbxSQ6bpgnBuvODQznLKwdk2NAnZU/xlC/s+3+f/EP+o3f27a/t//y5+/1c0CHjcZ
Nn/89+vxRzeI7sc/Xn1t+n8cRfX9K6dL9b/yl/y/f3T+K/79Kv3W1X39x7D9W2f/iJH+epLg6/D1
7A9hBXJzeSt+dMu7H2Spw9MAPLP8m/+/P/zHj6ff8mFpfvzrl2+1QJ+J3xbz8L/89aPb7//6xeaA
+p/nv/6vnz1+Lfln4Tfx9Xvdbf/Bj6/98K9fFMf6p1QKgy2M4oKklfPaph9PP/L0fxKeAb6xYGJC
ipI/qpC4Tf71i/ZPiQHifqUZIOUS2cAwZ+VPFOufkBwAC4DIkcLgv/znuc5e1X9f3T+owLzBsmbo
+a2bOEfC8QndiDUMQg5+2ebww0NYJLm+KuGa10fh5B+MYTp0GIRY5k0xe7d1dRLF16r6VDgPrjOG
GgItw1zftoo4za1+SvQuVOfl9tny/fWYzx9rc/zzVFTyUVrmSJbwwC1+oKjnCOlZxQuFih3RSOJ8
mND9DUEMijC16Sq8PN4TovHZaQwznvIzwBq5EmCwt6yBaDWphVAXD1NYcorf2pVVPg42t7WPj0eD
E5FhglieKoVzxFZFlvhxXinv8WRZCUQjbl1/jtviUaxL2vmlzGkQA5WmRZPaK29hXQy/tvkcdWGV
Zxh6AMtCPaudTf23Zl6xDo7HZP01gXrxRRHOHJ8ib1maYHTdKXtf9d6qhaVuoTCNqgwAPjkTO+wB
IMBPUThAT/akdoXfcMC7d0Yr32aRVfnoW6s+vIt6UD6HeinWYzNro3VKVzc+KdRTrKBAI9I8Fjpe
X0kZgzevG8O+a2saG6e0tSAHzqLKfo2t0jB83Uw0GzPEKlthZk3ic4sAduxnfUugEGVj7GMcUvQg
DDghgzQ3uxJg54w1LxihYTh4cYwiZIJWtopmTF0N9OtN2zrQQFq/uVE7J/gv9q13ByUZGdS0pDBJ
z6mv86CKAcD3eMk0Iewwltc0siaBIlPUtj+6XFBh3HkT8sCJYiUHodBQ81W1sD6Kte2Ww1y79qdZ
aSvzMIFNGG5i1OAfNUqoe+gXWYvcbCa6eRQRVUxZqfbwUT+PjBWRpcVcLkZoojd8a6uF92gXrdr4
taKBtIuKGbtNJUNfm5BQbw4q1s17DI6L7xpoH1EzbVg+aloGmySix03LBQuvhXXntMuhSAfMuNfR
1bO71alydooylZYfzWo7+zPAx10XLRmUP1sFbieMN0h9wSPA1AcLdL4KBIVKh4eZGiLNaHzA5qV/
Q/V8ChZRdg9iFNUt5JnqGGmpd1ij1H2ApDwhFlpWB+Ts4yAZB2en2LHNIwD3cprwRGjAUIzbmik4
it2ki5ppQaJFxSsk6sVrILrdx5cPk6ujkPrjAkLsgbDQ+cRjquRZJlIt0I25ul/SqghB6xjhy6Nc
FBiQXKUMzkvWZZmV4tT5MG2mDmQsTAatYfeNN7rWO9EN5g+yYkhpLvyFxfuNoxk+mRn3h6HNk51T
erPHYIKcP8FmorBs1TWbcy2YZu0PxwQdWPfDeMjS1a/t1jlMcUT5tl32um6b7+ti3M2dFS1ZbaZp
qeH+Iaa7tbGVu6w1v6AJT9N5aFq6vlm8fF8qO00OpVovO3HY5nZ6Gh/1OfQ/kWtACGez8kql4Jxl
KmrApo4hh5TRIUks8caZ++LOWQz7951XvYX2yIXGchLyNjAkXDo2wWxaK2Wkr7jQ6h5Swhjbwr5Q
G/1jUtjqAV+u7NYqcu/tiMvn46pZ84/FLp33APxgMr38KJd7G1QHjVKQHZR7EEE533RotPUtRo9a
EGUL+vcUvN+Z7ZK/fXmUbUbGfPlCpXYty0tBWG6AZ6WFya018M+jFmSmmn0YPDC1VT47H6xkJQkE
zct1mRTRjlDO5dykNB7dCmnzSylyMyr2lqjao8oVWM3APZuIPMS4bU+4Rm7Os2MRxW2U7vhycZMg
LpQf1bO51XVsoYYSqYHpkKfN5dyeMAnpHgDRFZ9fXsbLfQotHbyavIhAyW07DitEXxoEQLjXZJxe
Vd5Uf1Jo1/k5nmQhjdpsh2xwbWoo8dAZ5eOgdbhZQGWerQrJXTWo07o9WaNSEFVSAxRzmewM9eS3
8WwZJXOCPUKtBhEgAutteTVxyJThxQFFacnDwlirbEGZzKp/N5BmGQ+1rQPg0tx2HIOJYsKNrvZw
g5e4bZaH0mnUIRzidn4zxUMkwrwZVPPVnDqLDpdX4U5++U1sVoanJbKmri+rWJAqtwwJEQ+m09UZ
hL4imgNjWOogH5CZUA1MQl4easvW+3Ms2K/SuZgUYds71laxCrBleihsoX6Z1jlr/Cmy+o9dhY78
oV8qV/fXPCmMUzrPRnzIY9e800BWLwfAGipy60Oez4ENbOtrmXG5HM08AgFdzob5oe8LHPVsIKZm
sDpWVKFvtGCD+/IkrqwXYZNUVqX9LXOB848kz71Zs6rUCLXFcB/0wnDvVr1bkBXKxbuXh9qcNXK5
OM2I7bG3go+w7QhULR39zuZ6NodEO61AEd9aawSOYM26PtQqtD6tNhM7J9wW+PI0LK0BeXFTQCEQ
O59hLVyVrVgaYVml/buspUALd7xTjloX1Ws4dNqYUEZHeGfIZ7ouQ6lrFB6iZJj93Ogr+2ZYO83x
jWi171I7W+uTwEjpZHX0huGte2l1p016Yd3PcYFYC+rxbRa4w+jiCKll7hS8vIybw/NpPlJMhVcG
XoD2yvl8KneYeqwytRB/v+GVJyhjUZnaw/vKE+T8q6cSjwsZFWeaDYj+no8SNeVUNrOrhXC7iwd7
FPb32s7sOKSpk9wZESXinM7tQyVM74PgYtq5Iq6MDyXaorFtUplHuOd8/JJLt68zi9Mzrh66zrhv
dPMOneXH1k5/0JOHxeY6n0yj+fby6m5Ocrm6cFrhNlK1pzLtbb6HFkUi5ONVKywbYwxpxgJ6aorp
AE05DQcFV7uXx7ucp6TRorJEPVSKIW12Z4kHtEcDSw9BoHYPXm0U780yqW5z0mgMrXCbwf1NV06m
t0zYqZj2nrHCFgHDjEn9+TZMsgegbVu8W4QnWKo7LTNOpui946BCdEDIZYC56w2Um2vNGalC0JAs
cB61jeyg1qnwfNsYq49tSv9+5wi/3ODUbii/ySoAi7NVtu8wRTSUzjBDfmodYIb/YaxusTPIpmxJ
kKcxAFIrAFtpiUJnPt9gDrJyfdVAoFPx41x9HcmMb9hkanPgRpVjHksO9zdphfCZXwzAd4I+B0d0
mtQq+cOem+Iz9cO68B0xr8ApUPgknVed/h7ZvxQPNBAnOiWcWisPZrIWv/Z5vpY3ce7Su+gyb6pO
VDOXHy9vpk17/2lSkjnh0sCRcc9W/wTYYN1UKdgBWI7HPtaJYzN78jVR2t/WeZ1Vf9UK5Uu6zE7n
w7wUp6EGpexrSEliMEh336QP/tYELfLx5Uc7v2d4MvAp8EcARPNw1OM354mn8K6XvHMCaZyIR5uL
KaROBectiqjWp58cy8RQWAIFKbM5BEmbb0qIqe1ByjiBw8WMsWxcBmJAjHF21D1R1YtpyVwBQi05
OFg1fun5LvISc1gw3nUDyknGAw17J6RwM54sp3B2cqENiZcllGNRwLR5tWB5ZKH0eTxbGLGrrg1j
gSFB6t5WOY9QEhOl5nzzAG2ErkEJqR5XGoXC0++A7+S+1+aqb4iMnksemz/VmJRPRPTOnc7FKpOm
LXtZH7rK0HqH2SsgWXttsKjnTfat2+Fe/rPv9HwoeY4+C+YdswNeXDBUmtRduFDUODh9wTk57BqL
nscpT7OSp4LstHPz0AY9H0p3M2SIhWsHa6WOb0a1Wz7VTqy8W+fFfTsi3h3kcGF27rvLT9ekKsqF
y84FJ8Ltcz5qt1S0lNF9InCenPeYwIPnns3s1lt7/SYuIvfQODXGdslSh3baJw8c6fWbxE6776PW
6ZY/etb4bi1a/edfMlkNXRBZJUZrdPM1rdWY5VU+OMHkYkHYtMMazJ2Yjl0aqeFPv2Qq8Sw8DD2A
C9t0f6rjGtAqksHlWqs3Rtzbr2jq5Y9q7RQfXx7q/JJ5eskMJcv98pqhdnS+3Lh8t7UUrQrK3nYO
VqEirREve8fDed3mr1GoHcl4F0WP7Si2YnV0iyMHpSSnyI56plmfDRCG93MJmMMfdQ837rpa790x
2nPV2Vzsfw4O94TFlEKhF7qdfZyvZhILJ1htQ9xRSAfnkLfma7uMmgDYMEQi17I+UdVArsNpi1sC
//Rr7EztnuDmeZDz15Po9BlIyqg4bFsfahVHjTdXDmXqpXiF0m/+rbfb+bGc3f4GKZbl6NR689GZ
VPGhgcK2w6698kGD8H3ScQPRz7d9/q7zdFWzIVfswLOUGbCManyaTZQXMzF8IPAXRzx3k99e3l9X
p4zLI+wfLqCLmxgLsUVx59KBDVbgXOjplOzIffHYc5XfuV6X+9XUyk9Tv8ynDMmMDy8Pf3kvgd6w
ZJedbEtuv/MpC4RCsbBv0eRztfaYuIZ4M4MxeDXouvj+8lCbXulfb/fZWJujWW3qqXOL1QlGq+xA
xgKZrrPeOMWKaO8XwBQ3Tu4YFOPX8a2F8/qjGs/558qo7VdYdid/4wyhLMK3DUHPoS1wPvPFXGKR
Tuw1dWmnYGg5R9W4/oNg6OcUC/4z7/+OtNlWqxJXVa4wUlV4CzpzuhlWWqrRrVHbYGeN5e/6bzp2
OdYmzihULUJPHa9MrbGn16tdxuG8lPrrxMQcy26z0MWN8FC0TlQc+tQYX3XThLyBvZcWXt1XMmGg
NElZf8tTF1KsmevAATmxdMFqRetBnwaw6bjO7Mz52lAGVoQEcrICvMWDJlG/IFrG8WUks3kqusE6
6u1sBIgk7Vk/nyd9f64u+4WmP/wSpFg2O9grGlexsR0NporuItpL1RdP7cQ9sJkSMW9n2IFhmlfe
JncPByJYVBsHtfM9Gi+C/EDUvE28Ww6CptQBDao9SclrRxBEHw4B6TxIQHw+ioOKgd5qjLKuGjhP
jGsen7iWWJoaPgSa+OANqfGqNI3q0ZimPdzNtVP3+fCbLTsbveOgS8Shb1G2L/oEf5vcLk8JugKH
nHj5QJ1oj6h+dWUxLKXND8TW2NazYaeoNaQ6+SbNLCjMqrhdiF5OL3+OV7cmcqeSJEYZdptgKGlR
NqbD1LJCdU9uNVsnNRa+40S7csJylbYfvhRAhw0thRi2qkd5R3ySk+cEuYfNO5K5lEHsdJhvilwE
FYj2cIbJdVzxJMtF81trOetXeunqEjaUc3eS5qvfCZR8OWlmvf36G7Nzhq5ndbORHFOduvaVWRre
qx6+eyCmQdy+vM5X3+az8TYZj5os1Uyvn8mDtjy00P58nfF2Uotro1AZBJcGLhpQrfz5s9QiKkel
NlTO1r5QsM/qsjhQpkT9G3N5PorcU89GGaqphG7X8M3byICKuHaOUGvS8OUVu/bNS6ke2Yu2SIM3
c+lnipeVwjefFm2HzVicKj6eCtPncZHSYbWRthTvyJmBPbaadir0Uew8wpWPg14LBEObN8fRvQk9
Ci+DUVhWbgBUWNyLRKzHqE1yqKGa+enl2V45YpCbAc5j0uqhWbe565Ei7dRZqRlKj6vPY4Fn5ErJ
CPXs5kvHFQbiL1KPL495ZbcwpgVJAXMCkkP5TM/eYz8vcO5QRAnitEXfAeGGO0D1e72rq6NAwILx
SLh8cSM5+PGsEBTcACPAKnD1+g+jNfb4yVeXD8QA/wM/wR17PpWiN8SCXCA5tVE6EZwgF/dUTrzP
qyP015SX87dTpu1xCK9OjcobRF6qeyR656MSiRt2MjJqS23iFeVWLDqT3UbulXMTWX2IAdRmdDLr
zdHR62uKwovG0YEg+ykXTvfrMGOV4YK2fUCZffiQrcZ6aiu1OyjqpJ/yRl9uex0zW19p272S1NWl
RjoF8Bk0AYqb55MetUKtLYckmtqut/hTWs1HA+LsqWgWIJF5ia8U8MK9FtWV44BV+O+wmzs4SRNH
IWgCpL5Mfag3Y/RjVRonzAcPMZG4Rc7UwVcQFQ1rOQyzuwcuvpaDcltICIjsj16w09J+joeijt3A
Qp6EWvI8VMkByYfC9tfexq8iHlTtQ61L87OC5qk/lGtZh81qxSqVLYcezMuf78ZY5CnW88D9U41U
NSkzsj2H7SExZgTIAsJW4CLCBlqrD4XySJLsPmLwo/02C/OU9QNaF3oE1tYSi98Je/mwTqb5o++i
z45TRCB3U/O29eLsiHhT9jq10yn1EzcadypD174XGnN0IzixJDDhfOssVqG4pWm5ARgX42DHTnKr
RtGe5s61DQqxF8ErNoyLcef5KC00B/qcmRt0BdrJTTphWOthlHLUjHg+eUDv40NcK6u1E1Jc3hZQ
oiDMAJyifkhAfD5uVcVZ5ngkD67WxIcESE/YOUlxzIYmDl5+9ZfFGIaCnmcARyKx2L75KWsUvDLp
4EC6Kt/0k0A4JZvGGfVqkCdlmBt4w4hBdcovTj7OezixJ5vK81COLYfGoy0ZD5KDdz7VqRFLWbow
+5Gnwfs7T9v8R64IQicwhuZjVuhe7KdCtR+srALkbQ/Te0VFu9Hvjb5JfbPCtC/0MD53AxPJoMnX
FTxG/N4GSnyIYCfHJ7Udza/pOjfjYV6jSErUoAbhLrhg+LqDuTsid2r3johcfyvrkV/7eFTWg7YW
dY2Lbt+Zfl228+tqyPp6JzC43MhwiiVPEiwBQq0XLQB6y3qVkWXlVjqFfe1k7zqKmz9drmQUicbg
W+Gu2oYfjbBSK/ZySm6doJdTgc631vFHrpfzDjLi2n7SmQ2nmuzGbiu2LuBCr0fnOACp2tw6maF/
VMVqHI2mo7anQHP9Q1+GELkRY68VcHUpXSpp6HFJ74XNV6MPuYn0LMVicjkNhZ256UOu0/RkqIvz
WzRhhe3YjdSzd/rjmHIDdnSo7znUtDBDTDZT8uit1UTT25c/sSu1IJnVkhxIvBb/sQn+ht7iaitG
6QXRWwbdpl5/bwMC/UD7x3yc8bstQURoxbclNpTR7wYXyOTq8hEe5hmxpkNpi+Wny388E6oRZMDU
xOgon393aWQnUBgWJ2BX1o9FNkS+EOP6XTPrOphbPMN9lMD2cDPXDjZoJ09ASBSItsDqTseHYIRZ
EKRrOR1i3aqOpE/ftVlzd47QDUKHKw19BFR52QrEwmBBNxPsIq33PAqcAeTW4s4Fpew3xhy/47gR
D6mbwmtRkkn/Ugx9eRSZJU515ZqUgNvsnb6WzTe3NZPvzayrb2xlbhF07s105/C9iETkM7IxAEHx
rWBzcf4Sohgt6AbYXNBaxfxGWJ3yDdJM9LXP7XXw+ypN1FNjJ/Mfgkf7bdHX/vTy1rz4ZDYPsInA
uqlyE8uslECIApB54n3Ef3av+HhxJMhByLuIpyEWgtI4n2U2OGgLcM8Emas80MG7ywujOsyK8dBZ
4/1gWu+svtuJD+TbPbtW5JhgX0m1KCfxX+djTi3y8baSKoFrE1z6U1zGHHt2RxLbntIqVn57eSE3
cNi/ttuTFSqdSOmEeD6gpYBbdBQnChwVk8UYSmSQ9d5cQBozuz/msWx/x6LMAtJXjv7Sgh60y72c
/eLrkpMmYJAoDZj+29RlZp/hQVcrQQo2FvuguKXxqVqPohHN/yXuzJbjVLZu/UTsoG9ugapSb9mW
5eaGcEuTNEnSJTz9/6G14xyr7F866+pc7BWxO1FAAjPnHOMb718+378unN8OdVZ/MdrMkcmwcFrS
ua6qoHi3NVZ98fJB/nYTQ0a7/OtJ1nd2kDVwZ50blZHadl1kh3aTWxiHPQS5rBnMjxp9+6+Xj/hH
wccmlqsU8fJAJImJ4fldNIZ1RXsF/7nNsuHaCuv1Fi5c/bbWOabIbarqY7t5zSuvgdeOevaqEiC+
QJ0oKGVR1B09ZEW/7D7Pj/0QzSkmXXljkIn8yufyzzvI1wUp4G4L2j3GZxe3F9vmazy0qVuVwTUZ
BP6NZeX15csX9M9nn6OgSKHEwQbOcZ5f0IXXS7jZc5bWESmuUTGjti9cBrUl7KUYaW2Tnxqxrgux
6fVr6Xl/igMIYCLyBsE9LXPSgPdf91tbQhiUjHXnZeka2dXdUIdDkMwEWDz4znBj942VtHUvL1cy
ad/Lpm5+EH1tJz4j/CtlRcW1N/SvbfT/dkEo9bBW4QHYJZLPf5IsvVK1qs/SSkUh+r5OXGjieB8z
ZY1Z4kItve1bf2nS1t5edco7f6403FYRjRowZdjKz2/6YjUrxoyZ/HRnDK/zXcuW5LrbpkOFJtVk
00/10wXSe0MEkB5i5Y0ag0i51CYPno05Nw8NpWLh9b53anGROthjzPojKpfiI3PX+y5z8I1KZj7u
gUBOgiEK4bQgtLKuZ5rcGWt5yMrO/VRM5H+ftNMF6DG6Qd33Zka6UGtYy1vXm803k0NecFyZjZoS
QdeCWBvQcCLth3D2Y6ZlqKSnBk5FLOHzmXGjZucHHgv9C3TuehNtYogOIlDVRz16YGhahru01/Xm
vicfqHtUKF84H7n2j54IzNtsDnRL1EbURnHvePwT9jYzrPUpZbBF5v59G7VdxJ4/GmOM+8fH1Kg6
V18F5jyPxGiqtQB5tUhND7wcL0iN7cmu28iFjAtfTvmN4dkr4nVT9d8I/8Uw7febeYlCZfqokUZX
B2ygJfmcMuyKt8ZiYxoNKxE+CGdVYsbh2qs2oYUUznPihcaF2ecR0ot2UtaWyq1Rgf3BYkTExijg
/MhWD1EJ9EviNTL7UOYOk40yNLsHq8gBEJ2mYKwb5oGLAoHtkLuCE6pZ6oNViMhJzCwQfur5ePvj
vC4YkBi9GXwddSG+qJmZV1KZUV8nTu2SOxBkISDtZRLLGDeeZt+/WaUYEisgyHEGBfhWMof+WSwi
GGPTb8w6qY08H9IQ38L2OIRNDnCq7TNxMfhuP8fbZhKcoTXzoFQS6lgmagop2/p1mN9bQ0sHx6rp
YaUS8jr9CtEHdlw7atwOAc607YraGZM4ve26iGW42nYaFU5ugBmHABiPmzZ+rT1rQOM+p73i5uqe
Tgtxg4MIsiFeKB2MY1VnI0vdmf270Ns2N6knU9lJ0XlkA2C7PZFbDQ5bFsb6gylAUKWrE+Tveod3
D7iELLifETEO8djptmcH4CC3MrxGfFrbnPJgVnb9hvIyfDuuvXyPFgEmD1AlYl0nu7VIL+kBKQ22
BoDLqlzmGxy0hCAvgWHx99EQzPFgdoOIuXN+cYg8bX62edjgzfkz4SA2HZ1kyyHZlMo057jyOlel
1Ef6G3Pm+Sth0fwhhoA4C41GbA4GvHl772W5+X63xn/xaAeSzzgL4ADrtKmHth48faB3OrtogTPf
T0lKg5U6kbrFI16F5U9wOetVRYgN2Rt1Wdxnrq3HK8dqmiuBLZrwRr76Ydx5hVbws40FteDSV0zH
c6TfPcPB/CYcXP2OZOngyzYL7x7g61hc+ET48YxC/E8brNVAXtml3LpGtem4Jrnx+zJFucP6W2bz
0jCgM8dIAqsmDVcsSvBeC3+jHV64IBxMh/CrtXXcn/0otvp+Npy8TPKiMpYL31ytMK7Z0zlxYOuu
vCyUaD/3tmw/W1nuPA64nHNQsWombGnwoi9hlS9dvNqZpHUh81onTbNk9O5KQYQDDcacb9zoUZMp
pzgtlbM8+FrYII8KA/Nm5GxgGK4mUZff9IqGLLZEXX0qPLNc40IKxQvY89S3Zs7lQ45A3krG0B8/
WWPtWxeE+6zB/mKY/ERMAthg7vsf7GoSw9ENKz2k61I2+jNdM0fjynY9cVjLwn6ry2zWJx6KjF9d
Eob4vVR9bScNmBge46ocgusyX43xMnNBJhxrRWeKrB/NjJvgyLGL7TUjUEca6JIO0EJFecQW1dWJ
OWrzCo68WcMTU7lBu1mYX6QrtulidTuCzebaGEtaXOxy4gqK8poGg7vWqZ5kB6u3tPFOtKYniCCS
Y/Bl1kP+SIIceq+NqJUskfOEsWzVpkH+YeXX5mVXuHmeyJ11fiGaYDmFhKOECSYQMV1Yte88AgGb
spPsfNVcDsE8ydhE5RTF6IUy/rnk5GlNZtaUpGFo41SAfPllq91G6GpTTDdQihaIZhUVdTIN7pJ9
EKMxtPeOzfjjNJLNO7Necp//FmdpFcuZeR1oX7F8mgIvbEktLPHxW04/WBetxBT3wcH62vwYRbUs
qQw1sOLGH+S1NUXLKfdL/4PZR9snlwrUOfAGdbe4dDKgQY7Cx1stGCLuxIhh6SDctq2+ZQZfndiy
MVEjRIiYh5pTTa/WsVYTjpbcw+mCwvgKyDtq6MPQmkhrUSmdbrDfviDz03dbUy3iHUt76VKiuKyL
yiqN78p1p+nSmbLuK3hzCBD4i7c2Hv0s590RjdHmXJVTzUega42RBMEgWtzjgq7HO6C9RESAw2AU
B2/114/AgKxHECSZTKA58J4wqENAOUf5jVsKBRRCgFSOTXd0H3I/Mz71gzuzZXc0+wFjmJ05gQhR
jUmlRPHRaQMrTzoxtB8a1EN22nez9cvo5/Hn4mzrZ1zSCw9e71bXQaYCSgYST+c42ogHiQvDlNek
OOv22Gbdmp/qoKwvPW/w11i3rXtPI6X+YgeFfae81tbpunbd+MFRVXk7tpuj0qjb+ruB/1VGwDks
hgMYPfGtcMhdTMqqbbxkXWfKOT+s5p+2tfCxzs3Mv6mkKb9MHSFnsTYtMR52ophMQiIprsc2GsbL
kkja8eRKYYSJVQPJTaHZAoR2iaUM+f2bp47Ybdy3btHq9xkQUnUKZBnKu3lzlzD1F9qglHFTFDBV
YF3HGD86MhImxOwxu6C2SIGbWlniG/P6VYxtKyltGoPwQa7LrRF0KKGDDqc4BnNoKAnxtFeZrRYG
Fs1Ph9SHMpG9a9zWTlGJFP1P7C0+nuaSJcTXhh7SfCrGTlzXoezDoxkt1eeO53FM5smoy7RVctqS
enSNT+Fg8RB6YzF8VeuqvWRmB+8dfEOGV23ndGOsDBNPpYVq7murw5Pp1CPOdX5v3AASO1WdModv
jQ5y81A2tV0mbthkzC10tPtQ2SB4SdMPWcnHP9iugMh3ZlqRcnitjKm4QzLWCgJWAvddTZAVbcat
S0h45awbUVEeu73Np2SxZY0PcO74fHfZ1o1IX41lxcxMSsrB6XJ9HVahmZ0qA73AAVwJrDje/Fqk
AICCQ990/Zj4Rdn/cBs9/QrNnoqozf3mNsJg48W5mhHf1yuMU8xQodEkbJv2lHF7UxkFEbZr6Ok0
6mKr9/IpwaApZELly+ssYmaPq93z2uGwVlyafZNlv9a1fhoLPO+vYH9hAMM/9ybiuSi1UYg4oXMa
KU4Uwg8q9jEyzlQHA4ouUgwq0bliMW8XRl/PF2EwLvceQTmkuZTZ+9LvjEtjCLaLaMqDd80WEauE
cva6VbMXe/PsnDpwG6eqcu1kac2SImJCs74tITjGYadS9h9e3qf+pX+DqxQrM66aJ4jY+XZ4m7cl
GyGh73L9k+VP7qVrbVYipevd+mSxJbWVVXcU2OQjawxbd8PkF69IoP5s4GCZZ0PP/my/uOeN4kBH
i5oJvEldux6Txaymd7xrKMfbtf/3G/NnhzrbhxoG5M+uotMxtEZxUQhreG/skTgtm4hTveKP2GT/
QJhA9fHlK/2XvgO2HhxUHhwZLEX7FvW3PbnfuDCFRhGxr1D2oRaiPxgANg4vH+WvVxIVMztsRI9/
QMw2s4UtT1hcii+s+diQHQVoCt/aia7bq96cvx+M7TTq7ADiwVmTg9A7vPwl/Ru30l2qOoakVJ7v
oEa/FjL45/6dBbIjsv97pLOL1zWqQHTOXWMgpi+KIOsuwlVvaA4DBLu5XBJwKsXDy9dy//lnzzqa
AUQDOEd3zvTZo+HBOitkPRGKtikrXe1ApKV5V8gbK8teM17ty+6PY2E8Yoyzs6nOV4dqgemTGAaY
sLfdn0s0eEvqeKP7niE5dPO5bB+K1qk/2dNmnXTn2Y8vn+tfVietU3JVXfrVDETP2riLn1F22/SN
HXsJHvsaM2PglPM/47j/goLu/zmhM0bR2b/93/FDz5BF/49go/3I33+DI/33l/x/RRYxS/jfkUXp
z7b5qsQzZBH/h3+QRRbEIiCLJHNZ2B1Zdizzf4hF4X/oX2F+27U5vCHZI/4fYJEX/Ge/b/TVbDzO
KANZpv8lFnnuf/hzjPFxgT0Bjax/wyw6e9oZO+/KGY60U9CJ7TtrKgKZNDSMCQqgjo5I1EdlmkF9
YD/Vdxe/XZP/LpPfOURnT8N+KAC66BzZ8DI5DM+ePFEGkIGmQSe2YxTEMjj2sVwHcaODub0pzBwq
nWrqD5VU4UmW82uAjSedwW9P49Pxd4IoaCiMmFz15+/qaSnWrMm3MSldkRf3ll2EBxtBTHis8Dn2
sVE29ACifi2qJLd25kZR5Nb7wJmD73kVZPdQ7xhtUylg26xoGkb0hADCHDNhNNaRDmfTngKrWn7R
2aJz0vp7C6oPuaTqieEOo8de4kJhd9T4kuu4sasA5NDSFw+snzBPlNtn3/JgnT/Os8eseTDa2wgw
OiPmti4+vHw/gD88fz/9c0VwjuzzZe7IOaxvlajrwBbxcS4juiITosGv7ewFZUwmYANUsfLdj2Zt
W1+Jf7CdNGB7u8Syk/RHKBr6H8w9bRu6Q+YdjaLO/XQoc/mdFowM4miWiIK9tgqDuCbUuTrx/nG+
W5oB7in3xPiQjfZSoK+r62/eVPT10ZhDRRL4KDsEOuGOr/Wz9Z3XNwAEVUgUeax9o4ITF6rxezWt
+oHe1tAcDM5iubNWql721b19NTAw896Q8FSJo9kEDQ7f3mvh9FW62eImkpgG9d4ZP4glYmOklFuo
tCCWKEgiOhxf2Uc3ArreanWXw8R46naj92jAp3fCLxloc3HRBcUiCXCiWXksaU/Sv8sAhaftNo3v
qbPz/N5pK20nWR8WXwNqLf/C7mxPn5ZAgyP2VTDY8TC0W49YKwPzR+dvGFNzK90+oYI0RVp5ZQh7
0t2gL/UbhDoSLtsIZck6axwI47YI54b8higgaQiaSJK5fv2u9KPSPEDOa8HmTPkypW5IXMBFCSPX
/s4J+971mjHDTeiT5eVbgATBcpvlRpQhhQ9leSwr5GzHmlXRJPB07foyI9i3TrNZkPkzSjtq31TQ
ugRSksoeU69YamT7laXesOvYiDKqA+jKi4e3Pvayeci+TTiVyqM70k5MuEnrhkKhJ+9qW/Ykq4AO
7RqbbYOXPmL/Lg/EqSxHNAy6PJpraM7py4v/by8jBCowlaiAd3T885fBUHmrmE32bah0o5NfWG46
+EP/Rlg7wgqhs2a4aXTH2axkHNZT9uvl45+VIfujR72IiIVZObT6c87vaJHrW4f1nEDXaSEUdO61
PUzllU0u4amzotdwIk8E2bO3H6JW/KvgN/lynJuh/b6wOmm5E1sQOnuj64+J0q26LlUXfp16rUDd
bm46epqeb0+/kVmS861baJQS5Wr5tM+y+rh5hnPtGFUexC9fj3NZCRcEUQ/+Yaa+Eeqe81qFvDBp
jT0bhcZY2/suWr0TFgr3QL7TXDMgKa2EkMbiop0bKGadtq3EGd3t2DUGLQWVm698rc5qJ37Pk8dg
H5zy3f5D5tLSBzMtZzKTAQO/nczVktM6WKvXIi//8hJmTAuAEARQAATh3DlnSSALZriaNOGX+b4g
86Y68Dpjr9u4Q/ATqCAOfV3h/4tJroaOu0PxSDTyC7zp1rRUayrUuuAL2BzrOPmqN9PAcOsTbY8M
W3TXeK/5Dv9cvIwin2agFO+IsM6+pAzsvWDO9p88b/Ib3brhlOmsOZZBW7wvN8M9vbI49kL1/y5e
hNjodvDZ7UJf88k9+/xpNQLRTblhm/RQavexz6ApxaDNlykJ840JU7+0xYmRff6mioR4XBblQPbt
B+P48g95viioW6hcdroJ0yQP/dn5U1tsnrQkAX10YozlbR0CfzFnsT68fJQzo/A/hwEU8YRxRzQZ
nRVlgML4Mgo6EQb9qndr39QWnZ7Gf0dDcv0+uTI7joPaPjSynm8y5H92os22MmO38oXgHQ4R+YRu
KTz0zPheEaM8f3PuP46ODK8vF5IkoJNzfIYMK3twM36cWprssmdwd9C1VZzgI37IJ4FPzQU2ldEM
vjbXeXhFqvG3o2P934UUUJoB0D1fCSX50jlRQJJB5GjlB5THDCJESVjeWjB9I3/RuBWzzcjZkuaE
0HRbXok1eV40/XP+aLBwxTu8uFFeP/8F7JkLijzWwAy5cUtGmVmkOVbgjzrp13G2T/5thnqHVxbF
fma/PwN8pCBq7eJd3pK7yuH5cZ0eCpOSi0yInuwYO6NC/1DnPaXR7OSo7Cs/OBhDZ73xGr/yklYX
iz4yoBd1ynRvk0cMxIVOX/5Vz98E+8VABUHrm60IsE8QUs9/FGuErqVjTEAHST8L3Hy8nEw9Pbq1
u13PhQo/vny8s87W0wFDCkTkUHsRj8Pu+QGdeZiGrnOmZEKDkWzbLopCIHQUECoPWGLr2FDh+L6R
QXhY+lxfzrYyXlGFnn1L//kR7GN4E2EfR/53dtYLwJXaY1iW1LKA+EEX8NZRjkj6yWofpjpQp2Ey
voETDY5uAwG1KIP8QzTm5q27WtHV0HTislJu+9WbvfCVB+RM/b7/OJ+4GHpFu+0d7Pd+y35rSSHF
p45V8Gw8GxVmTLYQqutlVbJLGLmJ76VXMVeDqri9qWxtNbEOMpTfsgCQHjeGPTGFglRgxBOZplWy
BcX0RclaMvTtDbdNvcgs22QwVzAnlAT1q6mK5vM96dPlxdKMH44zQeR77r+Zuske1sjvk0Eu93nv
hG9LQw8ybk2g7xT5Kg1qOO824ynKxDtvag6RaFKvMk5hIbRI/KoS17A6PSb9bEShYziKj6izZT7D
pHr0vzc2MYfJULhGl8Juc9ASC6v45BdeVB32ifBJZrI+8Xht924efaxyM0fth0f3wPCicNgrlQEf
a4+WPcX19MsrouKTa2hyTNuxKLeD6ckhT1B2KQYxWq7fjQKP1GFcQpvsF69hQtWM4NgzgWpJtb7H
izNc5We3X8w3hrRCpgCFP/fx2HLwazGHG5yZyEJ4C6uyfGMTCIFsXFo2kW2olC+pzBm2A1Og2xkK
6b1fOgCuycQk2oqVu99jWPQzXunAB2vPHsRRp7a0xuGK8cRIFlRn1SlFevgr7A1jjUPt94/+PrmL
e7aHOs0HgYrGG3v1k7SCAPC313goNWqjvGqrgZo9N9qNvhame+053ac6K4efYQ5BN9Fe03op0sjq
Z2Gx0bjk4XLD2Bmgncer0ss3ikNgvxt114Pp5o0++ltUqwteL3uj3MxEfqxCOzNiq7PWN+1UWz+n
UOtvIXOpO7bgs/PAyUSP89AytnXLwb2dDKtl893tMVBl2XXAmLXtNJSYU1TG2dgIkdjaZIrnBx2J
qjLfdRCL3PhlfH/68K5GwfKpqdEWp7a1ckPJvmM2AOZO0f63ASxsftCWSSdhdGk621uSWZ5z2aqa
5Fa1TjV/j93ij3US26Ob8daO58XLLjUjUyJvmVtZiZDrrJIe1SX3rx6qx7Bbp6/VPEZ7NLCJAoLq
9weblRULJrTfX74I8k+0Rsc2Faa29OVar0ixGb07D8oQ/eduWsy3nW1Fb416MWuM8k511XRVLmPR
cs0TO1oiTYdi03fjvHWIJaSzBpecV/DdCj0mQtgoBM9Y5zpXngj97MTOiB6B4t2rsBl5+Xydu7sN
3vAHoEkD8pT8OLPfGjBACZ9kSsB3iEO9klku2DV9WYWF9BgEGbuTFGRbeeX4QtF+hUPH2sx6F2VB
VrD5BarUf/UbMQ6JF2T0gek7oH3QsjOtZJa6/+XWuvgadujwE2D5U5ispQjnQ2NOHZL4mUYXV3KC
7ymGfCLDUvlunfRCGJfzahdGArFvZZhENcGI2UVuEWy9L684c6nvptXLrZMoVsq7aeeYpErqykzH
zMoY9G8OHYInQcPALHNohpj6XmJ4Hn13SCeMue2pHFgnsTCGHJWB3UUs7LGzP9EWWKokLDPnTrBY
dazM0W8ubPQCJFuMlS8P2WZm5AS0ofMQTeQExEEuoruOe4QlhFGgjGcebskdLMeb3mBKnOZ+i6Gn
r9yQP9jk9qe8DBGb9V4ke3Zslf/IXN2eU+IGaEjVbVZ9cp0aAUxghJNxKTDNf5HdSDZDFXXWd+2P
8q0x90MH93kN/BNzy4h7vmbttdr4uiA5ksE7VAclo4Gw5VGqRyf6bBtO+GuMouxT47XbQ9fURJUG
VGQ8duhyHtZ1gwVpbzJsD5Y2IoZjaJfwyAah8dnydpnB6OCBjrMCO0WOlbY59lXhjRdwV+xbrMEy
PPgbl+ZAXjhEXMImaFUgwX8XoTj30kCFw5Z2ukebZ4tpeS9XPi+ohhGRHdy1mszYtj3FAkG3fFOW
FpEYcziiweG8zWvH7DfkTWX93sQ+tMaydjL4fiPzZiZ9Rd5dRBUM/WQyYREfQk8aF87YQhYctG/d
yY6YByArTX5hbfvKb4cq/4GvI68TLVCPlKyIKG1qZbm3FpqROo7GJqIjn82GcQxHn3JuqF32ugwF
d7lc+9PcnOojf8H9NRjZtKSV7tvPYaOWKK43UZZpmZUAJHOnlAy+Q7dDfeTnLQQhwiFiwpDKdwCh
/e0aUamdToDY2jehLZFmdr1DqKSpIv+dzvr1EXnXHCQ0D/THGWA8aSkDi+XCHaYVicOMtD0JR9oL
6SCJXrnQ1ubT9XHdboqtZdl+8ea07qIqo0/QDyEZJ9Nc5GW6Vc6ua5SmfzktOpgSC7FohxACYsp0
XCCRSybsuRT2m2lxp+WmKPzhHnn0AJrJ6vw5Gap6aBKldI/8hBDOLy2JcqjxMpNWV6I6QRUIHMld
wavnjXNr9W1EfHoFWBD7rhsYB8feZp2sSHd1Es4yy46dOc1j4kqr4L1hFcMVT47vEFbiz29J/ZiO
lij9x95eAUJ11jZebnUjbm098CUs7MIsksqZpulkbOJQL51xs0yZLC/cDBt2Mqh32FGIwiBhlRDt
frhtonb42dS1/Gj1yz1SQ/47GJz4ZLryNZ/In5sEdsl72UcrFiHHk0Htt+Kv1xbKX+3rJOpNSFKh
U53k2kSM2Oiu/DCD/r1behNyekuoSzo/5nfpufqhdDQt3dkkUPC1X/SEF32+b6FVAAx4Zzzae3H3
vB4dC8r5VogpiSJealfAtvYFtHTOV2aPtEcjSc5GWttG+RiYIZo1qUSPPmQpq8fGdKYyWUJrfhu1
ALKxPpg0NXkO/DCmcVKGQOyt4ic00qJJo3qcFbJs2GRsw+x53Q8JwyQwjOLHMvrVfMgKYgkTe7JZ
Trkj62+9ijLramsjZKWlFxgXEyxI3rEWM+V4xlL/HvgaOboLUpqHjNXydTAzECVjPjm/aKWan+st
x/Yqon5q+LhmbZeYi9vplIFLw8lsqxZxtlCtX2xLYJGtnTf+h7rUU5EUmaM+F8zu3jsWAqGkaede
0UAu21Md5jbl0TgG/cGlA25cO13lbikKCZxnvi/yuNar+FUOVQ/GseRTGqMS7L0UpkVTx0OGydBk
GvUlnNX2da7Wqj6oTjUdAr/IxOqQe4hjmsUgKymsW6KkvbUEOE7pgGq/bRo3hvadHep86j/CurUA
oXuBdJJmpHGakKJQfwH/k/Moegz1DRvZ6SkMBvHLp8wh72Ka3eNIzcWTvDlyj5JtOkIIKiFBhfjr
+CbaAvJg6N3UN3wBwiGB6i+HVIsir2L2mvKW8s6zkgxBiBEvUdG9ZjH5s5ngMQ3Cw0PbzQ7+6DlO
nRHBEO7GBMFADfaY7+dYAZsbZWBc05xtD9iGTeR4lXnnt6P9SjfpL5tnhw4CUBoYZbQ8nedPhrXa
NeI8xEmqiNa7rSDMyliVm/rTZB59v6xeaWn+2bnYmYIw16DegWA7ZykQjREupBmP9Ab6/FMoVzch
rUofQ76JHyJVLRQfWf32lR373kl//vzvoBZkICbeZoxTZ/tRBhxqrmZ/SMDoyps60sbHajDnqzXy
6Gsq6t8lG6rUKKaM2V9L/59Q9ATlmbp7+Zf85fTJUCCUlCb4Dsw5ax0YbRmyUy/4IV1l0NYdcdou
y3wxuzjjSYLCGrCK15ggTyjTs9OnuQueiwYJYMzzQYNwZziR7TygKx/mHy2rwU2sWfFKXkpJZAfq
e1ElBm140s98xP0x2VHr12K0Mwd52oigEWinag8aDOKxt/C+wtmaptvIJmkKYL2iBkYct4xHga78
MzpgqjBEXQ/bKkWKANhNSI5YD6KLnFsAgh0K+zEYEWZC0fYTb5i7malSqGW8Ni6U8dZusZcxhtUJ
fPrMR91Xm8MpMrqB0ZKJa3wxS50dujHIXjOU7Pfg7Grh4zABx/shQV7nQPeqmQus9gLlh2qzj7QY
hJfUdfsvqX1PLQa8ebt9BJAQlvGzZprBkTHxZajNEJvSOwxdqlY4VYep695m7sKbiqJRlTHawNfO
8c/H3ueBwCNOWzvEPno2etryCPe6LpgA2oV1QuKOY5tM30RG4XpFkslrNOm/HM/dNSC0a8ELwEx7
/poxZ9VtRMeMSZZH2x1fPTDHS6uzNyMPf5k0zBdeiwD68zYy1EL7BaOWbgLSl+eHDKaO/1wSUbP4
BNwWY8h4nfUc/Dvq4H4baRJg9wLTtGsXnnphv5U71tQNgyKkLQnWobznma+OU872IreU8Wlq2E8j
ztGXtPHmg9MY1f3Lb5Q/G1Vs2GhF0pOlVmEX8vw0TTMrNnNGUTDrMTxOkxPdW5NEK2+a3aeXD/WX
m7jnhu9wCK4nERZnhwqHHLX6wpkG2/q+mHI7i7s8IEIxosL2CjE8/vsDhkwKOTkmLyhOnh+wHg3T
UJ01JqHwqmNIs/8iY6/60Af+egMCtnrlePZeBz5/9P09YG63kQX7JOzskeza1R98kzWjGkr4RPSt
Qz+yadq0x2lzsgYr2k5imdYH6XvGENd95D4aolrJzSPzt0p8gZ3imOE4vBt0xLA+qHJXJaGnp3fV
aHhVakpCKci8iKSZLvlgvdaj/7Oe4BT2eS5vCkxp58u+mYoBxj5tjJx+45WatHjTNCW7zt4zVRx4
eU64quEchrZyLmF9ba+xxP78xPFSA/Ptg+3bie77gv3techp3Eytm7FKhqxIVNg4J22u8teYCZ/N
aq5j30Ri8PJK+cvDzpsUzA8UUgZ05+9sGREoOqhoTLTNotyYxlyhnt5eGTv97Siohxg88qzvrfez
U+uCkTAsjuJ3wfZWUSzBYwzkKyCB/a+cLUJ81hhM4HhRl52vekUNOJlDBlpDhd3RWhtJOIvD5rr1
9v2n8l8Ze//lDYKZnIea9QJk4txN3njS9BYVss+1W+86Go3yY7eMzRFwAZvol+/TmYH06W0JLROx
JVR1PkH22euKdwbo9xxUAY2ALzRl1bXcSW8m247LUo594lhGcE8nldbz2K+HCk/N3dw261GY2CLo
q9UYd175UX957ENYPDv2mnEOdfjz+zpvCqgFZHwMEEb2JiT4CBFo1T2OliR40TcX/xDKrDFjWZXV
ZxZ4G3v2NL22Td0Pc3bjSSxlvEbdgf7l3FzbjrlTlDMCyWjq3QC4gmt/GERjv+/XfCAMUg3G50CU
YRabndY/QzVH6z1mMOs7WwRslCR7hPnh5Wvzl6cZEQKjZgZ+O4Dk7NIMMy7CwBmQbBjZ19bN10tn
8J0rc4YcE5VsEhc0Cq9ciL0YOL8OBAbtiTNM9gAgPr8dIZ4q7OHFlLjtVl3mWV6nlivwMeitTwK+
c4etms2bYp6H7//6bCEqUDI47FD4BWcfnBznE9T8aGarLcz7gmnoG8NeG+Rxfn6xemr8xi61+/ry
QZ+iS5+fL7bxgMxapBd8w89fK12JpYNuE68Vv1NhYniTPd5Rs5UyHagdsngQI44OXPSMPjLqXszF
5rBZN73djh8DbVdsmSV+lWQ1C1sdadbB3XDDqdYxfeKlojEorTtkYmRvkh79E0sEr2bHyujP5J72
jlvvNgZWu9b3AWeW9v8wdx49kiNpmv4rg76zQS2A6TnQVSj3UJUZGXkhUkTSqIVR//p9mDW7k053
hCN6scD2pbo6u8rcaOoTrxh41+W4z/BNuRBDnF42ABIIWDCzMTjqy0qMkkJaKVyqcGjKW7vaTNIN
QaPEJDAqrt//ridD/c6qHeJOjGMRKVzEnEkQZ7Eo3GmV6c1fU6UMu6DuLZqM4pK61MmGJULhaps7
zTQg3OUhidxszLSeihe18Wjda1VwnVP2WamKVq4HODjryijlk6HnF035Tp4kNqsLsPq34DXCT/Of
//Ha8jAYVhCEcAeh6z3nmkh9Y6SyXLt2cTWNk/2Q5iD2lImmGC0JSBYoLj1qojL9tgmd6ySu5EEW
8/Xx/tc/88OwqAfTq/8GCi9tBFQvMwqmPq3iwQ72Ah7lrRUmxgV+h75QpeGrk70AY5vxw/iKYfV9
/AHQ1NazqkCzdCjA6G0jzVPEqnFKDJDhyLhfGictcM2zZhSVNdTgB/MY73d0oaGP4hONABeStXgp
YrJgW0gFifqrNyTu9yIuBm0jchRd9gi0BfmmT1T1WYEDd5+5sqm2Ft7BoU/0h0JjoMcFmgzkPsVK
qxRbXJt9pbc+rfAG6T9gx/RuKEKJzSCzqt5qXevuvXh2CZoc6sW+mghqiyN+xK0v+5rEO5kkdcMo
aV+lpgHT1LMa9BEVvbb27ZZ65LrHlfOvQqRCva1FaxY3YZVQ2e7rVnak8Koqr/vEhttve2k8Xpee
gnJsyl2vrMveaOVVS4MRuhAct2A9hWwI9B9765NXDd1PVIym/EpkWez53F8luMAaOj7u5UNpbEnK
Y7mrwRDn6wyu/vcgDfSv9GSk53dKmBE2twMVbgudFjjgMPl9FioAnOwo4ZvlhOPcv68iSu92Zf6I
KoQa/LGp2tekCMxftG7122nQQXcqdVJ6G7vw0DzIxjTf00rRML1EHzrzbbBSIG6MsHmmhWYJwmuo
Mit9TGvB74jtFmL8iBKPmksyPyeybQXFUMNhdLOsn3MrrFEEKgAKr62uAXbaQ0D8nJe5+slFt+SV
tmgKc4e94MLLpK3mAwpFbKKVfXkfmkP/A7WxQd3kXj1+bbC91P0KG6hPiJLb1gZuiaushJ0YlZ+Q
rWY+h0XFXbDrcwrJAHLFlTNpSbJrUVC7UsELIWPe5G66hbau4SkXqxWEe4VcYg2Sm85+lYxDQVjd
6L/MCJncVUCVAoMo3kY4jwADsNVRNcQZcivBe7XXiz06Iijj2MQ2GslM0iOAl+Uz6CIrlPK6asoy
3IA3wy7MjNvWXAciV00fUrZj7ETaD99L2qbGHdIm3lZtbWlu2rGu4rtCsTvHR5+w/lJzyT0UtnCL
VYpr4x58UP4Si0r/C1EKuq8yHYJ23SpzzbjXa+/Jy3TxF9rxnr3qqcZ+V+nLfZdT1yMEACz4S0ao
ZiPro03g3MGCgqmJ+hEdCbeyLCjOA/D9QQbKutYoAAMMVfRPhkXvsq6n6ge5TXudJYaR+TIbu2SN
07b3g0gaI2/ZVc02Nycqz41l8mE62YDqrnvHRcKetipLPCrwrWFKw/H0XNDLcGc5kb7IKu+nVdjV
l3Si8O2j8WgCCdE1yMVj472NfRdyFaA7ynmWtkjW2IJVLV7wuaBPa9pINhkAmPJ141qdinUO4Orb
lNjzQGYTzGxMBLpX5AShfiGmOr2O59hbB0+KKbV5Yk4Qof2ZRj1BvhlWHV51JvwGpZy271/6C/fp
+TZ2uPNBYxLGzFbXi9u4CYLCo/1Ht7Wdyao12+VrCuvPF4Hi3rCX5IOeut1taZbjLhVF9UrTnj1T
pO4qVWcM16RXVzigZD4CDfGOluxrWSjKp4JluMT9OsU48nZAv4J9gvM2qNdFuAfRW3a0SdVVI9DZ
3oZ67nzKbZfWBd559S0dNFyRHXsYnrh3gqeKPu11XiXRY5+HSXs7A4iwY2q1+oWGCDoa73/MM/EL
+TuOefy62Zl0Eb8QgqY5HI5+pWex8R32MhAPM5evRSEuRKCniDaWjXgXmDGeWDN06/gRBY5QpEog
+5Wgb7rWAzD2BJ1u/EbBx75vB6+CPzq6yIKiDSGiobjtaJV+NO/lR1ARpz6NFzrSbYvU0CoLgzcT
0BjMY2XXj4GOQs7wOpPVDugKaBcym5M0ex6OtJeWi8aOXc556Ciwug5l3k50xiFUs+z7YE7JNdwB
mEheFFw4GyeFGcYjx4ZDQ7QGTWfRg0x4ZOBaU5nTlaICHZWVeGNl+bhHDCTcBF7gXPXB5D5hDe5s
ajfg6Xt/P52kcvMPoHQHcFT3+L6LULFwwxHzSLhPauFg5Y3s7Y1RT843K47fujjrvwzCtF7eH/N0
DzMmURmlBXMWiVhMWlVSkeGwN6yCKInppUXl9QC+AuRoeMkL+rfZ81EaRUqk6Tzv8GDRXXXm3/Jn
KOyNijBpv64oZkTRKgIFMvhtbdqvfe857a0jOvlK2SENd2ZsUYC21Si6Q76Up52TbT6V2Ni8REqs
PzeYbiAXOE5Tu+usUvtkK1pQ+UNkHWArBY8qeEVkzq0MupFR1NQDlKlUv09In0QrG7DeLqWK+Anj
N/EtUPUQmBNp8m3f5d5+ijpXbHWzs0AmNXH24GK92/n2IFH6L7Vq2g2WB40/np24NlUd599GRxPR
JlOM8rsliW9pu/Ym+ZoJ1ATfcdghkZKpMLtVRVg7xwi7X5TVIdDrcqppJfZeHe47oDDVY5cJN1uN
UzyLVBugV1YV3L9LVYMzZ2vWiLTJanUWY5mV0FVpkJGsSIiG9DXLbP1uyJid0vVgmoBK5Be29pnx
uDOo2ZLn0V9bevnBc4kmQD4EMJ7WwBwzAwWEk1NmK4Wbbc3GVi9dmWd2tgGLhRIW//ZZhHG52yIL
Ya1pAH87TYeBBw3lK6M4ADmR34pGJFtRSG0NZjW+q2N8mzVSajhG9hfcAMcrAGDupotVA1OzLK4v
3G1nfxwPvUbyy3dZaqIpVe96OQpBq0obohdDeOiaNJ1DAcu2pwtp9plrBfgqZxvABx3kJVGgabNe
KIbDWF7c+VFVVXfoT6i3wDUr/rYQu6AQ44UJ6udWnEQbYa65IeEs1SHbIhYoWTDDTngwmKrRtlE7
SGxhbktT72wC9CCMtk6f6i+iUmA7ekGp+loDonAtoqgb7ziRPHNjTD3Lr8Ms+VG6AVrdAzj6F7BO
zbNFBW5a1dKshu2UVe49/07T2VCWazedFSfVrizj4hcYW9qfrdI1FyVXdTbR4kpDQwF/BYfgEEHp
xZXdcXCHgALfyrXb+jOyPtaW2jR6l6WWe5swqDPoc4ayCjsgYBgAUyBOlMaECWPLu7ry6qv3r/Mz
USS/x8VzkpRbVZfck1orAw8UMnCnvEwiolhaTz5dsfBCWv/bQfJ44jMBi9iHhhbU5GV/soYu6pWy
71e4pUVXraYWzWYEcfo4OnmPlBEaJwONvVh8mygANbhdDMjRjG0WfosHCtd+GhgCfa7AKn2zsLMn
ldjCualMwm9ycon1buuMwyOFo+EFNXa1Xk1RP4Q+SopKBGxdBOEqoH96m8z+Zislt4ufJL4aCs+D
Qy6OzssTjNv4zhk98ZCkYHJ9G6/PYOuib64RQAbVizaVoN8TB0DYCkCR/SsNqnTajqIKORp6bF3q
ef4unx99N+BxdFl546nnYxS6KJ2GjePGQVRaK2DBWrFG6KX4okyB0QOOmTogfI72Qm1Of3IVy2u4
nYYhuykz1/wcWYHxmHRmHj4SekhzG9BAbO+UYMi+5SPE5XWZONQpPH59u3Fk5RXPaLNVOFEaaVT/
TW/4f8HnL9/y56Z+e2v238r/PKLt/9fx36IX8P8Bix9zwz/O3Kwn8B9vOZDN8fAte/vXPx6+le23
/zi89f+xa6P8jVfp7z+9/vmvf/z+R/83od/7J2/ZLP87x1a/aft/E/oRBf4nESacKOA1Fv+FWD4v
KFv96x8KfzLblnNhenOzZ5bW+D+UfkXT/kliONfSYFcBR8C/7r/+ExWE8K14+HuL/S248D9//yfR
/vim4FKGmoRM6cxQ4namkXX8PPaA+ShaeM6dxAgLlLPRKL9yKqgXLqTjoPr3MCB7CPugqqm0TOYL
9I+YL0MsSEll6d4pTZl+Qll/QrO+KQ51mecvoaKZL2CK9Wt08tSXSqCU/Mfa/Pes358l6TRJGg1P
pLehaB4PrwCqlhY1JGL4qdlpiZuts6F/+vgg9lzixOCPZV0+5kJFUrLQQoFJpYUfxFjVq1Sv4wsF
guOQYf6S8Ijm9A+G7vzXxVOjTGMYeCjY7dWhR08xz7PNBN1jjSuEuv74hBxzNkECBYa48mJvJG3F
tq5bsQcQ2P7wCleBIF9f9J053YIeyRa9cKIgFQTBYnEa4Vqj1zIjtKKbjejp36VQ/i8RseZA73+u
3N8fjpoH6z9TMml9zx/2jy0YdbJQNETp9qFXlHtpFBP+R2q6LQL9rZdDuq6l7W4A67rbfhTFmkpd
sakz2/v4XnQA3aLVYYDopoF1/Ds6YuNAQR54L6TT3hDlW+t2ctKv76/dcdz192zB9M6YIQjD9HCP
R/HGPAN6qos9hr8/exiCvmeXj1aJp8uoD/bHdwpqGewTripjdkM6Hq3lm9eAx8U+as1218aG9DM5
VLv353Rm68/aUDAa2fqc5MWXC+qosymux3tjGoLd4KXVusrGtx7p3guH7GRLgnwChEeFhXyYmtNi
S2ZJjWZiGWeo3CUoWTKwvAqQC71wY5wsEuUT2Mr0bMm4Mehd3IpB42aJ65TcGFMWrSnaJD/tELaa
jafHY0Hz9KPLxHgQrucFQtkO18bjZRo1g46FFNE+mCJqrTG6cvAwsgsx/+nHozMLIg+ZEEQLTtAX
VQqNzI3NbD+rd1wD65+7nolxYZSFlxA7nPAJHW+QABxpuLWLPVdYzLAmvd+Xtpn79WAiaIe50c8I
tfmtaEL9fsRh1HAr+asE1nYf6F2+ghszbt/flafTpSDJaQaJiPwOct/HHzWy0L/URC72yF6OG9Eq
PwMlusSdPTMI9zD2IuBiAeQujcVTqRdtFXHAvKBpN0FeR2vYNtWH9wef8Y9RFlMpZBjI1BgFvrBI
dQrdHOiou/WFUU6OMU/KfLiIOxAzQmTn+IN54+BiYFpkewikJoSkfvyaCqXdzA5hD++vzfmhPI4W
vVdKyPOf/3Hnq4XbI8WiZnv6vvazYYguAGDVN58T9FlN//3B5uvn6IEhp+bZn+2tkG8CJn482FTL
cERBvNhndfow4NVyjXakDnVwXGkq/N+KvqGbAyJ+f9jTrcGw6LxzqOdb5ITrTZ+pA61V7F0tVHwj
i8AhjEny4UVjlBl5QyA7o20XV4crcnwsNKvYV9Smy1WnK212W00k76uxaaLwQrHizLf0AFqgdoHh
HZX/xbfEPWeS3ZSUmBAYmrsJqin9nAobl+bMndxD6Ezuz1Fp7f1Aq0heWMjTa5lghJhbNeCNI3e1
GDyssVI3BqfaF02jQZscUgcGRV7Hr4Lc/atISRxX7y/i/K882jtEPpQOuM4odTPs4vPqCQVfOEly
Hw4WcEU1DR8mL45XFgzRC45IJ/uFoQhAyD9gd/CeLmZHbTt2bCh8e/Qz6E32EXw0dSaYfnhGxDdc
JrMH8Fx4Oz4N/diOk4b3z35qte7WRGVim7UyvKa7GXx5f6iT9SLyIDshpOOMI0S4+HiFl9Qmqpzt
HhCjXKcs0k0/VApGQkpzZWqNeyGCO7NYwI7IvghYNaC88xf+41ZBqK+Ewi1b3AqZkCxJ0PM671dD
OTgXDvfJOZinhnIBUu1UlUhfjodi69Wz+jKNWrKrb9Bzgf+HwEYGy+kP+VQXmOh5nb0Bq2d9CETJ
+zoPTWCI3hwNMsK646Fp8EEallq775Nc3VKR0b4ilD99iGhxOspi7ewKKl7r6e3eyNTX1syHjW5G
3lWmFMFfcUyTaQri/qNx5O+ZEWcDmLPg9C8eICM3ykkPGLN3sesyIySWY1FvlGAML8QGZ3cKOCoI
dvTs6BAef0NE2NHobRwIGGU2rbBbNXxpZUBGbO1SGHJ2KO5n+rlUulEXOB4KoaahAybT7qe+K661
QlW/qIE63cBtzy+s2UJ/6fei8RhTXYSlghfesm0g4SD3ISrle1epkBQuUXc+TGAGbnDbCvdqO+j5
FbJucHaSyAuwnwoz/c2p6vweCRINQK6F0Pr7d8CZWw2dF9IpdBOBhS/T4lIdKpWHsNuPiBOyaXrz
xuyi4MKzdG4U+MMUVMmHgXIt1nNCr6iZGkaZOhSvlQpCVEIYunl/LmfuM/J6iiSUd3iIljXzSAxN
O+pWv9d7ntqIJ3Cn1nF17Whp9aWVMv7wfTarTZLkg1HzQBXNW+uP+wy4hpBKo077Prb0VcxCgQlX
qtWk6eX6o1Nj0yBeRXJAbsBfjocapZMjZmiq+1itubYyKXWkFAzqGWuaIQ5sP1T3kgt74/QShTPn
EkgAHtbptCwu0dDJ0FTVQm9v0iEf97FmyWinNHlaX0+GG5Qb2cHNfkg9Iyn2KYWXSy3P49bLfF7I
8miz8WLgkYW+6/GsW6GrldZGyt52a/emd0rtfoTLt8ugFQCbkcpg4pkVROaFiZ9uVzRzSWEdmrsO
5Jr5d/2xsJawUL/Si2CP8IS7ARuDr00RiAtv1Oko8+tARQPwAzW25W2g6sE42IUb7IOkoWhu6mLj
RMiLv79zKBfya49ipN/US1AA86GYcYSL2ZQIlc3kyPuq44M9DogWmhsI5Jb7GHp5PWznYqnuY+Gn
TXehV2ONntV5UeCxUHpDto3Be6FnrmWy30zg/GwkK/BULtRVFpQtLkmtQWGE/oOqXENUqo21VQNM
9TMsT+O11XbBZwXjL8o18DbSK9BQpb6uEf5jIbWQXmlQlRWiDghwDGtT7d0ITjHc8q91PGXjCmD6
9IKQfZQ8JG3EGdOjUtq3eSCjeBatA3jwrEUtLUC17AxrW4Mwj79FSQdbz+h0M3gQbSO8+yS25C/E
UbTOp6WmiLu8cEvzWkfrsXls0xAXDuxyAfaZFVDTK6PJZnFIs5VfwmxCeTJDMQuPETdAuGMYjAxx
fmmIzMeE1+3uIi0t4QIP6WfoxLWxialURX/ZSHPwphAxfxuMMdUPcIjK6F4AFxs3UT65XyXlpRd6
F066m7ykEVtp90W4m5I+aF/SpEqUuyEeYud6cBGPLDbYjQXaY9xrVoUupOu495PZKf1W5ar6ZiB9
5CKxmbvJdZHLAvcYND6nq8op+wkTlKgI18hO6o7fFZ7ZXHc4eWV+jry2uw10ZXhWugF9mlKt4i91
k0Eo9loHH2Fp8lStjBbW8zoEyfytFNin+tVsBrBqqOheKw3WqGtNShDX5QALzM+SAN2PXrefmn6g
QEg42UV3amMWYoNEuvfWNSnYZXdCohmGIBnDLhDBmK0nmjrmXkEjtd8m6BBo/Ar4rflGULBw7jND
AUleKfj4fOc9xDFDSZwWNnOOXJS7KZ3JAEeEzMt3e3LldxuFeX0F/zNtt6bs8eJOavDf2MAAKPg6
UJYTbxO2E/qVEoEI3aWBmsrN0IE89UVoi3Y7DWZibXEkxC4koJfpbaWV9LQscUe1EHSNjWQiBxfV
cANzR9rXSWOg4OhbqduafuR1TQ8ZtDLAxybgRdZy6jHrBPKeNLd26nhQ4NO6br+Oo1bJLWxZA8GN
xKijDViOsr8BEFFJ6Y+GNeS3LlYJfHiaW3S8O4nrSC3zNNlb9Oa0n5B8gf1tYheS1r4dUnTLkTTB
vCuTVaBfN+jtRTsrDkrlm91lRe6XDs3ldaGrRbrrZATzxwlT+5FugnAxoqDwq/p2UIUW9D6hh1s0
oYp6N7XIF19HCf8w7WU3gs9aN8jLlE0v1BteStNe212KQshI1hRsevj+D2hm9Lbv9DQ57mWNq4ff
dKXufgnTNKHhS/uhzj9PWmcHPyetycMvI66JOKcMaTiUWJKomWivyymxDar37mDIbyVeWc1Twmkf
75SSLGeXOOjZ3DUllP4AxdwhKHG/ED2dTTzcQK7AbVC5s7ZqnoNevJksY7wykv5XGCjfB0G9DTGv
RvebtrypQT2iomS9NrVzH3oiXdvIPY39wH4LrHAlawv5V0tmv2SLDUiT6+3aox7vIxNzyJQQ77rI
qNudbORh0vWXXJpspWiWXoj1+yZSIMBYUxJ/GglR/Ija+k3bljsMmeTGC6g2qy3IUCMIy0NQaf0W
4xHTj6ux2MaF2foIJWW+NojqMQ6UBiMvfA7TqLqPSphxbY/GgtsW+QHSwbhVRuvXENY9UjD2Pq6x
f2gDS3kCVW5CkPPuDQQVNh3N4atJM77j8NSvE0e5A5cmNy7uHluLitauaVEnMEZaTyO+Jz5wuu6L
bTRXNGRLlFUi4y9EDe68Lp42wwhBIJri+IqAtoP/rj8gTBuv2ybXdqBVb1UrcOb/OUfAZap3rhzl
fZrjq1XaodiYdl7uTS37amQoE4Tx+Fg5arhSOktucR+qbilyhLjzYh6SD+MXqUHnCHUVFDOJ+Y0t
0nwHeneLidqbbVrbtA+CKxPPmVF4qxL1Dkl3ArDgldYamK3VdjaSDdLA64vnsgkrrE3jpi0eeoDh
01WTJmb6aNq15a2UKtKUG+5Jr72x07CLroBVGNbKrsEF3xdj0Oc/BogIw8NY5461nsmdCKLEaLn1
b2M9Ft2vJBr17slLQM0fMKuYqMJTJTF2Za0I/S3T1QyTFbXENuyvMZ8CZHJVfJK6mwpMY/0D1Ri1
flCLDMUtlRMdb2SJRt9NNrYGt6Supk+KNCJnl/aTMe60uM2yKy3WSNm6WSAVRcs0LH4hcxm0Gq6K
Khf/OkMkAIkcsx8MdC4d84eGZoT3LeCSDje2VOmG28ijIUOcu1of+3jsNcYVcm42oqicKHSSEILW
UeAJHKD4yNvYXzBqQmiG18sJfFfEAIUVPUwOBZzRekORCvqOIzvvcyYy/NZMJBV/wicpAUQ2yjTc
epnE63EA14Dw5NC71oayRGZeCa1Da6ixptKDzpChod2gl0W2BJ77Vw4GH8x5ZlWa3xKRpps+jaOv
POkGgiUepmR4TrXiRtSoNvhJZaDto49uigASZoUPQ9sY3go0s8lMUa0w/zIbIX5UWZ9MKwjIRnRX
aairrAyXh3qNFkCrHrAJTNOVm0e5XPNdCN5GdzARzgQy8xMjiUBbF1k74UkXjvTHAHWb9kOOPnZ9
5UVjpOWY2lZJsw1S1Cl2Ne5L4q4eBK5SaLdrxnAXNzAJNqJwMnud6WDBr92Byi+qQoYhV3lnI005
zZK+KImkgyfXFL80KKhtFfOA2ZllPVb1EGM6r7X5U+lR8uFlVpPxXiAUPqyLypLmE2bBYf2AjVfM
fRlBk1tjNoaYH9e6LA5eafTc1jUgQ7yf0ZO+irReC5DYLnr9xqlFpzxmRom3TYa6yFeiAhvVPvqt
IMd76BJICrfRJiXI/0qUr2Y3YGABm0vdiJufrVCrO6yqOtgLkUj1acdjYcWrpgW4PNO7IvSjYadY
+W6o9MZeFZ0ITEB2hKCrritUpNGNpE25Ed3ZiAjMvLhS3LgWW3A7CKOkTpfmiPhVsBtuaZGBGvQU
WiTbmpvr19jpcXTN/z16Dk3ZfJZ1OdSd3w1zLCHqoUS4BSslfDYH5JDXSWSxayyY/spTblSVt3FG
ZNyfqzDoUteXmuSa4Gkp5e2Qp+VPgI6KuO663MnhESATgW9bWOJQoXNM+11VaMa419QhLLYl4Mpp
F9DFbXd61sUcizxu0NGLKQGu694uk2u4q+Jz5GTYyxtF4TznE0IOflVgzLJz28D7id6WHvuy1lFv
mtA7nw0Hp/AbZZMqvxqJ6fNtGic6qkVhg0ng+5nGSbZGwQ1LHLjZoJpwiV00liTGTmjIdeKQg5A/
xEVZcLdo+T0PWbCBozaOcEsuKj2c1G9+j4pMKcEfzcdlC5WgPqmR8hMHh2fsGrutCE4tRo9VoVya
4El9YR7KhdZHyRlbk2WthOK5ppXNhO0Th2Z2lkr2iFpQrYFHqK9qvYguIMZPMkQGpGiCbwS0ZbLw
RdnECTVqcSgrHtCRdL6ErqW9YhxzyZrp7Ch0bG2YDQDTl6IAaoUL1GA44qDBTZBXilXawb03Tqq4
UNU7N9Bc/gWLRh5IW+Q4Ee1ss4Pr1ESHCuzsNSqM08YY43r3/jY8tyFIq0GtUqdEk2Px0coGhNtY
yOgAdiW88oAjgD2O872T2pcKJOc2BNthxmNTqKAHcTyhFElwjnEfHZAeeGpSj2sCFS6fUO+VNu+X
f2Ne7Dtwkpwt6q/Hg8WFQHsP/ahDjoLdvRr21Y9JDvXKGPVLhfqzC0U9C1zivFzLVkee5mlhNCnF
SQ2DS67+LpCfFQ+A+V/vz+nsQBRf6f5xbVCqP55TasKwNojMD0GQN6QaimN/NtTeazYfH2fGDIBk
opyML8liHF4FPOvj+IAqcPvijGgArYupTPOPlnQA59MDmyWY+AtQtONxpipH4L9lQzgCQcNQaPp2
dFzx/NHZ0GWFW2xa4B9YpcUoshEjr2mVHHDyGO7SCq54ZifpBeDP6TkCGE+1yJxrQ6zOouSYdrRl
VK9z9nhzqitMW50VQdCslQv19KMTOh5qUaFSZdqhlDU6e6dvtX2l5u49zalLIPozm43QAwDYXEql
bLs4QG5YZpWZ996+jBXnumq70A9IeS+Uuk8/GzAD+p/sgVlOf9lW7rzUNLW0Dg9lJ/rVWGQ6Kb8J
O3sWU7kk6HJmSpD+6EaCTZnNwRc7wekcNDgzLzwoaajW9zlYwWxPe9fcvr9AZ572o3EWN/dkT5kn
lEwcGr1z/S5XNpp8w+mxxcPZmrbSDZuP3+IG8BC65pg2zJfD8UlKEPuJ5gD84I5m2q70pM9uDDAY
0VVvjeLH+9M78xlNIHnscrqucGvmNf2j3jvqfawkoSoOUeZoB0drEocoeSh/vT/M6dagXAy0DG8B
x0ZJafEVKX6qKMAZyQGdofgVngwU67Yg10+VqVv93401F4X/mFLspi4Sb1Ny6FD1fQRbaq4LqfYb
qi3hhaU6/XpzWRklC/RpgIss7a1aqn1BOAzRocmM4DOFAW1Lf9X5aLMFMPrcpaNNxTqdNCMyuzSw
zMviQ5dgMbzR7N5rn2pQbR1uQpNrXDjGZyfFUgHxtcClLC8LNdBCx2oNooi+pyIwDHLVaO0laZo5
FjkqzSMTQ10eQMH8Xwj1jldJn+v9VstDG3TRQDIIhKTiUrK6q1p1i7vW7eO7WBHKARXYgeqHlqGW
8eGNgn8l4DZMymhZL+ktFtqWhTlW8QFZyQ4isA7HewX9pHjRQsiM6/dHO+lFzPOE6zl3PWaKxeKm
R7mjhE1TxwezNeSWLIgmp10iFGsm8Y0dt81tmEv9qsZZ+sI8zywoI88tHSLc+T/HnzrqoshLMxEf
YsR1116lRZu218cLu/TcKIjCgmkDy2Sf4G8QQkvUrGriQwT28cVWYyRT+R+j8MLxni/25cZBmM2e
PyNNsuXGCSh1BKg9xAfF6KdnuzHL59gJ8eQNyLqwD6HU9f7Cnbm7Zl9Mzh4yOUAgFy9N5sCtDHsl
OiDGbVHlULptKhXvpoGz9vz+UPNKnMyNSxieI0D+k6wnRxQHne0gOiShbLeciRAM6b7sdPVzETsd
9rvdpYbf2dnNC0ZUhaHrMuDtqcankRLFBwRWzW1GJnmDJoHi14YjL9yW504A3UwCeNQ8iOMWJ6CO
ULWlqxYf2qhJn7GvS2+rRslu0GVQ151mxWh0BKV3g+vaJem0s7OEfTxPlHLIknQ0UBY3LQ9P2kGz
5VfDa2KYA3JqEKWEnH+pO352i7qeBieX+4Ub7vjACcQERoTz4oOLlscqKI1yLRDt3uSdlt/a6mS+
/hvb5o/x5rv2jxcPujGFLepeh6xHdDV20rewVRI/G+L4hsZVdodxSXYB0XHui0J5BkUIL3dmHR+P
aWAY2HvKXNkMgvE2iKGX+5jZ56+BQDvmwt25YLGTInF5/jnaYutQdqK7FevxQatlaa6HHOkFmn/B
Q9zGww6nHEFPkULw2Lit40sHiQroI5cii4XE2X//DJgvM5AF9OSyzoPj9OT1kcNL3M9u2DnSqz9x
IqKe1DgGFduuQMRslds0DWlhFf1jbenBQxuV4VVWGvH1UKvTRtg51LWP7wAdZjTPGBfViSuL60rc
WGM1PoxaK9BijXu5zbWEAjE4hjbZ9bnzncf+kp7d2U2AyxygNhJzdwluAZoQBG1LI7y16PUUufF5
igN1U6W2cuHuOPe6kI8RZc0wexCWx9utcpU6cBvuDmOgOdSh9LO2R3Q23v+M524oilu0bX+HJku8
QFPIJJftGB8KgDMH1O7lcwq1/E43++xpchrv1gjM5goVqPACxPLsl0QXbmbZUvLyFkfYrBO1lLkW
HxIvsTaexLUx1DvjBszJx1RN/97Es2Ewoskz9WgJpuYBayPC8OQwDfXbbFa5aWQ1vcnK0F+p/Y07
IdzxtXCL7I2ep7yAETx7hhBsRy6WvAqk7iIaSdWw4k+C5FCTE+wUJWugtEyxJ/BKKevnpIyaFyfD
Usqveu3nkFmvY47Wd+m2xnOtKnR/hdVPF27QcwsPG2VWCAWnBQX1eHsl41hTOiZEUguD4mmt4boZ
lFPzTe9HtF3RCPlKV0E+KUjMXfggZ4cGscXbi28iKqzHQ/dG0nmFChzOKYIeU9gYXVG/iOmTresM
p4i1Ylg0fjU1QdohRWy/vXC05gGWQQcCITpILtQbKd8c/wDFCATJgIwPSDJp9xXQik/wjOI9Qjzh
GqMRa+chozFeiKrOvZFg+eGwUEKcz/TxqF4VD1TfyviQ5ubs0lCYxdy8Esp9R6X82si1S+56546Y
SS2ZXIqw39YXr3I4iiGho4UvvaFVeFZlbeGt00GxAsSj0vRStHPusyIbR9I2A+CJPI4n2E2Bmrmp
x5Mlapdx+uq7TEJwO56IxLZHuOKXINP6/P4NdvazwpqkVEpfALeG41FhzbR2BFny0HYD/dQpxBUX
mx2KFDNRst0arSY/vT/kue9KZoqRFkkRAuiL7wqpvhhjmKCHdsAAxBHhMK7LOoS2DpYsefw3BrNg
qM0tD7qVi20The7UjHlDcm/V6WerBR24LTBV+V47uC5v3h/sFLVK2MFgCIbPIswo9hx/zQFrjQoJ
H4BeBXmMEiMpg9BFuKEjO61sDavZ1NQeI1XmqAHr6LhODu0fFD0LXxnEpSbMPLflQQWUxwsBaopi
w2JHzWWq1sF8kd5rm7wGWdMckkJQnCTecQ9GMlT3bZsEtm/Qd72zXJoAF8KMUwbV/EFmf8S5DMFS
L9YaTbsaIyl+Qg2PfOVpUh3ups4a13EVTfel68GwB3by0GiNeadEjuarQsPm7X9xdmY7chtN074i
AtyXU/Y2M9JwtFvyCWFbMvedxe3q/6fmBf5PTTaaGMMHsiHA1VWsJTMyMsIakSa7/3Fu3ZswpKkD
kZIB1MqT8FvQO0RokBlRmwWpGbtngKsqPphL1LwTtTujlh17/5hTkT/XVWXv7Qv53ddfQnYHw5VA
xWATB3atmKNcyfKgLGCnYoijmN97NxXfld5K24M9d93FGETs+stY9zWmSM1kQf6lo/p8fxVu3TJk
U6AYdIKwUVd7Ih2LPMsWkQWamKH3JS31pQPuZJSglxnE/9xnUfivouTqslOhuzWyQ4EOSW3E0jaF
hZ55lQr3meT4aA4KKYgdnQQSFZ9y8WrlBfvoIKx+3oPMb903dBbLkieWla65eqvNyatmc1R4OXAG
ea9NWKuYatl8GnTssd++uvRyssUIzJjqKu1Q7CVOoHJQboDcfg6nvjwAatmP8H6Vd10RY2w0qDvr
ent6/zfmKtLtLJxBsG5ANw5k7N04R5/gEpTvwqouHu/P7tZbAWpJzRohDTj58pf8doLQ9BONCtsg
CKvGwXZBz+bl0qAp6mHVVEbCH4XS7kQ7N8ekKREXcJreoMRfjxl6Bu1JOEcEOM6nmW/2i1B8Tjid
U5nhnarB2Xv2b90TBJQyuHLZMWuMdlIS0WSGngVIPKmnsKhhw+nYwT3oema/G50kRg6KV/KIC9le
8e3WGUHFAbQP6IG6pfz731Y4HmBvDTr7R4nap0oNAzudaOqwxUclCbvjXOzhHDcT5d9HXK1v6Tk5
PjNpFpQ6/FlMYVQ8tZrwBKG8fXK6fjguTvmj0CfvomPNd0lisec7cytVw66AEiCtFRAeV+cTzBYy
bM220vFkvGDyjsO5HQ47cOPNz4rPCmHO/zppr5c2X2JjaYouC+LSyc4W2D6ydrZ7jJQhfj9AWT8P
/ezWvjLDvb1/bm6e0N+GXn1VpDBJoEKNYgbVYcVHnjf+2rhwHn3VkSTi+6PdXE6pPiAPDQSC1RdF
c2pozS7Pgxm1F8d3BykIVDfjtIdu3JoWRDnJlIel4KxrNHoPIK8lMjFza63yU9vCtpPwtgBQaFU4
8ffndXM4onHZ7Ce9rle3T63XS5JGLjvVpuLgJ2Xe/AEJtvtXsUOR7zyTtxaR3E6WpmWlZq0ilk8p
7pWLwlUncqS34esflmqKd/bkzSmhGiZpvpRP1s3ydAZ0VYTnE6aXyYSeLw6a+sUo4/7z2Dk4UN1f
wFtXKaEgHfH0MCHwsQpOlY4quSfaPBCVkX3uzX7+gRFi/B15FtM9dEAI/wFlImGTvm80/pCrroKN
sNRKFC6WPMDJDEG7tqgvg9fDRcyhph+QAjM/NGE3P9yf541VRWbw1SqEiJOH4/qkI2ieu0ZJsGUu
Roj5rGPkFA/hp/mu0uk7+cWtCJcG19dkHDlzWmuvR+PGDu1WB/1pcxxlBc5ST4mZ548NpsUXO2r1
M9ZJxfsU5lntW610KDU753uudeXObrrxfZGpl+qg+EXo5CHXv8RGAjfnBs2DdDCn+lG0IYxCrArg
irbJYnzpy7b78/5S33iv0B2S8DxdXWyr1ZlsSxoWhmUkpgNn/RtZO3pW2kTF+HQwXmj5Cs8Q4J1h
5ya4cTiBLWW/KmcTu6TVkndx7VViUvnA5TIj+xs7PRzJUXez0/3p3cKeuOHoZQbkkXI7q9iKJkRH
qcq2CKZ2NrOT1noU4Gy9yr/in0q6DKU/fUhRTkwRgTsRNhRIM0d0V6O+8hzmXfNgl5Py4f6vuvWd
ZdVMuqcRY65brnCoCBsy6CKA/KSd+mZIUETWquZCI436SDNq/eP+gLeCBGkIB/hnkkhvmjH1cOyH
YuGeIgIKD33Ze4el1mc6HdRRdlVgNksBWNACAytWZcW+qEpW7kz71l7jqiT0pB7DI7B616gvQQ/y
ONbAqsuXpFn+cpV8flDMwflcw9c/s9329BbkTlrlbYhnyWq9FJTHIvH6SE1ZbiojVecA65r5k4hU
zEtr4Pv24IEpHBEq+iOjJDXD9BHR7KNyZSzf7i/+ra9NOAiUTV8hRf3VHVqPNJbgy5BTicI22K/H
0sS4mvTwl9OWQ//OW4RV7bwUt5YanUGNPA1S00bLqm0NdMpNOw86JR++6umiPBZqaj47M9roWBAq
DzHtgOf7E705KHA9UDOFZ3SUVms9WbPR9lEROPpQnWjgUi7qjBOElqvNA40L/Y8RQcOdTfXaObj+
wjAfATOBQ2gZlXfNbxG3kvch3lJWERjIoP4B2JtAGHfGb+1SjRfViBrEQ7GeqXC5VMwwOtooOx0o
6dSPOLHGJ7etzEuFHfPx/mLcvHkQ7ATYJ+QGwlndPJhMJtzZahGULi0Eg9J7mDArY3Jw4QQcMJMw
n5Hys9ETn6OjqXcUQfEIpgNUmunOLfBvvOfXeGsnkpaQSRNCIEiz+klzOtejHjdFQJnZGf1poBWV
1RGyCTFRW16ZYcYN9f5C3DqBsuwgs2n+XOMVWl/FITY5RaDMtXa22kZ/9KDMPNLC35wnS9qsuop9
GIoJRyB69+a9DXJrW1o8pxTnqedvUjKU0uOypOoc2CZiE8dRUKfzB8OgjQA++3JBBNF6ZnMdGjo8
0bIB+LZpvvS5VNqDdD9/Srt2/jeeIE3hL+lWP8M+qmla0sf85/21knv1ei9z6mSGI6uNOgXH672M
QFBrpiEUUVGro8BfvNe+Gnlr7km7bwMsOn1lPZObEZBzXYHI0gk9FVlb6xtQu5n/tHgEa1E9ablD
u+KbZ0WnICRBue0YbLXtmkV4tCvYkHlz046ODUrxy8WMkmZ8c1jBuiEopXILgISveRtGXRZmmVAV
x628oZ+sKo6IK+Q7o2zzUF4TDVYPVUOCig1EpBsdswVeoABeJdC/3No9QiNJhF8mRvytUMqCDroO
sorfqF42/HV/ObcHivFx3JKpDeHxmr+BerEFNQybAZhWzgePzqXlVOqDGn2vFendadN6/A/ioAlP
S9933WlUqvnN3eooqIBBSn4pKug4jl3v1CamIpEoYxY4yZyf8szuR4rwSZVxYrQZxlPjcliaXP9x
f/LbK4wHDfKBJFFzRtahkxMlUUWoQlrXTnp4QBdtiXBhwbTnYhUMf4wHs347I5RBYbqa5Fx89jXz
oUQWstYnvnhr5stP4MDl4AzWcDFzA33kZky+N97g7XzmGzOF/E6BjkKLFMNahQ2KEtm1EICetjl6
4LyE72iCYF3q0fjjJbRC5eqeRvGNe0HGo0SKGk8qmiTXXzXFfabAqYZCsUo79lEUg5M95I3RGL5b
KOLLm7+lLGpINiUX3sYtuQENqEIMGgLLHg1ahUv6mxZ3UjBr6ccAtL3fk9S9MT8qkGgdYh7+Su66
nl8FlcKuvTAPNL3HQn7p1WY89ZRf6m/oPewJLN/4giRUcMUR6gBuXVf4FwxYrFk3ysDIl+qoorEQ
DAUS7hFQ1sWkSvH1zesJKK+ST0CVA59exbpIpmWli/V2EKZ2/rD0huEXnj7/Ku0Oo4CeXta9q3D7
tKINJcVAJLsLr5NVxIchgJYmiygDGit0fIjwgA0R7vALbHoerEF477xc0/boeTdeSeABLmAQCXhC
a04OWEUMeXYpAy4g/atCw9zfTRPPj/dX8+YoyGAhBAqTfqOqpLWRKVLo+UE1VdUpNrrh4CrjXph4
Y4+wdrTusH6Sjif//rfoFfXWsjGbqYKaQT58NhP4Rv6YWKl+XnQ31s+dPmt75hHbQeG/0hGIehOJ
Cb0o14MacdQmovPKIO4T65MTL+ZnA9GBXziGW5/zStjW8a1rSYcSGR8kUUlzX7cppaXUo1UR1BdY
Np1ETXt4OPTKTh3l1rRwfQR1p0qHduBqN5aRaaax7TJK4dCZqOP1ZBUYeTldC1S86Mb5P8xK0jig
gMiAY/Xt0jl0eheVgMBWRuM57mnGNKp55xnYHjH+/9htQLOl7uitFSx7RaHKht54MOJW+FSGS34K
o2HgnS106LZdMn0PIxczqPtz296UcligExSf6YxZ11rrEK7mZHh1gIDK8GJFqfZEaRxBACwvM+Xt
2wOaETpRBmwYiCGrhUwEOZwexU3Q2sM/oi7EZY7ernODkiQ7T540D1mG9e5oaA2fvWFsg1TgBOwD
fTff5w7k73R/5W7sQkJrLGjQgGJXrPvk5hBjzRxAK9B12smG2omeNFf/V8/rMpiUeo/qvR2OGxgM
X4dmC5lsfYHMlYnoRraMQVxFP6bGdQ6K2n20rcE99Pm81wS4jX1f7/vXGAxceK33hotrqaJtMQUa
fmHw1UIV11w17bMTz7f3vsSRxEPJqykaHME9rFbvr+32MHBZ0j5FbY+HFUTn+uJyS6j9ZdbMnHAE
oEu3/aPXlm8RfKpDY40vZa025/sjbpaXRw2qo+S5ADCQmF2PKCyDdovGU57j1qHtfTLR3kfWIi5d
3rdF2wG+b4+G8wYZjMb6rm4w7O/oQas15TnBfPCBBK2nBS3plwcefLv2Q+6HnRE35xzAmYDvNRHU
KTatVhT7UbXKGzJOpNwW+zhhz9X7Uag7P1s1nqyd77d5UxmNd1smTUyOWPp6NSnCGrAoZPfMMFe+
OQnloynmPcLhrTlJrXzEzzkQOKZcjzKNbWRwCyTBOC3Ie7izdnQLV3lS8nJ8a5DAhGTrG+ddCuOv
L5U8ttISreQ0aKqpfoLJk59mbdR3SujyI1zBAoyC0KbM5wh8Ni2q3PbhgHUsdR/glS8VhFE0XJMU
MLEvorD8eyyTTM39DiWW6J0wwqnynazVvT1lu1sLSxxLsYvlQ6ZvtbCxooZRNsGpB3IMq5PQm6o7
IvNgDc+pZ4v/sFmgZxLPco8CK8pf81to5HWDJRxrIJsvIVrrOFhgUlKV/Z7d+K1Z8SJIAh2RGCWJ
63HGdi5meDYQanIHizhKve7PxNWXgxaiXLPz1N0eDO4IAByp3Zo/HfahRkcHg0ECHUANvDQ6oRbQ
flqKYt7TqN0eNy4RD59AQjyU+zaMSzWaijgCcB/m2jwliHngaLB4b61ava4dTzd0QPkmqKv1Q8+n
t0eFGiiOinR0WS2uTXCL039oTU9edLtI33zq+Fo8d9TJQEAwjb0esaiRTAEfKwKqFbIPaHRK5dwX
FRpgb739YawAkdFEwtVKs8z1QENahrHVgl22WJE1aNVoOCsj21TNR2eok8hvGolz3B9088ixnpwx
vheJKtNcnTJ7IUtNmiIKospUgkRV1LOCxhbKL23xsNTdD72LjZ0oc/vwEKygZME1BlK9KZOllEjS
BOZvYKZTcurb2vxRec34iZcjPWImyKNwf5Lbc8COlJ4iFFxhQK+tB2q38qZppECRTWAfR69yun8U
/IG+tMqMOsz9wbazoxZCBQYLHWJacsbrz9hUqhnb8OaCYlIwqNT1Vq2PYz0rWPf1TowklVU0ex4c
28+IfAGMGEnzJs9aC2iknpnbdtHngbdY4RPazUiE5bPZf9IJH/0+nSLE0ESi7bwV2zNvosjLeafQ
R4S0Jj+hYiaQGKPs4I0LnFQvhZ45Oe35zSsKIxQeJCEgVbu1Oq5dQsdbHCqYmbP86nG6/zcvS/HN
NcsGMiol9M/3x1ttF2rEpHSoOkoWMB3n6xO/wIbsFL2anrlTw4Mm63cuykrHuHf2VLZXCyiHYkdi
AU5jO1fMWihahTyl1q6NlSPq7J/bpLJBVJdkJ+66NQqFGLx0+MXAbatD3i/oRJX9PD2rZgdewvtz
Sk0j39n4prx7f4sc5GTkgQYlhptCM6hc19/eUCscp7aKrflZ9vNkB0NLG13aGyPlmDSclaM3dLi9
OY0z/xv1el35UF3s9xHJoRGM6DL+0KLK+VSpfTOdurIwdN/uczyLTbtLFCyRS1XxIxhhA9680GEf
RxWJsSezSpX+uRs4IYdqLJr8TPXZHC/6bFTxWc3Dwn4R7Yh5rW7G3i/PKcyZ8stI6offnxNF71Pb
6eLnrHa78uTVczseIrVVWSmT5O1BhXYzY8veFF+zLHYWP2xrY3rbHn9dO6j8RP0gXByp1SdacAJG
pMlVnxtRdo9hjnG1VuRoreH0japao7+tIUiOB2gOvYeSDLn+GpXRikwxlWLUno2xMQ+aUVsnSW70
xWKke/tiuy1cTSfc4dWmSLwOeahMDPYcLtqzmvW9LyJYD0sX7b2ecoFWm8+FNE61kS2IuOxqAU0H
dbqsnYxnLEzwcU+wvzuPTqedIi1TsPUW//apZlfneaCF7v59ceN4sZAywHIgL23K/oYyDkUy5dNz
Y5XFsVQwQlP13NnZIasrni8GrAnnCuCOYghQ5PXpMtDPtCeET55R2vpiJ4hoTa7qN2X8K0JWxp/D
vcxmOy1T5+RRIpQECkq41wMqpRjttlS05xTZwIcuLb/OZr3XEndzkFdBD0ASGdZdD+JVnehTu9Gf
ox4Kv4i0+Mx9sRzvf6HtjQ42roPggjB5VNJWUWOf172hUDt/hgQRVuehXjrLh1wNPo4a7W434Y1P
BYgm2/GletZmUo7TN+EcDubzhJfeD4Fy4aNBW/wTjIXouaE1/zxlc7rzFt+YI3xYhqV1BZLVWq5L
sbRuRqjPfCYpVn6abht+XcaEBi/8U5q3ReHsRUjdnDZTuvZQqVqVi6xx1pI2dc1nRMLQNles7GjW
Md1lSAAeQ4pyOydsFVP9bzxZgJNaCuAichf99rJkhT1GIYDMcxpm43EKLdwrpw4NyWoQPtKS08f7
+2X7AWVE/Or3QemRwuP1eEmV0DiIVsYzsbAzHMLZqPtHR3HL9lHzOqd519GnA1k/LzJrJ1bd3mOW
QXGNngbsMCQwcz10rxLijYtmPSdIkh7CSQ3/hggNWQqe1GVqo/mTSTfjYdKGPRGxG4ssWaVQc0EA
6BJdVc5TKtrR7KIVRD11PNZp2CMoOYeoySKFV5aT/eaPCmrCTW1RiJCvw2oT0ZDd1DTCgnY5UenT
Qp5dsiWJD0aSYwDfDPPw7/2vur1rGA/NcxJhCLSkAtdLO3sLLs9Jrzyz+qbf9yW6IG6zV35YUzzZ
rAxDC5WcGHWPjU7RtJgZbr3Ks6VYQWlmy7Eb6r9GS/3X6o3Id5P+cxK7OPqq88uoWQ9uOk07m2iF
4fzvJ9C6wiFlttx71zOFNw7hk8gmEKYt4qM9hfb4OatIBpCO9NwePVh0BYoL2t5x+EtoGqqRjoqY
4s69uz1HZHcUYsi5SGupol//jsXUmzhLsijwmtDz51bUGnX6rv7LrmnArVM6F814avZAlu30peMh
yRdIJUnRWl5/cLyJQmmRBJU92w80B3TzyawLXHy7WLdn1C1V+y9Dny3LrxcDt22tMX+9da9RygBY
NWQhisd6dYwdp1WdZISeFiMy9dxlWnqyymbc2dHbIwuWJKF/bJbYcGuOVYqZeJbDFw5KRVf9MR2f
qB25vjcoT/AI9rCC7flhNPAx6BAY6BA1Xn9NLqu+SaO+CLDSKX9kRmmeXC8dH+6v3Gs2ch3JyWFY
PETyUPla4+4xWuLmgtV9kKTuYut+w+plftsCjF6E0JJfVWmqy9Erxxr5UQVR9PEpQhFjPLolapV2
rQ7OwS5wTPqMzJv3M6JKovmaB/34kHZqUx1nzYuMR24cJ93p3bi1RKDNvL6UDWTp4HqJilQ4VSm8
Ikg1YR8o/isHp0Lh9/4SbZ96CE7SSZGGI/jGG7BywqFm9sIycPArw9fTtY9jmNuHGhr0+f5QmwkB
6sHegsZLyElqt4rPRLjYdemEVdBrXnIYhxh7dIRid4qpm3uCUTgr7ClyIOp/q/uqClNRavlYc2CL
5Ny0BqFEO9uKH4aY7fiQ4YezsPV4Z6vdmJzUsyBeol2baa42tGGMuY2SSRP0dr8cOkXQdWtq0+nN
S0h+RT6MPy6o5RqyzIspyWZMEIIx1IZD3/URaWedHO+PstkTiNTJW5ZKIO8pvinXOw91dytpkpG5
IAH8sMx2+pwT2hxBfvaKjtuhEEh6jTXp06XtbbVs04IVzOAtdbCMnX3phOkch8imbVGJ3/yAEADR
ekJ7BuidZMBdzwokJjNQ920CoU36H3ybDBUUrAdPaTNPid+MIkT2ZtHfGt/KYfHvws/xlUm4mqHa
p6Ue120TpLpBQ10/p8i4h8uPMIuLs1fg+v3WEy0HhLRAKE2utQHPk76RSETZBKqb1w8uLO1LnGX9
SWABvrPpN28GQ7GYkvtJxRjU8HpJJ0sTZt5qDJVo9YOaItXZJaY4ZWBD71KkXD/e35jbQybH40sh
fIEz2ZqYZDp16imh0QTQk+1TVVjludCUN5JMaYtlFBBCjgCUfyCU61lZjTCTfPCaAAlS9Ri5WuHn
o72cLX2ud+LWmxMChqRMho0tzWzXQzlaZo/94jbBYmnhXzCtxg9dPy87O2J7JcoJ/d8oq89EyQvv
BKSXAtpErENiO/10MFK9xRcDXutPxRr/EfaQfv0PHwtVenlX8cnWiV3jlJZGY3cbLJEbPY1Scd3A
0OLtK8h2h8RCHonGwtrG2TL7UIlbuw0E0r4c5RQ7lTiZ33wjEpFIarOUHqPtcPUWh4jxN63LRu/C
NDuYyMcGbhNNTw72BB/uL9uNGxEncQposu+YJ2IV50JcjGhcW5ogGrzoc94u6uOsxe+iORl2Tu/N
kcAUoMNK7u0ayk2A7ayydxrUO1VxdDs38bU4dQ9zQn3h/qRu7HPpicW9C1tG0rev9zlhTG8MRdoG
/RQph6LWy7MeGZ/+wyAgkRJNoPq6jmAL1RZ2F5dtoMnMvi+W0e9nbe8w3bjzZJmL40ptDRBydZ+3
Azr7tRjYcJzUx6ZG57+ZsTAhWGseo6Lcc5++9ZV0SZSRUSwOtvJw/4ZXOAmolidmZpWEU0ocOAvl
XCpJ/yIGqxI7e+LWh4I5CBtNiogA2F2PZtBqGhbz0tL+bdSXJFIxH7bw/rn/pW7P6f+PsuaGhR6t
aWistkGXJO0RmL88NCneNFUc/bo/0q35UEEgiCEwM+AAXM+HHsR+AZhsg1ZJhsd0XMxD1E3h6T+M
QobIR2L7bSjPkV5WCBF6bVAjbXdstfkfrcBV4j8MIsVyqIYQsa8j9aRtRiUasy4I9Rhn4bEfL/Fs
vT1IJ3jm5ePjwBDccH9RHnQ94VZdAGHC/VMzBst7NDHq1C//YTY0wMoeN97ydVKLFVVvL2HRoRTb
LovvZZNq+21ZNnvSqTd3ALTa154yiiFyL/52fnrP6mnoSli2Yp6PpAaOj0HZm/NZ7mxJWYBkjzgW
b971KLmwpmQwkZbD68o4hXWHeZQDFePNi0aOJkV1kKKij0FfjTLAjbZaGwG7fNAOaZooR6MWb7/h
CEbgk0h3PfnnapRoSG0sRC26BrCi+KAnifoPnXDGx2jps8eJS+iv+7OS8dRVkg6sxHyo8wF3gaqv
Hle3HCpnciFjL06tiocq7hvl8xjPYnkOx7lqnsspDO1z4uDW/UAhuo/eHKKDHIIEG8RIUqp9NeGx
YMknc6iDrO2AaOMo0n7VOa6SB7rDlO8IDIm9G3D7ipD1MKLUS2bPrAMK00vxyppNjhkRjDiUpWIW
Z3gMy8WwMEPxHb0o9uDg7ZhS90qStkFuiJRWJ0EVNIqm0OSCaFbH+OipeWP/kS/GEH1VzFYx/qqz
NNoBMeT/8/rbXo8pf9Nvpy/qxmEC8+2DXqj6+wxw7GjHRf99zohB72+j7UGX1wlXPRV3ac28+oqu
u3SmgsZjQMeWcpxaWNR5E9U7D+StRWSrouUOVgbms5pQMmj9oHaNCGYj+1aYnfCx0HovFv1RpNVe
cHtr9aTbLTVu2o/1dbpfVdqSAemKAKO57glBsb9hNs8Xd8GY/P7ibUaStxc7mh4Eylo8MdffSTFA
/up+6gO3qpVjilooDUlG5yfL3O4MtflO3Fu8yLClTcKZTe9FMTdVYuPzHIQlql9Z6olj2td7B+zG
hIgCIYBDs5Ls6dWF3DXToCUYm6F8kjS6H/XJzykLCwzPLezH37x4oOM2hAXOMoXO1Z4wccxuRlcf
ICHZFV3qNb2qWCB5Wn1ocK7cm9rmvnxl1MOOIxuR98fqviRustquMMdAd0eeAQHVsDzglmG3D7iR
WZSN5w4fLUp1w7eGlE/sBCLbpSUQlWqcvEOAXRvu6Ix7B59YDew8T04DUMuh00JxGRdrT29hk7mC
ELMxadTjbFN3XQXbkJuWuBkLA5YvJqN40VVkJ256xprZDPS8df7OjTB5a/WTghl3M2+SlH4mdb4+
C240NVRyWycQLr0RFypAkXVBk13DxndQ5j3lpe15AHVFfpm9Q7WMGuj1cNMohizqK5fm5kE99LFm
+6q+eztuP5o0PaEIT48cZ2+dtigG+maekS5BHtNafmzdnt3p9J1b4vyIcNjOIZfH6+reRxiWuhXF
OFoKZLPu9aRqLZUGDbMRYEVuHuMKypM9u+1ZtyYVV+lGP3QioZ4MCPzQNfreW7DZN/TnvepnUwzk
llnL29gxHI5COEuAyFsbnd2xZYjO6Pr8HWWu1sJYFEdKbCfxmznfvww2p5OhIY3ATQF7Jo0yrmdu
ajH+mmGloVLu1vU5HYxYO3t1HOsnTuowHXl2LfdgxVO+nGqlM98otiMZUzDpWH1419IZZpUwNjZR
VKUNZpAuuM9Zmed+0GJiqXjstM94se4VWTafGtoZnBxyBf6hErq6aXtReMmy2BY9Ukr7oCthZj9a
lZVTpuSNPGVlgnHf2DhQI8xex/nMJFM2TvdXfXOI5I+QpuKyW8shNL5edQWWRDHnmQXAgPAOV1L+
tJSWvlNb2BwiWgCQjyZfASLUoWVej1J09eIOLuJoY6xVT+PsZMca3P8orF0b+ptDyXIr1HkuWW91
gKiUkLRobhhYXm/O5x4PmeIQYT24HEyBHqz/1vVDUhiUmn8Ig0FAr2fmGI1TTEPvBJNXR74dIbXc
JEm9k/RtgicpbkeyB7MUOG0jjV3rHsWmzHWCAZzuxXFb/R8HIstjPeJN7hWl+uf9WW0XkU1Btgzv
koXkw13PKh8UY+mF6wXx7Ga0oSCHcKCgm3+0kV17643H6wToLqv1wEPktddjtbqVY/PZhQG99CUq
68rcHpW6rU9qZ1rYhWLxC1VScQv9pCmxnSN+by4763tjvhSfqHhK2XdZvLn+DWltudRT2DQVmu8P
lSbEMSkq9zQ4Yv54f2lfe8evbniD6BfMmteZsjOc6OuxbCOX3RZj9tKGWtP7Mf7H9SXlwxsvmdqI
9mQnXLhH7BTxTGmJFPqz2rateamHeVYeuBFzcgEr6ujEGKU/aGrE6fwVjZeyPStpMoa+XvZ29q5d
jHY4uoln/dt2jVX5lTVoM0ayeTEMvt3UiFDHmWeIb+2cmIyCIHp7TEUu+uOcpxUCTTOnyfSzqKWt
ki6vMvySmWY4PqhZ5UZ+y4Wi+KNmd5cZgDo8ICtkGpfM7KcXrejt8WPo2WH4mArocu+1UWnaZy1q
2vbYeTV6GlOZmMZjqVtVisuo2RcQ6HKz+IP+tnk5t2YbToc5Xabii3Bozr20kRpFp1Tvu+WoWuRF
vpvb01/ou5TpQTU4EKekKBAIrFMad09uEU2uP7qL0XzMOn3A5rm1LeUBVeFwOHDOxujMuqrmacmQ
6/koSkp3na/N8+id1cTp2j9ikSHb7edkYwYSIk3Tmy+tMjY/BN9r+JoOrVv8OelCFB+UpAUHjuoo
C79MDQ5pmMqHUxw+uUZSig/hpKvzJ8+ouhlOSqJFj8vYarVfI09VXyA4WcS/RJ72R4izbvVwf9Nt
7w+wXbA8eNsUJollrvcc3NMOp8AieyHcNP4cm2b5FhuYLBi1W5wVtS53IsHtW072SoELz0VqM2iA
Xo9XTtqCENNQv1Rjbr3TeLGHY4i8+R+Az/HTSKX2GerV8KubtGkncd5GMBSfSMmwD+e1oq3ieujQ
MLt5UOT9b+f6Eaej6kurIs57KoWC7Y7ZlZ4F5pwO3+8v8fYhBTpnuihusXWMdV8dEhFJiw9S+qI0
6Ygt8jyafuw2drmTRGw/JYUH1FxRsKeQRwX4en5NlZmq4FF7GbOeMzhUev5vTr/wNw4HNKM216z6
dH9q29uRIZkR0wPZhLx+PaQR6xi8NUb2omRLpZ917NbzU0nH8PAe2YjF3dms25UkC0IxUuqkSTrv
6vFJKjAcV0U7oUDd+pQPs3YOi7e2xBPtQQOARCMjTv7FWx2JchqjhWbIMMgMs7/UUCc/VWIZHlQk
8U4ZFAnx5kiBAflgUlBEFgpW4aVupmaKaUwY0FWnX7wUewvMot7o0SinRbclJA4es1dlrutvVYBQ
lbadpC8ep+zFWGL74CiRs/OJ5Pm9fsOo874qldJlJt21rkfJ8qjASNhsXko6WIeHuswRoUXEY8Hk
Zzac6jIj9NE/jRrNZ5eF6tIOc367RRifHEFyIKi2rB0vBychYKqM+iXG5OLUYYvp13rU7ez77Sgo
h9B9DLbJXiTVvJ5lYXVFnYt8fAFYFB/rwhxOaazvVc1vjCInwXpC94NyJf/+N6Qvj/QF1MAeX0y9
nJ/Qug79AmBm54vdGgVxe5leyUHWlNYwA8S3rXx6eaV3NoWS/JrqetnTB9leFWAO3BWEjOxx5Mqv
J1NCGaMjaJhe0rZ8F4eKc8j6KMU6h6aa+5fSq/vj9R6U1G4yclIX2MFrNGdJzMZojXR+wcV1KWHi
R/Gnxp4x1HbyRS+Pgz4u7oe6i1r1RPxhNR+mzO41f6RVZfwrKhTws2ZcyshPLaG4Jyt0xvfWGCnW
Ty/GDGZnM91YGdljRMxH2zC/d3WrKU4eaUQ98wsBkEQic/Vh0nrx4jpEM/eXZvtEoP9HfMnB4Gaj
EHH9ESJDHcRCW90LEe3Q+h19ww9lPA4/K8qvXxR7bLvz/RFvTY6Ih/QOCSEeiVUWZIRZO2ZWurwM
mRieaFcsDjP44tFdHG1nHW9sZI8sUvbmI7MDg+Z6cmGbKZHZZ8WLOqvaQx8t8YGG12xnCbdRBBEE
dyjK9yChpF7XoziJaiwKzbQvohnEg56a9Tc6Jq2TAi7oe6hZHnMh5p1yyq2pQcGWkunIFW1SV6kI
H01ez6A1jfh1UhYHHYx07+Dc+FgwMUC0EE7hMV9HKlE7iFRJy/IlqYETPAoZF7hI5WFUjeyDOS/1
nwIhgMKnaWy8hO34NKnm+KeZRvlTjk/jO6rn7SmqoLnZZrGnbrFZA8BKKa4sOSM0472KLP52GyKt
POuzI7SXoSgBCSy381XF0R/v79ftKBJChxoKuwfMcn1CqMrRYBZhxBvPcHaXJNNOLrz7na26Vqrk
6AGhE4bKfiTJRF3topSct8r0XgS5Xsy275lEpr+QeBDd+2ixGvW5FKS0D5SkZ1ryFsetL7niLu5T
E5WRfghFmvYnnNiXyZ/scQA+WeZiT9htsx2kqhJxN7sc0BH25/VWtzWKhKJtRaAreuOniQHPDlEf
X9EzfWfrbZddthkAscH9BytegyWwCEjA6OMOqKS0h8GJq4uRZt7xrR9XHllGkINIMZvrCeWIDeNb
3gzBZHZwTDw9voCeFm8N52SHseTlwDQGLlybE6tm1mlw6dVgUWztqRqy4qiKWdnZQpur/HUUukHA
CXGnXHOZG3ra4Mm3jEIS44vU+lsYy0PVYDxjh9GeYet2KwBisRGoT8gi3Rqms8aU5DM3NLBuL0x8
I6MdxOqaCKQ7N/64/5VujiVr5dKXCluT1dmowo4WTuQuA6VMURdvY/NQKbwbng3ge3+o7bZjWtJS
B9UyaKzrhAK/vFwgwqAFYx/ZB02NwmOyNHtV4s2TwaeC+0sDMQokXOKrV3fJ8rHXFxYPT7nqOIpy
Bp8RyufeoHWnNar6rNnJXhPYzamB3KoyE9xmu5Ptxh3QoRYs89ydjRJMMM7EHkR3cxRCCnpI4Dfz
zl+fKE30URdXphbEhl0cRFc274z/R9l5NbmNZHv+q9yYd8zCm4078wCAZBlVgSp5vSAktZTw3n/6
/UG3d0cEGeTWxDx0h1p1KhNpTp7zN724ZWxxOQoQGsTJV9LGph5udtM81eA58bXqDC9Mkvpektpb
DKuLUeB5cwpBoDhDV6ZGhETnbLPuGgv9/oRzue6kW1CQi4sB/tZKfeHJvAUj5nNamAMPp2dcpBZP
zePAlMP3Wam9T8rqaSjC11l1ctOw+P4Tb1vGj+TEwB+HL5RU3ddCYHXSO6LyjaK/hQY/61qskXh4
0fOmknRmzdMin9zrs6Q8ayNmnINq38WiuLMihEC0evlQL+XXsA/f4vfwSgWJ32NkNmHCUh+gq7l+
2T9SgzZrjC6JWR8IIYQHtR9mMMZOcZdRY3ptPssgV3gV4BqeFxTAT0OlHctiWVgkUe+oHkbZtls6
GtXIsbv1jrm0HjlwAYJzjZCRbM5BmYJzS7tWxdbTwZXQyaUHExb14foReOm0NSnFrTA4yn9baFI8
6b0xN7X63ISWvcOG52cIPMK3RXqryb41VOMzgQiisE1fF0gJTYvTuYPM0VZhXy7PhZZG6JdOYI/m
SvWy0ioOI3YWQb9E01M/KMO+UrpwT72zuis6MVIGtW4pKZ1PL/Bt8kjkOMjGIGmd/jZ5oc2GvujL
82SI2SsyB7HtpdBendjwEAWDtWJ26N9uTYDo/TQCmVH1uWBafdENX42pviVPcD4UjkXWI6I7NBDO
VDBp+aZUcbX5WUiVtFfEgA+a3ek3VspZxoF0CVgM2t0r4ZzL+XTCwjDqlciJrOe4Nt/MtvE0QOV0
I+S7aD/fWixnQzLotiBLDUMSTBCQjNNgzoSc6JC0xjOSWro/5jq2N7l2S3LzUhRolSvEkO4O3+g0
CsDfIXGmwXg2GqN2TXVw9nra3+JHX4xCVRbeKnAEEB6nUWy7AYwDT+AZmnsMaVjScLgX4bvrG/lC
lFWbYr0kkQWgYXYapQJ2oS+QRJ+FVi4+RvDKbuikyb8e5ey4oCUHFwaZ3hWvfZZCT7PTtZOU2Chk
td27OqNrFGtp9wNdlP7G1rkUCm0nCJp8nhWieTogO0bQueEXec77oXDLRR0Olk6TMXaS5rVdaEYF
oGl1QCUn4vV7Goq6aIaSVE6nUUojH/9VtEdk9MnbfLkFC7vwmTA8Wlmh9NdZdptQcVl2udTS1BQy
hq99qPRPit3Nr7311wHBHqJIzkOHTu3pgJqIel+sxQzI0b/E2ELfa72D7IA9vbZ6uAo3gEzCQo5c
E4GD00BFh45LLHIRaKgN7exK/VEiSnfjRQURjx9zUtLjJUAlnrcb9bxzBpZckEupZm8/j00zl36l
2uJY41M3eT29Mh2Ys1paAZdpnfnRnI7iYzyXk/3WwiNSfRC0EsZPWSynxW4uasTVTNLHyqPJqD5X
TTqEn5RxrBY30joaoKUiDYarJoOp3VeGZDcuRgFQVdzObCcMk9EcLg4Yn6atnzvznLmlLQvJV/HI
mbzUJCPeh13Wmq6iJqO+K+Vp1Pa5M3b13lHaMT8I3BGnh36wzfrgWGG+j5ETs2aX/smkvsx5uYyf
AbvRYDXryX4QaaTXd4iwOtH96KTlr4w9+JMEVlP2y5jY4o1TRHq8XwXm+86d9EWO/bECz/IyTeTt
b8NUj6LDPCoNNRopnps36mgb2B1QlcUmVimyydXa0Pla5j0LngTVkaH84wDhxmWRvzMjAKDeVOlq
6paIBRdvuMqnZl/ryfIiZ631JVXGrOS3zarInxZJ/2rrFA929lws6jtz0IzuLsYQV/WgfkmqizpE
jbixFVamujNBMFR/tXmfvgUpoijIgJB67YvOwCo3b3DQChIFnbOHuanG8TC12C3t0wRa+F3I6xAB
CITRhrdjrAxfJKq8YGW4C43McyIp1H9SfhSyZy5TNv/CqM1SvQQrks4rprxqvcxMQutlIcVy9vWg
V4NX5MMyHAylMJK7zrQm6Ph5OY/SE1cifEa90cWxZIri7441hulOpmoW7Ws71T5HRqFrHuS+rNo5
Y5pbb+V0zmB7D2H0IkbJybzKbCsJ2SW5rv3BSkaZhdEPqj9OUYSXKNxt/TFNh1R5yMdwjnkozk5y
7GApz3d6U6SLy8eQaMO3Vm17OQT/2aPZn0S/lll0tueIJv8RirZ4MQWuY65BrtV6lRiTl37WJvl9
tvTa0yxPGc7HrDTFQY/MlBNvLgyp9LFTLZf7rpPzzjdbCiRvjUXPEr+LdCkOFD2TkkPC21IcQImY
0W6RSlvdzVHXg8pYP8OnulJadU+BQDU8OUnGaj+VSSUfwIj0qqekVlS7NLyd6UB/KJndKM6Wr4j4
mcNq+cF+cvU61DM/Rmfm66DgVuS3YCIqF9L+pPq2ViuGX2EJb+yarpXNn4pS57IXaY2ags9w1GOt
ybF5VOSyLVMXRlb7OWXfKp5ppEIFPZYp3b5sdfnH9Zvx/GDneAEpRmsZ9txZfbKvRUxxVaGTPhYv
uL1GHySUN19eGYRbnCK6QoHJou20hcTQX+7jIV2KYJBpJTctSuuWKo3e9ShnN69JRWlVxYeqDFZ0
W7BQRnkcM6lsAkEJa985VXxnxJL6semQ9L0e6mzW1mQFCwtATKTJvB9P7w+cR4xIbdsmMKrOvIuG
Mfe0QdH8V0ahWUfzE04jT7cVQ3kaBdp/SDtg6ILUGWzDz8dRfjQmZ3ql7TcMIpjQVKn5SMAqKJme
xlFbbZoreF6IREJlrNJoyF0AiskH+gj6bgKNsxdmX4gbw1sfTqe3I/0uxHeAC65WPlu2RRZHU9iN
ZOa1NYT3lvU9UUYcxEQLATYt6MhHnemqTS+9mqMDPhAqNs1rhIrR4tmMV8hIJi2VaT4XlTId9NUy
Dd2hd9c/3vnoyMp4mP5O0Q1QgqeT2miLlq+KXc+aHUp7U9K1x4RenG9Utr7PUvUxixFucdpRe3Vu
Qz7I0xDVSRIE8pzTwFpfc7NonfM81syfAHH12GKIdiP3PH9WATnnpcNrh3fVmdMfb5C6Hk3JeW76
MHnrpFayV/RK+tRFtK3RCFg+XJ/Os3jrjlv7vWgekE1tu8pFRwsYM/gmqKkJPMDuaGDf8uKHhrHH
BOCv69HO9zcAPur5nCK8TXn9nM5hLTmhnI1JHzjlOKPNZ5auLOR6dz3KeT9lrXSiNwvzdhU/2SJ0
IVRaveDYCmYpL0ZXkQoMtOpKQDQPE0Xt3dTW7GjXpnmf/6U486rjmkohkLp0LNs3RZaW0z6rIY4/
pVZm9C6O7uGtLt75scovSRmdm3GFWm05mkrFD45CZww4fWWylibxE1JhN+qnW76xF0LxwKO7RPbP
3G/brkKwYqNJ7oPcmAcfXbr0A6qZ2mNVSv2N3uTFUFSYQS3SMYTqf/qFpaienTHS+6CJxWR5HHSU
dAwhenJFuanN/Y1PvZ4pJ4cdRZS1ObcaxfD40Nff549i31xlnazO1hh0fMU8gLopYY+1ZAaKkDbW
bl7b89fuC6OxVLfUBrn+YOt49oJurBIL+W8lFnc4otMxGZUovlWLOXup8OsB2uYeYBmudrOnv549
Sl0HLn8ILEmJPW1MyFtpo72JVYeWk1FDz5ykWx2GC7uMgiQsICjnFNbU9Zf6Y04iDZWPmcZrwAXR
Ry6ON8YxZE5uzP35p173MitqpTGev8jnDN3NNF+mQO1pCXuaVC4BNqxO7PfzoosbqcGFaP/DerFW
uPFZuXDO40WhdrYEECTnuzjuAbGGcfwGLtD362vq/JutTEnKrOtrGVGqzQ3jlBjb5nM4BZxW0lu0
GoVxT81c9Yvc1vI9cjD17GXp2ETeqwPTbKeKzNH1W8/29LtllgByAlI1oPxQ+ZTUJTdSpNHvZacM
lLrO7sY1n78e9PwCAGZG0kWxfL29rc2RbC2IcpeDmIMim52XeFjEYyEZDnJ98fCmzVMU5a8HvPAh
KU7yQOeIwOd1q56q6H3Ly7AgIJP/JKwETRM0wT+EYRcfroc63whc2NQp+ZDU+p1tn9IsQkVbrHwO
WtmOHtUkRYUwj285JVyaQTIC+MKomZ6X2kpdEwqvsznQw2j+aBlx6wvFyA5yn4R+j0L2DVDbhQnE
PhINMZWdwErdJCLdYrbISBRyoGSOiSdr1XNTY2aXNNMt45wLE0goZG5WPfUVMni6IrHiGcq4reVA
E2O4Q9Jcv9O15NUVUQo57DZKlfQMOSs3A9LyLIsKBK8DY+z0+3R05idqObd0Hi6MBY0/6q0cxCCD
tt3dsWhb2tONErQWaIk06yaYpVPuX19yv53QTi8kRkB1FwFYDn6ah6dTNlqxkGwrlIOBnqHmh5UG
eK6k8IKIYDnJ36XJBtLegTp+OzdR7eyB/rdCUDWqJOdubmQ19dTQmT7O1jQv39SxyKxdIVu94WEP
OtpBoxZy5skmEMOHNGyaH1YYm91DWceD/YG3aCWjLRbTqdSMKEr2czRIr7SH53lG92K1aQZNx3Ru
kRMd6mzZUNRKoOex9Uw+h65/WsUrKlFRPl2f0Au7ayU7soV5F1LV2yyOqck5RBJZCbJShretGKBi
Xbh12pFCcdPumixRzRtJ+PlS4U6ksUw1bPWg23ZJ7Q75smkq8I2RUvWg2jE4pkVvbyyV9Tc/XSlU
s6FRM40rXVfdjCxVlaFIEWkIHLMcvmdGO+xZuNpLsVDXmqfG/KTj632vzLJ+A/t+foLwMgVIykMb
HQrOkdM12ocakKGINYqIRvUma2blY5+C8B9nipjXP9+FqSQUfWBqFNCftnBGLpxOaktChVo2Pmks
lYdY7a3761HOr2wyAioTMEo5QNABOx2Q1aFZjQ28FlD4bfzCGI19PhX206Q24l0am9lfDt7x++tB
z4eGIjeqamBYYX4C/T0NitJy1pSFqgV0YRzPbNL4o+1ExqsT6hUJxVdCEp42+tYhba4SfS6xjgow
dYzf4MzLVrdH88msrVvY3/NlQdkF0CmHJEk1/3w6oHyynEqiCRo4cvS9WZzuXu6reT9G7a1+3oVT
EjU6ANP0p5Ar5MA8DRWZFJj1WjMC4OmphKcxBL9klyYIP90rOn6PfqyPFewjTJWUBzNaltavzboM
ZKe2m50aT9X8KY4nB6XSQV87XJMuJ3fCGuJjPadi9udGqv/C81nEby1wIuJORWIj35mFHEdQlGwM
n5U+jx0XzEodQn/K2vlWqrNO2OkOZ4PDw0MjjjXAA/t0lOizF+Fol1rQtPGvsqs1z9L7+yqEAKTG
7bd5iO7ntMHTTLqRwl5YmiuLhyICKckKCDsNbGbtMlL1VgPNKc03iy5J3zKjUW5sgN84vM346LRz
CaDJQpxtuW5AkaVZ7MYIoETZHvV/4zmzzd4XSde9Vay2DWRUfA+z0ZfeNI/VEduB2C/N7pZP3PnK
XW2LudNJKmlHKuv58MeLh0dcHyNDYAcWthMu1UrJa6a6pHq/pLvX7vqV+bduRi7AVW3rNFRnliIP
6aUFumTHOw1zC7oitEauR7kwICDFvBkpHWLYscXezktaVZKdGaRE1MBzIxaHQV1wxI5YO9dDnV9D
1trFJ3FdK6Jn/WjE3VKnr1ojUIQl+bPouw+mkg6eaGwqH4odwQiclDnxJy2rbvC/ztcpsSmSc3Cz
WilFnU7mmMlVLKvETuLY8ZdYy3jsqLF/fYQXJxM/A4i3lMTRqj6NYg0ZjjXtYATxUvUHgWnvm4iH
2B4z+ltvgfMdz4CsFQi+WjWAHDsNVTfShKWqbAQzkEy0Q7kjXpw4bz9FLFs/1bT8r6xJ+s8hNU7h
CmE6txRMLw12Nehl1dB2OLsv9FiPBtaOEVQwHd5NUjQ8obUoPpm5catWeWH/c+Ui1scCBYl95lVS
NjpSFaFqBgj6DNZduAyS5aa16cCOtJLE8konGj+WbdzkJK9TNhxkp43rJ7NRcJyqAWQVN158l+af
hJlbjBc8eepmQenpbKEA2piBLtqZ2mKW03ad31dtvdNL03DbUPneOmKvlNmrhX7BysObBDaiUIYC
mX/66RcsT8bVoSYgdba9IZZDEOmiOcRN198Y5aVvvOqucIcy/bAATkO1NE4oD0dWMBST6oJpMgOp
M9EoSUP95freOYdpMSyEa1hQZCBUezaxuhFP9lqMFuupGyQf6tv4M8lqVBpzKV/ejko7z6619Fkw
j2k8+bBsw3TflV3/0ia5OR20VI1uVUrWoKcXz/qkJ/GiikAJcYujGgrRtXUZ2cEoN/pzOeTD0wSa
7P31sV+IwhsHAUf0UFeLqM0XNWNRwSHpncAa+wnMSdGWXwfDnG8cwBe+5spjgAjFK5uPtYEdmWVk
9YuU29woeQrsaJ5fRkMZ90pk6jdGtCYcm3njGFynjBwZIeXNPWkl+mL1g2wHmd0NHwYjCh+B19G+
tTLZlfWw//jqGUTIBjgw9BG6nfrm5C2kslapadmBaYWZW3UZzF67u2WIfmkCfzcwVplN7uXNBPZD
qwnHTp0gzYt+F9p97ymllSPIK9+yt7qwJH4z1gAFrdJiW81VwxCWsOrMCdqpnv2xqyoPxbtbMgOX
oqxuC+D4mDW0sE73d9Q009RT/QmMDu+TDnE9P6HMc/fqj0OnCbnrFSNLH2JzVk5KVNCtScWRW9E4
FOXYu7IW3iK3XBgLYCpWAett1fXcjMVETxiZDSShqlHLvD620vuUE/JWTewsi2Gf/hb5pW1McrY1
SLWTUbFyLHWPem73iz9zaC0flLQtqIt1k2Tf99y1hZ+g2aR6davKkHfNDmR3Ntl6+xYVc3V6wTQT
8AWFgSbzSM5x315lJqTENTjmvsQyoitujYet42P35PDPaV9Id1lIserJtscSQIdsFfRVYsPIPzQI
mRw7zpYYw12zk12nH5HhQl1hzr6XOHY2T6WFpIKrCJG9FH3az+/HAo381FXNRNc9hqC1j1UTggnS
hBSjsICfp+OmqpH8GFP8RV/ixOjKu0YtVWOno2w0Pk5oWlmurFAp/jI2crygWaXM5qOkx4oVxE5W
1vcxRgohNJQRZalCnR2apku7zC5uGEPlSkiUpo0vwAvq35UOL56fr1x4FtDi3wV2Dr1zfa2BFAC1
kNkOehIA39Ry4Xc5MvLXo5yddWsUiD0w5NYEZZuKtZKkqFCi7MAu++RoYlfk5oPQHzNtmnbhmLWf
r8c7W+ir5r5B75vCCnyf7THu6LVT8qdKkPRxua9VJGujRjdePaqVb0iSSd2B0ra52U4GpA0Z4Qk1
aITV+KWVVHsYadKjUU3SvaHWt1jH57PIG3JlN4OOVrh0133358sqkaXebFotwH9JP+J/50RuBFb7
owg1Sbhyj6Hz9XlcR3ByR1EOA7S8yhasQNxtcWpuna5KtYEUrslzyzesqv6pj3NUHcyC4/dQG9Jk
7DFdmMwbpZbfcn+b0NByQLSCa15L65vrCjTh6knnOEHeTv38XE1O9iO1ivRzY42p2Fup2n/FbohO
XpZOYkLh0UFdpXfC/mfV5a1072RYR7mamUmOz5q0wQ1qdJ8/RKbdqgcejM3ix7FuQaKsp676olm5
QEiuT2bDq9Kmj3cl1Z7G72Oj7N45oWn+CtXB+gS5VBvceEah0JVBIn4bWlq3++sTf5Y706k00ZSB
sL++xrZCyCLr6N4uqAE0VTK+NKnonxNnNDh1TEn6bi7yh8Ie/BlZ/R9NObRfrkc/u8TX0h3ZHJUe
IN7kdKcLrYmAcqGp4ARSksaHsWuUho6xKlJv7tL0RgH07LawyYGo2K2S7SsHevOhw1HrirZpncAR
gBhHnksuvNWv5pTrbiHVh6JQ3wqb4//6GM+OCN6EMK1B5YBbgQK2brY/NtOgNVBQKEwFqpp3+66F
ZZYL6CKvjUIhBOQDlVCe9ebZTDZWLhtpnBzHuOw/j1KZuegYqx+vRzn/XkSBLaEAtGAk28KuUS8Y
eqVFcmwHKT1YuSK/KaYl3VPcuvWyOjuDeLITiCIBxQIKadszyBnbHIE1Si6Zg4+EOX2ZUmF5IWT8
rh+iG+fP+cDgt65lLW4oFbmFTTQRFVMpqkocm3GoPGoH9JizSntW8v7VZoQUPkBmUxpnUNST1NP1
kE8T+ni4VxyTqaS9Uzf5fsjQg7n+pc5XHaNAPpGyBHVI3ounUSTKdKVa1NyBTZh5ZBzRfZkI53A9
yoVpW99KXE50sClUr6fLH2u7jqzSSscoZdpSTfhV6VRf7QUir5u0RST716OdXRK0S7hjGZGFOjC9
jNNoRhiPZj5yr8uGWFwjR1PNqaUfTTU8SslQHsCS3lJcvDBA7kDw5ijOrHfvJmTPiWQuaZceAbhX
96HR0fSaOyljd3XhcOM0vPDNnLVvwkW/chB/I+D/mM3ImoQuiwq5qLIVTw6y1O8TPS9312fxUhTa
rir3+yr4tJ3FQZ0pRmV2fkQkFlGttnN2gzPf+laXoqyNVxQr2VZUo0+/VSQSpUCyID+qvR3uYaaY
30RkJF9fOxZkpHQAUqsEOUXgTRSzxQ5DG8P8aIZTipUI7mlphzTl9SjnFwdRDD4KNDGELLc7drHk
RS3bojiWmbYccvhcO2dOlz1aUt29LqmTW6Mc/tjVuXkLAHO+5LVViYADibfISuU4ncZwVCqQ01F+
LBVrGF/UJjeTZ1gx6nRseEQW72e16r+bVWgkr5Z4/+3FoKGfQr+Q2tb6q/2xGtsqa5VkbMtjFpmj
7ZWVgwUd9rqv32L0zWkHkRTxBdEmOo2TxXNoLbYoj+GAUgs8gdwzcmTPnMy0Xn0ormIL3F/cXCi2
brNMLclLsOddeSyqpd9TFzGPZdKVNzLK8wrpqukAOQqRG7IXEDanI4rbROslKSuPQ5KOd2aqp/vI
ksIDr7B4p46V6ec5WGAq47Y3YTm1G+xRfy44824cz+d3KHx9tjod7bV3sV097O2MCqVVHitMdg5j
XZhuPkbFTpOa0FdSOmjXN8r5picebH0KhhTdz/DvZT0btSGS6hiWcQJJq55xEy5upayXRsVzlgt7
FQM5a8EWaqZzfPXVEV6P8BbNSbzCCWGTqmG1yxe5vbs+qgt7EIIgYG4eKMAbt68hHi1LMzdWdWSr
aB7Xk7aLaWzvnQx8o71QVAAcLL5dD3phKskP1mrnyniifne6hji3Q/QVV12iUHW8EB1Mw1PJYO0b
n+zCZFLUongNfwtzpi3SQgGrPRmzXB/LrpB/xWZRvuSpWXxs8fbbqVX8alQqJDGIWtylYJnQxNvk
JbbajJzYdnUEnas9rGrae3XSTS/R9M/XZ3A9N07edUTiXKESyfFFxrpJ95umBvIpGBkFGG3Xiqwe
PMTC4FjVaoqESZzl8gdzhrPtDFF33yRVeeM3uLBwqCNDVQOFxgm6rei1vVoPy5K0R864UttxXjfq
TlPGPn9wSqWq71E1kF6KUjbKG6+B38zl08GDmqE3yuWxpoBb8fQoihPgQL1xzGosNCwuKKNCPxXd
g0o8IP1Zx/dOBSbqTYS2efOrsqbFOshjnrTvCmuBPOempbmYvxSzLetHadKc+dBNat2uzCS5uL/+
qbaLED4GS4FvtEIr1ifa6WLvR5DWw6Jkx8EqWn9Y0gchhcdCF59oG7/2pbQGA3tDlWh9DZ5JrKpK
2SvWkhTHqGwVzF6zAftV+bXPF6Kg2swhtaKYeCtthtRmldrlRdccMS40PcOQnANL7YPhVKUHSKK7
cedsF/saDrAeT3heFrTn1hn+47KudECbtj23x7iSrEOnc8dkzqDs4IUN3mhP2aGdR3vXNKbw1LmO
bpwi29OK8LDySJJIj7jHt3o3WVe1HYlXd9QkbGe0TBF7yYRgd32ZnEdhH/8WeeBU5EjenB1mi/Kv
toj+iECN/VRDecvvprweb2XIvzsif+4eFZa7QjEEOQRK5eY2TzDbTCqcvh+PFIYw0FG1ZLIPrbPI
D0jNLsU+s5fki25ItfI2atCaWHyYSyjHAgrokEmy5b6tqWCosHuzSsTvk0GTlwPsvGTy7GFEXWYe
EJqBKOokidunpr0cRJib31NLzt/HIbUJN2+iBJNlWzifZ2RgYTXI0gfNbM3klUkRg6VswLsXrNZq
ObhppGgphMWpLqZj6Uhf1UGPDlGZmDd2+Bk7Y41icwqiHkAotvnpAtVqodp5XM3UZAdF2TWT0elu
Dd5t9hepQPDJmSbqYdLUOQj1ikkUx0xj9x8SQ9jtHovrBC2WhjKiOyFrI/n0mLTxlU+j1XaBlcy2
padLFWXz2qtqe6Tct1THwbFJtnPFepbynp7973X8v35M/1v8LHkFgLMv2n//N//+o6xmSA9Rt/nX
fwfVz+Jd1/z82T19q/57/av/7z89/Yv/foqprLXlr277X538JX7+3/H9b923k3/ZFV3czW/7n838
8rPts+53AH7T9b/8//3D//r5+6e8n6uf//rHj7Ln6OKnCbi///j7j+7/+tc/OMP/2NLrz//7D5+/
5fy9D2nzLS5+nv2Nn9/a7l//0OV/sqvX4hz4UnK7VfN+/Ln+iar+kzVDIQONpt/VJ07TooRq+K9/
GOo/+ZP17KEctYJ8uYTbsl//SNf/SbuOhh2UdJpDq+3a/x35yTf6zzf7rwIt5jIuupa/fZJOgHXg
wqArBySPdImCynoC/3HCUotCh6VvRj9JVQc6eaI/pKJtXrUZ/46yJs+UCkk1t/0EK0ZzOa6W0aeB
BjJNTtLubury+fsf0/734P4czHpS/ueAW8NQ/lzhfvDpSde3xlodtRMurYibzyp7t45kjOxzgX54
Y8UPVl+0H6SiXR5LXLFvKd1uUpP/iQ1TERoumiirxt5mIsO6zeSsHPxSgJ77ntWlvYCNrm1ky6QB
8Naum+NqOiTkvJOPJID42CmN8qVQcyB7Ud5SgpF6LZs8gfaf2OWNXBbP8Csi49Ylfv7N0YVBV23V
HVhJlZvzAOuQITV7efAVVAFesHLkka3rXX0LvnOaKK5TsuqqrIjSVdKYQ/h0SpIWzxm8UCefXnnX
IkGgTkZA/lCPT3Y5mk3vVlwyyefIETE0xOtr4WyQADJJFqlJ8n+VBXEavO+6RIGKYfuww0zMO2br
Uau7Wz30dapOVtwKc+BYpRnMnsSG8zRKrc1JKJRa8RMrab8Mpl27g6FVH414uZF1rz9pEwlCC4k/
uR1P3+3lbXBb5pBeFD+ulSlyC3yX3XoIoX1NUCVwsyhvYTkuzOCq77NqUlKvRnv4dGxx3+s9zVvN
N2bdvovMYfQms5RutC/OFgkH4m+fXjCeCFBtn6FGYeiNnhBFk6vwJTFFus+QIvWTKdbuVbn+qJVz
dry+Nm7F3CzMPC70WV+IqdooD6t5uFA2qH9UuWl+6pA7cG1hWTdS2fOYHEmMFYIZacIZgdoSU9O1
CS151ZbChyFZuiOEnukhRT04c40EaXN3yHAy2F0f6/m6gdVAsYujiQWKwurpVxTFKNlJ3al+PdXZ
y2A00bdsCU2X4xe578FEIP96wLMtwQnI/+ioAKJFDI5L7c8bpUztsMW1xvCVzq4C9H/rCiBknph+
bSfS/fVg6C5tDn2KbCsoWFVpPaxJzplwQFlXs1WnA2IKIai8vuUR9FAlUrd8Sromiw6CQYZ7kSOQ
fFBBL2QuBFiILDCOnDtDaWrl25SBc5RdwSuweaBEiAcxpZFZ2lfNUgP90+Yqd6epKiIXjoZe7pTG
CE0cwMtiOHCsKaM7W+2k3fUQ8hVvaOLRclUbIK+XN3NeAZrOF/1xHiyleBiXSNM+2ctk1T5cJ69d
NJqtkaPstByvArcuxKLeJZEzdd/1uJ4yd7bnsXwzlmZt3g1y7ygPiRlKP5QmH2V6sFL1Gey+hddD
Miyd6xiRZbnGgLaQF3bYMnoCtIfiz0PKah8aZzjE8CQWd3VxS3nWVH36lMhO37rgooV6gIJOw612
xsFdyCmHo0QzRAMGYFWfqzmVpH0CxxT5i67W7Te6Ba4dMUvZrjylkaMACIOi3ZlCbj+G0Gotz1ZE
in+0VVSz+MHpqE/6DulydY68MGxrprYa1XRs3Wax9A+dPOmFW5XzwhR2RbK4ZReq6g55sLUuRgr3
cZ7yQlBJhXbiTmVWla5Qrax5XHj63MH47qWdnlqh7S6aHr7lmTHKB3lWnK+hbaHn4ZbzUJuP8jg2
VuPqoGaUdyPXhfJWr42kPSAbnquHpda7anSlpUQcX3LSbrxD2X1R99E0DNKbMZp4s0hSPqjvrRKG
BjpOAhM8rgkx7squMyWKIknWu6GKM8lRVdpiuR/qTs+R48z4ZyjjeuL3o7CmnY3oy6cEdFnqh8i6
PLbo5WSRiyBz1b4Jk9h5L+auVFyRYGbhZtVQf7TDBh3fiPzW8SYt1NNng6L6vAf8F96HOheg60RR
lvllV5nvmiaMJjfU0rp85Fwn2cgrB2pB0bRqDuGjML41RUvCVNs2yL20wibjc911+s+wwCLbw+d3
UPaylOWxp+ZyLblTMtUfB4S/3qtqTZtC0yT46WUGDced00GR3EEkS+nmIh0RYWHZ/GLll7FnltUg
rao84ce0H+oKnd++6cAJTXHlL5XKtohDET+UizFG3jR01Vs0g0Wxk/osrLFVA9TOtnJ67WAVJcWU
rGj4IakUJa5oVXyspH6uv2tiUJznOCkHZG5Uc7a8yU7nyE36gc74skTW6I1jqPzlSD2YXr2yESRG
QkbTPOJ0P4wckXoPcyguo1Yf2Qy9tCo05aMWJ/jAgM+9iyPq0/tWA+m0nzW7cjwQAUsPvlTrRt+K
skrfyTP75n0ujUK8QGNK4n1vDlHvcb/Vz3NIlc5V4i7/srL8P0uYHQWocBj6oY8nIFoiadP4HiHc
cXIdR1LtD4gvyw9sXflLNw6z2DWVpL7DHXFxvqbqbIt9HfGGp25sK43zVRNRHh21VqaV4g4KfKzJ
zeW0zQeX7kodHZAGyju3kMfmk6LjPnHUrB4xpThT+neDJv4Pc+exXLeSrelX6RdABbyZAtiOEkVS
IuUmCFkkbCaAhJ3fJ+sX6w/nVsSVtthiVI96ojKnSrkBZK5c5jeeuJiyt/HHHDWU0CoxKy7lY7jW
dn5x4KGgC9WOomSuTJZ37O11QKcmx0nm7RxI2+2SUPfGdG62zinQ7Cmq/ntZVdbyaHQFdFnOJjIe
szu44Y8cP5EM3Qt/LBMbTLAZIy68CFSA5s1ISlkE0730Kuv12jdufVz8li5aH+TNaSsC83MRGi64
YUg4/GZvqB4wxLH71MpU9ZYk2nwvNlc3hy5UXhoFDRoF5lx3N+AwzU+ysZYf/oiQUksW4Jy8vhN3
akGp7b4xm+5rabTqs0dp/mBXKhoSN+8gKI7ae2/22rPiIMjNQxARFxPLCMK3ZR0Z31Ukt4+Id8gu
XSkRy4PS3hDcyGzpThbBc0oZOqzsJdNrgjh38vLcrGXRnB2G9GgEB07abtCIknAo5+nYr4NcUrsS
URCrIhp4hYsdAkUNM/W6ikT/iB08EWvqiIxxBADukJti9mMDBN/72ZwJq3Wgt+ykGzsYUiQFvD72
6mn8MUfFYCV21Bvv866y71tjNJzYtscapbjesX8sVelhw95JR9+Uqz2dw1yMOWMQGr5xpsP6LKsi
6y/4j/tf5ipEjwXa4fhxsGpAKY1rlBqHonV5M7pqe6iHwuiTUaDjFOeeLwxITLSSDo0JvjJGtMuW
Cf5G8kdTe+UXpyoBFvLAJbwpofjluEnVczJtdm+eanN08qNEuO/Bsequf5xNHeWJBcjoy/5pv9Xk
KSRYevbN2DF40hhN4rmAyVONt3NgLiGQxsU9NVPr6IMsh/zedBsun7JdxcfV4/nTMGTwj+YX3lOJ
vaApmoqqd+Ykz9rqfjO2rk/1oNfwPKEBZsYZADpu8EDBNNFbYXzt4U6pBPhKZKUTnn/+oVqd9rO2
gyx6sy51hS2Dyx3yaMIAo0kWTfVtO490lEQbKiizpZOdg6EtfojaVwyGjGDIE6f11De/jSJEw5C3
j04Db/RnGZa9kcLhrmYia+vyRZ1+Oni+zrPTUsPN5fJd77Jw9pYTxLsNkfZ1FV4sG7/+YC9lMRzb
LPKmFIYTOlMhQM0tKTUpc1xulieOljerJjEgipdxEMnifumVIxKnkNaXITdrKHAoZi2xV1X+HNub
EX6p6zb7KE0d2jGyJLZKMndxnrbZMla+rOXijKtH+cUwWr9Oaca6Vbz09rTGulhoVIHaWz6Hdp3h
XhUV/du8DDaRUruoMQEsLedTO4cDZGFFyz/FEKReDhXg2qMx2Dgmc0K6G3/AFvTQWwI5N5eU52tB
UHwbcjm3aeNm/RYzr/SHI1JkYog12Zc+oJpC2LSElH1chH3gHAck6PRlMnSAKHRYuZ/qEMh2WgHp
WeIht8vxMGQrVD4IJAMXuBrNjfmyPZwXOsmPayhK85K19ciMlIYBuDuIPOabOe9aIy1UxVettBZv
A/JSI0WFTVXJYvdInaixUAenZ7R2RBJk+lqGU0XKKotcJ4Zf+lHs419eor7iG23iii3CkAKBSdIq
8G9vSsZX81lbY1mnA6A1J95cZV2KVtnkkAg6FYkA/PupFi5KNlheiuk8+4F+m+Vuq2/2QRs30OyK
92rCGjTGBFtlCOYL565TY+syZvFz/xw4DYx0p+xIgAtrKD7MWzZ96W3E/A6tVYRB6k5F8DNrSuXH
g5NBp5gI0z8nr43e+fUY3ZhMkiFoDap/T3+5eq/t3FFEk4z9LLbGOukI+W/oOMgL8vi+rxJ3XPv3
zIFH7vhgVF8XKeS7tpimp6HHhZF8XKkzZBoeugfP7CeVF/ZVHMx5VKYrKurp1qCOmmCW0j60C+qs
SefAEYm7xuo+DNWk7Bgv0vZGGkyPUtRizb2po4L3hqjUFDuAGftDbW3RfLCbiV9EtUdu6tHeQKBv
sDt1cHs6U5y0yJJp0PoA1HME117Z4C66WDA0v90qw5Mp/a0+iLfF8tZkCiiF0UcWIotRrkPZP/Qm
FSG7sk7TwQJSyVhrcauTsrz2FueT7WNPhlcenKUhTTSHiITOLjDaS5ytmy+BFu2HbM1AgTeyad7w
OTs7nsoQ7XE7EPaDr4f1s9javk3bqW7e6ak039n22j5xAzUa0Red/ZiKBQ+/vFjH+yjDYY1uftUb
7LU1fBNmGqXIqF/y99HWFV2Sd7WMdmD68m0STfuGpvxec/Bhp9jbimE4IBojSIDzBYZek4uQqKUZ
xamw0BQAnsQEVPmG01FhLfYHwx29Lh69XuZkxyUvfyple/FKn6OTkbA+bERIhJ/GSZYga4vs3eqO
XCL1UsNhW127O6Aaqn5a/NcA2PHv/cqoZIKei9De3YxmYh9DHm7CuIN4io0PInHvLLtRR6TWXDOu
4bf4h2IZHDDRuTaLpMCn4lOee2qLo7bzbhE2dLDiGWb5rhxzg+CsCpc6IzfmPkYBMG9uMsdmFrkQ
ip4mVYqvSHqr5Vw3mXvXTlstXhEim0/D6jTypOclfFdnXGOxscjxs8ZPgn+bz85pHvAsSV0ps/ch
G6G6uLbEStCcZifWqENRAYxe8Jq2Aq1IXHyLJ4uzY7AlHFciJYWddlJuLYF9McAIxcCTtzLOJvYk
CZjr/myGqZXxaPX5jRYhcGCheonAJH/mB2dQEUdkngioYGGzEcAV6i4Ha5o297xZUpHUGF190pXS
MkWes1tibKyaJfYXt6YMChb0DcEhBSe3JugmcgiXIpn5zeLU58aUxS0oykfLlURnD2HPTyQuiNdY
XonNXgb/KO4nrZ14V16Bh0wq8KqblMl1NWQlEp9QHbKHUdVmk8z+OH/C5KN9rKiWakJr2b4ZwcF1
b+gLRkQYCAYW8cFuSKkW6asDI5LdgRZO9cY2gJRPX0h2nwt7QXMpN6KZ99HocT1M5az7xBvD5hFd
H/fRHE1QuKEOnXeiyqswRvGZGoqpVxdSng+RH7vrWHwBdeR3sYsdzZcGt1b+/iYkpo8eWz0uskhn
8ZjZ5U9/8cRbKi/UOLMprz53XjH9UDZEruMiCu6mvu4ND/3QAtnJyXMRwCRPFqCBten/9FEFlXfg
ElwwAtO2RrF0xzpIM6rWIC1txKaO+5P+EMANRSJKUZ8sT0pxk7VktQMtJCepKTAqZGXX8kdhzPQa
G+bYXdxY9oZNau5WeK4NJPexPa/1a0e78uOIgcbrfDADI2lMRcUpmFN9sZFJfT31i/405WZhxEFP
PEHNqtRvOw1ULQ4BhpXHybZKE/91ACJxuA+mjr5W2Vfyg7FNyPZXilnD53eUMl+r2Ow5ELGPzdCb
AN70O8NrjacxqLsvWVZvXO1I+T6OzV7OlJkc5wSokP9uIYsSSdQUXXbboJPunCLopTNtaXxnEb53
h+/24IqPyjPVUxbYBQ39usj0Oa+AdMZ4clpqL6AG58gMbtMXqlTyy97uK56jIu04qVk3jzu8rEnK
xvPOVS7d7mZyIyETU+cax9J8TIW5tK+YSmBjaK9mMZ8JqRuiWsiiG0luK+ft7FeddSjQKnFjBE27
t1U1N+TzLiieuPOakkx623LEA0ZXlvEKtcc+G1XVP7TZFkWgiNgEZOoE4oMRykLFjTF5+Wn0BgVZ
z7A/RZrJbmIrg+yRwAzmL2RWbKaKJsrrsVmlccoC2H3pCDmnIntoPZoIfeD25wznlPBLy6DLhlSJ
H1+8zNL9MPVSqtiP5nBMZssU+JA5Xnm3jKHXHehibfWhi/Qi0q5pokuxaiSA+nadxjSol+m9Dkp6
Na6erC8jCapBGbRuIh4Ve/OmtSorP09RIYfYBrV9HBc2XoIEcOQn2B9r9aqZ157/hUeJigqi+XFe
VO4lXtFOzsXrA35D6xjiS7dVLNNWRL1X/RBJ49zLRTSYH/hsLHcaWWFeVcjJaIXvnZ1s49WOa9Q2
sdNHujhSEg63hWmJBhHjwdniYWy45HSpFZIMSqxGMqCEiL1roWV0wCE+tNFXBlmc8/kmEHudUaf+
wF45oLIXqo8m3ary2LQCdsXC8DiMl8ZTfrKDvMck6KzhZJWD78d+VzK86VVmh6ndzAv2rGLzjpiX
qwchR4R+e2oo/9g2WR/FvafMOek9f/lRWdL5SLUB4VV6evvmMum/sS1/sbj3cv+j567Bh760+295
40ZVwgAdkhh6z94P2sc1+YibF31KKyZYj8Fsj9/nALuBPVPvPkWtb92FWuULV00ePnFtySB2K/bp
aZom+cCQwwxuw95VT9ppMh0PZhfd1zs9hcZGVqWBgfDuYeiGYUwHJJK7uAv2ix/FoR4x4c7qjdjD
LawFqWaE37ZM0ZMpBXPMQZWFjxS9XL3U1uCOj1OYu1+d0szeDeGI0FmDopF3u4WDrI9lZq2fA2dF
hcjSNe0mo5+c+Vz1VV3cDwXNwrTfRC9TJxgC+1zozmBHE2ZTPTsA2dIta3E/oGfZ3tubzYkA9qB+
tnIYpzMIc9KIJXfqIpmkKAT6zNvUPBlVKZ/WjmFOXGx6eVS9xgRghC7QphpZY32eAh10HCJm+umy
lOo1HmSEc3eedqm9iREDjT9w/bHvdTYpEO3P1yMSxjXXtlBZmhtLHlLsF8VDD+Ykit0x36ZYW1n1
RdSZPR4nDuF6NODmTMhf++EHs4mWPDHs/U4fZT6xsCxXkvih8e/WDQzEuXZpfbCJRP4hMujuJOMq
bRnT1KPnNhSB+51hQ2+lNdFgl/BSLvo1si4/FZ0oyDCHMhSptViAQ6S9VSEi19v0MWxaPz+aK74t
yYJ6J1dr42VWXC/tmMVe1qkPspPyh5uZ1ruyDXV28Ecx8zHpXyUjyuJPRMzpDdwiT1PK160dlwTo
n049VF8RcZckAvVi5Ke1oe45YEhmfcy8fCmTcezDIZnmYrz1OpTOExiJnX+Yq713YkgPqI9marny
u1w8nT16wLS7Gmnk52KtlEhWw8k/Ok7b3Ue10fQJPYHsAR8cB/Vnaynvo6W0Xfp2rX3OnWr3YLCm
5o1Rrc1wLA0rQ/HFzcIn1LJXTvHgIHw90L7C/03XdniUfjaIA717/HTKYFzDI2VV9lqYDPx3IUo9
3JQN+L6MPmt3yBCM/GnCAqqPqJ8LEUP5Uo8ooHp8tNIzPmfoBrXJxkuQR0XvLz8Ec22VsSOj9p7M
L/w2R0gUJyLMmw+mb6xZqib0NeFc9M0BWDYDo2GZcGPThRE8TUvVcesTHxAYdazqG9NmukglYhFI
lvS1t72WVeVt7Bi7/dyueFUTfU2n+zopd8sOugvoNBMpI2THJ8+sL3I25h+ON+rvVudCHeWm6ceb
As7UFA8GKuNHKWqUupxgqhKE2QfzgBxLtaRdFwE2tGlb3PbECYO4OK7nwB0d/drlfv6AFwda0i7p
ysWZx0kTPHr3W+3kYZd0XUbj1vDD9kNpFmGWwkoM70pfeW93+5hvJr0wGkpLYHwVg6RUAiBXhCeY
wsiueVagfg64Xxkps4Ac/zXobbE3OPaZqXatbuzOD1/lSOEOdNwVWaqmd/sjijZ0fu3RaF4bhgrw
wR4dtEng45VfwTXIhfMkW9r7mMroGIC1F8ROVFRBjOwmYXYlRQQBp3UdxhRuCPn3oSX1WYLZuzH8
uvuOOZIoiKMMD4iac+EeUKlHVt9dK6/FFKbtUSvHjr14tdJAs4EnBsUnK+zYLJRss0waf+AUB9mg
7xD4WD8vyNNS64FLpnpEo2aLaeMPHQY2qKPT8Vn7R6Fs94fdbsWUlmpY3tSdY02xmTlzz0UgnQiW
sWG9dcRIdpG521ClBppu9DxytkXiEDhAjTPPXOOVSru8MGbz7oAHTwO1KoKncT7TWjz4PabTqUPP
xj6QOygvnsDFh/wUMeeJOW7R49w0INHsjM597JMz+q+U3xceBMctty56CL03s1TmvbXvbVIsLty0
08qiJ1s7dJ5zpsIzsyHlvZ4XgIAoJnibgRdEY4sDIJOsjedq5USjm2WbB8sAvUU6YGThSQjmlEcU
9TPCU7tU80ENNb1xXA8Ew6xQ9uUpK2lqvMYonm6htrkebysao0Yqab9taeNP7acmhKqYqKiyijSj
2nwgHzHkgXST7CtYp/oJEKwnDvAts72i9oPiYHFS5GnYtqC+n+2u2A3hgR4lAd1gE6d5RQckq+nt
HO3NGlw6WAreXpn3ZZaEfGBIsBwUWJ8G6KOkbbeRqcdMzyvh/xX9jKLVD086MBrmoLIPLpmzl+oT
xemtJQvbTjNARkQv0GND0tiTU59aZiB9OkXZ9GqslD9etLCNO5onDS01EZZ50sPUl0nUFeKHu/XN
kKLSqOpj2FNYHwcx+GFiiqW3EEIoS1jsfb8+cm4b42C5mkt53IgKRxWY2V1RO+4bTJLl14lpwJYs
NG0CDM8qRWUHl4ah70YqlFh1iV+dN+xWAXXHUOoYZcpYiXFr9tars6g/RZ2o9iheSvghuUPpalLe
nsmGl+BInUwbZ8I+BAsErwisU4tIing06Wjrb8ilELyVswr2d5OFBg0eVq3upGr9/kSyT5de0vZs
Xs3CZPzpwbuoqHVrfDHUSlmGq13EweyU+4E7U9tMBDru27bwzeHIOL8uz46sxzuoXeP4xrKwrHgr
KhLeGIwjjbU8D6aPYAJoI2/MwUZq4zq01hjnyUKkNbe0eywYOoSHTY7OkXR/dxEw68aOVWvot8CW
is+DRJkWbWH6tXHXDTPRvCBbHb2oedfoKLoF87Lmt27uovBKOiuM48BYAGcLq/WrxOgAm8bY21G7
O942VulCCaeTAbWBjGBku1Fs1WjInx3RZP5xcbbmE25Yg5nK0TaYom+T/6lX01gzOihMnUw2RDys
FxrdX1i5/hRNhvlq6gaaEaoyy5/RKquPSwGwLsbmefyGZLDqv1PFgMY6CrPw3E+SaNV08WzTQe4S
HGua+lADPh4+bLVr5KlfL5ZKolL26w3NMTkeeqCdNEWCtsZcJQJSEAeLIkI4NePEuMcnbfrZNQL/
gG7o6byCPM2zR2YRQlNTzf2X2Q2IH4YIuhzrlcx3T7NgMBNTa4ZG0kXZ5iU1qIJzbkDsp5UcFSHe
G6CXDiU35bs2LMl/aTuNlyUCSR57Zlm/3wSehCmAODm8Cpn442q7WV2RdFwQ27u1sBxk6wU8jrjs
zGpLUeAyMdSwfCVuJEaw6BSQBAmat76oUwTmzOpY1aNjXBSGZfchyV5zCIzB8htaY2XmnenLTB04
65wU60sU6XF7jwx50V8kxh1bBbKAzil5uq0o37OwuSu6cmxiVCSmYu9T13kRR31Gy3XaGlph/dA6
Nud2lBpsmM+14rXS2I5WMY8ioaXhzzczajXALJoqOmaKy4xBkatzrhGfomHRYhAJ/HQpbYaEyO3x
R8tAOayXoG9jj6YIL261HPIW4co9TMNcuOF1qTIGza2paCRT84QxTsjRw8Lku+aaemdsc0ZNaDjr
lFgCe5ikXl3v4uLZERwM3e3K8m2G4KpFs7enk2vaHhNtS69xVdHJTxq5MET12j6cXxneRHybI622
EyYXZXRjMeW+3UBSI8Ye1NYRQqsvEr+Cr3+ySywBErcbc7gcol41dWRJ/33s7eIE5s7nL3fhOD0p
fOzKs5C+I9LR6qKerjP7crl0Ve1/k4GMvlmdnpGQA7QwR3TeDOnfUjuMxFDAC10cKTNonuB2a3Gf
V0utfoat25+qYS6bN3PNDOAy0TAF/70wFDhoNxB3tJgGfaCPgmCCZdCvy2MQNWP7fqV8lXTJtyG4
1EZemA8Zqax3qa0JvzZuc9M/Fj34gcOCDpsg4fEY7bpFZNqvrdwhld/ob5knh5GiuFv6wo0Owg06
9dHmUmyB4EOKTTz8MhvUmia6gE7hd/8NDPs3hPjfCNIrzPLVf/y/A5N/AzP/Fej8/yGEOQDyDx4L
vXxAaJAZ8Az5BWn1B6T5f/9X/aX9/r8uw/4vw6/I5mf/ov9GOtvWv0D4AoKlj7eDfHfO438jna3o
X9DmTOzZQaLvSsLgqf+NdPbNf3m4u3lwF10Ldt1Onfo30tmL/gXLB6Ed0HJw/3cv6f8A6XwNhNtp
dWjT2ibcmF3E9QrO6PY00IqJ7Ir9RFuGW+E8aP+mK/uJXNR/SS3/ueWgmPKmwSODf93Rlb8Aq7UP
NsqLxJaWkSUOCjOheNK1jnuzyQ5Dab9EAt1xfL/iQ/fHg+eEajdjTyacV+tVA0DxzqtNUn7+mGdL
33prDamkXhAQHQbU4zK56ksk6vwYkf6df9kf/z45v2Kvr9Gi+/poI/G4/IIAvPvvz4v9BNJIqjFT
LgP/0oEQStoS5fC/r3INLmQVKBdIPPoo9fl4MlytguWkZU8WH1HNKCDZgzyS2ysazMX6AnDymRcK
cQSVWt9jx/ANf1+qV7QrHLVuaeWG+qwjA3yC10V0o2V9tkD+JIA9vYOejY1SZJYvPOk/drlXH9Rm
ukF6vpOV0QT7fX03xLOz82a0BdFOmpLSr623Pj/JiauRwxYLr+lPXY9femx2qrzFSHLL9m88drvu
h3jHWMoZkwqeLoN2Kcoknybs05rRQCbLdtfvRTYG38g/i5f24h9g+P0z2Tv5Ddoo5KmdvfDr5i8j
shMA7Gx+UGYHX9Aa6TBUPkRlaNw3i0lXzDRuMzTtU3S98fWeSu/C5kY+Xxr1HeemOAOfrOELZC9B
Rq/wojsFY6cJgAo3nd0Qcf/nvxzMpQh1qzIgv4ZFyTZ3gTrl40B2mU1JMSBE1BVBllL4Ly8ggJ+J
CCyMxDL4WBTEnKsTKt2izdbA2dBRD8ZjoNft0k0zELxp+W5Ow7v/8KTwbACOd/EfXEC9a0sWqutq
7cG1pAvVCA2hPronywZq2aHz9vel/jj6+1JQ2NikPpD7azV65tADHenNpaACU42RWn5WkZk//X2V
fc/8dh7+MWGEiefvnBhusd+/Gy1e1+9FxgNp5mKrpbtD6fbfI68vkgCcbkLVO74QA/74ZPua6AHD
7oIu8YcWL8aPQLbpnaWTzOZ7kGrd7YQzQhpVfZ6GrTU8/v0Zrzj2jHP2BT3i2y5TCU/vCjzdVOPi
dj4LFg3FRY3URNI3eZFablikeq0+DVO+vBr9Tr9rOFXnph2cA8Ou6oVo/vwPYfegIQWQ23Kc39+2
58/NugCoS+l6bOexHLrbvKbImOnRMPVTzQ0QMX3MB4a/G8a/l76a28M4cav+/ZX8+dmhKjLRRusW
ejU3+O8/xAfSI7qm2p3xmr31bmYn6epD6NY0VgtToYxh5y/F3j9ihM+iEIxJPlF6Jzm5WrR1EN6G
lJfaxqhBUmbJUjNrNBGYS/y6pAMEmA6c9P4bwvxgNgtRGd3AoyO2IfEZLZ+nuTNTyjKmy13/KvJz
J8XOXr+wYZ55OxyF3QuCBg/svv2f/xLMxs5tsQ1zzZRh61u8XreH3Mmat7XyP0mNjDS9vFC8sOYf
F+MuTEkY/efl2DTWfl/TRUs0QwCLMr3qulfTQPePsgQtbMLqI52ab9LYq1GoFcfclc0LweYfQsjv
cYDl91DDnthdNq7it29LsbZDyMs1h4DXHHZP8L6AMDSumw61Mx6L2mBUCi4szcBDpBrA/mk1GV2g
cewdvAUXxxGUZ9qjcniupBoPEMrASqj5JQeNZ18V7Qa4F0B70RP6/VWtq0RqAAxQWqK+jUiF0b/Z
4NJSNk4qrWRx6XKsLof6B7li9YLxwzN7OEIxHc9kIkrILfz72kERFXTI+UxaD+Mb3DUolZe1v1ED
pVsOJP+YcxM+Lp5y0r8f2f1v/uML/bLy1ekZ1DrauvPZlHNfHVDrUfRBp/JgtOuXv6/03PbnlsMl
wSXvRBTh92fspAdAaxtNLjmpD12vyCcWulq5ZYkT1MfiJrM394Ud+NxH/WXR68Qsmv1IMwoBNYeF
0slyVXBus/bbZrr3vgr2wf/apQsTtFebUP9pDsHZI2Uxqa/4pNa1WjL0kqFEGJmzRyuXsUfXv8Zd
p73Adp6O2AF4L2yi5z4lch0QiGDewK25OuvrMDNLYFibug2N1KDKqlNW+V8RYope4Os9c+PwaHt5
COnVRmT1Kt82cGugpeyZWFNh0VpU+ZS27QR0enCbU7Riwt35Mjgt4dSm+IzR+I7G3U0G65i/b6or
Uvd+CfNLUF3a3RHR+/0nM/8lqCKX1MhWAItkOtjHzqQ8JLCDkH54VR8CqcI7Y5xUopvRPWwt2tjR
2gFKWQdx51TSPLq2Xm4kpfLlhR+233XXB8sHxGJjNbWndldfQ2ChS/vIAUPs5fAphX3pQ/Vgr5tN
dxuUS7E280XYjDkCL8sSpldIOvWEwNZ6kVT+3NHzAzSHiMJk09dHT2+l2bn9bKV2XcJLaZWbKh87
1XI1ggduKjCtEYjBv7+BP/MxtKX/Z9Hro+fUPUpRCF2kDDmzZAwgU2RbTv3gMdKzwI0+/X295476
TiZ2d0ovEm1XMZTOL1QqiP0p9DVKGHcKz36z3ho6otVl1sUBe5Y6HnsIR/TaqtPfV/9HX+L6e4NM
Qe4FZicx/KoEDIuNGgiR9hT8k3+xKUdfWya+te4cNrGR1eIAen9J2r0ozIO5v9FOtrzhf7YljGvm
FBIP8AdV+xd/cFF3pkz8f/ggcJ2RqCc87IXq7wF4l+wY6srh0FqV92OKakSIg1qDUZDzcWVMd/j7
K/nzUrMJDmRnezJOn+EqSMyUBWvlB1aKqXSW4JfIPKBvF7hUjYztzrqNkI5H4St///d13T9OHuvu
6QF6uIAYr/sOLsYA3QbiEC6sXbzNd1zthH7+Cx/8z+3GKhFqPbB8d9m3/cz9EnhswCWem0HVGwn+
96HygyRyxioRtasvWbUiFSFFc1Ze9j1cwvCFWP/n4dpXJ+Enu0O3LNrfwS+rM+VoZnyprDQyRETq
CphLVGH+VLdkCHlXvuQo89y3dCxUCCmxeLXXuidItPZu1Qx2Gumy4S5jguJtrSLVbkoKnhGGnJf7
sTkP2wu79rmvuduZkULS1/GvxfCdzO6bUrCy2brzbU7+lg7MPl5Y5c+7k0O7m0VFHJC9dLl6nx7o
gqEdeT6KhQOIyuCwdut4QaXwJYWy55eCi8ndQGZwnZI75VxkdscDMdhYU6tR04mBr05H+Z/3Nbmi
adh69C9ILNEP+P2pBqaJ+OCsAAbMbTvOdfVVTPgPYdtGL2xllv/3g/fsk/3jv2oB7f0j29/8bNNw
A6Avl0OZDB3FqB0xNLYr/vj7Us9kILZJQQERHe1gTsFVcLEN1XFlSTsdZhPX4FCFGMfI5mgwRUm6
aokOHvManOTb7AOcBSdVzSITq+9fEsZ+/pfsGweF04CW+FXgt7cOepEHWRwMVHWcMzkdRGiQ5loh
0Ii5WdINedT7qpUqzaMc8LpabbBKhtm8kJb9ec3TMLfoJ9LPoz69to+D8OBM9CKsdG7C6SzbKNGm
juvSvC2boDo3MCVfCPHPHU6mB0B9yeptcp3fN9jWRcFEJWlBPOv1OQD1AaKjq45//9jPPVdk0xsL
kaXyzWtNnHCtFqvIWGVci+LimAsj6Tobk2ZsH7zKmKgo8Nb6+5rPBTySaMj4LgvyUn9/sgIropYG
1n6JwNs0pAE6yBbTSTpu/8B4YooZFZgnHwruCys/F9pJnPabZRcCuBZZ6IQzusw5bWA5yO7JsV8P
zWy16SikOEx5+9JReu7UIg5HEwBLBgQ3ry6yWS+lOxu8XScbYKM0owfcoIU5BiU0/ftL/afF8XuS
hLuUSTbg8lpp11ztFycz7RleKad2MJZbpbuLNncIS48LU9Pt6iuWOtZrC8feim5XZUave2i00NXB
K3imjClywgc/R6tYcP0B+WDEukFvd7alPM8kmid0XfwUCPmTmeXO2fSE9WQbm3hVwJ8/eppJbWuG
8ylDijge6ohpwUC3yEDb/lKUIrjAJO5fwV/YkjUAy5s71kvikf+80T/ewi5TyeQFofnr0qAqgNjn
wqY0GBzjdROtY7JZjP2Lxu8uULX7NNoGDSjFcI9ZBj5pQjrwWJZVfaG31wEScMYTOKcestTUvupW
MR5EN73kcf3MxkBk+39+5tXHmqbWrraFIyDmpkp9ZQ8PtGMkS+XbC3HkmT3PUmgoObwTui/7P/8l
nclqUPhKUSzN7NObsN4ee2C97zXjM4LpBiPm7xvx2fV2gWOL2gzXoquYDQMYmYQ9eYvGKXtozFmf
B2iUx35snKPbzS+Ztz37KnfJaIQn4bFeq6AaOXh7RAb2OGnlt+VaqwR7i+AwDevywhkL/w97Z9Ib
N5Z26b9S+PbM5nxJoLsXQUaEFJotW7ZzQyhtJefLefz1/VB2VinogKIzgV58QC+qUAWnk0Hy8g7v
e85zDJ7VenQxbzGFsAkmrWn12hQzGZRkqbPkdd4iPQmyBC+eoXwYrR7FXYF78D4dhbh3W/UD8lm8
o2kaI5VXcOBn9PBLbdxElf6SdI12U49uk23yxrRNLyqznBGJksM4lIQUeEpQRJTGynbrEnnjKyMa
Gm8Q2ogUKR/p0wQBAhVINEFPdqoiZ+lVFU48tR1xSldRYB0CpRoFPuychAF9bob7Ec/owc2AMNFp
MrrHSlAu2VAyFbch+3FzJ/Fc3WUZdvZNFur2s0WwBiYKy0APOFhFhl9bSGnBu9VxPdPc6ZyNNYXI
Vy2RIvMJsvRPlIQdzYkuxBKCrOGzqVNfW6x+05ccU2C/YfaqdyWCVd1zlFb/nHPQAbc6WHXHPFk2
hhdjk/59SKrqETm0thvQdiN81TLztpSi/Oqi6vnQdouUD1flljrQrGKqHCfptbaBFx77XPM9tLo4
IzcwCFQPbh0TQcN5Y4/DGvfa+0P+xCLK4Z/J95XgY7jLsHnzic3sGATCVkqMdGIuUml/qTJyH4wO
IJJjp3LT05Y+c81Tw55tAV+ZWNbtdcXbSiSqE5NrIoKeL43aRRjbRNMWn0V1ZtifvBQASlhrJqN/
3QWwEAY7et8uejRmEFmqzZ5s5+LLPPNy3n+SJ+dvtgQCvDLNJo4Lx49SXzTdXdmDmnBT4RtEvF6p
eaRflKF73RSiu0OpJr1SdaqdO4WQBo3J9UwKfofJQXQW2sZE/A1HKAV98G6YrXaPzP8cGP/UC7fY
hy8aA0oSa1EDnokRpeyo+kGYF8RnkC1E6dtGR4csLsGhe92TlHfm0ZyYfBbRiMqZlz0FVbnjRzN0
SNhF32i+hASQbMYO9HKd2uOwIbkIr3KJqvGT5YRdtMFDH37Cz0ri9JQHjwN8WOpCzZQ92XRYz+2q
XgGuq2kRfDqdZKSUSATWmai53rZVqQX41NAuhV7TL97WbNIG3DwyHT+nHN5NdLAGYggiA5NbwD9V
BmVHj79IrJR/WrbMr8MYTR7kElO9nUdsybC4mq8wPNyHco4wagXsTf6olEZ8GjGSfu8MMgHPPOMT
axeNHFIiiCtZAsVXayXO4bKR+UidCwHmTsTT703Zmd7oqChjG+scwPvEMMJ0govfpMdJxWE1b/CI
tWDKZ95oo5rbTIwVNgLsF3YQ2fdpiudZl3zS74+jE18zwERyHfi8OPuL1Z6UcNe+kqLVaCTGITXa
ovFmkuUu2848F/uzChpcKsgcl6hqIIFi100g3vGQFaIq+jnmBtHBZH44hSVRbqwWYmg1xNV6QH56
E2zdATjenDtX46DKnVJNye8CxseZl3uiqvR6duP4hqMcFdbxj0maAdWllbHnkm7F/AKbo8+j+YB9
CvukOsirHkmxZ0fk2ZZWcq5m+6sYhIdhqkDPeNH8hF8OAyKx9DaiiGrUtvieI4F8nM0ZxhGko72b
W8ZD2jqUs9O8/uQ4afdYziVtKsT4GwNGP1F7Ep9FbHNwadTpzMR7auTDs3/V2KBhWA/FGY9MkBSU
upS80valmtyY9bjXkfMfsjA5h9R7pc6uZgxegManRtmcZXM1CN28psQxUT0Zm6D06ZHBwyjnao8o
ufHq2Bh8XeLISsz2CS/BHvdpf6a7sWzVfvkFS38FoYaq0lc8Hg26VeahScfAD5ePOx4yZKZDr1+8
/7GdGHMLeJfFjEw4lAyr5cwWJEc02aD7VmZrD8WkT36JCWaT9e24Q6Aj/VTt60tpxuFlVzFf/v3L
a3DmXXYgBMiutVs0hqKsn+ByzD2lt2AeZ1+qBaWbIE93Zp8tAKBeeGR/fiwjody/f/VTI97g5jmH
GTTr2KccP+MoA3gcd5Tj4gC6SlZl9hW4TdefHC3ftb0zXSxFeWqOo7NFq5ztqCuRJxhwkEwGG8dX
maXIW60PTjmUZx7NibmXA8NCAqaOjZJm9f5jF3N+ERq6P4my96NZ1+6J3DAvjYYuUmpk/WbCR3xm
Cjp1UZoYCB4Z+WzrVxclABLpkx0x6KZtB47k1ujkvIuFEV/AUxBX0zlw+Ot5dz3M2d0KQNcGn9p6
mCcYrHtk+kvx1YDK5cpkp6tjQRmrrq4jERlLN7Hb6HgPIFgrC0bCHT+mbv2cuQnUN4vIu/dHxYmZ
Bpr4UltkpyB+KQdn2By7oirRLY9x/agIu9vjgvkE58Tewxw4h9w9sdxx+IVIytmQJ7Duz6Uo80lz
kIYfa1a+TUqLE1HHFtJ2Qc+8f2en3i45J5xf0EixV9aPh3uZtFbWVpXhj4MJIGyah03dYdNNC+Uu
VbMSEUrZn7nmyZl0iXeggcBl2UscX9TiG89CNzN8OtTtVWyVdGSiNvEG/KWgDhen1dBYHiwkyuA5
3vwysuWZxePkjVuABwmboz24lhImEldMAuUAat1Q7drZmv0xx6OnarnfRIq+g+rw9R88a8RQi/SF
rChnqTG+OXIRf1CMozkysc5ReyvZarJrqhGvhE7ho5sBcNdiQj8zdk/OaMxmixgVlfEvjVDSseM6
JR7bN1LoglWWltt07OyrCpLm3qkAZ2A8c7aGbUItDNrE2c1o9TZhK2vfnqS7VRMcBIMhKk8RvKD3
H8qpT4vNBW+AjQYb2NX0QhwMJ8I8Mnxz0lLcgca32ClC37Vi5cpMRvfMEnpCIMCGCkMd/ORFUr6O
oTAsgSUuxe7GS3AuNdjqnp1oS15cUe4Do3yJ7RSya5iHd2VaNJdBzhxU9o68kaM1bNwg3LAXHS7f
fwqnvng+P2C9NJw4eS+j9c3QsMqhgysVm/6MLHIOoJ2izsOovtjK37/SqXH/2gxYlJhLJvLxlUKC
z+MYNaBfKaG4FsBbKCKTtNGaWGKq1lKvQiM+pyo6dVG0QuQbLeovUi2PL5qggo4x/5g+lL9hO43h
fm5rXJXgzRFqFB8RQX18/zZPPVCUdYJ2qEBuvta1jtjnElknCBtCkZFyaWpe12DiShvMr+9f6oSq
DW0w7UJryfulk7/apMdGBDa8HoAtp6rxux328QUk9asuCTvPLQEiDrkbbyPOtvtaZDrEz3m8JmxG
3Tn4pRnlGWma9I8vS7bRW2JyM3TFFL+nIjoz857a2rF9pfkO0F6jF7h6D2EDJrdpgeIp4AH0KnyG
zlkforquvKBP00NngRrQikjbIr/Tz1z9RA+FLgbNaVjYLO/rHp0sTAl0MDTZvk79LmsJhOwatf8w
dg2hqtQsbkANf7SdcfoHX5eLzJIhiJFGU5fH8ubrigbKalaQceHIovyiOuGVGJXB55jS/pNLkaFI
CK+B7GMd8WMWQDtBWaFmDGTtOWqfb7JIn7ZOlZ9rtr0uk+t9EvVKRh41NTq7xuq2nAxDxUjhEgJP
c6uVHSTCuJm3rqL9ETmyuhkjNznAjv5Gx460aRssmTW74z6bdZSL3VYtFHXvNk2K/d7g5AIGTwMG
DOLJUVEgZcNVyGqxD+1c3RRRAHlHqczt+1/PqanBRQKIW4gO5S+l9wlb2Rwmvbn088ddVOcIdCWY
nUpUYCbDBqc8/uFzn+zySa4eHTJYzATs5VBNrBNQDWXqyK0eeHRVF1+lzFybPECQMooi9utWnXwj
M5860vP2RdFmV30BGvr9Gz8xQzE5LUJAVMD0adeDknZakApGSqkMDRIkSNOlI77GYx6fwbSfakm/
vdS6EWwBVOvUgGeMVyO9RGFjeCIonE1vDRipSJG5h4irXAOIbJGEERAnczc4wIIwzmy6Tu38TORG
TMn0/FDLLLuBN18i1WywGoFu+lrYozNukSGU1vhnCgJyZ6dFuxfd2HlqjqPfWCz0o+vqZ77QUwUe
CpIMN9rUyJHWzaUih0cUp5rpRwVgT6MFxhBrhYKvuLV8yRYA/nY/74jnNrcDhd3LzIB+QeK0603Y
Q868nFPDAKHJ0nfCCMBqdfxEqnhU6x4xug+U19k4upJegg9nyYIGeObpmycG/WLTW1pruNLXimY5
ZBMdGkZcUrjRBt62utWb4R9U3l/NgD+vYq5WwyYUkxz02vRrNWDagDhzJaweyHOlnH2Vywy3/oyX
WsxiDWQ8rbUWwglE48DH8Cc5tc82JSAPVU+6aRDAXzZ9yoylafJSDQ25dwy4Y65CfTnu0FYSRBjt
nS49l1108mOjdILJjda2sxgfj4Y4tIOmGpfFhhAnuPmLbi8yCL9q9Lra6XZef4sDqH3tLOcbMBbF
ZVQ30T4ZWv3MzHpiZ42xByMKnUOqRWuNVpjUrlZXqgnHx258sPatD67FvExnkDERsoIzw+v09bgg
lQLammsNmjUhzKmL5btKyoGGX5XcGB3gq4ilneUjtc5t5Zez6S9vnyqBxWZ+qQKuRlppWFCEwP34
sEBMA8y1JcffQ2Ww9t2UEA/a5iQFVFbqkN6UVDdDHbk74I/pE6yp6Exywsmbx/eD7mfpd6zfehkX
VjYXDd/WDJqSxPR5T5JC5VeNKHZY/LvszBJ2at6gFGgTJ4Jri23n8TBTpr4om6I3fNUIw0OeycHH
Q1p7goyRM5d63cCuHzQQPKZLJgVmqdW1hDmHg6LBUg6p/W5V/EX0fptxG2VWvell2PgwdIAipK3r
F3ClvKzLgQmlgbKrFbXyKWOHWz3VxMFqy/JSyiq/dky8jpAKpt1iugfpCDAdZ7i8GCJr2uggMr3J
zIo93LHIk6Ph7CJFVHdQortdFEsdUYo4V187sUE1aWpgtF76opw+jp/pbDoy6czZ8CGsxr5OgdnX
o8jeV9SWfCDpFJfTaLqsu7k9cyo7NXzYE+M6hZ3BoXS1GcCg5EJUi0zUo6LZd2XR3Ie2Ar4T6ASn
BFU9M1xP3amJSFUlUwzn0XpHbMDZtCKExRh/QGO2fW1sayW6RgXTXoLdSaFrGtGm0Kb69v1dz8kb
/c+FXzcIbzYAaQ/qRjcrJolGTICFRrLsihD1KKoxuCqGffH+9ZYHtx66SxmN/wgazuvjLvnONMdU
lBaIgNM/HUs6MNDZWTrzNIBhcNObnNHkxZUId0Pinmsznjob8jY58hKkhPB5PS8oda3kKTt4f046
F5xSEX8N2A4fiswdLwGED17b6O1FPprBbjChxVT4Jp4DE/hFk7uw1ay+o8jfEGTiqnIrbD0ERzaN
F32cyjPP6oRmnWhIDUYTiix+q7sa/wl0t84EbkcVQk8uABl9J4aPs4uwmn21qNBLAeI3mJIcHdqo
7xxIZ5xSM/W60e16M0wiuRkqMurV0AYOzN738f23eXJxZavMk2Te54cus+Kb4aM1BBwKrurLSonl
ZgT8si1y/Xs8G9NuABjtI/hwPmdhau8MhWKwLezsTg2i+sziemr6pTeCFRhuB4v8apXPI6ueQhfl
2jg25idiCnLsJJSUNuzxPr1/06eG8NtLLdu6N/cMuU5rySbUfVPj0N6iRASikZqXzhyEB7uz7X3X
m1/nVlV3MYSNc4ljp0R6y4mdPQ1mkSVE+vj6cU++jBUViLFSWGODPuXbblCxWZtWcdlhWfkQOnpz
rZezZLuTTPtQlREMaJizowysD2zrv+d68sj4NQ/oMy0sEaN5ZQ5RfU0PaHpWMmiYYFQC6CgGSFDi
lK6jbta+doRX+bPatwRICJZ3Ky32o9sj0tFDeR3QGd1BR4CsJ3Pj2qINfbA6vdp1md5t4WEO3vsv
4pRmgNfnUMDliwXUsBp9PAZTah3SSJas7iGKMPdi1BNojuGVgSMwrvuyEwc9n6ob4nzKnROVw9VM
QJoHtXm+K0TSb+kvLRRMIfyuBMNTDbZ+F3al3IPRkVAlk+llTm19a/XiXGfl1KDF76EtuxTW87WI
lcrQAA3b0cAH8dOnPKr3qKrTPT2P+swCc+JYz5GeaXcpgvwadWyZce90PW20KU/TnYbaBXVLl9+W
JRgwgQ7En/Dn3rz/gk7eH5MDMbrcIGqB45EKmyDHe0CbxhJZtzN6i+iMQTxrqMP+wakNycXyTk0T
tfnqSloOsUxVuFJdD+2lapsHwmD0+1QY53YGp+5p2d3SCqVJg4bm+J4wX1T4cpmThzYrL/VcFtu5
14KtLgblzPg+eSnbWGgz1E05JB5faq4onqGb452ZBWo7u8p2omEjBOqtOrN3PzE82LvSZMXzYLHx
We138smi5ghBz6+bsL1syU/ZW1pB4pY74bVO6ahOytle14n7A7qK/dPi41/UDMf3BygsdGTp6r49
OO4WGlWGCssaIQW65wqtr+6y1b6DMyZzJsNw0VGvbpB0hMENJtoavVvL/WSjoYzRjWzVSLVvlNio
tyP+7102T/lt1im6l0QS1JyzAAoc2HO4Upq9khXUZd0QCSOAEJ9V29rNleJcoxJ0HqDdxsihjeKl
1Nvwas4CuaeTE+7jpvz9/Q/r1M4AQQzNMpqgNA3Waimt1OMfUgtcRsVFjKlhUypNeA3pKzz0MDh9
vQPaLpos2VXpNO1t8quvAcWT4lniEFIHQmSIPDNuoNKTauPaxdP7P/HEy0VSSHHZQNAFtme1IDuk
8Q7QA4FYF5FyIDwr8Uzs/hdppJzzVZyooxxdarUgUkvTFiMvqvUJ5bMpxvqQRGpwZoo5sezTA6bt
vOArlmF7PFqzIY+tljIWwgegoaFI+31TwTRucJ9tY1sPHtjaJh9caZSXaHDzM1/oqedJPZZ2JRV7
1rzV81SBZLv2BPlgrOuYhxonByKYvpGD0Oz//pvDBrDkKtIC4yh7fKNaa6AkWWQ8UREWj4Uhhn3d
RdSyDWPYvF7qbzHC/tvRv5iG/8df7KxfYF+7+kV+i/5FotizfD5iffHXfqC9FEv7bXFdqtiiaDGi
aWPA/mB7KZb5Gzol0jtpgQNmMRZL2F8xxr9xBMB2gmgcn9/iTPg33Ivs4x9e76WhTMI7B4W/fuD9
j0nwB5jtdIwxZS/e8H8mS2qwND4p/tPKALiFFXU1AqpW09lRDYSihnShLjtl1ltO/w6lM5cEF6j5
BDw0np5ZI4XRuBq+GnVkdvuhTQvfCfpg9opxQgLXzlVBklAB1GPJ5GJRcSbN3BmGSHdx0pIg1lrz
cLFEopvbpp4cdxOnNnThsgvt52jSAHW3dRSS+agAFqVmS05CWLZK5wX6KzgSnPPiO5oVgMd186fr
NPlTD4apQEJbttbFLEhHwoeRA3XO8y5Q9+bUKOW+Tjr2w00QBeNjN2r2YWh60lZ4+PVXsrKj1tMS
x36oitHAzwLQnjixIvmeKhNxAaqbfnWpmA+bsI+qL6He/qA5J8qtkMN4MUDgRcMbVdNLrhcqpyOn
EN8Qq0dfID06HywjyyeKGmLWr81AU1CrU30M0ORZ5qcqcyEyU/8nhsAdlPy7psMaelLD1naemgww
pR8oJsomR+uNj6Qhj5YXCqG0G2oInSSJss80ROwjwFEy3zgH0myy43s1D0PCCF3Qppspx8S0ARcM
a8VJOqW6SRsQhTzrdK73ncTvQ+BhWB0oz1TfqfUSzaJOJBHtajE5NRjFzJAbOBh00kp3Lm5z8BSk
oCQw5g+I2Ua452U254dYCwhnsWd0aZs2twnWwMaR3smyb3idVF8R7uUyibw5ku13Yjr1+rpLQyVg
Z2XUXyaVvCupD+Z3O5IN8ExhT09mooSfM1Yw7saRebXVS9PuIFhWKTk2OWKW0CuHpuF4DB3hBu6h
+RJKziR3KYdmjWqVgpoQ3eaYfGobg6JLO0qLvIOcPvBG73i2RALH6Y0WcQIgUgtF+64h2dP+IIAj
lRts4+qlKywAo3IUYwKmzS5zPwNKGn2sC0LD+k2sTaQDomim0ddbXfmllipRiWEdjn9AXXGgLvVE
n/hkeNdf8gq58FjVMLDx5DsP8O0Lhf3ynOUPGuj/etORy6VcwukZ/qzbwI0PWZNE0XNbT3igDC0w
xFXeqHW4oVPTBr5BhSABN0uyMXEFOdDcuulJv8rnkdXeajMyuxeo6kKylAEW8wZZkYcNNEz2M3jR
L6q0oxckviL1pC1QjyIlh6ldswTkvCujuCCgQD60c02T0MCVwmhKGe9+THGy9cuCLdi2HHHT++wD
+oikSdf8UyFTr2SUtKRIgy/jkGr3kXwWWlNFm8E06sd0MMhsIz2IWDNTwdzryY4AuBvMde1IHtTi
ZVQAvuabvtC7w1CPpGLktAV3ml6q8cWoyHw/kv1BoFCm9g+w3IMvZRSSqVRnrXObq01Q+8x87ceM
1mbuu7qRfgypO8FcRRr/OcxV90NJReNenZT6Bv4reS0hajOfn8MiCLyBCMI6zwcbg0xXdHy0lf07
M2T82W2b8TmwJse5dNyONFpm6opgCzRqkxekgbyDuN2D3B50vs1QJsM9TiONVieHWLTtU4rNQ60h
VngQzV3yZfOBw6GjQ7LyCHgUF+FsLyDlSWnGAw5LvEHOgNQRrgaln20d9+KnyvZvrdA38be6aIo/
2/95BON8XWK+FfCn4zBq//dd/1K3Xf3yr5vnsvkXqMDvzy1c9fXfOfpXsCz9/CXLQnr0f7aErbbT
Q/dSTx9emi5r/1rRln/y//YP//Xy+m/5OJUv/+u/vhWd5IP48BLys94uzQ4Hj3dW9Oe6eDlF71z+
2s8V3f6NRXSRri04Ok7nLM0/F3TxGydCOAdIe3BccD7993pu67/h8mGtX5r9y56SmvBPWKet8Uf4
WhG846hHH+L+nfV8RT+kGsaxh0MW6l2xkE7W5A0yvSKO4dIk6yduHmBGa5dmHX4MCLHa9v0UXLp1
3Gz1bgY8XDJF604S3yaY/g5xksodUhoffkL0GKopWVRxdOsMor1WlTZ9GDVx/+bh/tyNvGVfrspb
P34tz4XSMKJaG27Y8fZzcEpONoo0vDHQSD2WmSbYQdTOx9IoULAXZgnwPnEvdbCVBbNGV32IWN+p
mosEGn0ck4NGmTDfJZHhXBjYz1B8IG7BatYlEeL3mcIvZJWXdEzaWxUdyG1SCWjIk5mStGkm80Nk
6wpb7Nl6JHYohE/sKsbMhgJmpVfk6uxsij5oP0WV1SXMjEp6zxqtesi4SkjvdZD9zipbnDNFrmrX
y5PhP0y05IPQrSff/fjJtEM2m1ZeoRxRVFLO2wnDm51/zXRXaS4wusRe4uDg3fSRRl1niXwTQhKJ
UpKp7IWSAO25jMUWdjV6Ikif+kMMVxz6iUXy2WQa1Y/dPeze0xvJV37Bm33k8oNxnvNbLQNBBa/0
+AdTh2qcBvc2WR6h8tjKICMA19K/kbQgYVbHVnRQ9TL4FFsh3iIB6f1CBMZHHdJWyb3MhJaNpnVN
dlGIpyKsBKIAQ52e1Mpon4h+KGOE3ulAwiTZHh96WmAPY98xWdbzRJo1iTylhxEqsPhrY/L7nKTs
hoh/U7YttD5sh+2gLfs0I/reMbOiuOlNiyl4kI7XTe1EuuM4lg8z2RDbQCk7rDUKZnd/ENFHNnrB
l45Uaq+HyfmhjUX53KncRmKRM+vPCM0u5BhGozfmjvI10rv6YtKc5js7CWXTkkjNjy/yeoLgbbs3
CFOU+8EVZLHlUwbcu9Xih/e/rGV+erutf30diFs4K3Mw5/tamlBvCtdKlVPjoffiDUYVI30LqNgL
YDwLfj2IvTGs7XQ76EG0IRpsiZgM3Z3oOvNDMhiZhdiIjCSCQXuz7u9j6A0mPDJV+1iBUZw3mWNU
dxSeCfTFP0kEqjOEyY07lfqwqWaIadtBK6ebLiguykjWyJrLmJdEGAyhOQ2Or0Hrr6egSSPPyjqS
JiqlhcA+Rdk2ilLQyuToPmU9ER67NEUrUxA3diPrjBJ/aKfJYwszDhRqMNWeoWKf20B3LKh4h9NE
xPCgTNeiSuEameDKnWAqtkZkqFtDRWyVEtt9pYR5cwPPm4CnqldIk06byS/o1V11IQlgcLvJZPbp
byB5zzO2J50dG/exbt8t5G5f4qSLLqr0Qe8qwBFAW3ckN4Q76Avis01aTrOz0V481s5YZ75ATItz
CTduRbO2zjXniereeG3mRvZBn13nnG9pebXrL5EuH/Dbhb5EWeb41WdEBNmq1upelzG42HOq1ylH
zduKKsB+Hgzbd6ys+aOYI/VMDXgl8H2dtSBDLLBsQ0cdtLbp5OHsBPmQ6F6jl8XWUsrxK+RdcVVb
+lXj9Nml2XbV3rJQ5qmERhH2XPrsj6IbIOXm1i0ZKkOjyjOAnleJ6+qJUM5B+kQfEsehtSoaaaNZ
jA7mOY/oQUzspuj3SdnUmyDmLDcnJIwZpWF7OccQcgDYWQslzD6FBbvlAoP1xgamse/qwPDJVFUP
CkkJXpQG4fUAJRqRoTS+sSsgEaehovn+hyyWUtP6t/PLKQJgqlOxoBy/TdBleU10teZxEEyubUkY
9DYgb0NeBKn2KIOobbwEuckXUigUmjVpfYd9/88oR+oFWzNC/SMGiF+bDMo4/53n6p2ZalWys8l1
2+pxTQrRMBMtRYdrJtk9JKQxkENF5K/Wbad4bm4NaXMQNacSCKSTfc4s2seaO2jbodDIMo5Ltbwi
+GHi9NgTlxaN83BFpsNdEgx3s11zxsfkFn/UWzvkxdPQv+Ofy56NKTAXzEQkbpA/xpyc8+zSSMwl
SiQbb3MZM3LViSTJ2t4UdahdKTan/w1h1M4VskaTuHO9jHeNk8wXQAp6lCjN9EVvnYjgz0T7ksdo
NDcxrJCeXbae7uemVzccQcllUQz45WLKXF+bGtsPXteLfor4s/ff4Mqi/PpRIPdmGqbGtmx2VsXE
ZGYBmtCGectq/1HvNBLBpOyI7Mt6pFCiQRgKo4eZR70yxjm+IPKPJEDFmfa5SV5trobRJsmEupnH
rty2HNG2tkIcxvu/c6U0+fE7UWOipEafp1piVQmCUDQZJAmwZJAb8RlfinNFNNPGCDlHy8S2d4wg
Y6/ahbbtIpv8mar6WqHzOrjOkOz1mTpChhrcaxXO+NImMqrt+upq1pyNbMJkR3wBFY9ptvxmJg4i
tMvpvowSBdTexvpK9Ty5pWwQ7XPR5RcEa5xrsazMGNwgyjAWQxoQGttjEPPHn5ISx5hJq4EbxHpw
H0LROqidieSxCJqNVgsSOcw2vtaKitAaExXqpnfHeGvbPXfQWYQbdfZ3lfXs3Ee+aq3/+GXU+VhB
jUX6t961l04eSNVGt6NJM7k3Sf7YKlPdeZroL1NHyy7iWsLed76QNbNlg38Yu8Hdvf/+j4vOr78B
sb6LgIpa4ELFPX46MTU62iLuEgY+fLNi0yYDstd2uR7O5+bjX1Yo3I1Lb2axILnLQeX4UmMzJcD2
qVw14ZjdB1XZ3E3MaYeiiQ0SEolnv2902fxeCCN8QkQa1n4w6g2aWUu5wlAVs4GESvNHWnQX7tyS
j1JlZm9v5gnG0pxn8570IVuyc8f5vrf7cn5wyNP7qFZJGXhpUT/LDCUD4VtxdRChi53QNJIzXdhX
ecnRzL3Ie6B+4B5GJYbR6fguOaSBjZeVigMCL5Ucp9zDFCOvBygqn2ivm1sjHPuQBShMSHIczLui
N0VOYPlgEBM/RI9NIhB5JXkPHydQo/IbYZTTYwwUR8Un9jGvZdNs8IgVFlU+p36uzNl5WqD4u14J
SYfRspTN9KJiGTQSpraYJAEvV3EHZQJxoEmK5UOXC+NAnHj3RCa48yUbUucKp7X4Y2hNNswl+MLr
tNLhBSgFxiXRWQXymCi91OY2I8gWTxO1Y+ejDWDjSzlqMtu6xSfOXT22YHLf9qaW3Bm5GmwtyHHx
j0H7/6JkUb7Ix7Z+eWmpWfw3KFTQR3/z/f7Sezi81M3L9Lay8foXftYo9N9oLKj4lBd5Ih1s9T9d
B53yBbXzZbbRaW0v9f6fTQfT/Q3HL9o7WPsa0viFfPyzSMEfUZxAIkcLg7+nol74q0Tz85j/btNh
fTihcOZwCfqF9J7QXS89iTeHkyToUraloGRqJiJ9MytFo28ypSi3kzmo/SYrZPq1IGKLMANzJuyx
1RwSszU+A3UYxu9NOlRfx5rc0k2kpB+DoSMUrZpa+0swOOFTQNus2TiYxr/y6T2bkQi+vT7r/z/s
/ms5KL5TH4uT+O2YW/7pn0OOI+Zvi9GRfhbj5md8jaDFBQMP6sxSjXIWqcbPwaZo+m9UNTgsoKzA
kkBD89+jTSEQB5sg2yG2IQteg0/hbwy3V0HIm4lYsKRhccRHjVYE2dharls5WdxaIAGeJqOaDoiU
my99ZCp/yKa27iJDzncpdFo/EE53q8SkHKcjR3koQtn91A7R2drOavgvv4fSjk3HbTmg87uOhz85
D+SYDYp4QulnXBL5zeyfJcWVOQuK9C5DXVEI7qa04Gyz1/gv1C5e0Kb5mSVqOfesHgyiFuSGuLOQ
Ja3VZcGsGwFhcxqVt5p9BRQkP53m5uLNEPn5+b+t8r3iV48vQx8duw9SEyYk6pPH9ztlthK0eh88
gd4NPQpISCyorNFbEDaNpdbZk3B3RSt8Jut2Hl7Gso78ILDEpZ2kCcFwdUY2XtXtxzyUEGLm8NIZ
guBC9q6+b5s48+mDjVd2poy7tKzMHRvo5hNR1gR9N3lCcjShnVu8++fyDl73Zes7Qw2yMG6RCGFO
P74ziyiyvMdu96RIeVV2im/F9W2hxdeVtDa1kBeaKTc2icplUdBCiD2C0Xyzm6gwVBdR2G1NNdiB
uYHbIg55XgCWExdj0T+2lkV5NtgrS3CCcuaY/utrZ9ZFR4JRACwv//P4V+tBWBiUuZynCGHuhQLw
fzOV1TlpwcmroOiGgc6iQdX7+Cr5GLCfiKXzNFkdSZqJPkMMFOfiotabej4mPmqWiYVYh65urUoN
DdC+eqZHn/tsih86LcM2VpcjJ740zJqHujErlWZyEj9NdUlrx9WH+iZy1Fp4dmrKatvW+jBvq6wK
O9IP7bzYIoSakzO76xNPAw0ZnQFOITgG1zCmNKuzxhB58JSUJScepW03+tRYZ6oFpz41xiESXTQD
JD2sv+ihrDkstkrwhKhEu+jJq7+q9AX2LMl4TjTKs8QzNduE8sd+lqPjTW2lP7pVKr9aejz5irTY
r9ZRvJsK+T2OGvdiGOV8n7R2SpwhatCps41rlzCEXTf3BBWVtrabACSQatGqD/k0jwc90Yszgpx1
Zen1NWN+QD2G4m/Z3ByPJpmTktrNPD81yIZDDebNs+vpDwDrSChtKamvZmRsjqUBkjGtb6Rgm1oU
mflBSej4dyrZylacnpvLl5PK0QSwiCcwgiwZK8yh6mqPb42h6XRJG34OdTO8GmNtyVVUjSsnqIqr
qTYKtvxufdPg+PTfn1WXPdIvV6YkBOgVpgHZ08cPpDVmipJREn7OnfxaQm56FEryUktyn9rEbrz3
r7YsSeur2YsCjY+NtXxNP7GGIjWMnq/MzdLac1Ez+JxSQi8oyJ0tq5JeelwZZxaOpVC5uqjNNhSL
KNIDtrerbWJYsNlwC9d5CjTbugXpJTxpmNLTTVl8ERHMxsmUnw16WXtwiv2ZL3Z1HgYFgN7OXjAF
HFU5xa1W6USb06aNS+avsLc8w/4/1J3JcttWtK6fCKfQN1OAIClKluSOjD1B2XGMvm83nv5+UHJO
TFARysM7iQepEghgY++1/vU32ddILjFJFyjb3n64C5vn5kYdFXdPHHygeZurS9F1K0ZmxM5ZGtC3
YPjYmocQj4rvQ70Azdr4YI22dVTG+rvtzOJ90CvHuZlw4wmtnwO5rDv6gPJZi9Wv/RTMR5TCX6ir
rD2gF1GyajrsRFZI+0xPf6a6Ez+SCFKDNaT4fJiQv8o4wGe11y6zLGRIHrSjeC3pvtJL1n1Mnq0P
EaQCyaGLU2cT2l3/DHUFvCSXhDuWcf5NlMZicWx0d0tI6n5qK2nnNEnrKYumx1LE73koIjsDzGXU
BAmYIpIJx2r9t5YxaUM1WefCaJy9OmQL54dRgKjz+TSbdslEfZOP/8qKZFKJQS8eTbRXa0JwYoQy
2QCmc9aYTz5Mg6lBDC2kY85eelcKATtnrqvdkkHyFNRjv/FBvLIkyYezF90Qt6+tYaLOgJfDZIJ1
Emmy2+Oj91xp4XslL8uNyvBFC7T69lBoUyCgj+a/a+fjJk4T0xGRczahKz3bPcbeWkxeQWu2BAZE
xrhPrQaDUVtoHtAdGUHdKDZokGtYbHnHRDAAn2DTSnrZ2txxyttxlIxSOmdljqa1s8qHvFLqQ7qM
gANLa07qnGkPqojFMZw6Z7/4Mh9buY5+Szn1sth46di3c4DTGjsraDSGBzcZZWWdJ1xFD0QNWC5R
x+UjGeIfullW/Lc3hFf2A+a+YP1Ulug+1tLaRIz6UBSafW4WjValFcE+sUv5gVxd85AlQiUjxPzx
9jVvCpRF2kMXtkTJvIxxr8+TMRubWVdGaGdyZAL7F9+aKbU3Dq2VvdTyICEvOhwiEA9lltXqq+2s
wcnTbowvmHgPbjnXg9+lmrgbR9P8EFhNe1RQqZ/CvOY8a9r4ECmqhOOe0z3mNbExgzRWW0v9ph1b
jlBQbyjx9Kk0idd3nslFQZR8S2nRF4VvKmJ4SAbyI5U0yI6dIeQD9pPCD+I6xuPBHk/tqIyHutt0
WnxlvZNhxyEAPEM9QZd4/UvwOcjysCzji1UQTiwgbR2dshqeaFuDrwDagx9PVnEokWMfjShPT8Uw
KG5dRN3h7cVwW9YgbOVtLZrIBSpa9sFfAZoJmHoK6vhiSEmNYWmXMvpVQlrhNosmrL8p+IhkxTf3
0tl9qW0ciC8jyuvdB8P1xZjChvuw9I7X19ensg5Bn4dLkNbwSyuVAL2yDD1bb2uP6nQ84pI+XGqo
+JCt5uJQB0790VYK+5LAAX2ALdV+hXRbPaXYCX/sBaASrKnm1M6chQP0wucYusIO5pvk9mZguYOY
mmPN7NRLc0M5kJFUuAXkz12SNZjaK6m5Uarf1m+4eLKjUKszpYWkcn2LSplFolTk/FKXwbSrmkw9
2IlqYorhQDaf1K2p8O33TWNNoarBzaAJv2lVmZ63lRXxSnNixZtibg+aFOkbJ9RtO2ZRlCG45Pte
Oss1DYTJdpHNjlZehClwbK8NFFmOSo0wT76WIDCpGWL5slpIT7kxhgdMU36MsSr/iaN6fGd3ebYv
7DY+A2IGG7/t9vSkQ0fzwiZO93NTZZV5JnW5WqQXFXONXQFjYFc2pfZerqStZM/b72dx0LOWhoCr
Mea4frkN2vsJD5/iMouieIYuW31HFo/mOq/GQ9Ta8XtF7Qjcc2Zra4e93c0gDNEuwTTHBAFS//Wl
RyhoOBK22SVG+v8xNNggNAx3fLkzhepOY/k9CRTNo3Isf3RBYO4sW2q8sFW2lOu3C3xp1hbHIfYS
zK6XBfnLHlKPRqQvFJuLpEippwwBlF6zxNjbqdxWroqtPeP29S6dGFDfS8YXJdr19Qy8AJMCjdYl
htp7gWueHNpc7u47DXosrkzD+1oZ+dDJ1/UjNQFbmfLalZNafbCmbD7KAQp+J6I7LqJcOsXVRGUD
G8Y1sjh819pq78Uk4xyM3Bbk8+KvQVjAdK8RZP++qsd4435uawB2cR4d+nJsyW6UnyHK3kDJ2+jS
TmP2iUlQs5f10N4NdeMcBrVtdrOR2FsV1/KQrjdeUAOmpJgSAsDe2DrkpW3Hi0v9hcMyfQ7g453K
APJDYny1ze8Nw08/lxJxn8z58AhLdYtGdrtLIUwGJIRD8oL9rlZv26ny6CR5duF87LClq0gajjZN
EF9ZKvTtfJagMdj/rHtnkcvWbNZWetHlNgOXm4b7NKmsA/YAv6dVXgoebojKldE4k2f0HterssGA
Yxoh4lyysszd1grqnZZonxM8TPy3z+xXaisMKSyMDGB9QhdZzxudWIJzL9L8MoahtVfABvZSX8MW
HLWRcEUJrXLb/yFZlb2H79Y99+kkXKUfI78x9dh3CmfcaKFv3yb2lgAGCyGI4upmpJxORFUlOb8o
aJ1DDobnzY601ajffik46ljk6aEr5PbXGiZLCRRRKWN+IXkofhiswfQqeyr27ZL55ei9QRgCHLO3
n/bNEoK2xNwC1i7DNADO9XtlUUFHs8WFzNa/eqOJCAZJVX8K2+7D21e6bcW41CKsWzo/jFDX4wtZ
Jg9BTsv50uck502mM/igqcDfYV2cwjlUXGnuJIxupv4Bb/8QZEbP797+ETdv0n45yPgolxyLm9+g
LnWpjezuMlpqsiusYXJTOCG/u+cxGYGzDGgMXZS8+lXZCQxUF7KkVZdBbeI7qVWMBxlt0Q47gnkf
Qng94hufbHw31+cUFSaDpkXphw4K/Bj6xfUXihnV2PS2034ODfNB6ZP3eJNikR8p57jIf779GFe2
cX9fDGM6pFtYFFGLLT/ml0NR6KLLlSrsP+ez0WSu1RmVi2wnPSAQs7yudMQhszusi8hWgBej6E9Q
FQt065JxxyEz3M9mG+7gPJouBHhYWNHQHtK8Q71rx6nf9GL4oFiZ49E7JQe7EDYmLti51i0qgrfv
5cVM6t+zgnvBxQpxLefT4rrDBnd9L6Tk5tIczP1ZVFJ+whZB8kPWyLsgQwiBt6nqO2IcPA0uql+G
oCSaqrV4ZzAS0Y3MOneWGvu4c1V+gYrGt03O0DQv0rNsZcUBFVHzyJK2T9lk2H7XjulHiQIWN7/a
wiQjgBixUCuZYfyc8CA+1NiHXdTEqnH+05M/bSfSE7i3NUljhZWedL0L7m00Oe4cYUQYZ3K1n+rR
2pkKuOLGo+HO10/GMBhfMuRbIKrV5pBBNRa1bfXnEeWOn5id5lYjl3r7Kqtae3kBVHksWvppgqLx
PLx+AZB3c6fTA/ksBlvl/oWDur/Ax2Yohz9mkQ5uPsfGvm4k4xjEdkYLJGLKHlihKv3HQ0sqzb7p
zW4ntE0/n+sd4+8fB3rEzIO5K03/6rOyA6kRuTny45widXVlUjwGXs7Gx7sSR/9zGUQY6CA59pgz
XT8DuHytEsPNOkNB7neCanSnDz0iqkzPnjicuVcliHDY1brK47nUX2VM6qEckO+SLSlWs9Gb6KQh
Wbm9kT4yZhg33tM1aLj8ROCzBWKAIg+MvVZH61EMD8iWlHOaGAZGIortSfGo8kyMwUPFNx2D2ogO
vRT+IPdQ+q2u5++rU0wxGGPwvcyerh9QRSyQVJqhes7sKTn1FnK9OASjJMlgyxTzZicFr6JmXTjn
MNloe64vFXTV3FSQYc80E/le75UAt5Gs8LRKDd/llOUbD3Y12H+5N1poijj8QBwAnNUFNaa+Eye9
BkQf6F8EDiZ3cqNVT46CftAARdglxGUsg33tTpIItFabPNjPfZqSltFssfheu30wBWLLMSpZ7Deu
bz+S04UYLGvneKzEDgDccCcaIFdLsf0reqtw3/7+r0uQf+6eNhNN4sLeW3u+qQigwrS2tDMbfHBP
XcgaKiflETXyVh77So7y97WWSSueVZjCAz1f35sR9HY+9KzhnlCdpxlgeDeM0ntzDE1/1kfrMZIr
+SIjFEAhmCnH2mlUjy5VANQ0n0iTZ1L4XTu0pQ2z0VDwMJuUrQPpuun+5zfyjeGyCN0D2sn1bzSz
PKpmYgLP46DqH3StmN6NbZn5AoHx3mbWu8+xstmRMJI8v/0mbvc6g10YKTX+ZWR7msv//+VUl+iY
Qr1wFPY6Vd2PqTruG3tu7n77KgAYkIhRfvOPvayHX65iWLNOXo6kn21SQdzEBkBtiUzY+KheuReW
70LWYI4Ma3H1TVlTlKAGzoxzC1bp62XxCaLWFg78ytLFzGgx9MfCacHVr29FkfAqtEdhQO6MzLtQ
lsKj3pfFPRpc+f3vPzUbi08+SzYmBPjXlxLYjavazKU6MiT9qmBUWRCsuHHiv7L2Fk4bXBBMbZdh
8PVVaL0is28m/RxT6CCrtaxDXibG+1GM6b0oq+mhlJlUE7slb7yvvz1Tr6sN6gzdpioHUITZsVr3
SWl2yYAB+FnpJyfy5UASgZ/kXfgty1j1bsShomHGWSX3MYZSn5tOsj+AXNUnM4/tPymJ63fEajgX
Be1s4S0ON9+kopXeh5pRPXVVRsiMVFj7TpeZqSe1FQdekSXzd8xcE8ND7ph+mztRwEoXcW4TMWuC
CzCtrR6cWQ33Wj0kHAKQris3qaCpQksEgpRiw74vBtvA48wpXL5v2lHRB1WElUA1Na7TdMafQRxY
350akzy3nbUocVGPCe0himLV0wqgzF2G4rr0Fas16/smA0L3YruRv+naYP2Q9K4y/GmexmOcLPKI
FHI3wUJR2n4UcL0/algWYYhrlcFzoLXvojItM6/TRCHfNZ1u/ekwInaruGpHpHTVGB+SOQQyTpQ2
rXYpln33SNxHx0WmPWBmXygdZNmgKnBTiNDgTXJhfREjy9LtGxUbxQKtOJIcjVo5yAb8otts0tpd
XWrZY00ldkACQwmDdn1GVg/799KlNhhUzQQ82o8kvhSeMQXFtzmHHdQxHgvvcHzl+QWa0H4QpAXY
RVnH5tsWSH4Y4cV75Oz4Yff5OKVu6SQJFgRm2XBCogCKj6rcBx8HHn/mEj03nMNBMn86fSYdYy0p
n5YW5Y5dVcnvCDxtfmhBbi/S+2oRXEmDKrutGfSfSbOfCuxSzO5zVc8EFHVK1/9B2rZxTNTJUFxD
a6wfaZTND9rU1kyZK6ujNiuTAfF6V6SU7bGIHmsFJo7bS0adeZUezHc6Xl6Mo/VCPJOheLDEpKtH
kdBsu3ofaLmbT434Y8Dg1sK7OFSIH9LKyZ1KA4W9msCwdjM1qL+orEd6ZAUd/JwriDstCXMVN4cJ
83MsJ/A0Jc5UjBXkWbvYVZN+CKIZ7mmTxPpDF8pyuhtEYqU73ZzsJ7WDSI4XTvSHgmqocyebyE9S
G5KeVPm2Ne7KeS5/vr2TXeMcL+cbJz1UAKZnOHu9sAh+2f+leZAGYExodJwtn6dSQG9z6klCOMni
d1N4XT7K338o1v+p7HylxMYBh0MfsGNxCl935ZnVVhPxkMHZtEfjXR0H9cUpUNNAx29+1o0RwALp
Ez9kkLerxr7eDZkeHMNc1d/bRlz4ql1BQqjp/fgk7VNaavHGybh+MswS2cWxr4F+yum77jVQZuHE
VKTdOTWG+DElvsG3l0A9fW5Dz0l15QPlyBbg/NpFDQ5k4IPF+WhdWGNiCgmrzweqXSvxEnQ/Xhmq
My5TvkBLiYHj269/XV4uNwkqyIxyeQmIvK+PmKFSezFJ9XAOyL1qbDr7KREhvCelOUIF2jjQXnzJ
fz1VuNzSuC2zSGBPgMXry2GQZQptMIbzOA/jXjdxeshgsz5FZTwcyUqsvNZoc18jInTXITY7RvR4
XtBo2GlVSb3rGF17xElh9oVM0i8YNXpSmSd+FCftOyewxG7uhdg4DV95KZAWlurlZai2pi3oWds6
kRGP51QV5n7IdftZId2Xj71QjmrdB340alvcvlfeDPZc+GwsU1sHDvT1owJ5GcnxKcazUzf1kVxJ
CekMHi2wTsdd0iF2/O2VsHAIqTgX9guex9fXG9IMK5Oonc5haH6IExWfsjQ0vLRyTqEutgKRll+/
Wggk19gAUEsXT4t3fbW8m6MRhGo6o+gj2xjnRbKQmq0O45VnyP0AJlG9A/6tncsHROPk39bTuejq
0RsMkZ+60fzAcdDd06JvfbyvXg41HtgVr0xZT8ko12QrjNXpPCdNTh7DOPkGJOg7IVU/AJ7Kja/p
lWcISAafhioN4G/NXiynYRyDuRDn0dajPRTlcl9aofL5t9cFpwMJNjxIZRmgX7+pwpTsoMgNNPOd
QRRv/+yow1+hmP6ypqHw377WipBJGhcjDcwu2I4WickNvTeMbGuq4Iycc0v0OzVNsGmxpNkfklY/
kJEWHUcqLlfCHO5uGOIATak27ayIzPQ2izX8eoxoV1AjvP271p0FgBtGEjSowPOs1XXcghNnUlMI
pT9L4TDsKzvRdp0k20e8COqNl3oDPyzXwsV5oSmhtCHX4Pp5M5IzFklhf+4pwV2o2tIncpSTh7Ey
K19r8Q9stAkGqDOEHqI7cZp0wlaCucoW64rh8Padv/5z2BdA6hkDobe4/jkZ0TFyqUcDeIBU32FS
U/gQNMbHPNInwunAntqhJH4mh6mnBpO+y/u53vVK0R7jvhg3KFM3UPfL01kMxVjxS/Gwejqo0vLQ
wr3rLOBX3xPGInbGRCnrQEPAn58ccT3Ki4MsMtvFxGt4nOLAOdQ2NkyBGGWvqRrfmrv84DDBJfk5
VZ/aObN9ozKkx74tstOcqfk+U8HTIP5Nux7vALfLynGDILT80OsNUFs2diAFfJ4Y9awO3t4hhFqC
BHpWsznxytLRHlOdFiuKOtm1IyfwsGpqiBLSz2+/Ue21xbyI1tmnOFvAA6/fqDxoDSd0OZzZOiqc
wMT8CVIq5fFkyR81kvd2baOTWmzU4tCqU3oQufMlRvj9vp+r6lIaieVLixmMHsrxASxYwideMfxm
ZNRta5KEFsFh5Rp6u+txddub9YAzmWnk7uxE5Wc7I68752Nj6hQ3rhI1/b0C49DVrGj2K1PHQbsR
2bOkqotJtdjKDrrdNnUIWaSgAuhA8V+TSdKogy47xuKMlVyyn7VypPGMjY33e/uUdTYMANJFqECN
terdRVPK+D2a8zk0sHiSmsHC6s0p7upu0+X1lRtSwUgXCTI7JlOT1Qs14RcYmEWfe3ich3Ye6n2G
9nf39rp57YYMquGFrM32bCyH3y+NQshQlk48Vc4QXpa8da1258p5xqC399++0u0xCj8a9u1iUY3H
4dplJNWshvlHDfo+KEcZVwHPVPL3lTBOhMDpG/vt7XfIaBtbHGb2WHNSjVzflgOyqzRBq51Tk6xA
KRQyNlpm805WwPfIzpOPAoNU3OLmLYzllduEjgeH+sVTAzD9+sqz1PT08JF2dsbQ+tSG+jclkuUf
Uuz0OyST48ZO/sr7W0T4WCJB/1h6ruvLtXphYwQntLOcy8pObmLrEON16KmS2X9++wWyIvhj17sb
HvmUQYBHRCMyRr++mGJiBSOSwDpHJHO1dVWQ2NF04UNXAlahB9GtT3gn4ZyCS6H9sVysV3ajMqS2
N49mcXIIUvqZElRbe32nU/TSAxka+ICdyZ4zYUdFXy8nX4Brw8+NhUDj2OpKQ8SQTv/qJU5VgY3n
eeLWjY1XBZnFZIzi6oXnWmwWY+LrEmUFh6iuCdduev1kjan1AfojZ5daOW7LpPHcYU+2EyIsQXsp
VaGkS8eK+I8PVpB3xJXGkYFUpR4+VGNWml448uBdFVyK+Iw5Uv/A1ECb7qxJKH9Eev1hNKYUUwIV
70MIQ1L2JdHTpCeyZgaWCTlKs13ZCjj0VcxvC6dWusPIVUOOmnXxzqos2uFe7t4bCVR8MBdBULDO
EfYJv0PjB+No/H+mfO4928ISSYjUcejf5SHyaghbJ7kuKaeiaCD2C3q/5RpNAye/gdzveBGYlsKR
k3W6W5dOxZQhJmPNVVIgVy81x+k9ThIAc8YcVwuGE6b3fUZ+dpGW6RcFm8jv7A4AcMjAKvbTzDwq
KfZLnlqZ2CsZZRqR1aMm+Vf4QWAxC+5peCXGG19wCcL0sNaxrjPNWC3cjJMTRlAzt5+Bb8ncVaBO
fZTlKbzvsFA54NPffWxle/6qWLjXHtqoUCoekk5EEXP32TzYUD0TL4OPMvlmiyzzczHHdfBkjM4c
uMA30aOUDOZWUtArewnaGfgUyNcpVNbzDAXsuUJBM5+LuPU6y6yORZra+y7SpD3m6KbL4ErZWXKy
8WnfHgDG4tvKYY6KSaaTv/7a6tgosymSnHM9wTcVcmpSI25qI273q0XuCvC6TEShtq2+6UqfA2ko
O+lMedaddMdsD+pYSp5t1JGfG/pWJXy7YXE96t/FLpkGTl/tj2MZRFZsD9K5suEtk7MxuUOrPbaI
DPdb+9XNdsWlGHcheFrMy9dbsRIgDp0aSzrHrRXdR44y+yRnkMRjdYx2ak3ahYkTfkgwHHzq9K74
GVYhzo8GCZGJWUlbsrRrtuXSBS0/B49e6HLMV9eTHyZ9PWWCKp2b2SQyNKrj57YJxAlNgOXWWlDv
+fQjd9ZD49SYFSAnq9vr5ngLE3htYUH85BSmy2RusypilEJK41ANw8soSemOIB2AyqAPNpCHV140
ZzBNz0u0FZjz9fIFpSbKyurMM9E86Hu0LPJboaoHs+qm49tv+pUbMpcIURRgKC9uBH+BYQqpDHrn
nOAQdkfmRLrDS6zbuKEVuerlBZoLjGLCmGO6uWjXf62Vcge/iyFF0aOr5O7KfdzeT3ne7tmCha86
DC7MIlJ9QpgUt8UlEP9XsZl7/soqgkuDTwhkcCo2c9W5JXWTplrYRJcgIov50OLT+kCXI/J9HhM6
DnlhOSbVIJeYivTV5xkhbXXiK7A/4weIROTtR79sQtclwSJ0QXaCQJ/og3XZXae1HAYYgl9CqyGt
En1VSHraXBnlLpICHLSqrO/kU1uHTvjbl2ZIx1mOccoiSF9L40PVnqaCffMsKWZPBDcu1FDVHa9N
8y9pq/01lbrkv323CypyfbcYDTiLPQAKCo6CVXuXSL1szos6vZ6E9hep8hzxTd7W50jPJBgMQT3g
Kqk6XemZRqymXkkOSbJR296uduTLcBdhvkJghDB5vQyJVHfiuFORB8t6tNO7pD3pEuqDt2/1FdDm
+jIrhGg2IZ4kOZepnYpJFW6/rsXWcW/VqvJsSXn2lE528znP4MGqQzfvZPgObpbiA1o1JsK/XtRP
ok7sjRZsxV1dPkN2Uo5Ghs5LOvf6JfRtoJDdJktnCacZIkv07J0uM33Jo6h6yMzZ8VMkSbs4zhuv
CPsMQHeevkpqPaFFThIiLcdwY6jw2sMC9gb/hlkChLEG3JvaCeZwmBaJizYeUiQpfrDUuVImEq8V
AyOXQhkOnT3+BYPYear00dxRJ7LnT9hg6XabuR3eWL+9MdK/vUyBlvgTNq/rpVIGoWoyYWIMNGij
C1yKYxBSvI2vYuVa9vJG6ByXYoXGAJLJ6kCJctSNU1yhI5AIBpbqWfqpxmolfDLuMhmOPG6YEaPk
Xdhrc4FhatEfMGPsQ7eKtMTBXLV1nh3Gve8l2CLk9FSxgR30JMd+F0zWBtr02s/FaIAHg74FtHod
D6REgWUWqZ1cNJHaj/PMeA77zvCR3R0nhRmCjGZJ7Yc2CuKTISgYIjHkJ122MBY39XZf1nJ1kE00
zEbfYH0/x7gmTRAVNj7011YVmDOuH0zTZBMu6PXrExZQV6RO9rkSM+Z3WW6Ch6r1o46k/ns4BcMP
Uiz1L2WYdbtW6ajdDdL+UmCpZvHKQKxrlOA44EW/R1Vf3jgbLkQqxlbAXaTWX/8ynZQ0LAYn59yl
SCmNYizIHJQCDHmdaGMNq8uxer3p4jZC6b0gtQRSrwuJWNLqyOnn4FzJdn6Xqg027nqLReYYm37d
dzmpU3ngNpEgyzE08kOfBeETvIERxbJpHzQsWb1JaSRXxl3+0BZRdMpBIz7UvSrcjArm81Db3cFw
RhlGhLyYb9qJ71i95IVhnp3f3lhvt29GZZr94i4JCWONvFdDVMrYp6SXFPLEEctY+6SU5be3L/LK
M6PypdbEhAl91fqZ6aQHEJwtp5doUjFZDHNjB+6Jj6Bii60y+/ZQhPzDWIRlwCYACfd6LahJXAgp
DNJLhTG+W/fkGkhkuj+QrdD5Mt/GUaKmeiirptlJ2iSfrGAagBR7xcVQWfPDOTefkFoqvp0TgGqF
Sei3mhMcDMZjmEvPmxr6pcdYrSjwfuhpDsRbSPmr7wroNgurYk4ulI0mhOcgzv7IJ8KbCFYYxnSh
m9RPcCuqi9FzFLvkOmR3Q9NOEGR00SPu0at9NZXRwxiI4JMxWnjjFkaSf1hsgEFAjTk9D1HgvB/z
Kn0nTexDGM4BWvgF8RQf0FXISPdTsvFctdeCh8QJ6txTSLAOkVe18TfwzTyCfBmzTDpAd4VnjDd+
Hk+exZ842WmRd7TbQ/6x0e0ae7pOKI1ndhMBpk6ropvi41UkGA9D91QoWf9Frgk7cOOsG7YUbK89
Tkow9n9Io0shfr0AWpz2Mo7F5GIUSrR3jJwQTlCp72NaRrgFZ7/Lwl/Ic5DiFyd0OJQ3mU1SoDIP
06UE4Y9p7rS6inc2zkierjeOr4pp2mjEXyn8GWkuA0CUFexAa/Z6OUnWXBFPgHNHqwLcCNu5RL0l
Pg1EGNQ+AWfWOwT9CH/zLJOg/Mgx3j1DkQXSRs278mxfNl4HcBtTE8b6TBic5cP/Ba/lLxpOV0vD
BWCluSt0Wf9U2vg7VmN1MhEPnag/jGdkA0Q62+GfdQR3O3bgr+MC2NzNihH6suBTcyZlpGYuWzKv
mgS3v/krXU++4R50sw1BcOR4gI1Ab6YY6xhxwjvTKUs6PBByqscYeCud3TH/pyL+LYu1/+/igthG
3zBP+5Yt3tU/XssXWLjS/5sYZP0P2y6wObvuMvhYeL3/BAwsWQGwd5dlyz7n0Cf866dG0BDQi00P
CQUb+jEWff/r3icZ6v9QxC4aNP4kVHRA4N/xU7veG3BnW5ihBFKu1mkTcwhjDZsd08l4mqK5dqsu
jb3YiLX91DXaVwy2pc+Wlk1/xCkJJGU8j3sMG0xPBJNY6mbnIGNL7w9IG89pM2zFn6++pH9/2Wq3
iqSEMsDW02OmRfm9im7wIZ2aGl95x36H5BeuVuMYfh1ioqsMIvuIfc7nQYqUvSqH7LQigIqvzxnS
GjlT9wFmNjutbJWDVdqTn3HufPjlzT//fS796om22n7+/aWrIkvGQzPqSCA5EmVpe1qDVCGTqtwt
rTT6U8706N6Et+4PMz7orhHo5CrV7aab0jIq+few/Pfq6vVOo9ktUYlRkx7lWjX2tH/jTopDGJg1
0TVN1OXHtqwyLxqBcisFuZHJObpRAS/9yWvXXh3QZaHFM1yj9DgXITPeyhzi92FYtneSgUAJvFf+
EGsxGpbOsrZghes969/7XY2MBqdE7aGQp1ulfb4f8x4fabvI3pWB/GPjhf7Hba350mBxEl52Y3oc
AMfv5wqEdUqL8lNu4lKQzAH6H520AWcZV1k40uEVM3R7O5wf04zYcEOado4OVd1J2+9Fber7MkZp
rEjKVqbdygX9/x7Cmh0nkWRYtOaYHCFpTF6BMMw37bJl8qg5R22Wi9NoZOkpdJzcswIz+sQ5xfxC
qR2/xDeLjzdsXdFk1kHDGPEkj4r6WM2L9LmuxJ3cOr2HDKGlLBHdRlv3H+9tDZPDx4nJjTCK4xxM
tAKOUZP1mwyHorI+vv3etOtK99+nsmxyvxy6fYQ9nJ6M5TEb5OwUWQxJiYSWjkZWTfcDKU0uGsTy
ILVOuWP83tz1TZ2fhlwZXHnqlfd2Ews/aiLjqUzRu0nRkF66ItSPYRX1RysRnTeoSuGBIdQHkkkk
f8LY72BEWIQpba/4aSa8WlcnPyeLcw/YUtzrQ1/fTRUpU5XBLTetMt3roY7fblpWuz7kmGAm804N
e3s/ho22gcL819Ne7euY2MwJwTblsQhmSIzkhuyESXNKqIG1f/tx/9e+t2Tj/Pq464Z5tSMmHreV
tPs4q+XdwF7tdUX/CEKPQrj5ondRsRs1yON2romNF72ix/z7olc7Li6KvcW8qTymsUneumkkuumN
UNCIWYuGv3I4tbDP8VcnF8ESqe71leIcWqcLa7c2J0M+znCZy62ib9lqX9kG1yydarIrnG0NHnZF
cPKIH8lS3Mf5kWLTcktimgs7zPwaOgp9RDn6kpKmXtbWxI7r9Acb72PZdV/7GavdeFj4mEyXyyMY
bnwsIEq76UCeRhMGnzEcI8prSVvDT5uErrG2/blx7INtM7J8+wf8Ry2xtjhijqRLAy7gR3scLE8h
+23RitX3hWxnpGCZof/2df5jbd9o0oTNlzXY2XFIpvzQCtPksHfqnazUn96+wjVq/n/raz1sazKH
SWXlpMe065NdgOnyLkklhzeo9He1lmC7rQrl8vbF/us7WrvS4VAUzXk9h8epaLW9gArxPkMdzMHD
rpMq9NqoyKM7Sa9+kubS7MwpKTa+pBdF9CtrZj17syxhC1F30iGOo+KEwE3DOt+evwjo4+8qRSl8
QyMh0JMiozkEiP4mHvMASx0MyPgud1RkbseDD3faGDuPhQhI1GgM0R9jY8z3kl6ER43MhsqbdKf6
ngIN/aHHUXVwepmQRknFbBy3o3pqdrEuJmhICO2e6s50tvyPAA1f/y6WdK9f9ylyAvsCxl9xRCou
fliEjocueeHiZBqz5Oxbg+fupq2ZWSg6suw+C2U72XV9MOEeqjtZ5yHfBq8zwctRsKfvEnNk8cVd
YHrZYKfvpozkHYBQIf8JvyD4VueB0u9kMNMvqWj7L5E8hIgzu3KPMFVuwFgjoqqYhyJKHzuLdl8U
kYNgnPCSZ9lewMrSCWDeYBlHuIWY1HdtP4hHjUyv3p+z3rnLBO4lXhMr0DOzHDWkKxdpNe1MKuCD
Waikasaa1kPjqurGHa3CegoNOxc83wjNEFoQxZvMHEvbolWli9CblPBNKZ/8ziFu6kHUU/jFoGy7
j/tksh8hTym+YS4geGLkoYODWQNY0icjjgFOZNWmH1UFwqCpDLuDGpXmJ61PyNASRTn/lIJE+nP8
f5ydV3PcWJpt/0pHPw864E3E9H2ASUNPiqIovSAoijowB97j19+VrKluVXYlc6YeZchMAAfHfN/e
a2cpx/5YwT7SLKVx37hEFfq1p5hXLWC6x6UDYh5pZgzgNB2Wkj7NiOEAcvjQPhOnN6F0S7g81CHe
ikLBNVrralkFbvSevySVcTcY8gKtkCL9Em4neZh244yBRpbyS6Ya86ORFvlt3o31vikllUSho27p
W5zrvhyN2vVHWSeLT3lzSnfd0qVKWML6nLjRo7Vd6Q082+pI72iqczcPJs3Ob+3M8QhI7q3ujSKV
/DlltXfZNg4GibXG588eDCuTa40dFuG2J1Gm7MlMiq2hAKHTzu5jQVIWZ5h8kg9lUZaYeGoUgr6d
FvazsqZV7kO8zUlUMjzsVs6oFc+I20oiKNfUxM9X5yUCDF0ooDFQ2jxniz3uDDdvP2dllr3AubJf
C+ownT+Iaik/N71qv3rWuCobDoVzH2ajPot78pBKCJK1UiVAcg6aTT3XqwezKIonoVeIfBFn5uou
b4amDnDdqJtY5qW5b8ZO3+eKUKAfoR6O6LUS1FDMVXrVWYuHckgZkd6kdTrGIYYT7sycqMM9rXy2
ZOWgog53007/NJiKLkJ6Zqbna0spw6m27LDwsEbareddWm01hEQ6xpFGLmmPdKggXjHjcIrwJVu/
eovVNEHirTZA0XjuPzW1VZa4hhclo7BS98FBq701obc0gZl4/b3QGNeEkLkMdtmLn1ZS4kwyrekQ
yqplyCor1D2+g6p2p3g4oPE51dnt1Gv2pz6Zh+dWVeo+UuyKccjQEehhDTZDWIaz+w5Hm4RWbXvf
K961xndk63yKh7r8qRid/eqKESAOTQvrrVkM7B7wsLHYAggdP2dKR7IP1hHvez92PaFanVG+VcLM
PqcVZHFfwI0cQmnOs+lDaiGKq9GG8oU273AzUKH/sszDsNGRuT3aLWY3v4sFYHK3iusotpSY8KFE
v3E7NxIz4YB+PQzpz1lYNTZDl/SvxKovhFzmx14rCDCds6J5cRhOuZ8UKpYI/L/ZJp8SQ4aSmK2v
YzfMVBFFdTEVaoLQMm5Jsc20pt65s6x8VSzZvOtN6YA9H7T1O5FBdb9bumxZI11kylXcrWiVmBSK
h5gwLWbNvv6K5gLbgFrH6nVKU2oPPJVcPINIvCezy3jwg7e4V1qz5n2Ut80GRdYEKUDE6Y3W8Pry
IJud1Uw01CerSgesQ+QiaRLY7VKkkokCfsJuxDhY+O3seW9WpaYx9cFJfS0Ewag+53Ur35fePHxv
OBGUG6xPUvNrRxNFYJMqer14VU+Amt0Sb5j35JO1pZOwWMJ48SelNr+qXl+8jHJitpWdjr/NK5q0
xppH2AkC7jGOmcOZM4MUj3Xiq0liXXkEXCVnNmYnNkzHXYZmMgZrqFv2p/3S0QUyxF7G9gKr0Tin
Uz3s+f9kH3EsmpmHoisamKU7Ak5bgqQXYyeyZfm/9Zj+tSE75i2kq17BVdPL3Vzg/oZySw60R2jt
YIkFFWPVfZKWnDarblY+ZQeT8EkDQjT9bd+r0mSDQjomIo1WRmaSrJKwCm5ojqVP9ehoENn7Ipxl
l+4yi1QtHiGr7JSvFw0N3xu1zcy/uEU/VoXM2TTGab/KXTZM2RWBz4jzMiUNM90cN+m6aFEnqsPb
5nX7hm3oVsa0w7V61M/snU8ckY81RQ7buCIH5LKjYareZqMZX89TnT0rjQLLfYL8DEhP7FCYJwdf
7Lkm1LuD7s/Gx1HVZiGVa0wGM93FWdb8yIyptzYpIZIEhU311WAUtuVbYogbf2yK6XOPfP2l57hC
PRL+jYoaKTdGFOwdcQrOOhcRdfGUUGtzJKLKicfmiZM/2c7om8YlmjspHunDCg72iay8CMy5/VXp
gYLJCYo4h3QjZgIxy/HMkz1xX9+jNH8pPZTEElZMrskuGWadXU9yKBTVso+GeQIJPzcxMXK2XgvT
L9W4/JF0WSXCjw8QJ17vY+f92lZlbxucH7ySOFFbzEtE9vGMODarzzQKThztnKPKSjunTtu4XcbO
TQ/mTCm2RUkfK1HSH7OxOGdu4okLORZuCQcUAhyTfEdgh3klOvKR24Lt92SfxVK9szH/ZCAeN8HK
EsGMNGZJsiwZj+2UmAHWJerekDud0GH5CWYrW+7KkggzwgW8/eSCHVSFHr99/LiOBDL/msyOzSdO
rfRwUFXJW9ZX+zpeli1u7+ROy/v0vhE9LnEKup9LrRwobRjWddYU1v2KhitYMGTs6lgWZ1pnpw66
hyPTr8O2FSkDs893ZHetPvpuMsZVi5ReibQUBnUWOQid/1pN6liDRjXMyeHqV7uB5ldABJgbVEal
REYbVw8f39tTI+homqG5WjlzaxyKjJm+aURestkBD5tP2jlY+amV7jAD/HLL6sVbx5wiN1XFWfcN
UOphl/faGRLXiRftWAnkxhO1AGQvu6bBz4Nw4BFXv3fZyQko+yLOtdhPTFfHXslynNyy4XS/S+Ya
e3OvTjdSKNcCActVoVgU097b1IPFFmckdPLjp3OUEf2vkX+M0ynnYtZAV1Q7UJvNU+6mXJCtZJxM
FGmuzykKwsTX1Iyu6EJoJWFSMq4M38mLtQ3iRsmvAP52ix/Haf6zdKvqqTI5CIMrGFuFgLgxb9jQ
HQ7UysJcvJaSGd+wmmq71MV0V9Nlf3bwpOX+1IKD0HV6FaCETGSiRsx2c6vmHWczR2k8ThDu0t4D
uKiFX5hwKwJADON9StDVU7kUdJ1IGqnOJUueeBGPtU5eP9HNknm2iyuKIDJfES50PWAFSB1BBrn9
uUmkODPITvQ3jrNTbW0y6gqw4i7X1zcoWvfrqnUcX7IbqRDx1rmT/GYKZFQfP/ZTc+57qt4vr4xq
Z0tWubSoyNi90txhuFeJ4eYD3dgHGFdvhi7xNtLLX+LVUZ7Bb0DCZ7W++/jzT0wK1tEkl2uxrNc5
y3fI19YgE5UTpfQTN9Bl0zPi8VMfcVR6bWm5uBhykx2tuGEfAz8O+iKtLqUNJenjqzg1Qo6mttUt
84I4IrHrjcLwxQRmnTkiv6pbrd7PDdK2BrHF68cfduJ6jvkQJW4HTu6u2HF2xKg5qfbeIw43mGb1
HOP0xExnHgbnL4MiIdp8JbQ73xUUnO60lVRttzRwe/b5uo378dzoe/+Ff7LiHzM2kGFYMEvZHmmx
XV5mNekGnV3FoVaZ5gaMjnI9uF1+0anDrcaLf+fYRRE5WlU/DaWuvVRTIdlFam8lRwy/rLQK5p76
KKas3I0+MVj1TpLugXgr/7Kmqb0hQ1EcDsllgG4fl+4g8o3S9tukKqhI1YUVjbDGqHuM+e2iWa8Z
JVhOuGnP6UPxCPgRhq86CZZQPObhTDr5fcnjjeIcAYiTAR/Kh64Nug6y+GoDke/TZuNwBj0z0E69
rsfWj17WFUoGnVOAW3Pcz8oqI66vtQMbn1VISIi7TVpdJc91ijdjI5WvomuGwCikeua8d2KsHwdA
VaNdeKuhiV1XOOKb7qzlp1WHHqMPqhaMSs6xvK3M8e3jwf6uhvyzEXJY6n8Zig6B4VWPsnQne0e9
dojDiAhRW3GbocWZZj3Z9jZphonR6aHpwH5IZ2qChT6axE3bcUB3/7OHAyjoCpJ0IMeqG3Oazagr
zPWbTavl0CLMQkuXOlR4mMHjUlXRx1/+1K0y/vjdvdHrFCcdxM6Z5y4y9JKY4bFcbtbC+tITjnS/
kqF15rGcHBlHMylmPJgAdSN2OtD1He69bqvi8/rujMt4if9svBjtvLtMZJJ8mvKiIg4ug4SUpueu
9sTm6zjXIcuR1Ctqz9X2ih0uaasERSrUM3WSU52YYy9v07XeiC1F7IQmKN/qWrqr1ungWWcV9ubZ
uawVdIN6sWb71mocH+iFfeaIdWLKfW9q/zIIVQ1r31izjVEtiaRhAL2k5lkaTqV+TrB8Yso9zuil
6JSZ66IkO4cooGcj1udrtYtfO3ctCdPWzXP1piMF97/2eceWD3cpkRPhrt3lDuKPxpuXe2Nai8up
7ftQr2J9C5pK3UxSaOGazel9qQ9KlNoQFHy7zmhjUNv3u1lZolE4xsVi6WXYOXb8F+/10XHWEMLo
F5flWrZldh8Dswm0VZe0TCzt6eP38tTjPPz9L48zXdxqqMch3fVJ7m1hJoxBgkb71hzMcwlxJ7Zx
xxi8bpLq7BgpH9HhLXGAse1WJSc4ySq8rVlDU8sF9nB6RvWZndypizqabJTCaFYko+mOx9cH9qzn
FwzZLjDtujizkzrCU/577BzNMcbci9GUHhUqR0keKcEW2xHU051s2zpYhGKES0OaIp/b7GmyJzt9
TghEFu66IZ1xCGdTyyPLmU245LMMYR4NAUWEPmzb+dzx6dSLdLTdGzwMgjSHUo5PcBW8ycoDOGLL
prLp8jgpMKePB9Gpzzna88X2AYEmmL9bjcBJURXL5Vp52iahnBYkxSLPLPknnut7dssvg9UrSjRi
jZVSvR3WvRznzFdiTwEqIYszc+uJmfsYyV3RDey1FXHCOE5xtPaeeQ1faYk+vlGnLuCwOv5yAZo9
ziWjvty1dmr7hwyaKMbyG7oLXfu/9hFHc0beVL0xSPRLWSnoKWF5uunq9RZF8jk30KmLOPz9Lxch
yJ5wQW9wEYnn3tZ5hcSsate7kdSzM0/hxIB6B7z88hFKkq4ekVHFTjRx/xTHah3Vc67tbbWr4SvH
/f7jm3ViV3LsO+Grt/OQG9kOneUnu6tvRAbOTqsUGY41nkwICWeu6NRNO5ouVpuFZVo4Rpgl/QC9
TFcY4o1GFSHxznzEKQHBuwrvl7vWC7i8oFmzXZah45uUOb5Q51QJsrHUt9PU9eRN0LLRKS9EMDrw
GgIUvWgL14mk457dl596eEezgZtYlAVKjtFJdUhnnEgVJovP0rRvJFPWNeGjWbsfdQy2KAyGl6Kr
tG/W0NVVMA6m8dovynTh5Rao9pwzB9I4yTHCFRoFlI+f+vtG4k820u9a3l9uVIUhg+M9ml1jaPw8
W1WInAO9+2ze6G3eRv1MuRXpIaJeu3KDzli8gD7ysPHEMPmmhGeEdGu5SSWPcZIm9EmkY18Goblb
4p4TwA3xHKG9XLHJTCLKRFb5Q55ctlN31YxF51fdSk/QJFScbuHVuAj7i52447YQRr4ZRHvJE2y2
Y694oYm5+mZWu1DDjvDxDTixIh+j6mTdZHqtMVDo/+v7TJs5p3gZulu15bC46j+VlTBT0ULh+PgD
8QswOfzZLT+a+VBqJrkL4Hc3rZ6K4Hmo3Mu0KaCgSzZhazirg9haLizYoI6V4lpLq3GgcE99LzJg
XYUcH5GkwJxhm5my0moA52tW1CnDAtgiGb+g+TYGuqVsxlYIqlEl9zYABTF9KySUeX+sDtzS3O32
esq5wC+owf4AdNFOYCHa9s7CB3GLrMn4JA1tvhsa2/qRkHCmhZ06SlgNXWpfT7ShU9/ruyEJMkOP
bwuPmMBwVLzpQdBaHUNRY6ndKOKVLmlZwYmJ9Zuy11K0H0VOD0JfiwssHnUWemvfCN8yECs5i4pC
PaV9OEdamovEX1xH7oZ1pit4oJDI0Fu03ImA0KiG7ypu8WZTyAlnx1KcMJ2N7msL6/3F7V2ElErT
evQjMAMufLU1fgFUMz9VavHQ28mEC5H+aqfhGxVjSyt70YVvtskApn6xFToLnaNfVVOpqr5UE3OE
MdvRj+f60h8EymhXcSZiK7CNIR5CRDIt9KYqedGJzaOvGWdI9ay0wKFvlKb2bPWNfiET8o6TxO2a
rVqUlCrICjMyP5+mVgvcOm52hsLlpNNQOYHL0pXcFcwGWlDGA9RYauXzW6XW/fiAcrJ5yBzIHP7k
ejI+iFy81ybupBGslid3AgdkFZYabFifSnGhoNYS7XTTe4r8Udat9SwXTqGEX+ROHIC2zp7IaFZT
f9Kx0U3wWpxgntw5Dod1cj/3VT9nwbiK+nsGBrP211yuFWrFZdxrc2YMvko3PUCT0OgbJDoDQ3rV
bdqUdOGlz4CcnrHIVOIi1Ub3c63H6U8F6VO6JQuuyEOn6OLdDL/VCrq2pC1vLsgwfBNYJHIH14qB
44p+MLcyX6ZHThwlGqYhbbINJxJrRSFcmPM2n8zUJycXYFadCdMMLLgY1xMRmhontUm9n0SyOgC2
wDKlupd8FuAd02ty67BHqPWsGvtxXVXNzxchy6gqPNRbTaeU39PetJtgHnrv2+R4m9il7h3UM1Bc
1wMf4+dYHrcjWP4DOwcsVwZLZfVTTXZXk6yXfENVq/m6jKl46dQ13SijzA5VrCQLcBOr3sVIO42I
ctCjUT3RBr2YUk0nvINKx/3giNrdsb2j8+W2iiOjoa15oMze5ncvS4bPStyRyMlb4VxkujbPQV6W
agcmTM1u7coanuOhGS9pObaxr7utlQVlK7xPIu2IBhtq+qG0tomLfaDSXG3LTLFeRxvkGWNBKfwh
LlZqfXmTfh7K2PlREdTAop0VM7fE6zoRpX0Jmrpr6BRseq9eBbN2XF+LaU7zjaGQAy6sUl0C6AJ4
Ddbci5mugAkNPghlavZVslpoKYYpx+k8IwajelN8RhKtmP6cJ+53F1DxHOIUJo7Qmg76nA5Iye3q
HkT8VT7aMsycPt4ilmuTSPFia900FBNvZDGTwzEzg6R+7q0aU009KrhLZIecbJCLEi2GUmvAVXEN
RNXq9htC4etHLDPIvUfVucoNGBWbxCv6H8Q9WrgONWfdLDjAaPNoE00Q08Rqvpo6JD09YzR4+AE3
g9FP16NJ2JzP7wPLPcdiBz8r0y8G8HBmxKUjG6yTVv7wvHEawmLShk1H0fGrZ7YqU1feL9yhZhzd
vWGij/KLzuIKGL7j5bzmwvUR51i3KtxQccB1T/vCmLPUd73Uuuetb5AQJh58n4KRvISLcKegWsuh
3Qqq+N8ta7x2i+ZJqNDlCM11vctZV8Rbwc8zEhDz+LZWprdm4RivcSKwSozEpxP8YuvWXiCvJ20g
YZ6KsGvTgS1Vy7mv5y5PN5V6qHrO0jF9u2FB9ZN6AHGEYZ2+QVfmS+h5maD3Xmha41OdUZ+BDurk
fRbxbZMazm1hjNpjWtFtXHM1qfwGPBJDMZMeOgGKPzHaq9K8knTbGOj1FN/NqrRM/0Bn+upU3lBF
VofUCC1Vc9vFen89p8tnBIsH2QRckUclX5UMXWXS/ZCzXS1Bh7CLbN0hL75JT/LlqjRftIBAy/aC
CmOxBhpDNlzqSplgPrmqEup9PjygSJseoPbP30jM7pat2xuKHtm51faBbNJpYe8pvcVnSVdpT1VC
3ZXcAn/0ZPl9Ttvxca3K4qY2DkQpoYq19styIuwUtLQyBjYDB3xmtxg4/aoJlCUZAdhl0yE1tjWG
tNeEd/crG4NW9wv0xjUyuy5GcTiKdj3odfMS/GUMaBDDcbw3h5JiHx3d4Yq+tuUj5DK2VM8VH8Ha
VTq20NNnS+8e/ssbGRjsGtztWGbFF/Q6fLVEKesvH2+ITu3AjvbIWcwsCfzD22Yuk5WWaq/mJLtb
j7lrX5AoQnOLlWbMB+9MveLE+ePYJs7UOZfJ4QNZj+r7HCHwT8659t6R6evHl3SqKnnMJJ1Us0sw
3ntbZ6QqVhpENldFkm/sVOu+97ZDA7ofZVgXXbtLkRuGADPn72c+/MT+Uj3aX6qoRG2FKt521KZH
QVZBsIwJZpZ8MgJdqGOoj1YaKYKxrTMr72UzqZdA7d2oxvoaGp1UNrk6vnz8dU48XvXoED6vel3U
42RvVQBVvi4gtLdr2d14aVJtES7KIFbTYUPQun3mE08cuo7ze1k2+9zWc4wSSpY/6fiEQqOY2XMw
Ye1R7c9/cRwd7v8vRyetmlRi9yZna/VmGSVSlwcI4hjWeprff3zzTg1V448fscq4ztvacbfrulB9
8exbOS9IXOP1XOjbqU84Oox3GWBRhebR1naVz31mGHeZ1ADLWYt6prBw6nEcVd6aopT0zEwaAGmj
RxMIxctqrjSytL1qqw3uuQCgEwWM4+RRmOdwfZNZ2Yo8eeYQu1e0Ca1xkfxo0mrZ53bvnFHFvPch
//MEp3tHghK7la2KKD/ZxQOOzaaS4s7x2vGWTpNNjEJn7wx7QJ3aZeU1HjQjqFqhRdC65tBg8Xjy
pPezmFr2LGmfX43xrD1lBVDeZDImIM6LE7kC9YJZKQtgl76I0ETbkS5T+87o53qTOvRaberSKNZK
Zz8pWRv0i1lECl3ITaMtyNc9Xd6KVUuBdABKgMtCD3VYpqtRqecoIZxoX5BhH0wyZVUtzTWC8lhE
kDOK0BmQSnAS7dETdsu5kszhef/ZTTtMEL+8Lo2QpIRlUtk2dtntNfaZUTXLJMTE2EFJMwk0dBeM
tnmuXHRprz4kmsaGzE2SM7WOI/jL73Vq3TuaGHNdNHobF/F2nDoPBLO2ylu6hEbrt7gptoQMNDq8
A+lpqA277mXUxyK0ZxvkJPnfnCCWXAsn4sNuDuGo50xgfz5d68dOfiMRHcjOKdm1stG2ZcqahJZT
D//SDHIcdTjkmuLNMW+fhUsgIO7a45S99BsOwedkDkcQ09/vq3EMSB4w+CZGsua7FkRayENdNrWg
wE4mnXiNW/S5VbZOeGubNarKWHwdbBTHQIgyX9fX5YJkEOnHbiu26wSAsui8+DoWQ7qhWIEnU3h3
lSnlfd5Xr63lnU3WODFhvA+TXwZkAsOpHCT9HuIT+2hCthcUYz5tfrNhr71z1xr26+w2xpVcTGvn
pbRm9FQ1Wbdd787QvPkGiSyvXmx6n8zEsny987TLjx/ciWnzXYr4y7dzxbyaq8dNjd3auffsAbEF
tdJA91b8ba1zLjP81F04WgByoRY5rGJnm3jLHRSqapt73eA7thWT8pOTooSr4a9d0tFKULjjoLWV
Hm/Vdh6vFnRhAGLUaaO7Kr5DzB6/3br/E7ziOn1tq6762f/34cdeq3ppU5H07+CFf//pdnxr+6F9
+9v1S939bTOUP15A1ZbHP/OHX9H9v/d/Fm9V+NK//OEPUQnYcrkf3trl4a0D6/o75+HwP/+3//i3
t/ff8rjUb//8+2s1ECTHb4O5WwKpeP+n/Y9//l07COtP0y6uX2T/8h///zfGhWb+Az71IT4UmoVO
XB4z0m+IC/5FI5v9kFXIOkHUHIOlrNo++effDfsfhwgFsIA6LF0VBNq/ABeG9Q8XJOUhG8eiYmVS
Y/79uu9+WwC4ZScDb/ioPywU/H4VNCxEcOBvDlE7x9O1OgnqVTnnc8tI/ZTKvD6RqknQDf3B+5I4
6nR56dmwaPJlTe7cAfjttj9YcJbkXh2yrZFRisquij6Puu7ThISw6nat+mQQXWSgV0sLLRIEk7aZ
DON152r3q06L1Hpe62s7zYLDR0/1oz6TopQH46VSv1ZJSI9NW3bisz3fq3LrtI9VERaYZ5O53B/M
ykbtV/rgx8iV8FasjUQIj01QBDJpLyr+ypFqaKd7tyjClmKj2mR+2r7JIgtbK/fV7q4WlFnMN7O6
sw+koqb9xMErzOuf62RRfnxGGOlrRfNdi5fbXl32iiHpD+Bwo7CABTRXi00KonIunt38O7TFIK0E
LU7bVwYdi5odatDlJy9q2Zio+ate11eV9UmlxZ+ML7NRwXkX0RxPG2tZOVRjzi/iJw8bDeybTVEl
lwK6gmOIjTZre6UauYn9Bhj1BhlU1GONyJ16N1VLqM0/54leMLU7535Jv5nNfoRqbFZfB3EJpNWn
X0zFsA2W9qYAyGp4sP1iKh7xa8Ehdpnp2e2k+qatr+76qHgv0ChB3RuRRnJcsny3Vt3vRXrnxcnj
4Cbg2XZWKyIwnluVfcvsPKvpSpgIUOwaB7epYD7pr2MavlLbksgZUXfrZi30ShmINd+OYrjlaOin
oHn1bt7k1FyHxNguIwUae4jamsznub4x1BLzYqjpVaTKiVIu8eiKTl2Asm7zUkKaUjKGTmoGnKvG
5CJNusNOiv1XRnpVelmrerBWn4wG18iPkr5aQxmxdCaIk/vZNf22/UazCtWFDEoLjhq7O6WkxCuM
7UywGJbFqHTIfzFAY/GrDNHtYQuziw9nr9ySA3llF+OlgyitjM2gLgkdoDnJhtJwIpFCK9TlhbCf
xvFrzVG+kNeyi7lQvgNvwuEThfVNg8VVldSMSgyxGreJkWrss/SVIPWobqmlkyPS8La5NcXOZg1H
tSXTN8fXDavUVDZdY2zMdN2VSe/Dd+Xb40bUZryCc1gar0WO372YhE/1NJQ4Fftk2VD08yFno9jS
A+nc2S0Xrl6N2ido4rdnAf3OYWn79070fyYY8MxEDzoqkMHDmeiXJdYgx9ZL+hQwufyZTqHTFZ9z
ykhTXGzsKVz1O4H731MQvLTuldlke7CBkTYmEdrUjRJP20rGm9muN6OhsU0BV23eFXGyIReGH3OC
Wvtezg8rRUE37N8SPQtSfoZqHxZGStsyVKvNBNu8zQE1jpdV8rA2JNIgkNKTYHE1Ct+57xjflsNB
ffZd9clTqkjnbbZhlI8u7zil4PXKNn8k1PsyEKJ2d4mnK5TdPkteDLDsCx24fKtMj5IvQSga9Gnb
t+3bLnkoSK62zhK9DkfSj27q0XkfdleRVyY3dZWf1T6/M6ssTBAlrnPuF+U3MuKDUn22HW7KVlva
aIGc+csK9z8rya9UnwNj6T++gmkQiWDBAzRZpf74XMtRUdypywc/15zIgFq+YI+dQ9HdcdzI7O+r
QQkVoZsTWW2kuoGlP5j2vlSeG2c/x1Fe3TJVqPqTml7x1ivLfrYuhbuVHqVnyrj2rlYHJtMzp8k/
bvTeRyP8f8DRzuGbu8dyC40Rk2qeHOg/fh96GVITC1bnasnP7dP/WIn5/YMM4g5hUEGwOn5CgFsH
FQoPQu4ABRWJ1IWgJk+6ARqDM88C+OLxwyDBzINRRjgR4R7asX5hctVZISMbrbNy5ZY2UQDaPu0m
kukQltAj5OgZlh7l88x4nqAeYZ/ZatY+p3BbcAqdrqXjkEdAZzNfss9ud7BdS2LoS3+RxRdVHFDj
RArSwfLVYifL6lMGanwynhJeXgA2P0giipj/A082ezKgA/Uwm6OvqsXN1L1qZkqfernDfY+I/nq2
24v51lSxug9IM1tfLPdtQoMVnoRn/4RER//NI7kAlCFqezdrUYbWPpDcwIvrb2Nh7Ct1vpo5HZoa
UwmJVk4rd7p4krbLHNvs61aESqLsoItk689CuRN5d9EmW7dzAkYFCNc57McbADd61fnk98GS09ir
6IS5H44aj6rcpy4Qwn7nlPeVsTCr15sppXQK/edANXC+UvLdTPUXxSKCYQkdgu2t5Uti2r7RLAFt
nJ3HqWU0P9XOQgUZwbN6PUFOmJcfmnqF15A0BhrByuOSpUEjfywuft4isjPrYhlGGig/Xe0H+Q++
oUZKkwZT+TJAIEucW0d7yIrbsd8N6j7vH0ZWDpsOWKN8EVh61OZ9BSiqL/3ghY1LaqmWhoNCiJ1+
Ra3GyHJwsSCMKsWX7uBPybJdjQXYdx3YvK0mm7ae6EKaxF0F1aJaaFxOgYmQwFS5dKBVSAmaFdP0
Wjy64AIS4bJ+puR9j1NIG2I3g/LqeoICqx0Gx8DAne+xtK0Yr0X2qje891K7XLWIJIoARVtCk0SS
pRcDIVtes6QJsaxEBu9JpTPfs/YNLUq2Kyk4+JoJzn6kxlZYJnbkteY+G2M6Mk+5s15M9gXxPCXp
ywkVYQgBsf2kkRUJbGjn2Hd0NZnKnd1hSTUm0kMP+CE2MkrZ7lSlDAiICDz7xkp/wJO/n3OCSw8g
3x6Um7dR802hP1PPoMXKjyEtNmZzCz2CCLfLETJGviQXtAf2FikWkwsy2cr8hOynlg5c2T2sukWj
/zM5g9eGOfimY19oRGSJz25ChqpL6KugegRDCypMjleyiB9yrsRV7hJc6dpw3wyv0wy0F431yKne
VC/GhS1BTCPZ2VDyu+BIzx4mC/XiJyEu7EfsyK30h9JsI1lPe604BF/8rNSd3T/U7eiDBp54t2JD
84EE+aRC+J54TseJsZqF0lP8qtL3iXfH9m9y31a7CNyEfZ1HE5slUntq3NvB0kJr3RnsuAqDRbzw
WKiVRyv9MsyPNGn3BLWhBEw+5VL3V9LBtLIPWv02VpXIqYlz7F6ViudlPk+DGSReEi7TdJHE4tNh
Szll3f+n7jx740bSdv2LuGCqKvJrs9lB0bKi9YVwkJlz5q9/L3oG71o9Wul4gQOcg50FFjszriZZ
4an7uYPfu4R7tQMRWsMuqr4X7WOVVgeTWnNOr22p7zrMQePo3p7S7dLqnsS8mvqODE4tuGxdP3Qe
BsVJ2UReHP40K0pNQQs6VuQE4yRSbii68RmByo/npOBukSPzmhRT9VMGFEWXb2PNn/EOown8qMzL
kG22HR4Dg545ubfCsL0OZI9gSfJQpy0M4hLDeM2vULbOQ7+NymOBnjbQup1lfjIOadRvbRug8gHd
/FnYsseWKXE7gz8GGYYPwl+vEr2RXWMO58t63lnFsq8RSYii86252EBbwjYl22pZvAEHoufZXtdY
7IVyOiRujuT+aDXULTTxpGQZN89hM+8Q1x/5WptpfOiTe6P4iRMSNTRdWjq6rm4fA7y+4+ShVbq/
lMY2uc2mH4JrT1326MuJeZs/a5rcd/NyFuUS3kXl6RGe1+3nOl2OgUnNqyIcKWxPxgf8ELe4/29A
VmGfzZvFmnynuOVoaI1ok3XZnT6eRw2zFGta57zWvhoj9EF+CvyHraF9wvZjC5iNhfHsY/HpaSVs
HHThtvg+jgJiDstWb7bYJGO048GT8DEd3dTQcZhIu4iqNsSSrOccSrnZOk3mhyt2pB7FfJvDoMKy
nO54eZY4PwxsCtjysCk852Dfh1BnIvir5OZ+c5azwT2MNpGT4tI2zfOgu8frox8Jy2n26XAY9C9j
z7HZXdTEhlWqOAr7WhP7CZbxeNNoWyJEQ31fBWd2RxzwLS3rOsAZzOQJLlRD3x8DaEKLDgQFb1vt
pZ2eAu5e1D4uyTtE/7IXnFepoBG8H+vnpXio1nHy7CpvkmdtFYaL+plsc9wjyBh6qFHuObiUUt3v
2umuUeFFTPQo8quNq08bPTE3BcKAfrpOxbwdxx6nPnzvKnWF+ZbXjfVuiZZNM5TPDjq4AS/kqT7v
yCbKlp3NHTb1Q326M8pjKa+G9Mugng0zuzdQwdjGzxyGzbzs4Dhs54gkgTV4b9lFyAgXzPUIH9ou
z9PQeOmyC7CL40IUxUerX2DV+g7R232zDex8O+tig9ESKT7sRLRI3ZtlpbwtMZFbCiIzpzZTdepb
pAiHrJKbBD2QwSEDycppul0dlJ7CWigyzho2U1Ht887CtPB+ce0bsyQl24lYLOkeX87d5GDa42qP
NVv9WA67metVVN1O7UUPWU/RAqc/dGFkt1gNbTra0c4YYa79xOX+ynLASer7YHrRtPmqtXLMqEbP
xJxnbtOfeiw2dQd/J8ImwweV4MN80eDvdK7rFzELL5u8Ti8uXey/A1LAV4drEXCdvxutDiIB+vi8
x0ua+wrTGhdJrDiQW/L8zsz9KAqhQ9BFgr6AYT995YQm/irYXg+59GxpWNbduMkHItInzZc60eZA
7y5K9QIQFgNQHGMaJnuSs4/wdi2eUAQDh3txaZoV7gCRn3HEZPjK42BG2G22Kd18W+iHKE/OOt3e
pNW8TaPYnzMqufJ8KDh8S48sdoqT0Ztj0F59utJYyxG4Shf8rKd820I+iPAxEurT5J5VEkoYArd4
jVqyPLRBe7zYt7gtMfXFPod55+BNASngwuLGj2fSy6ALD6bGBuXfvrEqBIzZLtedq2itUqz2Oomn
e6vSsc46GCSLzC39wozZo1eXdlhuywC3gaDcpv3DFORe3+ISGTBTk80AjV4mIM4pZWeaX1bddZ5S
fuQNTpfcWqfiq5nUV30THiFuBmQ2dNuUVO+8/wGrdAs35qwfjGMow51jj1xXyUWvPy1zjOYJ/pRc
jnhfntEecKrQR1D3g3TB3cC2X2O30zXP7QQjdMJ1i+9YZgINLqdDTtSVSfXJO3IQHg8aRrN+p59b
OjRGlHShFu9s+SV3bokl84aQ4694YjbbgWfMGIJA/0y6aJvC+4bot82C59agMsEWyZ65KpfLdiwf
GnPZFRbfu7xfinsuBWZFMswidna2sIftmupriC1mMVzmi/YUNulZbxvndfIUOk85rn3aOOzH+RKf
K9iKbXaN3czVaLVHKIfQDMc9IJyws7OB0ikv4s+/LqN/hEEDAfLXKZj8Co7+P4Op9y/l1df8pT39
o/5fxKVXYPg/49Jc4/FgfgVMr//CX8C0Cfy8Rmtj7mYrS1rrVfjfwLQJk9Y1HMJAJPFT/wtMC/tf
Dv+kgesyvUw882nKtmW/Yta2+y99DWRydPwMCf8FaT4Bot8Dpk9IHQQHg5k65JkCcJM3xZ/3Gl7Q
1WI0eki5ADV4WXxrSfRulxgh9l5FqHFbzVXbZJuKPKNPS81NwCJXaNqbvdk4H1yvX3ftf/2UNWDM
ErYO0e0fGZODXY81fD8OzayZfVZBACmw+Tw74UcGAB+NdNI7xYHFnPsKkXQ+IYeFNhh7KerWawLo
dP+3mfAGfvPWC8YK0LUcKHPs+fIElzMxP4ZtCW+lWLphvwwkUkyGXW1dEr6JPKFwne262yRuAjPb
nMyd2w/z8/s/4q3n/f03nIAki83WK3V+Q6Si+Nqyancb0Jv9jBtC8UftsL8+ImltggQ8w6GnvSJq
v8GQggiUMaiYT7CP+wuo7a2FGVJGeVywECBk5RjS7N9/vNfdvr/GVORssRxImCIy7WRMbUltFK66
l/AVow1eQqNvalrktWWrXWmpbm4ClCeH90f9FQ76Gzi4Lh0WDc7otkncJZG6r4edQxjSaR8bIJxD
+egAMl9wZ1kSv4UhFOxKCxMoD02Yyc3NgXJvu0GmH5s13+F5XvRcHkQIyOTnumy4gmMNY2PZl2i3
GC9onwqph9V1Bf4f4yYRlcMnlWSV8t5/iLdmhgslmwaZQ3TGum39/rnwzysHcuhJs7eJt980kLD3
bpbHOpzjvvzy/mDOr1dy8sps2+B1/cplJ87j9XAzbt1TASnTK7VlGfDNoC/HDhPHN3hoR87G6qMq
2KK/0zJvDE11oSBfUw5WAkZtvAQgrSERbiM85Zb60Yg6SkbNlmpLhJxCso65WHcYLGUV27rpUJQm
SzfdzVED7MR7L++HSU35PcaFcYSBdp/H+El2hbNRoT0MhyCoaq6uBcgoSpLiUxHlYK3CKDC35ZaU
QDi1HA0TxAp066ChMaDYTOqh2hLzVsSfmlLZ46GqqV2hI5NqBE6QLs9FOVVUTgk5L5cN/pqRp7pQ
u23EYH/rcxFVu4C7J2HaKXpuz6rHcQu/Nk427qI5341Qx0XQrtdomtapnc/GhKKkUT2X6M5oUerz
367fSi3q6OmbI2l92EmnT52OnQDeVkEHbmNX98LkvLkch6G8EWlNAs5cwsqnZ7Koe7erwgl2f2Ze
q6atv/CaBHTs0ex/oM1AW4ioBUZtvgQw81sVipcRB8MMtvAQ0E/Msva7tGf1GGOI/mQRAWtsyiqR
Z5Xolu94CS5AV0ZpPYm0WK6aZAxfDEK8b4ayUeAVdZA+p5ZTOlui2RYMVcK5u+nISIm2eVmJB7w5
AwCEUs63SVMQqVwtpX67aPD+fCdAjumklfN5UQMvKhvMGTJrQtYHja0MGT0BmZhJZnkPCkdwqIsG
o4UuXzSqdjeaq7AB5aWo77KYggSbTS3+2SU2aF5iY/lik7nSbdAe0FWBUD0O1yJszbM6Ialxk4Pl
f+bMhMAuzdgE/ygJJFmod+Em7qU22fIsKnB6OCPM0gy4SeXjkOzJbEvui6Ax0USENgyFAl+FARhI
NfetKdXqOePaFNzk2gnorTkJZmpo8Um0HQjHGDRhm2RtsA43+P8Su43Nq7HIF+QeRhsGiD6I4PEb
LMdvQl0vTI80owEvMzYzyzPwppu2+GNm360ojSeMmBMsFpqIqK0NdkvdczXGfb3TNA3JSTcoMeOT
uAiWiq0SlyJXdfcWJ9kMKWaOUWd0A2bWS7ygY6HUab9mdRAa4JhwlxFxFPZmWJIx8wbX1K7CPArE
wYxqYIhGhnK8RFXWSIxOK8pX7MppRzl51eH0YAVMhc6ZCQjlfFRucS5GIZL7Em615I644jOFXGp3
T36IM8MLm0ft0mz6eX6coAoQo4OqtN5VRTdNL0EbJdMxHCP+syFhmfbrbKop+2ayyGzPhad7VdpF
3j+0ktDEa7Mz0+habwjuJaaxL7FNnyOI1pB59Juq1qxHoXeBs1nkXOJNPGaap3fMzsgbTdDBX1KK
0IMX0HRXTAH3Ua/mSh6TGrXFRhUiRSdhBO5yJLa1iz1NJcxgGaAZ5rJi3xaGGSEoHGMr8rTK1S8H
s0UgEaV6XWy6GOPKTVm7Wn+QYSbQqRs6OwibZimMR6FZ0SfwhvGbIfpleApyDNg7suWCoH4upWwW
rrJjnxb6ZWQOtdluTKMR+XlAuqg6lLTV4QAMQycLDHIbaOoG9r6GsrmkaT1KYFfH4C6jcIot0zgi
64KHSwiRvMswehwAoRfSittC2BVkfWmOlysDPd+PdsUk7GEql1uURr2Dg+3U3dW2dKJD/kuulumY
a3s9f5gFtDKlj7Pg9owba+WUntb1UgJ7oigrg4lrIxzJ1MQot2vL217Meck6KuRD2svhDhWVe6EZ
TXTpKrnQD8CHhz4d3M3zsumnXZTKaCuR5Xlo8Hivy1Ddt6UVwH2ahnIT1oPYjgtNeuCVvPgaRGt7
dKwNnKGKmdC3qr2P+rm8GNy528rRGR4CbSZ9OQwDrpPSb8wWHpY2XeLOMl0lSfa1tAMMP+uAIERy
jRege7jsXZtxaY3cYWfDvuXWHZrbqNPUiEwvz+7aGKe2DcaR+vkctn6N7a+vV4Svj8mXMJHh1sah
Cbci/H8PZQ7LTMOo9gl6ubZZVHjTDB2q6rgSF7kLDy1e6Ahis7sTA6AGZjryXGsc2tblMuzYgNIz
2UPuWOblNpjV1inU1HpFPCMIqXTpg3mmvmUP/qDa/ewqEmftAaRTx11+hY0x4U+zaNfp1SFQ9WO9
wErb2NjTf23z1tmpMssPMIP6Y9oE2Rd3MieYFTbiyI6Na5qEs3fDjF1FGcsMfXv6XrjlY5oG2aGB
3zBbNUeASQhM6gSIUZSYkstkwns4VlZ7nrYVxPTECJ5tQPZ9Xo4l/tCOCr4Z7ngsLC04pIX53cHT
l1t0bjwDpmoQTWNO8zZJ92APmH+VyaijaigfkcrIRyxhqzuLXc8T2uKQOrhYfj7QybJU/zOJKoks
Jzpv2/r7pIJmixfNTVmIoxuWCaaeySOhPJ9G1Kf7LOeUTtd3lWaYMoapDUTXzChlAzQO+MEWwzGI
8G2JRQRf1LgzM8v2MPupPLeoaxrrrTokdkDPKkWGWsS15cXaEOI0q2PYTOwPYpPY6sD1mnDeG4Vp
XSVOgRtpPcOwa8yRBnIzmKCpaf2McVh0W5i4Q9CGR1G0bYLJMX0kWZ8yOcsd8pzgSCV7ZwllXI2x
4MQx6wKtOUBf7B7yyqw8py2/RaN5RSbZmdks2gaz3fbodOVyVobqmpBZupR9exFhOukFeFR7oli3
lTHCiXdL+XtRoXP8SaXofFPLouGzvIBTSnfydM1ezpNFtnSJyN6jyenQhgGl9+wC7dZcjhBSOE4v
8C5GE5LZgY/K8VjFy3JLKvN1n6gXveff6YrZPIgWlV+p/xwLuaNI664rHFy8oUACYlrYjmn594DW
59ZenHoD7/o6GsPhaRIEsNtLdJNy6wVLTkihNE0cfXWopzeLTuMI8+yC5mK2s1rV7PJCbXsHnFC1
td8T8oDD0oLeEOOeWOt8qsHgiCc9YYsZ+W7ktN2UdhNipZA/h+3g3FqFcZY6tHY1vd/nEf1YN3Au
AzyfOlV9JcKNS4zW3oIPHjsXZU8YPXVWcDf3yHyGujnHNAl3nyj8miecb+ARBjKr4ConJUTGVe0X
bR2dE73HFkPV03fGd6REYJAjQmgE6/o+SimXsXh3tuDKOvdTW/OIiOMfHkI72IdEYq/vPpZP5ay6
rT7PP/UMAW8E56XtkRLFzTfyJ8D+g9UtBT9pROEZi3N+tvWo9yPoB/jdg847M/vtXF7aFMTjhs3e
QVkZjvfOhH+Vj0682ReNNdAUlePojWVNZz2fGq1gursdVaqLRxd95bJ5CgV2saTtQaBCWA0BaOpm
tr06SBwPB/L4kPfacoNJEn2ueCoeo1GamL6JmN7xkIc5XBXkXgiXRlN/UV1E1zGRiDA9JJ1JjTWn
1GhuLnlXbDhKefVFNgp4+JUsjlgJms5GaGLpn9wa89A9SHTtHqtFdVfJMAf2zgggvqV6Q3RoHbjW
Idfb6MzkBOamF0jaSgicpqOO1PKgTSpKvWXpE2YOWiq1sd3I+hYaMss8oeMO7CNoaH7yGjPFEVHQ
xohm90cDtwbAOuht3J9rhQ5mCW3shUlKV89uP9nmpi1mMRwr0zWuWrAeXqOmB3eJvmLTWaTMz1DV
sxIfeyO50rFoTrcNaYhro8jgIACLMpnUoo1pPUiCA3jKJPCrxqydLWyJDnaRE1D5mmIpF/yqTaPd
Dm6lP3D1vUUvg88mJtn8MH2ss5QuVZSgdwsr/vdgD9CLUC9GP6vAMNNN39o0xKsWV/N9SIBqvYEr
HB8Ni0YJBKYZZnNgPnSu6Mwd2aLt4+gq8iKnueAtKbMBthpdOtRe5YTyIs6sTof7NKARHaOiYaZz
dCnudn3+INUcP8QhoUqeYRbqznAmjjEHIXlM4GSIomkJAqDiqk14V3OO9jXQcOohwab4FM21a/sY
BkecDSHpdZ5SXfaskpqG9FAY1YF2zdwf8ZKvXwgijJ/zsRhgPuvjs1PCHcz61QhuLIva8lXmiseu
CagCs6Je9mlLxCPF9qImrxqBzJBgurLz4qU3vg1R7D7agct+lAl8yxGxauGyteZG3pOfAUGoYWLS
TbGy8bOt6vJHin8H2xKWGxn9qHq+6NHr6WSTNQPXld4Wte+6eBFDujPKl8aZ7Wc9D8SdJXN820vT
JjOR/AF8M1LHRS1I4OnIxjXNWcVSLMYfknyLxkMHFbVEHgzGZ1zWuxuU5Hl81jLI52ykONgADGnD
3hZdynE5ygyWXIvtQmw5y7cgF+UN8aBV7tUizB6C0qy/D5jCXqfkcyLl1QRaUdmH9V2emB0XXxmJ
cVvT4sHYjL6HCee6pbMwlZKapVuW0NoimbWfZRE4M89txt+1VleSEzfI7Q0PhOVIAGPuZ4HK/qbH
kpJDplNtu9r+L0/OUuKqN5Lkw/26G+Zi35pVdj8RK43vFkEJP7S+t+Fchk39ecgm7qf6UpQVLoKk
mPtZVug/6qCyFy+Y9VHBCgml7Y8xfQB/mmcq0mUZSXRaEO1fxNagjSQ0TdoXEj3oxBiLhm8G9qPB
shkc9Ke7KdWmckNUHv27rpu5VImg0VI/GvsJKg3JWztuvhwX0ZiEyrPMTHy26LU4tJRq8x5pPNQD
vDaQsS9dBQvI1a28O0RSR8CvmU11HAAew93chcbIHU8ax1zMobFLo6Sbdovsko5GLIlLl4Ks9mjj
SjN50OhTqY1K7OhGUbYaG02MDWwnFJjVtq4x3dyUVk7gidusNyOtSZcXx2r7aO+WQUGNPwzaZyfS
JweysMoiDo9GpTtRNeO91BpJg9HlMSmwi/oGi7KQ/hV2K+3BAcrI93poZTdNN+G4vkytTpstjYaY
iWWCIA9p1yUbhVNS7cGXrrmuDTuIE1PojZV0HoNYYCyhSk6oXZjhwoV1QpB+fR/z+gV4voK8SFZ0
CNglQRpAFAz4NeQlS8ypAiunH1RM+udFVMkxBxTKWTprEpPVYx3RWS5Mmc7Rcavj/lxeVZMGI1lW
2p3ZpvVlGy7kCr7/w1ao7fR3uY65MtzhuFvyBL2MXdGm6dqnMq35yxAnPfU5PaWyD2P85hb90x8P
ZwvY9wZdWQOk8QQGT8O6kf0k460r8EYwg5kuHuDDAUr/T0e41geQ8AktUCf+FBDaAIE0bUWuqP36
rdtmESJuESiwlihov9Zl0DgPeYgc3o4wH3lWI234r/VALuIiOvkB0PkGqgowQ3UMykKw5T/c2PXV
giSnvzCzh28cjhFYL1KH/1SMHzRN/vEZSXfVTZNAD/SZuKKetDIGmaRLvw41NTAC6txKYZ711tbo
5HggZebPQq9+Ye3rQ8F/tGhNSXXyHVXfZjp2A7qHKcjqAhBN56x7dmK8Rj/4hv94iw4rxyAontmv
0GecDGVZo2qiKGOo0JGeQqS4I2Js8qzFEP/3xDXVS3HbNS8vHeqa/w9al+bqFvWfW5e348uPl1ca
nF//wr9bl1IaDjsEPF4hHCbf361L/V/sHXwY4SibbqTN+vpbUyPpTwpubbRFDN0Qcs1p/7t1KcS/
LOQ36zQFfVtbjn/Suny9xGkh8AMUgeIGf5gCAjzZWHtyWQt3zdpAAzr7XdWrNbYMVk7ZFuc04ZMf
Sd1RB+tUqx80uV7PzL+Gppdn0H21+Q2nNqBmHtZum1bCUw3XLEKiqsuYzPitUxnFBx7Zbw9FO43e
lqBHd7II2Nkiw1wKiFijXW/pRnDPqqt6q1EwfPBU65747xPhr6eCAWWhjzPYpk8dQI0wSxur5anw
NLLPRgC1rV3b8wf5m299NrKpOQRoPOvqVAjV52GYBFUpgPCle+isGQ/fWa8wEClqyG30aDZTiyym
IPfL+OAJXzcK/35CMqXgCHISM21fnwp9bcqM/A+i3LUOPmBvN8Ux17NyB9VZAxGFqxiMzkd5hG99
Qpevx/HPuISIvR7VzcZqbCSjEkA6e6E+T14NEHGgt9cef1u8b3Sb10P75BOaOoc5RAOD5WmdiAUc
7KhmI5e2R4M7gpWYyzVGJa1vZEMfyzbjYRs5WeC7TjNdBlVr+e+P/8YUYuKs+4HJ49JPev2oRRwl
hpPxcYepSc5xveok5kdWJz4Y5/Wp9+tDMo5QdHtNTqN/nHp6P7kAEoiAlmw5Vp0F58qR7UVVRM0W
sNA5vP9cb3xC6haJ6Qy9bbav0/eqTSl2Vcr2Ut2wQNzHYTPPcr6nufWRnvTNodagbkWKO32gkwZ6
xtFLElwO/2ysv2f4JexDyN83mO99xIJ4a7KQ+m1TnOqm4IO9/ljBQMpPI6COWbNToYFLDKhbeWhc
OuD7d/lEUe6Noooe9DSgmzPoH2lb3liOpgVFAC26QGt5mgKhoEUkmhkJL6pM7c4N+phbdDQfm6XW
8NFxyfYyVfGRu/IbGxBTFF8YF/SSc+hkEyinuZpCkxdcxlCL65CYK7L8xC6cRu0srbR+3xPsvav6
uPn557OI1jN7gKE4VE9tTmc7qXuzo9ck+/QxM3oi/bJUwIynvHl/pDefkQucC5+Y9PbT+WqgKGgb
wCePIMuSuO96OA4dgF3VDvIy7+f405BpLnepygY2en/sNyYwuw9RGQLZrA534PW0imOb/IxKAF9H
SXZozTjZtoab+rFBJMb7Q50Ygf/aB6BUId9eq2BHnu53reWq1IBN5IWNg5q1RnCkFUu/4yhdNvqc
XWRkIezHtpa3Vl7qvpGoHxrWSx9suyckn79/B+/ZxLzUEVw9Xj8zF8CBeHV+R2TBHI2C6H5QcFHj
KESOUcE4TiA6e7abPCdjTme111/efxNvbIir1MpF5Ezv01iLrt95HF1fLCGOfjaN3o5ga02k51ba
o96zpwLpJ4yD98d76yNDuLEdfS0QrVPZVVUs7kBMIROsnOqdHlfWVhfcHMM1dff9od7YpsAVWa4w
1daC7+TRlkFrdAFk42UBYtRSDcCRtjGPt3LsmyPAkTyQslm9qGrMrpsBNu/747/xqDYXSZvjVKK/
O40NknaMVWSWsWrDlZtCnbwRC8oq4eJD9P5Qbzyq46x1MTigxbxd//5v5Kmq6oZC1/AoVRxB1zOU
gy3ZYtUmGSOy1UMbiZvQQz+1YS9UaVT77w//xun9+/Dy5JSr6OKE5UwEb9usUzZEiVO3c/nBQ76e
qr8qdcmXpBbiBqnr4nStyHkkqdKq/CIzsDY0c/lIa8fali74TUD68AeeE6+/39/jWXw56lqOm1PP
JlBtIxwNTjinT5u9maEsh0mdo8lNPjpaXn+/X0NxZ1WOdBSUTds5KX/IrAj0RPUdLVqkfYmZhrtl
Mb+mlR3s2kE3zgkNLLey7+HMU2N/sBu+Pk7/Hp2DDX6V5JK1Xvx+nz0aTeI2zuyOyCmjYyfCXS3F
ifGs11GGxtlo+I1orQ9wnbcGXS+IzFoEmDQ0Xw9q9KE2m0bS+CPmicesgNSot3biu/qS/lROkt6o
pR8/+KSvj7dfTwoc8MuwASACpOX1oEGSJU6aVg2CPbFs0rgU9Lhn6en1omL6ZeWEwAo8D98564OX
/MbsdVmZurHaTGAesf6035ZoT3zijM8y+b9dGHkdDKSLriKZRifI0Tfr5SOjqbceFRrlWgvywI5c
1+xv4wGqYvpskgGBVAUHiDhUZ0qMdCEmKS8y4s0TD2++5nOVduYHe/ybjwqvkrsatSgk5ddDZzDX
VRDxaWc1Jufg4ARXdt30QMNO+cmMRO797ccw+QP/fXv567MarmJzc13iGU6dqPTBlEURoqKrKsvd
FWQy+kTDLgYS/qW6L5WsHa+Cw0aLi97YS1RgXJMEnOZWQGfIGEacdT/4SeuaOf1JICIgDA6HKnjH
63cA5o4V9NI2viIVkvXlYBUNxhAmovM6l4bV1JjyIqE15TsYwbBTjxaSBKRn7/+QNzYxEE3IQiiM
5Fq4vv4dWNuppclF6xdCzZ/iAve7aUi+BvACPlBuvz4E/voIQmdyc9rp1BMnX11zCz2Cotb5eajc
S3vEQ2cIqu7p/ed5a24JQwHugRCtN5DXz2NwyEWzLDuEpXh0mbGb7TJ9Nu71XhKhoEOH+6NT/O/H
EvgBsE05AgDg9YBdENUq1uvOn5qs2PWLPp1h2DIeR9x493/+bJK6SK50evD1k1O8tsJiTnq7pQdU
136lK+IASb7d2CFCYYiN9e798d6aGxKsDeYzCJHrrFvIb1tE28z5WFoSdlAzjLteIaaupFt5gQkz
8/2h1j/qdDlQ8Emk9sgSQFBeD2VPOsBJFHV+V0pz24qluCtbJ73ObDj6KaW6lxgZJtfdRMPl/aFP
Ajn++oKSwogrP385p3AwwR8Kckrc+k4unSNRarY/xfjhz2rodtC9+ztIccH3GYOSQ5ThRn7AToXo
q65ELRlBW73uIr2F8h8q51xmJmwxW4swDzW6hmgpNTsfnFJvVAPcv4RwJbOBFXWydQcmNq0mFBh/
LFLj0nVQ0lu68Qkv0Oh6Cqf+Wo8162vczgXK08n9aOv6526KWQRYF2p+i9L1dFpkpIiCYQZsXTge
b7KoD6Q/1Ikg4VwrpeFFCy1J2CCt+5XYHwmHo+/Iv7YTaFhZQXi7WKyHD77hWkG+nj8cnly512qe
cuHXfe63qWpXVT10KiUC3Am6nYp6YgAwOT7TSVTcmTEE5zEeMXBI8R2+yZt2vpmr+KPuzD8n8XqC
w7HAiwkI+9dl7rcfMdiVNbplC+QhFMktNcaBvChrb7a9dlaXpXNYMhiB+HkUH6zUk3viOoddRpSo
BoBbgK7WbfG3oReQFGXjEUCsqcJ5Q7TLnmNLt/Z1FVY/sYOXx1aO4fmE/wIu64M0r41YH+/f/wz/
3DBcgylpI/gRq4ThZPONcK3AnhdfRVyi1dbOTKhCk5Fcqxlryf9mKHZSusG8w9NJyGIuyy5gqHSx
u2+N1hCM0jYtRDsVyQ/W21vfFakUxTctAUOpk/U2pqmwEmuofBpmLTbtWq7hgKWZI4iga3134qZ4
DlQ75B6kJhrT7z/pm9+WY5Od2DUpQpyTE4aE+nZO3ahae9Dol4l98GIdCXAbdUScwnc5J3E+8cK5
LdACNeLMLowPzFvX6XO6vDA5s8Fdfp2sJ1VCEuA63ZlZ5Se9U1yF1TBSKkHAPV+EXh6MLP3zEnF1
QqGpw/umR3F6YSV2rbMcW8v9RDbhISZowcvaSaCxVNNyHocGlIX3X/M6N08ekSpId9S6reItc/KR
A6tSYxy4OcFcerXtOb0v5yRXwHVtQLgiQPDgpul/sW5NJtTazcW6zTkVcQ1IGRxzwMZFdTiyW5lI
L0lmCHeTcBHmi16d1e6Q4acZDi2mGl16Jbto/PH+o7+xbDn24BIA2dJOOMV4WhwT3TbsSr+xB+Pb
bAw5dqhTvjNF03ywQ7wxkTis6QTRYwNCPHWTJC8A0AV7fzgUffjSEg99VhDXtoFO1WwhVC71B5/1
rdWzFpzccVas5x90hDbDCYpINEzHKhydt1rdBfnWCdK7QGgB1guZPTzX7KiVH4MF7Vshg25rhQHC
iz9+y9aKNkEdAMCEHfF6i+bvDFoGP9BnB6fZnKGcOSNMEYOKoAZjfH+wN9+zK5hVCiiNA+n1YItj
Dbg+DLWfzp247PPc+rTIEXfOQfuWmpP75f3h1sVxsngstfISVjmikupk45/UEsRDybOVBbZ/4yAC
LGltdfP+KG/swyA7jAHErYNynzwUnjLk8MyiwlGksby5s9KzICXGdVGUZZ418vc2ydRnFc4pUfJf
zFzKYDYHGlAwE08esbBkE4lJUXdbQXuB7mHwBrJgJq+wJ2Mvo3KRH0zdN74hZcTazARuZ/KePm43
qLKxiFFxFDZU0Zxk6OzTBS+lTCoETmj133+/b+wDrEjstWzgZoH68PWkyQYd9vQM+lepeDrmqetc
deNSfK5s4Ty9P9Rbz7befDlRmJ6819dDWVVrVFqqqCGtIvWqmoyMIsi1cyN28k0oy+KDcuGfJbNr
q9Vy07AplZzTlhTfCRWMk7W+CbseBiTrgQvprDxUMPjKy3K8aHBd5XzpCGJa5ll9AGe9/QMcbjYg
hsyhkwcWg4o4v/gB/RIUz8gU+gsTcRqkvh7CuksWi5gQTPSFKp+Sxnz889ftwGSA70R3k1ri9etO
+iz5H87Oa0luI1jTT4QIeHPbQHePoR1SIqkbhERJ8N4V8PT7FXfjnAEa24hRhAxvpOwqlMnK/I06
DV2HjpsONSR0G8yFoO7446iLJ8754mAp3ZZcZFtTAoeo8fAHV87Hq4TUKSiyWRZicChZOA9JJhMU
gYqkqoivcGkwj4kH4c8w7U5CKdLfZ9C4fio8wH2KO7619MCPoaXrUKQ1QZZs689qNjWDZ/ZekDRT
/74VqRXMLijq+5N8cwgShaciRyBOOLyaNwd86GXlnE022GUHrZW0T5H0Gtuj1pT8VKujFuYq1yet
UvoGKMxuolSMUUdtGLh/P0m1Q/GzLULnCs1qwhrGiB7uD+rmTEDF1qWSwh0C7Mbc1lPqyOFos2EA
tF5U/pjYHb+5MyJseG4c9RZ3QpHowXmWqbYKUmS9ZDxR9FTeZj2A5Aers1YSpIeMNEJvSlTmnJ7v
j+x2IvlMluzYekju0apeh7Na1+VNaBpBO9t/KUU4nq1pri/t6NADKSblYCJvDgAi0UCTr3ZKKZxC
63AaNkkGuGudxkuMbVVpN3C3II2oE3piWJZ0T2B/QHPCJlwexrZVzKMtKSOsVw5jlahB17MsEly5
fl9vyRrCa2IOejByyHaoK4U2lKhQmN/i0R0QMTVb45uZLibNsKIZM/BA6Uw+jMdQfDKyFoGb+19A
XmA3P4g3lYYYBTXQ7X0z1VjOaHmBxnynmH+4NVDVFnHgT3qUv8xKB0Wg7lAEFZp1UG3a+fRkoRDr
PdviX1tAUtHZnULvWg3yKpmfptyAE6pG/XNqG8oFDVr74PzZ+fbUJihQ0D3x6GxuDkNvWIxBDPYS
UE2jbtIYPZnK1Hm5iY1rab/3KsR030GT0vKrl4T0V0ZVp7B3f7p39pdUsUYshH4VFFln/f1nbdDh
EhVqoM9z+gjXtfZrTOTObOwjlf7brFuCaLjd+bIU3rn21rF0vdTaSHXnwKAnhyJejDga1lPP82iW
l8KjkjcqY3mWSHXEaZAaDOeue/tXJiH1eNdITNbNrI+KWsLbRhlxcLTmsQo1UB+hmZzrhrf0NBwi
WHe+MkVEGvUIjUgx7s381rXTd0tlqUHBgwMqUNy815CMeOrcUvlHZOj4njOsXL+ADsGwNwwj1zn4
wjvrGqiCzHIoRlOZ21RR0zChkLqwrqmGZU+62usnAdXwt1Loyz/QFqvkYIr3hswDg7IENRhE1jcL
G7MK5EU49ejRF276kkVG/GQUSmb5im0hxEkLCO5bWaFjfOoWTfuUUFg90CDZ+Q28OLg4VNIbhi1P
mVfHWpxa4ANA+geKu6QXNV8Qg5vb3L7W9gC1I7Sc9kuOid4VwYfFz+f4P1yR5BYmk+4CQb+ZBBPl
aTCJLSpME9LhKQIJp0qLUMsz4iNQ9k5aZapUfCVajEzyRspGwB7KPIys0GHAlQ65c4ijE+v/Hex9
nAjSzPnRwZkJ3FhxH2B/5XjCKZr1YW6dNpisPj4wGr89wrnJDOqNOnUD/ri5RGfKe9pIAy+A/oyH
XYKAIclsi47Akj+VZVej5tqi/HGMT7/NtqhFUezlTqOHhi71+rNnBum08IQViM5MkIu3xieFbXmA
kr3dUWQ+EnAsV5elWptzLJlpbNeJiZBXYupf3KjRr2kTm9i3NmaQZRwiB1v49pAmnKQWSMSNpW/b
skrcgXM2IjsYlwyhtlAgnWR0+PHVS315631AKPpkyEQ5tk6Ct57BKR9wBc1LlO5zFMrcwWXfdNDO
XIFs5f1Qu9NI0sGhBGuFdHIdaonaRNGQZ8B+0HgnhjS6JEZunEf41j5yJMlBuL1VSUoHCJhemSwW
rMOpujIttsbDTp+b+itQ4PzC1q39Xu/Sl3pR4hN+TuG1slFT+A8DdahusTWhPW6Rh4s55qWBSk+A
QxviwbVUAZhi9X0JHf+BdslRM2Z3YmnHqAZf8raVrrlVOEdUvlDnT6cHx56Kr15k8aTLw/IRem77
9/3x3R62lNLkZgfPo9MF2hy2aREluZYRb7KZQD1CmTOerfbdtBTmJfIyaZ9Q2z6qRNljj5/VwZLd
Gy59TwpbnPeURjbbEVcneCg506vXs4eoDirYgJki38B2/WkR0VF3XG6BdYZq0mGzXdS1JFRrW/mv
5ykzoxERkSxM2/c5LewvSmcbpIx9GBhdj8isHR2lxbtBecXBcNBoyG/LXMYCPtVyKxuPoM588iL0
GHHRGs+1O4cPM6S761TDUn37h3V4UfJc58Gnu9vnCb60HsopSAUhe9OiXpu0lw5EiokW0mj/m6lR
MfoIUWdSy7pUEYJx4q/3f8LexwX6R3GUW5S7fJNMYG0wLRDsLCSKeuupEsZ4XjQlDGpl6YMBacTr
2+NRguIxxjVC+XtzSnjCzfOCimKg6Mb8U0Un5ALOs/qhgalHzDmrsr/uB9w526l4USSQ5QGUveQE
vMpUslytkdIwEG3u0M0e4jm5WKS958gZft6PtDOVVAngSLNPIDltmxlpnxWIIi1OAPn5XdqVf1ao
7JyTJC38tLGPmvc70UBbg7UmKwGytZVmq7JcQX1UdQJ1gDM/GFQinAEt6SYTLWIk8XiQdNzG4wSC
HANCX5YLvE2aCwkf+WIlwX5l1vKLwwWNzrSCIUSaooEXjuNBEvALCbo+BtALA1BCv53qIVJG6w9X
Q51dDJUHQ4vuw0/U0V2sVrriM5JL6gd1MUwMw+vxUxyn0WNSD012RZcivqhFMr3jLaDSWiiR3XZD
9xsJLM/c+1/7NhXiRmVdQZgiGedLrH+eZyh0xMs4DGw9tx/YmbWvz/n0eD/K3qyzU0zOfi5ycv51
lK4aMQZO5zBI0qm61l2VPDqF87VwvO6xV/qDFXx7CNKE44LxgAxpQIbkr3m1V7AcFmSOXRhkosOk
HVA51gGVAb2/RGLHwmIEltYRgvR2g1IJIm/gK3PBsXvWQU0j7dLYXqKzqcIO1JYCmbcsMi+kGUcN
mp3xmWTNpCjg4GR9bR2qGvFXdmupFp/H4qmPHGQZ7AbSaI4LSDapzfNSYRN8/xPujM/ifcjxAy1C
QoHXQVMRC/psNoIPswW0RcUgKJqc4UvR9/1Bx/g2UQACQCuIVygFV6Dr61CeO0bWEOnxebSl+sA4
WBfUE4sfaNh7KO5FmnGZp7BvoAT33fvWUuuDse5tWotbG3wKr0P+sNkVvAYR+ZhKSMelqP5BfLn9
OE3LgFqYZWGvqEzWRR1MQIBI1LQ/1QEKb1dGVYmY7gxuoef68SZz+G1G2et9A+TmIEm9kXnkhrco
kgCrZeeqVD3XU1TluRFGQonPYpzzCnUFI3lK9FpB/dhS4f9jhn5KYPt+Wia9/gDvAiGyMo2DGlbb
t8ao5o9eiheUoYBSFSpu2XjbtMNHXYnLH0hhGcjfAf27dg0Sw/fX0Q33nJ8u+2BQI2TNW/9lZ/Jq
d9YmQB/U/+LzoJZfqhqzDa3JEHlZcuQJHVBBcdFB6h9q/TQ5WX9VuGihKgzuh7zUozP4kfpgNm9O
J84/mIW0Bemn889NYiphY+UUL6afTk78GJVZN54mk2IiPn3Gi4U0w+X+HOwFZAtxKdDHkgWf9dcL
cXFXBqGYPhV5E9m5zniqB10EDuYqjzUU9INs5WbvwnwjDIhdimo2Z/A6ntMsCGqgLOCbyTRdGsgr
gBRAJSwTngVvHhrZNVEgJ+DNu/VlJhFW0tEqkaKeGqs9dVSP/vWWKv/iFRCyUZzrDgLujI32HO8J
nr4AQ7eZmMKzrCvqxvSFMrhnqFpI1dGz9k1zGF7uj+3mXCICu04KJ8je+LaNayCkR2EK0oWKLjk6
bLyqNTReznXhLIhyTF2QF3P1EuvKGLhRcQQw3xCLAGoR35E4E9J7eO5bkliMSJLR2ymkD2g9gaXj
8eYtfXsxrL57qRUFlwX2TojiGb68X71umt9jFNc8RBnipPenQq7QVVYjf4pkwVMTBre25TnX4B80
J4L/Euke6ig10vzoA3Vv35gkDSwlXAqpPG9ZW2oTI0/pVCYGKNF4wQukRhkT5X+3HnGKqoyjJ+Lu
qHizSb8yVtSWijtDEXGEGEzfoKHwOJVR+W5oxvxg7m6ubzl3PB4kyI1TcJuCahM9t3zqTPTbjPBv
twAANZV9SZ2Gponig5k3P82AjQ44zjuHDjBcnvqUGKCpm5snUkoWqCGGikYbMgzfO70scP+za/Wy
oOKannujPSoS7Udkr1Dko7K9xdmhxTTi2QB1pxkXGowZZIgZoUu/MJB67NOwP5jY28+HEDelEymw
Aftj294sdCdb9JJ4CIErVwux1UfajdbB4X37+YhCjxGkikcCtuXTIJgcxdSq4UMtUfYRxfH0bLTe
/GGqhxzk5qx4iGCq3f9Tg/j/unXeTibZl8Ezia3A+WNvbnyeQ2zqgb1gwih8GMI2fTBVHOUTN1Sf
LTcXB8O8qYNximuIV1MydLitrc2dQee98GpMnP1Ueq+bDuabA5IYZ08TpEUhxdPKQvWnKswjbtvO
OUdouCWYA7poem0LRTMOEBN4asO39CwMoh6hItFb+rntHPxBwCafIm1E3G4QU2AVOk6BtmK8qBYQ
3vun3O3dYkjbVnJe+B+k23LBvUpV+hHEq51yyinaiB9U08S+qvXOk23NR+n13udlXVGfJ6VDw2ET
qksiDC5DhCOioUfVuTaE32qz8qBbzohCUj8dpAS78SzmVnKO5Qt1PbQuN7QJzCjLiYV1jpSCCRzs
HBkuPK3KuJsP3sF7Uwl4hJ1pSU3/LahssPH2tpDMRicTextNxQdzjtEcHDT9qDm/dwxI6jY1cMig
4B3WQ0s6JbONklD43wxnPDfGwChRQLu/NvYmEOwClUTyWMrEm/0RTXMUh00r1W1bF82u3Ebxbw79
Nkz/QtBNOzjb9k4dQEhgrOgUMYny57xaiktfxKky8b06kWpXJNIVNBnb7qlyShzOtMg7ixyx+ftj
3AvKRYWMzy9JJttYB9XqmU6wg69IYs44FTW6ObzX4bn9xaFhvVdGu8SlJlPF9/th944eGMNkFlyT
0Lblz3o11jperE708IbbpMrPxdAkVzzWva+8dDGiUkovUOx6+lyjBvAfPiqlWvIaLkmHQa8jG6Ir
K3vC1MvN6+bSmWi6JUmVIAHbo2/dGWNwf6S/2PXrPAoYDrJMdBrwzgC6sg5Y5paaoanPNuzwSTvp
UWlDlUSF+G+Pi8Q6AbdoYmBNoV0EthGhujcXSflBRQ34u8aLDq/foq4xPBOlFp1RdMfvN076Dq3x
oRpRPY5z1CpdMHnfusTW/s2pOffYFulFhwbpknXQE6XR86w1S39y8Hh8cRPNRMYvLEFuWOmCv1WN
DPFbUQ3kIVCDgLNxHJBubZZzX8VLNS584kZAD0L2GOdEDxFa6Szuxw1uVrNn4xFMtQ6/sPIILvTr
eNvMO2g+Kjao9LCntrvXMzqvtkLXQPBFTX7Mhol2XGG36s8pR6vcH9J2+NJrYFFPJuLw7alAVPpr
o802Yul9Yn6vXDOiVR63jXXN+iH8ZCFOHp50ytsAktu8WfysdurHqLCa8RTRf4F/FBfUDe4voJ1j
lf4weKdf2ga8CtbrJ50XlPoRxvQdxRSB5s35lwmZthMv8Pn89lCQdrgz2B8AvTeHgYE4ZK1lpsHq
AXbJ96Nfo3ULN0beHxRpd84dyQ/6n1Cby7A0awfXUEZlITL9PCJx+H2Rr6ITD8AY7dmyEQ/CqpaD
ydwNi2E7DBQKE+R268k0zQg1lYQR5nThMA2urXaGPDmgQKfWQ/3d8xLlHJqtexB35yPSQtU1lFyg
ZJFsrOPGbleKmN/jq61RPGRgoU917zbvQl39ef8bym21WfbcVBQAyOkkqnFz3NRNVQqnzFBImKb8
n7zG6dAzmxZbuCRvnhMPrtP9gDt38SrgJs0QOHmU0UCyHCPR9mVED+ePWnao70fZnUA0oqikkDX+
8ix6fWGYauUitlmj7qFFDTDuxnsZKr18SpBz/A/fSuNL6TxJf+norb9VKkTClqa+MWhR/zEq2uls
Jh20qVyaMf2P5tmn//tVXpss76xG8go6IvTyeCdugadjgQ+4HuPWos8tCCjkLC6YLlPgrcfomqWN
9jJjFPTjftC97wW2TS4Ouls8gtfDS9zBc6qR75XPBesxGd0ACvJ/yKspDfGEklwvvtnmKKFmOthz
w9C6ttV/RG35T13qzovdZAfrfW9hMBSSFPSnKGvJ4b7KJAxnBKA6CsOvUOB8j8En14keRXWwLKHy
eH/qdmNBdJKPNAC826JeLUUjcg8OtDd4TYBG3XyisJE/ijw0Dtb73lcimUbZxYD+TeNmPax41iar
mTgftS5FBbWK4qvTh29GOlLAk9xdGNfMEmt+HcXQUeFO05kBpf33WQzNmVIFRpAOuWdbuO35/vzt
DkoWRMnb5bNzMyhb8WazdgfqE9RH35UD0uB+iN+WGtyPs7evIPL/Txz5HV+vCRYkzHXiGBMULURB
6xN6yAMwIG+5YGnoPnVtMfx+P+jewQv/DxgLsGGEGjZBYbVEdl4uBO3gm57CsEu+jcmMXWXsOO/z
3kWj937EvenkfUK1x/IsUnj5i14NM9WyLh1Uln6cFlaQW2Xr4/2pHzzr9qOwSiS9BRGAzdU1uzhr
6TZ2Wk0x9k9ek4LX1zPh3x/L3ieT5DKVwhmFq5uGl5aWRdLrhg+kKXmH+gwyzTnGP+Uc40MVus+T
F/57P+TtwCi16FR3QEPa0iRtO329XmsTiz/nqYA+bG2/aKPhfr0f5falIws6Gm8A2SOG97qO0hWj
HsdQbaGSOPk1rm3zYUy69nOJSLMfAXo90ce0AUGmw8Fuu51SInMIUVDmtII1to5sDi299ZbxlYUz
vjcUI/kGqnl4rvoG/SIcLy7KYrkHjT25ytfpB5UkWXqUiFqYWHLSX61JyptdHrP74F9NJXqHFkr1
ma49FHkyPNyf2f1QgDqhCP0qmq1DWXOl0eYCKhFHgzQmbxo/xa7gvIjiSMXhdm9bMJelmjKnJACj
zU7rrZS+6MLezkaU2CUwDz91JOk1mP6/ZUOhHBRy95amPEYkFxJI/hYfnWhoBE0RbxdeV5FP/3J6
UGPXPPhWewsERAYVqV8Vm23tK8XZgERhBGvidckH3r7TVZnS1FeXCdH3BJl9OHNlcP+r7QxNJgYI
tUJyBCuxXZVUy3uo2CwQJZqecz3HbXfkdLkfZWdt8OR0adfThaTvt0lyzAbz1T4nylDMQG0d/L8T
0+4+IvaVvfklQ4LzS86ajpFUn1wvw4kK1GgXbHA9VcOADk16cmN3CbwFJXUMfAcfR7MjOvLO+Gwa
9bJLxRK5affpRgMcChK0v+j5+DuNrPIbGIgiSPIuP/hg8oOsd7Tkx4KzoC9FN3OL4XWsgvbsMqMB
5s7TJzOdxBmSsePnJq/ovJHOIYVSPIkoLlBU14/EGm9HCiWChAGjUlp/TPV6evMYNX5vdgDnFxEe
BnaoNkEJKw4P8zkaDm7U3WCyZAGMx4ZuvXnLFNMi1GEpYQA3aHY1yWy+a5fZvvI81a73V+gtBwL5
GRP/Qyjz1EwRZ1gPrFQcPa+GucA5OcfGqhzFWWU7nL10mJ+jXmTvLIH+kYgtiMCKeGci0P/p/m+4
3YvEpUclbyaEY7YQAzA0io2qdRGgwYsdSKLV5yhZ4st/iCLvV7JMcj5zs0F4hmdIibpFMOlD/5CQ
2oKhwGbofpTbI1omJxBoZG2PUenr6cSDSChZSQ3N6KhxG8kyPur9GD0l9jQXJ4wtjtw/9yaP8wvr
WFhCt9jvyOwQSAY4ECyN0b70Wma/H2u3O7jk9oblgP4AqaJLXcvN5BUp74tqibGVzDDdjgWU/3yp
BDpnojj1WnQU7/ZOYAZfxdvcdHNFJxluShk4s/I+Bw31jRLs/IBlQQpX0/2j93C3fuOXg0tMw0vC
5yjWAdpbfzk1LIe6iFB5FXqLZV+KO9VkOu2DKXHnWlIdgfZvNjnxIARQfnJRC+WZv47nxOXS9enI
SlHi5BK3Nd0eAyADv7I/ODt/9XRWh6eMhfnAr0UCaXqT/QmOxwoBXzzR23H2fHMS0XfWkvjoLMOI
bF1SlHTa5tyfi8E7N7Vn/KkmqV6c2kxN32EioP+26AZ6onOKFG6WFxSQxAi4GMPAP5H64PcXRfWN
l3z3oNnt/JkC9ohcm9GIk1K1B0onuzPHmUXXhduVFul65nA11GfBdgqSQtjvJtUZztbIC8ftuqOq
0s06lBNHGEAYUl10iz4YhGOIifd2gDPYH9bkln9OYTFfy7THrUg0XTr6Zp4cqd7tRZVYMPiP/H3D
/Cs97KFsAwv7StHms7eIGvaDpZxCdHIuRa+ogPR17Xx//e/NKhUSmMfwg4H6bU6uJUuHsLGVnBcc
ImRtquNrhfAmBcLyCMa9GwreAagydAR5060/4LR0sxMBC8CewjNOVmw1fpZMYRBT937recwHRE0P
YXeAAbLatA4Vu9FkTq6ZB/1UuFeHVlowWv14VrI4vhheEf5+fxZv71MZENCiCQEBHYgt5kIR1Nd0
ACuBJqIUbzuz8i7AnPOnoVWqd1O0dM+KSDu0eLPqb+qg+tlR0+rgRt1ZQEQB8AFzjbbDVrDFK8AJ
VqWbBd2YOEGbGFWwCLM+WVMyf/BCD1+pwiwPgu58VY5O8kHq6Vx8W0xLV/TQFV0zC9AvTM5hGk5f
F83paLwAj7g/y7uhKEqB2ITdQV62/qpNCVF5nggV4d5+7bDjvIyuPnzorDZ/+2EDTkcqikqy001n
PimM0TRKPIWjES+4Ck/Wi9I0wq/K9qjEcZPikv1IITtAvYg683xbjyoqcDhzjDBD+KXwAjXKrGuN
RrlvjZ7307YaQfsV2dRWwhSQkjp6Eu1NKrBsKdAF24pixDo8qTyPTx7kQYvg72kcFFRba1X3tToc
Doo5N+mEHCkVI6n5wp+2uAv8UeOmsAY8xoxRhT/W1l/yEK8YfGrKB60w8uv99bK3H6iWkv3Z4Fko
t6yHZgwURmxsyoIs0uunwsHzq6r18oLOD+0zrShOaYzf3f2g8hraXLoIgf9v0M2lm+CZNrYoaAYY
oaO6NRT5/AUmt32tsLd7zAwjvuDVhruXMPXsx3+ITQkLwAUoagCS6wG7mpj7UV94rojeeF5KtT+R
GVq+2uGn25bDn5mH4SKOREdwvb1FRLlYSuGi1grIZB3Ym8vSVZIkD1RcTR9m3r2/Qb2NfI6rIwDo
biiytV/XpJRpWoeimpWXtVrmEAq0z0uhOl+q0Zn8ZVDDgwrFXiTDAyHL20TK9W8GxaQJE65eFoCo
S/ylW5TzJIBjpgLny7d/ON5iEN9J9sAhbnMbaoGprXLcoA9aPs5F2jYnHOlfmqZVrkYNZ5lLUvFj
vRW/3Y+8d3NRf6TJQngH3twmAbYTXvLOZHHSLYoW6F5qXJpWxdR0tmN/aMUcn5zE/TY2cdWedNlI
H6mrHaSqezuVVjn8Ko4Fbu3N+OcwyWTNJAt6M/UeBz1Goc/EOq3Jyz81F51s+jdHMm43TyhOIwkv
oUVE3s/I1wupTnSsIOuZmAnkT2F2w2cEf9yDYtrecQAlBc0iWceA8bmO0sO3F3Hn4S6JpszH0uR7
urMIL9yWfzihVS9+0zv1h9lGw+JgUvcuFjh6MLro4nCHbQaI9SL6RfgpB+aot7Vv9sl0xlQverCs
rP2W9rX7p+tFIj61boG36uKqysEv2DvweT2i3is1PchKNoMfsiZGeTQLbC45n+cz0JB4SIMJ82k/
Lc0jyv/ejpU3KNk7IGqq+et4SW7TNFWIZ6VW7ruztwRaY6eX2Gvzgx27NzTIPzz6qQ6xbTeh0lY4
XVJhPFZ7iX7yKteGyB92D7ld4tfZLebBOrodGuerlO6kVUZlcdvDt81WW8IoyoJRTC9R2w1PvUqi
mYd28+n+ibAXCQCGHBQaSdSB15OYS2Uvz8QPtUjr4TqpbHbg8eOlaEfzYH3cSgZInAd/0YKWN+b2
3PO60qQQjDdepyTiB7Z/Y3MyhwTFqbabli8znby/J5ELv/Ow+U5sa0BbrLRPOq2LSzFN1cFpeHsO
8WOkOipHItzLLYowVxXH7JeMc1hJ8q/YWk+Zn1ud+WBPlKtOWMp3v0VDXUYHScNuXCosyAy74Au2
vd1Bp9Hfjyk2dqP9UyhKcgZu4LwbLOk2a+I1XAyW8eXt3xneBmYEUvTvBmLv0e8yi6bKAnPScpiC
U3Zx0kl9Pxv4aPyHUNxqCORxCvBOWi+pZRoi/qd85hZI48Vyk4Ud09gYmLRHvlO3+1IHn4FyDje2
hPRvjpwO4VFrMAk1mTrO6RlM954cN2iiSH0AbaY/vn1o8tYCWgMWFLzmemhtYg96mTfsltL6GLtt
5XOXlxe3j5eDSHsj46HA6pAIzZv7ai4Tw4WlllGUSKQgEWSFpSnwkE+S7kufT+UBhE7+8nUiK3Eh
ZM3QMHhVbj+aqc+R4lROGtgaZuyjo3QfsTbVP799/oC6SKl/yWTfduU1vaLGX9RpgJTpeKLyYZ+t
jDbXwJlzvh9qb0CvQ8mD71V3sEzMvox7QrlVpn3M+jC9ot49/oetLG2OAP1JVbebohtXoRZheoNS
WCaevbLHz7xFStQaRfiXU0JwrvvDZvzO2pD2IlJ7hXOL7bweWtSVhcp1nwR00P4OQ0o3xWI4+F/A
NJtD9ai5uzOTvwS2QZTy6EdcZh0uRIoKw0EzQQWg6S5dbItP8KLe5ncGHQkU2a9CGNk+zYrtAmw9
vTDjhihDUY/tSUnDym9QE/5DxIr4ALr0qCOxc/NBRqCuQCbKTtvWwpDec4loyLWIuzC0L8u349g5
zemh6MheKC48CgvUM7n9NsdULdosyno+WB4WbYDhQ3eZSy4bMCNHPay9S1bWMeFRkauQ7W5eTEac
wfXm0A3yKVRP2JZoP7VQMctTmEhtlVy6xOBMEMTCU6/RVOg++if5tRzK0p8Ke/jz/jbcG7qEIqgs
U55W29aTCdN8spQ2QZFdST5qSx6+59BDoUiNjoCPO9eqQ3uUTiVtSimAuF6nHaZXdrHUCbRU8JaG
07QAcAag1nHSjggUaeG5yrzl4a0D5PYBFADGCN0BNM3WUWOdNp6rZjCt2sQ762JoT5mQjt1pkh48
UW/3vQGJGEwYzHe6wFuDB3D8Tq1mSRIUYspPSdeMZ1Bq+LRUcPo9rT7Syrnd+ED2ZGWVYh+D3L7T
4AQDDetR01+WNv5Grbc4wxVUrm+eQGl6JT1uWK+caesJHDJh57Da40D0kxEUTdqglNVhr4Pxy+l+
qL0BwVrlYYZi1a1U+1QiN1dqShSQsSsg3eAkT5T5g/tR5G5eX6VEoCoM6ZxVyGpeDwixUdqCYyyC
EkGqz2rrpRfbwhW55W14zfjPMKpXys9dMx8hYnYWCJc41UWyIdly2jxT4Jg7wsMxNuAGxsal9/D7
Nrr5n3JJsYoos/lg7e/Go2z6i17BFthkehguhZ3VEy9sixnYVJX7hTpEj57ezFc7h7178AFvtziP
BzI9+q+a1IjZvlbqHnWhggy5S5vwWkPURd100f0wQWyeZpX5ZCRDepC07AWFmcoZxsseibFNJjFm
Bpm5ECKAI1+e9Wxwzk6Hv5VmD8o7W4+qzwmeZgeJxe25KQHB/xtUTv2r9EXVWzASACDohNqhXzWL
+0wTavLbPo9e7q/X3fGRpqPsz864ISL3Wd5OY816xRR3/kvTJjwz3EQpL4k+K0FXsJTKynkzZYx3
IOxDtjy1aHRdN5/SRFKoEnEugsyCpELXbQ4EGuRQkFKP+p7lvv2YIR4pGuYB8iG/+Yr1sHgYZpUi
SJ258Ul1+rOJBqU/OalzuT+hOwcAT7tfMoD0vbiL1t8uDJVurIZaBB29m+cFZYVzGxoQjdI01bQH
lHCUa6ip5fvKmMKD2DtHHO092Q2jDENRZLNuUFRPh8ZbJu676UvXe/NH0Zjp1/sD3Fmc+CfDN0ad
iVxjWw4ha9JKvFunYIgNKbA4JFeu9zrIkrk5eJfsLE4YfvQs5cGG4MAmnfGSLJsrj9PTLenOt9m4
UJFUy6fCot+X12n3u1KM+UHQnfEhb0AJT56jGhfu+gPOqrJQmkmmwPaEd4rLXA0QWO8eUmfqTven
Un6P9WUBfxtyOLR0yi9oKqxD2VYXat4ExZ8VmfyhAILzTQhSL1TxiiCl8H9QWdqNB1ITJA7gI6of
63gziIt6asmHzNlyn4pcJO/jPKohGYuo+KvxhuIg4O2CZID0ZqVKG4/mbcepc+NmEtoyBlqLM0rU
jP1zAh/v4CbaiYLunAQYSUEgxDDWw4rjJTP0RhkCFix8ZmAQT5gTlQeH8s7kUbSBvwgUh1W5LRgt
o9ENGrdqMMbGZJBRT+M1nKLsm9IOyfOiteFBFWBnWJIfJdUhqE9xz66HVVlTldDUHQKvMtVr7YzK
OT5m1t/uMdJWGhHI48g4W3Ty4upZ49nLEPRWl3yK2j58Uto54WSeNMrJg/MJEZP24IvtzSWqE6Qp
SDnJp+V6aEmiDOQr1gCmqXD/Qvk39yP4MA/xjNZ2OoojkZvbPc0LjLqjlOiEE7CFaXZeA9mrLkZM
oApx1uOkeWpNFgzV2yPRx52vRn8FZBP1NpiYW9TPPKTe0vUlS74cm6cmNbRrFvMkuX9y7AyIXQwc
jE1MDXF7oS1WqrSuxoBEmOef9LTtz6lZ4SwYH0mr3kYCLwLGGhY9MBlze2bQrIqdPq3IRVy1/Wh2
qvXVK4pFPyVT48UHw7olU0oSz6+vhFQyR/Dm9kRsa0xwzBPBkMTViAB4KWH5S+I6J8QseF4tdFke
hqiYx6tFToPOz5xY6EeVqcoTtlat/BTiSPyzXxSr8zOvr36bpnn+qbhd8nWOzfEneasHUK9BB+1h
psRsnPJJN5bg/ge63VaQ/ygwoI8hhTK2KJERMkNmREkfJBH1mlMsiuq3jLZRdCqQKDmhrA7zypsO
9tWt3gEFSqpDEAmQZ2XJby4vjxO3K+K6D0ZYXd9EuCjoHo/Wop3rYZj7azJM9sWU3rqXdoJxbs+h
8a/itLV9WrLY9A6OsNt9jvA2b0cJ4UBYfevTLWLQ/xMdBhTHu+S546V8nqM8940x65+zxIkO7pu9
ePSkQY3QGmfNys35KnE2sXjPtLQn+Sos3S9Qxj17DczbGOzkacA16+BOuN3slLnxIedVwgFzc6F2
I22VHCJkkDhJA9ahZQeW2VG2vBdFHpV0bOm5c1SvR4X5JxBtwJjBWKbetcL+9kJLqj1YsbcbXUoR
SUlDLmzykU1yMC6tVkVYywaR7iZn6m7tZzNsspPKHnwzOkSGIkdFv4tG8BZDkM4A2XOvIf3HUwy3
6WL6o3AwYiUlFw92WEW/39+Me0NDmwLJJdQupTb6egJrtTCgL5EX16Zw/RZZ8vSklxVKZYad/3x7
LJmIsPwo3lOyWcfqlHpgwSBQNXdm/MztF54pPmXvR2Uuj1yldg4ZFgS5qvRqIlHYjKsVouQkiHi8
qYP6oAjPOYV6XJ1qQEiPzWwJX+eZfr4/wB0YARImJMeoUXMxgCxfjzDUGuH1qjyjRTOAVkziL0U2
DX5csr/c2RoeZhTCHnXc4fyuUZdLN4/a9/s/QsZYZ84SeUf9FswWEq1bKIPwIm9Zcr7o0Axo9k1S
eoSrYHL/uh9nb+WQKCPVJRlpKOStx+rmjjMkE3FQ3kyDgpbiKa/dGt/YWhzM697ZhdAQcbhmeaZu
QtFLmCdlDlE2Yx+eUqTkLnWKjkHqts92No0/7o9MrsPNDJJVohMjEz8DKOF6ZIvIEjxj5Tu1tDT8
QgFrDolXN6dxWbSHuUeRMI4H7zQay5HO2s6ylTkYLxBOAEa8yf4Aamh60WakFNGS4SBu5OhFJMAG
DL1XvtMtLE/CqcX1/oB3PuUq6mZ+jTyal2Wi5mAg/vOQufn8rEWR8GtvOBJ02R+grERL7VCWzXpu
GbTSqDPnm1Cj5CJMewbVUlHeGLiOsU6fnt1MOzK7kP/T7QeVkFRgxXTXrS1k0gkrgSSHhvRfpqIU
HbXRh3Ba3g7N5nalKSmTKx4LW23SXEwqSrIJN54Xfe/z1HnJFye8tMagH9FOfz1/tyOi1Efdm1wK
L0Q5za9uc8QLwqWvAMvYnVt8tOJ8eByj0ARFnFQfNCGUv/u57QO9c7onhKGrF2PK+sXncMheknGJ
P+uh/XcUm6FPutH9S8OVEmxuzYHnRsNRy3Hvm0Ol451G9xuLr005NIwmpAnr/8PZefXIbaRr+BcR
YGbxls3uSdIojZJvCPvYLuZcTL/+PNTFOW4O0cQI2DUMaFfVxUpfeAPPpxkvq7QU6uB5C8IyNZPo
XhW2f6blZL3c3tOvB6XEzD2ocxvT+dhutNHtnT7zPLSr9DqZg0Zk9Se91JsxoGCffDSWWRgPCrqP
PHjBXx8myjE62RslUXwgtiiGYbCAjMwUf/vZdS9L3/hPZPd5sAxR9OZ7kaFWDh+SznSRtnLVbq9H
7jRxUaWzVsLb9YY61NrR/eBoVdMFWWe5d7e/6u7k1jwRcAjgmK0Iua41LYItime1d8YwSXz3UmCi
ESRmaxwE7K9vYSZHXxXhHiDl7JvNFo+Umdolu6boPfvSm0v2T6aV4gM2vd25HiD6OT0kUF3PjiD6
r58bRuZ6ojlH8YTayfXIlrSaxvU5yHO9TCc/m6J3VcHzFkcjygZlVrdfbn/V3QFxWKJ1TcULyOr1
gISuzewna6wsvObJg8IX5FVanYp2Mi9xAjj49njrA3Z9ewhUQ+lgYcuyZrCbTyttQ9lRzSVc4IH+
mLTW+Ogb6O/M2D2FyDPlXyrAHHfVUC+BvbR/vnl021vr6RY/ABj0JpGVZt4oeoLkf65NX1kmFG0D
qxBcXH7bnzL4HRcoZuX7NFH92TCbI9Tazia++gHbR3ZsNKMYvT7sG5p4tEfAkPTF8K5zpiOi0+uX
h0iC1hW/F0Ar3efrlZ2MzPNxFFIhXtddiAYksqaiP0Ii7E2I244DSSURVdjthh1Hx62HRoWNS8s+
mrlo5khhA4/3z+n24u1s1bXzSWuCGGWVWr+eUMIf1oatVKhnWKRGhp0F5Yg4YT0X+inWDjWk9qYG
lZBogZkR6G1isaFsp9qpdRU6mSzvhcZFGvfV8r4GqXkwtdd61BRYyDoQ5KAPiC3Vdl9Yaxe0NRWY
P+jKp3hyq+wU2c1SBvS0/CXA/Ne5YLM8l3ezqWMjHiO480Go2ClotSm0hYBLGOpMibn6ks2R+860
syY7uBh3P8nq2ojonkV5fP3z/7z9tNwoBOW9Cs2kb+/VgCTV1MYvicz9L7cXe6dmQlyITxh6AsAB
qVJfDzUNQvqNwRfRq7q7tF2FKZ1GNbdu0/rctPGXFKrUHSY2E8dWFyeBUu4jbK32YGl2dh2/g9CB
UhsJwPbZaWYYuCpnF1Qq9yVXxuIEuclmI6u1oCpK783JDU+cywcm+idU3TZUYzMZ6iKVYzjFiXrw
xECpchiotzmRdjC3ncsYzgDQc24KMsZtp0MvKvB48ziEpWthQQA97GFJizTEY6QPYRUm0An04b5Z
4iW0iuQIdLmzmyhxU4hj7DWL22x65cKiTSpBoyWR+qPIrb8KXHe+De3h+dq5C0nfwD9ywCgCb5HY
DZIspZ5EqDaXtXVWfVa/LFGTHGgB7M4HjDn1ZYyTaAZfb1mnye2YXHQI26lYHtNlHM9xnhjUS7X6
YOV2IhTKNKhfQHUB370NvxrPLwuaL0PouHHxVS1d+ZhHvvXZMDMzGGo8qcrEmIKit99ekALfTRWF
kpQBys7fXAGexo4CbD6ERd4YIWwbwtymSs9z3FsHscLuHQD9Y1WFAcnDpX/9QREzVl3v0PRre7+5
6EYh74oyrc5TFn/pKyf7ODhm/467qAgHd8kC5YvqTpELHXztvTuAiBpuOTRlYJKbu8hQQjSiysew
mlHEC/Klo9WkG/n0PS5tsNLxjF7Y7ftvJ4cACA11GAIlbV1rczbs2XTzJaWf6zd9QrN/sHCkcr0n
MeOvM2E9dtIi9KFuD7p3TNaFpQeOvCqJ8vX3nmERKtNBTqUlawpyd9I+W3OVfrw9yt4xIaheNxBR
GCTy61G81Eocu8X+zuqlc46ioQqWOWueJ7M6IpfvfkX2Dc8IhSIwDddD+XJOFZZeQ4irMaKJRgS7
NlFDdUYE8p9+KoavuW4fpfx78+O9AkTBjhG8XdeD2oXhKLeqxlDTxolNqboq1JVrPqvcOTJb2Jsg
NW6d3bk2GLYtu7xdInOMZ64cY4jFg+v0SfK5QTHa+WpN6yslK9RxHXPMj5pCe2cC4CllAK40Xo9N
eDkus233aCyEtY4gvSR+D+uhUxeVGOMZOOGROMfReJvQPTKiyapTxkvqPg31ZojPedNWF332xUUO
1pGK2N4qQmQBRMg/1uW8XsVZw7RezdUQasDXvuO1hyu2imx1xgk8OWiQHI212abWBPM/M0EAgD4x
z+Ps+I/lTP2rmuMjeP7uUJSJ6SqjSUX38HpasrcaVCHp/Vt14XztFf4r8VDo50lz307fo7kLWIOO
25pOb6sR2eBrY2WyNyut9e9QsxN3ZgsAwOd4XG5fKXsXFzI4OCMSQ5P1bDYHD5AoHXMYQjhUtnEu
+Z7DSkA4upX3NiGJALsdVSZw15urK84Siuy2ICi13eSTreUuDQUnfaw9W3boBy9H53tvuVbXVmiQ
pK1wna6XS2AMj1aNBCtLhHbRXWVfmhIjtmhS5ttje3K4VT4FLMVrjghNXVmaS0Sgq8/lOcMt9IWN
oSgHOOnBUHvLBTCX7ghFUZLGzWdsI2FiAJwMoR8N3UNJWvdF0w7dCXa/HTByl2eUhu8Wp7RKuhNY
xtxQcpzvU7fA+codFK/NZB714/fuYQBm/zfWZp16q7JE6oFdQGggv4PFJJ48bRJ/9jmcTk2PvTCF
VfYbu55WHQILIMupcq5B4n+ysTyt+0alXFFUNap/CqOFvCV7ER1EBbub/hcDd+U0g7S5HmawJac7
ZmN4dQXw0Mil/SikzSHucIAPeZWO1JF2Vw4e1orVWDHIm7elBeJVybkmMRg6Owqs2okf577VyPcM
rvrg9uWxOxqAAEQp0SjCiPt6fvYglYPZJ6iNanDfu758UM20Gvaov98+EN/PXLNIdN222z4yUs/Q
oNiFrtSpAInZu8cG5Gs8VNoBLH0vPSD/II0kU8fnYROCuEvTumXCB6zxtPquTQgLeJWZrbLXyXno
ez0oJy0/LVP+/fYUjb3NsobJWDVi2s7Ju/6Y0vW1rBjJtBDRXp7cEZfvypmru1QNiLwrzbnLC3v6
2NRD8gP5pOipNdNkOSHVnZ2ruOru3FRaf+iRKtx3uRuX/yhrmP+9/SP3Fnx1hV6jFvqV2w2N+Hid
Gj5voK+Pzpc0HgHX5pr82x/SI8eSvc9BXwaQBXjJtQtx/TmcEl5q4/EwlZGPKC13xMXtZqT9TaAP
2Hcdcar3prYiW4h2ASaAOL0ery+NhOdk4nnPZsTESjf9bq8C6FUvficRhFBI22zNP1G5vB6KkxvT
nmRqbpNiw4DzU/sdKe3BPSU1FiKnt6/Z+lwI1IBgd21TMFnB9GhnYwib2jYf0SDo7zvH+bnGMgcj
7S0ZGLg19QKzAtr0el6upmtunkU9MDTZAbvAvxrcYQ0iwkeHrpXSeLOtM6ELhU0qB6C1SBo2191g
N72wklQhXmZrDzI3EYEuh3jhkPbRQfK19/SiPIfIAcWDNT25nh0JvVfNNmNVgz18zjK310JSwsE7
+Io746xdVphjMBhpSW3eJs/s5rJAoDZ0Rit+cIq5OedRU/y8vSt2RwEHAAqHXOtVdxVCTzHgOqxC
TcloORdSRC8uUOv67QELjaD/H2ez16niAEzMmQ3IrCmYxVSD3IqTg/bda7MIuv6ooP3a4zRxtzmH
Y/vJYOACG9amFc+Pbl5NRlDVOdfS0OTZD71Pqj/HuWrVvVXlBgmJiiHb24BK/sTMyrTO+ux0D4Yu
tRiNHs/MgtYUQx9A0er/EIUvP0qpmuc+KXMzVCUiW9xJeSmfhzYr11twtoZgiEprOSlYtBmVhtR+
EB3ZxLmtsuWlnfM2Ovi4OwduJfuhEUNOQuFsU+UZ3RHgmI2NrxQC0YAimb9YbjXc21Vaos4/H7Gb
9jYNESHL+QtMvu0jZFFp+zVqEGHnRP6n2WrtB3AX1lHovjstyBRwRojbWdnrkwb/OBnjnIc+qm1x
4UZLX4jX9FATYniSSRKHt8/CztW/siloPFN9JLnbXP0LHcXF6vmMhYZmWZuWzb3VDDiVlpN9sGJ7
X3DVr6ThgxICIej11FROSQXv6559mjlUv4rsu0U/+CCI2Rtlrf+vepwri2/zAWvNHExNljTrGl37
AaJ0TIOR0vjBd9tBTrFIDi0e7mCC6O1D5vh9Znem6FGbTpQeumKSH/GlshCNVTjVPDdtJ8f3Y1v2
X3Brn/9KXVczzraRYWxyewn3ZkzIRjkHVyOoB5uTYExttUQxLbvITudgkYZ53ylTP6g27G1M5N8A
aK1UCihx16vXjPqkRwt26IIq2E/pFNX9NDUl91qfT4HI1MElvV71m5YvAj6cayLS9V8265hNMss7
S+tCoOxUxZrBmuO7nkQUAG5ildOJNleSffZTTeQBqn/TX7e/6t7BoIDKBUM/hWdiE5LOXd52Bua2
oZeMWoafjuY9Wl7mPMNGnw9WcHcs3jwP9D7J9FbTJnY0YWvaANI35/LVPM1DShkJ/9o164N9u7uM
RJUraZ8y3FZoIcfl2s5Gpw+r3u4fMjtrId65C566tXpwVs3j3/iMgHdRfwMtQI/jetu0lIMJZ7lf
7G6InuJKszDN8Y1HKzaOuht7U6OpvNqhUz0CQnM91IA+UT+gFgBtuHPu1DCnp7j2kovXRf03jfEP
gpW9RgMsXooEa60ALu9miw6DN6JsCvOhoLtzKgYl/KCfpqd6KhcZjEU3fS0Xe/6furBVjWS7dO9A
OchPrpWV5W985//+ls3xJKLtbEkVPhz4Nsjgw9hEKNhBBiWWd29fUu47IC6/9BK24I84tobGHSDP
oNSm8AArDTCbaXdp2sk+3x5q72pDA3g9f6vh1/aRN/QxRRyN3DeeteyUmeb4jsKr/uP2KHt9dHDS
qwgD5ZQVCrXZOcJuu0mbuEHbynOxTMvjy5TrVQjcH46xK8Z3jpVW7+ISNF7XODPXbKSm/tJmyoPC
QKHlDqh39VJGjvPQky8fxN+v3ZGJBADHAhBG7JM9vnmmTUQTS9TFFEyytv+nWlLvva3P83RXco7v
6rrDDLnIvG64M82sfQGO7/+IbSu7YLqb/pnUllEgizsJ62CB9m4uepZkjgbrQ/54/eXKGoUgg5I3
yNPWS07NGIl7IJnOHx3E2t/Y4qskALkBLx2wyOux2lSh9DDNJAcyVV+kN/+DpZX/0CSJ/en2htiZ
FUwmYMJoD8B52x7sKtbijuYJwqrcaDbB7mh1mJ4RskEOQP/+YGI7Tx2i0DC5uUhoy25ppjZSruMg
oBmlkbADV6GbXtqjF4xNXb4Hxmtekkz/aU5jd5A67M5zVW+jzs7LvoXheF0FNTSHeUQZcgRE4hTn
BtXKO30QR+oKe/ESVfYVE01ChHb5ZvVKSEmzZTQc5dJK7ptZ4S7l1SrwU5yLtV54JyPqxk9S4xLR
xgRHAWt+s0sTI9OihNCLrhvZwfbCjgA3xT2tLaV8A3kx90/abOW5Q9zid5aUZAw8xuozsXXVrSJF
rX2ilFbiwzcEELvEoz9ig6LHbRagMGs++NhDX/pKLw6epfXIbQInQqb/G3oLXhUQMmj/Iw9fm137
Y9LpNLv4hnxBv6B8HKfE/9SlxRHEZ+eiJvCk48xhIXXZns0u8mOtKMCEDN0wBihomE8R7KWDDGLn
hV+ZCvShqA6sPizXN4BVqappVuSJGlPtu4zTKj01du89L+NMM0rBFD1Yx915sX6rCyMz24Yvup50
Kup0PqYdz0tQ+K1eBWbs2/+8/caBqPx/42xiFyiAMa7IFBdpa9SXcSqi81SZ4mTVIjlQ9dqdkgl0
B2MSkr5tsJkbcpG6o+h6oXIYplginOBQH5UU93YheqqoxbAVMQzZVIxcCzXKOl2XyiaGl2a0xrX2
dFZz24QxGct9MbtH5Kq9+4yQljIcvGhkHjaDCrdCfVP9KtFW5aM+I1DdO/iJYYoQH5yy3a24lgLA
MSNGuc2bjQUsRN/TjHIrtM1LLJGNYBFcahDo8lCWXfflN3bIKjlkEQiA2jev9/4o0IWWE6GQ1VgF
SrGDfUqLqf9sYYb58DtDEXaRjAAp3lKsjHkR2rw22owuy+DxzlXYiFScvco6ImLvrRguVCin819q
z+vT+J9mlN2iDG9o62XVVM031SzyDyw6nHdjaUQvt2e1t+/XKH3lfCM4sn1lyc97T41re0hPxQuU
6PybhhbBwb7YnRCFLVJWxN5Iyq8n1OsafJGeZ46ynHbBraMJxqyt78dSP3pj9rYgFBFQyWg3oMe4
2RES15HJELzeda7kBe107T5v0+xlsVR7QXYrOrg49o40vX8mtWrS8Bmvp9ZCLZe4DxCDpnN99r0s
eY7lNAWKnlWAuawKNHeJ/rq9anvfk/WivAm0iDBlE/i6qVbXE54noSwy8QJtf8TlW9VP0YhC+u2h
9sKw/wy1TTbIi4G+1tRRdREX0yWJE+05rzytDtwx9k9e7xTvsckE88h154e3B99bTN5NpEkJGaiB
b/bNUqeJXWsUcVYfoPdkkh9yp9VD3ZyX94kZH5mp7x0GkFqwBtZSDnj167U0sTxE5XUE5m3rMH5s
B7f0Tj+SadpdPLK2lSDGTbmN+Rrsmpoio2bkJIs8Y2tWnse4big9R93BudvbnGzKVW+OOgMgsesJ
xRHCTNhgkpQuagZ9M89nHKnLoG8d82JlFlYdMXrTtxdt9ysCSaP/AaAJOOz1oJlZmKnsqAECysvu
6h5vCXgeRy2zvVG4h9n71BvBc2y2RoSqh+UmOfDpqagBCGAaM/dRcb49l721IlRFiARIOWnwukH/
cxNPC8RaZ2D3pwhvfk9SKnswdWYZeJl7hMrandFqIra2y+idb3YfxWgvVy7FCq8WziV1qgK6jDhi
ce0dKQJSrkcLbjJRyPWMVn/2NFY6rB+t75FPt9dowCnu6iIrHjyvkuHtL7hXDyIUoAS5IhAYc/OY
0aTTgVTAhcQEGfRlsvh3uZa472xtic9jhC25tdTOpVlSLegztzyR7kV3izm/2RV+1YWBjUmVD903
GkPXM591X7peMdOmwc/snWXn6akAxIKdGd4SMim1H3kmnYPgfG8DoVS2eoRgWgzc/3pQfa6jqHCH
MbTzSns/6AoqQiOSzyIF+X/7S+/tH5qeKyoCbYTX9uhJNAt/hLEWT61/kX6XfR3xRL27PcrehJCX
It5CEpCQcjMhgyqQZUyQnOrI1ILSSGU4a4I4VvN/g6UG6QaWGttnlTXZXCRVy7WIYze8OLePgtSJ
qqAxouEln8f5oD+yc1HSKaAlDioHgc5tXb3LOupf/ioSFjvuxUq7Mpjzerygf9bCVvDEiY7rkQDh
ztO6GnWS4KDHvxoOXO+NIVJJLoyeDWlp6R9mKqz7qh3Uyera7F96aQvEz+STHynr7eB6WnYACWlc
k/lvm+Q1yIYRLewxHLQEkhYSWqcqresTSd2ft3fLqz1JsWjlNa5EHNSSt9GRO2CETnuuRiw5705z
B4m/oqH6+fYor+60dRTeOFYO1BFNn+sPGWdNSZE+Z5RBjY8uqJnnEheQC3Hi53jQ3ixfvg6H1gKc
cjYMmdz1cDK3xnaokzqsYiHuNF21oTbYKV6rhvXW0wZPhigBfSluEF6GzZtgzjQpo6qvw8af1KPt
F0vYzWnxhJDWUYy+/lVXFZJV/o8vAmOK9BSd0etZ6b0svEISh1juuNpE1E7gtW6GlKvm30cgeAOE
WZqHmvJ2MPrTm2X61uFJD9E3hSdGgfF6+ALlrirpAPYUaBmdqZQ1n+tipY0SlYVt2VQnu52PQpVX
l9k6KP3QFZ/Pg7Cdc623OIYVsglXK6NTB8P8UmlYdlpJJC+39+juUKTfgNUoerN9rufnLjy8nWPV
obd4y12XmlwuLnF73XrzwUPw6jJjVoQQyEhSFl/9dq6HWq2p3MQc65AXT28D/Hi6nyat0CmQta19
qqze+QTtIv56e4Y7Zx1A0QoGWBNKkK/Xwzb8lHaURh1ORoX8wMyjl8iq/43vuE6LvIdHHDj09Sij
M0myYPZJOfTlneVoZigSYQT9KP3zb0xohQFwhVEi3XrVytnTfDtiQqbu1Z+tgkNKYc1FSej2OHtb
g9IT8ExeOyTRt1PqKXXHuV2j3ZUUZ9Gk/07Kj8Ni8I86R3sjreQ79PiYELX864+HhLCvUTGpQtdY
xL0AkRI0qa+/G1KnfusbwyakQ8UaAW1Y8aDXQ0k2iTZ6FEmcOhmDahj1O7FMPKadnT/c/n471z8d
ELjsbAo4MFsmJVsgGdAnL0NZuaoJujnX0/emN44PgA3EsOpRZMXBmu2NSXcAOBfVwteNeMzfrIQZ
4m/ajck5wUMpSLtpCQyjN+9KIY6a4Xtn+r/jbWKFKY9YzQHrT0cZvNZ1r53SyZwfhIosZBji+K5u
siMVo3U7bJ8EyhrsfoMn75UFScl77XR6U4amVpZn6uP6Kae68jRNwl0VtotgzHWPUFPIkzW55sH5
ez1n2KKrPwipJDR3bzNnL3Fat265x0q0xB5yuVjh2MPsGGTef9GzsXnwTA7M7c30+oisFFVqDqTL
sOW26na+Odr0Y1Bg4J9WsCyl9jiRUwQmEhBvvsrYs/yH+gYqSgx3fURURYDGjm6g/03Ot26Y5mBy
ouJL0Xr1wRF53SqFYWHAIKF7B6ICwvH1WKnj5trCzEIkwvsEL4lOpEGpVdnPfCoreH84AZ+arpD9
SU1G9x48OU9uBsHM5MWSyU83ylBNEDbg14Oj9PrdIMFerTR+EVzE9vg2Q0U5xHb5DJqVfkmp1p10
vFS+3l7X1weWjhNACFSVKBcgGnX9ATCE7PNYEN6kuqkHWaI5gfQG/0Vl9Q9z7MVBE3FvUgxIzk7V
AGD0us3+UzhYZre1G0qeoXB7+9JC9G4+YDzuHpEl9qa10mRhdKJS8qrcScG7XNg4DRTjBmWxPs5B
5biuDEq/k8+d0o5K/L9CzutLgdoYSdJKAwTosUUPI9akU4Nj14o0lg+TnKpnn6Twpdeg12DKWNsv
3hzBEIwGr3sfKV/9zFy/C6PMr76npXCful6KJ30oyecsvxkf6ia2cclN5ee8NpLQKJpDwM26vV/9
aIxx1yIt8g1beocXkTBbdtJCsu1LL9D8TP/U4Pj9aGGq+ex7vf6udGbrx2xo/kFqubdCIBRWCBqR
H/Kt1zthRkxrEoNFXN3b/6pJ+s/+0pTnRNjfWoC9R9XFveGAFcGtpfO4IpOvh7PKxI/0NunCGQei
v0vNme4V7hZoPFgiQKXnqL6zc1/+UijzuCyJYLal/aR07bIftBYBDnN4jvvWCKii2g+1GI/ajjvv
AUOtKR7h/wrzvp6abse9nmGCA9i0HZaLaFR9LnUShEfZcIBzqxNhBxr0oML/uoKFiBcGGrxESJdR
O9rcnW2FpWybAfpfcExF6CrtsFgzorEN0lxGX2Otnj9XuqrCdIyiBl9Lv5ueHGsWddDaMj/STn/9
KvNzkItee73rA7GpfJZdlIuuMttQH5X6kSob2XRRTO9aY4wvKU23n7E3VfmlMsfk81xm6nL7Jt05
S7xV3KA6tVe6busO/M/V5ndLBM+668Dvz9mPGmeNwIuT+KHxNHkSSbq8zLUa7+vKO+pF7Oy11V+d
7JS14IneZBjwBR2jn1QX1kLzwsYd5UdTl/ETCIb80+1J7g5FdYb29lq23EJ4eojQdFQqxF5KvIqL
RdqBArR3KhLw3LeH2jmx1H5WZRmx1km3TdNKGVDyEdsIlY7xzN2itWPP0+x4WWD0c3HuzPgo7709
JNip6yUUqYXvEmKeeCR79E1dESUkh46rnZJFm98NnTMdAGX3vuf/TxKcwvWIjefOqaZFLcD0ZQml
29Iv6uflnZMBIvqN77keVvrBvzSurocatc5IIjvrQp+U8H1ZmcnzMtQaJtRzAlso992PtwfcOxBY
iFDhJiflbtrMrY7dWl8S5EpjUyVBVJXVgz8k/yRm0n6E8Tw/ep3jPyN6cETk2QkyqFyAtkLxA/qx
tQmQkTToOitp2zBSmXtHktOekNF6e9IIAY2CzAoOWpvsm2t3bgpluWTdodTrP6syX95bhhHBzpz7
8+0PubNJ8OmjiUrBCzWObUG06+pqkQNJlRvhJYn0XhOOI64QCNweIUN3LlHCIKZFlw8G8rabb8+G
2QGjLMLWslR3moy0eWoVTD8UgLTuUaCZ9S0exvKxtMvsXaoA2N2e62vo19q3YnzqXSTIHP7rbboI
b/DKFbXAXz5h3jv+PQwU9Rqtsu9ai7qNEbviLImIgrJ3/TvCdvvgN+xcA3ShSWAJS/gNrwTEUn2e
+gSTdrsY84ub2uOHsfEBJU/npPDz+9sz3tmtv4qYcMs5KmAjryeM8Hk3RRkTRqsifsorN/46qC45
GGXnMDLKrxqU7pB2b96IXBmxRxDCnDAL/jnomRv4VtG89726fsqwOPhMFFMTBy5H987eliLIg17O
ZYDI1TbQm8Qcj61OSUAazn3c1iIsU/pLMknH+y7pNBpthhlOi1VdPDHl325/3r3FhFlMh2ttslHP
vP68ZprlKzuG/WRYC1eO96MhRL7kSvyra7F5cMnuHVXaP9x3YBcJbDeLCcbHjsuES2Fh20xB1ZXd
o1kCflhoAhxs09dLSj+eUejAmARiWx5sJfw2HRqE1/wxmj/FrhOdCkwzAvB8zh0i7TXduwi2U8QP
uf1NX2OgCaOBMVH+QBsIGOpmTZtIdiqWdRd6jsTSL4ud5GwqreWixfE7D/TZtO+9ZXTOuWiFOM9e
l186UpvsklWxHeh906ZBqjLPDCYr7sLBHvs/D37k+q2vkxtwv1QqsDyngEh4dL3ywpVplYzohLaT
nJ/MZX2JVFYFqp9K9K5E/25xP9PnD31pj3GgT65zn1jtm8FtfCsQPigarWxzOiPXPwMlCbeGEofa
VWW5D702/JSQ2s/zYOcXA5XTcxotR6XT15seVvbKEVnlqODgrH/+n1hULmaVyKiD14T3THrWlmkw
ghzFTP1uNGa0H/2+ndO72x/89d4n9rVp2wH4oYu2zeiAm3lWrsi5FV4jJ5qR8jQNbvShS3PnoIzw
C8ZwvbYe6Sp5xartTWNks7Zq5kj4BcpTkdbb5SWyrMEPMnpdbP86Hh/7BP3xO5wgG5LpEZTMaSjd
6a+l1Qbr7FspWi764oj3QrVtcdI8NfwczRYPCk3M4htit/V8wWZY9kFX6t2HasjFUYb4eo1YG4cP
hm7E2uncRCmLoVVRnrIpVUouZI+udwIvpf0rqziHGjkUL29eHrITQgiqXRRgtukaHsn89V7Whl5q
Sxfly9r/tCBu+NI6o394D76+nICzkRzS0uHi5V+ud2Cdpakztx5+5lAjmveZaUXOzzEbcaoXcV6I
Z6AwzhhoOO/2oZZreEw6hUqji0cfPb3k46pDPbd5/d2kndgFVeWacSD0Kn4vi4SCuRriiAqKtjxb
CqxQEPu1/7WpzcQKKKhhtxCNwvuYLmX8sqilNgPdQ2r+EqVO/MGLhHo3Ck2XYVURDwVNHtNWznIL
YUSwhV11NkTt4FMcgfo7jZpyHHzKMfi7H6B6zaepHufkssRlWgcSrqx8LLJcWUFWoU1+8vNJz4MZ
+Tf/CScXmWKLnaTDpdcaoZ4GIrz4RwsSFI8Cs5cmUoM+KreW1KOP1pQZ9T2iZLhflEbeelTHXPHH
UqN59Ob8ClAExRdw2JStaEdcrxDQUzM2XarY0kv8QOLAfnIGWaCR7PvnfI6981v3H5QjNIN/ASRW
BsP1eFijuEYH8HvFmcQ/Orupzz06Sx/LEQn520O9PlrkpuSoyCaRAJARXw+F4r9soHU2oTk2xV0k
jPjJmw2QV142P0E7OUrAf7W8rq8j+nrsKi6+9aXZVnusfrYARIHtnSMH39LZbJfvZqoSdZfxf3hX
Wlb0V4fmrgyJYCP5MZ8ruzhVlGqWk+dGfvS1EtP4lac6qYKMZnD0ZLet8XdVN20T8Lg031Vvpx+T
qaJ6EidyEc+IO5PoN4McHwotRS2ObMucTm3mNnrQm4kfI2LnO9+8zpI/HBy1XxqjLaPAcQunhsee
TzJYYMl8a+NCVSdAMvX/lHiTftHTUvvZD8DmkI8Yxbe4Q9gmaBPZPdDIzZcwKVX7Saaa/g8odFS6
az9Kl8CbSwL2dTW+m8pW39B5cx/zLjP/mQfMSULXXpK/iO/a+mxMuLkEdY5J74clFgVtkrTxPsVD
3n2DwblQUNeirjjVHTTypyIzxNcFWp18LrtYd4KCfVp/WVQ8xh+9yLJ7tAy6dMlDU+ql8zEqkAk/
+YRdHDykAR5z4U/frD52+pMGX/mH1hZJBymrTWaqQW6D5CZqQRSvMKXMQgXCrKCqEWWf8mw1mLaN
SD2PyDLpAXz2uQqMgarppaI28aK0lPS1xCGkP7mRPaeBGlr5tCi/Gj+qadHOUtITO9jf25d21UUn
kqVpztmFvrHZ3yPHDJwwSLDJbetHo/fzd9BFUu/UzvzBwWDb/GQdzOOpJXiBCQNe8vow9b3EdEc5
Blanen6acuVdRKSOQD+vqolrq2d16ONlWgt4jnU9DN14u4G+B5k8LWPtXAo5PVFpis6O5N4NWtOf
vkTSUU/u0HTI5ObCHoNc6FoK/dxojjCvaHusE/vvoeYXrd95RWavauBbwCaCgWYyzR72EiVh3Yun
cm2gqef4LYrkbuJ8HyVutnZnC3o0RoNighydcrlHNCVF0bRsph5kganh7F73bf1twuTdAj81xmAq
ZDnGoem3mRd0tWrT+whXBipbda+bJ/AlffSpdtLMOledWcRBNCWRcc4K17t0HVSMs4Fa0sd26CT/
6zxerxw/7wIxikpeQC8uwwnjyLkMlDN4/4560pR3vjUk+TnVfOMTN4VXnvN+8j/IPhr/aGvDXoIm
iZzkrqlk/yPX4aKeBlvjeMdRxwcfpdtNp9it7D+begDlmTSdeo5y+POBVOXoPqRlmkTnyKy1n1kl
3WcPATG8iOG9+iEQGY5ZShjKGZQUws92Y1ZPaRxPwztbV+JH1Tb2jOdMWzx08dLJU7bEjX7RWzH9
pPPXP8ztlIILySLjRdmidwINgs/zlMnqA12kKg0nuWAA1wiRRYFSorJO0vTS93C+2VV00+aXrE69
R3wBCOtQkKabUsC9EgG2SNSveygu6o6UCqHNLJ+XJ5kXJSByHE9OHrI6f3AO+IUmmIBHpStHQpwt
MD6pc60aL420Z/hpYkq/IL3kGOGQOQ3BaIwxY9B6bVaH0VDEH2VJtPJZiab9I0519J4lnoNfafGV
Ipgic/xZoiiphaU5lX/rere49xUKxcsp0wrxY0pkqxHpdDI7/S9l57FkJ9K16ysiApeYKWxT3pdK
0oSQVBIeMhNIzNWfZ/fgxN+7K1TxjVsttCHNWut1sCDEV4a067NpxuiuiEh6TVdrjH9t/OOfFy3J
ZcBnI/g29k7Vprblx6/2gvh/PwRFJndrtzkh7KHMxY239GS3g6aSjekaZvn95HSFmy6jopkjmziv
oOZ4S5m0wRoPX/o2Gt6N1djrHo68vINmBvzglY64aTfl1rt4Uq2XaIXKF4Iidje7eOirg24tLKE0
rg/eAXAxfO/GZv1N8x7yVyt38sbLJhJIsbfGmf7QTHR6X0TL9irQsayvoZcTUkrcujWkZadn62Ze
tVBpWERVtTNlGDwOQ18+T4gixbWoeXsJfTMauk0PJW6jXVC2R/ZP/qQ9E5EY1ultrLgLR3ODBXMb
X4nc7+fUlEuw7LdtDYtkHqum23cKsIOgm9V4l92wdF8JvB2WRIWhdSyqkYwArGiKn+XSZXf9HKmG
cCNpfxWdO4ZJ63n54zRvm8b6wPWRpFq0g9YshgffEo2bBsXq/Ta6CcfEn9DuJAuGLHduEWmWaG2a
5xzNsXvES6q5rk0WiZvQySBI5qsv7UsCMHyRVlVdiirJu7BzU0GI7M0JRPzeWovLXl3q6qnLTmO1
pd6Wl4yMtAyGbx7IpM3q2aTxAv1q8VypqD8cn9ybHpXZXUAjlF9kppT3aPCDH7KbQ52MGykt6SmP
Sh+wq5lM4mkW1ZVfefVDbvk55bg3yfAtrqvoYOxTjHw9rEHqZ7Vt7pHeNeWjS4SvSodK9w0OtGC4
CS2RE+2s0SxPoefqaIfJTDTi3CqX5xDAoUtHr8jg5uRR0wOpBjzYWaqyOVi6K5A4RVmxXQ/+rJur
dvOrX1ZGu3rZVHm/7snxKeyDirApTZ28CuNdxivbkmhZcvKgVmt+IuE07/ejX9Z3WJDDJ3EL8tKu
UJ4GsjxWmeyLpM+3uL01eZD/AaEIwz2s/tU7WP6EjUDYrPaPZQbgTfAumcVOO7X3TqdNDdSvlXfc
JsaN6cmv8AHvkTZLlcxGqDnhHML3dquGCaMvRvvKsvo4Zytu3pxWG8KdW5dlJ/mvUfwkCze8N6Hj
f8/LeC4vNinn4AFV8NQcVB8X7aFrlP241mJbTxaV3X04F3wTQn8KMlDKZmNZu428rFzR/rDbysiU
DNLp0TdtVBzJq+2Wq9UsHSKdvnW+bK0eOZrdpbgyOHkKcAq3/8qszjf4R3Xzl3rFwzyZt3AciXkj
CnrWHtulR5WiDq1fR49GO0RvLc4Yih2E4i3aW0NW6MTr5hJocOiiP3qZhIZ8oLovbEvbJMS5WM3l
7Gb2r8rflLzaptZ5JDfDm/bV0AdXNR568iibZoh4Sb1+yoKAqtHWbrA9zrrKry1KUyqKjM+SD1hm
X4a5bF6s0rIHLsKh/VEupncTqaT9E7Ft6SZZto63OmOZ7+YFD68rfKuGHhmAL8qDKOL4IljMNu9L
8mh1MsDzyQ7FPJo4lZrSeOoQk+ygx2n/Oi70iHN8JRcF0UvVp7FYvH5X5sQLj51xfPP7dbxvCme1
k0BrbBzrKbPlVe9I3LzJEiu/UV36RMs7cd+noYG0fDWXpihTn8RvSVXgWFeUpwJhFat+a46E7PU1
Et5y8kkPXXuM5EUlfUKeR++L1oqzsNym8h36bu4mlvKb/FJN5eomvWea7iFTfJbLfjOuuq0i3Fpe
N0ru8qYHSSkSUJUtJtqyq07sl8K5rzenjZPAa7Npv7KtTZobp/HoCMYIZW+zrToJzAroM81uv4eR
tg1MOYZhvTj5zxS7JuzbL3ZTVVlSq17eD1Yd/pj8lj9WBbnA+WfR672skEqkec5JdZBlXMUJjILq
rbQq+SjBIMe9qZ1wOWCbOruE0tRjlXI5ZXjbhxLlSB/MbpXSgutDI/OV4UPuFnZiooXVoQcx30pH
bQYaz+LMN46z0CGetCh+KqTKnojlZlzu5DJ7sixn6tIcSs2PJa9ib2eUnWH3Lm0+02prfeeo3g6P
c6lLfSUFSoq3siyp4MJqEm9DZVtjSnpl+DXamHrsXNFUbRK6U4YVW9nkt1i6Z1HC8Hiab0XhT2Gy
8bfCFOyZW8SjazUJWl+PgUdeWv66m/oIwD2SdkXTTj4n96jml6d56y734bRWpHlldvBAQxVdDu40
W2nH097JJ81xN86x4hi8xmsOfuUuEqpTNq5HucUhicuVED9sxuZxkkmd/YJRgAa4lbVdPIe1HLy9
DDz5Vjlh0yaVb5ybODAb36Z1vC8F0wXsfqzausCGyIp2k2t878iBrm7CbfPjRK2O/ZtpgSCGcpmo
B+Yo26mloXayvazILpZoLu20UqLQqRSzqHZ4VjjvyBWs0yfJHdav49U7fJSi6YCNS/fk9SInKnR1
VwmHplRb4iJk/45QlsujHnyY0k5D0gFXRdcXaZ9X0XztcUpV15Gplp4NPUA9wSovvNpaWNnJOiud
HdiXWqVtMG63fje42S6a8mZNSqhyXK6hr5lqQDOb08ZMsjhOqJcnRBkKoBxWBHHB+RSZi9K1nPDg
9J37JjpmwEc8ftgJarHtR3qjst6HThfFN0VN9GJiZ81823iiri8bhxsrkV6J02wGZPJsD9oZ98W0
2T/IU9P2IctdrY9VM6u30F7AkWgg8gcx00WlqsDwLRExlnUULSt4wWiTp5QHXXRFee2hUWdO2h6Z
WlnBTgGX2hize2zgjmS/5QBYYxVJcHJlI8eHaGw6uT4gQlGhoPdpOBhVkX0A7UOgSEmJ0Rhesljw
fgZchb4OOaY+rNBijVJ7KiKqyk58rwd3VGlDGBAnEmub+5zZyY1elOScsQeoWi5IlcWIIlRrUrvj
cNstTW0ShRUCTL1gaGQaaRZvGmyN8A5+zvggyUQMe5xvj5SLJ+fQXGc5/RyqMug4f9r4SxVMEf6K
sfazMiEeJ6iOWTBD+wPWkRG1GLGbSQ3F+ZXq2ada8wMTJWrOvV+ywy4scYmJGg6RpWT1EnVLDJyB
AVqYCGEWg6ZPMtdvMXLcT6FXD/sehqFIIKWjJGnR9HCmxTFRI3qz2uHYYEhytXlLxc/A1cU5tqJu
/dRDeLIlm9fVW4pWcXFSr5vMg9iKGXYpZIvfKs+DhragDG90r0hJcbuoC7kH7aJ5yDjLv01i5Bqp
WJdbUm/BdsPxQG3t9Zr6hCBf93dXF9mjbjv1ddhaq73xarNae5zmFqSXHpY1J/VKllbId19ts64q
NdnsBkBKUXxd5at45Is4XqrpBQ7oL9xwX3Zm+ZJXKySXGgKbk/om86p0EXl47S4lJHH0N/JWzCs3
vC6jrkTdBiy6y+bAb6i4pLWrtDWtaTzo4E8gNhFfCzkWXwpCRvj6k1m+TjhykHQ3Wvq992NmWo7x
w0un942bRoPnPSyes3aM+1Rzs9T2AKWzLuSL3+fUmiav+MzzSEZSGiii5hPtue2YdovMrl2F71w6
19Xo7cqlaJvU5Kp4NtgFK1ivGr5LGePZdi2Lac7IqAnmPmGoOT7rfhE4Yw2F31/hIy9+F2Hp17ty
lPTigTPnOPGiCut3QxmMc6Lr2HrdOlf3qWBa2B/dVk7oqqY2SkQXoK7lTzASa23agcG0/ZRsoVkA
zbxYljuWp/+T+y/7UVhVmCd6kRMp4RzqLZnu2fgu1Di5t2G7NcPei8fg96KyloDQTTa001SnyVBX
ZbWb44pxW03+j+Tubvkjm0f62Ltjbe6vSeUsY7uqTn4F6AEG4JFy/b1mZXGV4wQm70WHJUxqGIi9
acuHZEnoe8tGszuLg3GY/FfbK6I/obMKMiycMSp2lVmG8GZu/fGxm4LiG9ZsQbMr6RLqhKntsF1t
pOn9xvd/vIwou+K0aezml2PX9swlXDJTmHQ0PbtyLvOL0YZkeRFl3swGtJfuTzu7c7Wvqc5qpqCd
93XpGvNjCqveSokzsSUTmDZmAtPMerk4Cd9kIuTmq0QY36h0iqbw0dICiARjaB86bIaJHazNIZw4
+SLnFjELjM5O5V6Y4D1U/mlIDihO1yX22x0c9PeR/KKfUzUUNW0UqNQOstRU71bHQxYI6tP/HDNi
+3aZ01THYimM2lGZNRUzRawz5zDz+RjE3TEPCo0LlMAbnw+2MuKrLQ0AQRBXWG56ZR/2oKih1+31
Yos/KgjoKUx5gjtxYqD3rkq4zSyvek7abpi/oEHJyzSniHq2FmmNFAeLdaEAZ6IE/ZvmbjZTlVg1
VhaJl80k1w6U+V9UqzwC2hczvVtdru4aVea/2rrP3pa1LL9PVMzMqTF7flUOrsxp1uXb60pSuZsU
voW0tfGjNfFwE8lTtyHDO6Q/KxOnzN1bvdLn7JBLhPZ+XZz8aEhWftJrPz6tUcnIZZBDVdNQK25F
zfAZL9aCCyLFv1u+ROE6W4mf98sjxzVzhGqx5h/S8vs/Ss69RLlUhjo1m193yYZP3yPuXd4znjv1
JR3B9Edso/dUsIF+L7KHtNcwPulp+23GtnHhBSiFlB3MSYZVbpTY9KGk1/tr9KroDk1SMHL44ThD
X+xgtITVXkmCtRJsjQdQFbHpB2Y5a0N9PVYmBZDp9KOgDS2vvHhDIFC5rfdNF0H3MLmu+RHXsjY3
am2iGVhyDkViqyCXN6Uuom5PC47t9RLP/a4cVNxf1sAG7yVj/uuYxMfuCh/J8BFjspOlHJCjTP11
c+w9QkB5E43W+FLP1vYLX8nuBQVuWB+6rmNiPIHd3obD1uekMwXYAsPYqodkmDrx1rZ45ew2FUl5
mm8NTySBZW7i+FanLzh+5WH028JKAjfjAF+4w8DE7N6y05Zz+nFzuKrRN48MI+H7CTydbKdnMlrl
3ZMT6Gm9YqzhP2+UycB8ho55D4tUlUnOzH1jzNgsl6ZlSJo2pT2wZrTF3L5tSbdLKr12TlpEVtzs
19Fb2lRPDR5nLqy6+0Z7ar3I47iO7nwwwz8NCbevPY5sUzqvpxK6WOvoMs/auaJMs9X8yBZgKkQc
znQ35FWn8ZkO5jZtYjxw07rW3qvwe+CKkSyIE+Bidc6NKrzxqmCCkSWzRq97XHW+qX1WdmFDL+0s
oJzzJn/N61K+wsvt1Q7HvbzaZYUgKWDQk08xAHD+J5vn5WZVZntvas7RW7t3ZrYlCvDxSPlrrsTW
u8PFqhrrIljtfAIJCqbs0DJh7Y4DNcuPeFloYj25uQeZeardtb6qHsmFte79UPrPA+BpmUwqCB+R
LLffFH6V5b6rQyGTwXL5K5eVyPE0EKajJ5z9jBnAsnJdaBpGkXoc3vWuGLMT3XgYT4GR3Tp+p5Ct
3oop4jIMM0vmbPoI4KrU1XTBUGSb0Lh67Iq6rmizwtWWuC3aHV4ZtaI4iEX5K/OMGJLRwMjCV2zJ
GyAYd2gTlOv9kqDRcF8pSYInv1nCIZ2aaLnKe+nEiQyFddmYdfSv5wDavJnaqbxoVrd4bTcmSDcF
do7qkIejLKnvDW2J70nxbaNZKfakDgxcCdVQc5eEURanK1j/K85AojqgPuvFbmpWVRxAbfNHKFIN
uSkOUynZO/ER+vz0TaglvNWLVYOq1a59CcG/6oGUNBuhbuP6xgHAGhPX1OWD5Trc53oyQ7Xvxi77
kUP4k4kymtOQZGY0YVGz+W1iU0I9Z+RnUzo2XT3uA5MNb1vTQXrVkqMiwVRRvyJctH5VLIBfI1SG
IgWkyL76tVvdDyNVQ7rNygMQx9/lOG2a4V5Rym7amyAfCDQ0bXPVdJOVHxx7sK4iTrtgj1mK3+0G
E2bdRT00W5sG5CK0iSwDbpthEM6N749TuMejgHqL9hcJsxuWxSHWbt6nhVbO5caEHkChV9OxAgoT
yUTeICVua+aI6boaOwZngc/lzBFLhZFD54s5flbQ4bi6DXUfUxKJzX1vIWH87H0MXtPaaRzqgBFf
ixhjgqSZcIVPwduGMIn7TN/P7VY6O3ZGG+LlsRLl58fT6h8Dp7FzGodiexs9MdtpvQa9txsthj1U
EM5UpWG/+G99A4n7uiBeyU00zJLb1VpjJ1Vx69yb7dRacviI4hpyaf+SbVFxYpG4zpOgeMbzzxfg
uG1TX4FyREXaVqP1HCrsRPDMqtz7hg6ne8zcdntvYTlEl73fTa9RWeYPgYoOZS7t4WKxHMZibaBd
BgL+WvvwC+L4dozX+StYRSQvUEe11zRB6t1qck4GUlT5P+rWch+2eRti6kkzQg6lBbiX3D8kUUUb
Q9uMyoFpTug3tJm1V+xPTbbZ5bKOdhyseczUZp7URQ+7i7GRbACAVtLemxvdeAWHpT9Xd6ufLd8U
d/WTx8cpk8Ya3T99VFDpntzybkYv7pcjv7G/96tKUrpWS8aI3OO/2SXhWCfLYVydtyZuaEFDlnlC
jIWPLrY1kAD5sI/enDHUZ6YvvgdLSNng6qz8BRkC56cRb88qCTHqiG9BdJn2RZ3PZIr8GmHvVlao
4PhuLKRMEEv0fdHlrZ30AfZhJLkHY77vOzW++DGZYNcTiMawXxuEc7TAAepcGWySMBCSrn9AH6nl
YbXoq/c4i3LZuLrIt2PMtP0VebR3mhcLupXVgDVdrIyrpmQcalRkhXZySEV52PoJA/CI4Y/F3cH1
EOTd3t86TAWp9JzmUG413Me9HU2xrRJPzas4GG9srbuWoTOZtbJuRvlbFloXd0sezdnFPJQ1VQ45
ld7KKVq6tbtvmsWCcWJyOJz6birBo9c0GDw1vapJqe1I1SJzK6kyDzJTvMDWxKPOLaxnd1z8CKd5
t4YTleRtwDm4D5XTVU9eHiiTJTZWog12oavyXnxydbs71VmLzfCFS8e/GOwAQRWxmS6VdWdb1ptd
tHN7WS2zIssA95Syvy4wrJieA8ds1FdWtEX977AvXeoZ8D6eMcoY6UIy9ZaYae232XYuxFK7863y
mZ4DFUjT/fEsY7Y+BT+m+TpoGeTZnyzeQqKhcZRtroeO5Nu3Om/y8T1yuDvv7KjPgnTBVX75As6i
7ZfWBLWp0iwOWudbb0lhB4emARy8yBxjQJEHb4u2d2vpTwwearjiRwdXtj7yGA2MmJ+StleuRIIH
vnq+ZbO5nRBbfNhnjM4cK4m0P+D61MNIYOoClILLQ83bQS0xTKG4MGKbrOdWuD2VxjRLEb4NmdEr
nObRVmwpAdEi+hkoLwh/TkFUh+OxBCDNi8RfgkoOTJ1Kv/0qI26Z95h2Ffe/aPHK66Usm/FerMo5
cWqLBmtvFC9ZeL1oNBrH0jOmvbHpyv1jRHrGvG+YmW+PgeTf3yd2BEaAPz8Jfe95mS/NS1DY1vI9
WxeuDUCSNb7QrG9+WuDU8ZF5+GQundFwZRa2C4bCSG3WV6s14d0cDGFtLoZ2Jidk7Jpy5qqchuoO
BlShDv0cTv2V3uyt2hvRevV3rD0yRW87RHrPuNO3LzTcki2pOurXnWetbQiIwYAlXYXfRV9rdswT
9oDVcjOsghZms7lf9+MyYouArfP6bcqX4rdeNkdfBhwC9W7x6+ybleveTnLLzK+iYwp8WOyYzPi+
9aYE9XxDiBLXn7/H0Kzuv+dDnYU0WF68XOSSP5Ryb6zZZc52eZ+EqsjtgNy8HmFiOq8ojpgrCYb1
cTLFzN4SVDTWAxBq3uzqqNq+ryrsn5BDOy9rlNshXdJQ7gdVlB3oATViUiiEtgnYSXHb0W8/RDAa
YS77QyuSLMiK7yOBIU5qhB5Nglno+rV1t3WmkDW2vXMmV/1aG2F/nad6ubLws27gwfTB5TTgaU9n
Fuwtj31BiGV96VWVgiQwbjfgP6bZ97nxr3t2z5xs7gRuI9eMAF6/nOubJiQEc/ZHkIfck7JNTOHK
EXyuhYQhGfz8bDdneZG9DBmZho3pdqqBz77bCiDfp4oT8cW29MAwupUw5CYRFiuAhgfroHECWB4F
b/elVMhJdnVv9FeIRtFTVrdOfci7LAyfekK93xSBlTB0/EW8x72pVwYwYqCPXkXbpWJe6r3O4+Xk
7VCHeDHnNWO1eSHl9mYYnRm7jka1l8aei4sZ9nJ/K9AulfTRgus71h3zC5zlAGrwnWTeM7t2cYNm
XTSpnLIqZ948kM/Lxd+BeKos9BMlQv1d5dxN+2VtIXBU9OvcxnVMsu20ZesFo6zc3w3R0BbX0Kes
luTCsm32ZbZNrxv8gGFP77j+bAOn+FVZxF8lFJjDlZdL3zmsSpXf9TjDT46KonoYpV+CWbpRD1Fx
3UbgldHV1/RL9KxY7se3Jz1DnjptUIwp1B4AGFBVYN7RdIQbyJZc1YRA0YHLyjS+lahsG5+LgnY4
sesee/yQSkfv/GVdHsbKM5JXsgg7KTiBtiTXYcOJ58QwrHIzcJzHMQ7qR4cx5huIPpQHU2NAnbIs
GVZXWymv84USa2/Q6hgOt1PooNhK9a1Wnv9ix0vWJBz7rBt3WEf3xpJal4kNBPQ1z4egoccb4HD3
gwZK5jCKigNhqcVhsqU1pSGolXNonHh4FEO+nch+wr3tcx08YK2D42vbc4gn1lZH674o1/WhhIv7
7JVKtdc6Dvpin/mmylMF22DcZyLLI0AeioxDpIHDT3MDRvlGTLlkfukIdXDctmoPk/RjBj80gAxe
x8Wk0+pM3zvuXj9tHHxw3tBUdNtO2ZDdmLUVYb63i7jEBz30hmvQk7X/6lRbVO4334p+hP0Qeaki
I8Hs2dyYJ1QtdsAEyQ2xf6nsfrw1CwlWKVZITNajtu2u3N5ibF04dHIHCgT3ixJG/+YMBdWqS/s0
IWKabdN+Lk6U6oqw59eq0ttFBYeiYe5qgcnCB6pfdaHFi7NgTXztcN89bq0TUA/8nZX5HyIZ9HB8
lSJcj2xqunPTo64Z14miitmrrPShXQpxaapPn3KuhsXvF7sjLL/xp4vxPDqjvtOkqKDduiiVkrlz
2PD1Re9Adqohcyyrl6cl9uOf/LT/EPJOD/2H/4kEkyni6b//H779lDvcRBm21D4pwtdYJvfPPUkC
xxbs/n9/FKnIsHNxj+JWOVdo4cDjNGstw1Q6EAq8qByPeVBPx8JR3SdeJec02pN18imF/Z/sB/zo
zih5xSw7tp2J0qyCV19nhCLUYVse2Qs1jM3u5/+8Pk4EYSKnsTeDCXj25epVbhnUkRjewOpeNptZ
LiPO0U/e30c/CgYzGlYXI9T/rA/k7G1YL1WcQtkjT3aG8e1lTr1rjADurbT4hD75wdJwiGl3qeNR
R4DQ/3tpuDDChwGRfxoH6mfp2/Uun+GUl1P/mS/IB/uL3DIbsyrOdRbjGSsUSZySyirjlAGIfoYI
EN42VL2fvL9/7Df+RYtkVcTo8lgQAcYK57pcKbSgOeQzWSNz+6ybxK07Z0ygXZLnCBXgzFSRSR0t
wlRlNp2cgvPS1oV3hE/jnwDGae/Cl3n+35dPLOB9+1yjqGrO+Ox0eyFSDV70oKHPp2UMbQXGlkfI
zt8f9F+qKgqv0zrFN9En8dk7e5JbFci5CTlNYeTYu9EpmRBaBcIGrpwD1r0uX9cVReJBJE6F1Ts7
Dfsp2Wb5mdvnfxeXh3ckwBfkXA7W+GyHWoUzgK/Q81tFvfwEZAEBXfFR+IoUr/wsdPq/JysPO0kU
vZNTPT//3yu5qgYnAwthQhY60a0Mux9SBhbAFWcq6gt/V+dm/kTo8+EzT0Ye7NYT4fnsmcESaYvq
n90jjDhIgrtSNfnhoY2l3Fl5sKa20zqHv3/g01/67xXODyW+mNUEFRl5zr9/KJSTxVc1wNPI5AOl
O0R4mIDr4RTemYx+rfauo+CbdtNn4b8ffs9TrshJfRuiD/r3kztfYcbZLjGrd5hel2FZvqxew9x1
Xub2/u+/8r/HBQLfU1IIlyWX17m/TOkNlTQqjk9YTXS051UdnQ2k4e9P+egXCdpfhEecFs65NwE9
fMbMNeS4XYRGT9yDbE1de73Cnv/kuvporQgXXRhS0/CEFv375W11PKgQt6Y0htN1t4xrdufDEPrm
4NZg77fOz+aEiqES+7//xI9eJGZ5GNESrYjI9vQK/s/lb1U2w9KJNnib3fZ74xJ3tWvi0Zt3f3/O
uZDW4dhBdhki9xQAjd7ZTTJYDpkJaxAjNEBIiGssO64anR3wRQ2rtaJknCfxrqFK3s1eVHzyM/97
ccKsQQmAVYyPi+p5DvxkXPBb0Oc0w1w79TF5Tyoy/3bjXGGEaI+f2fV9tHIweDw5t3oM+c/dOAss
OqoVkWsaTbY5kBDzmJEhtOvKIPrkQP/sSWcvFr/RrVwVLzYPehSrrUNQRFVnu5Yg0Mu/f8MPH3UK
a3UxtcCa7GyDM/vKcp35cepbpf8TGwuSKLxSfpFl8Vlg+UffCznF/3/U2S1FORJMoFJxaooYf2u3
zslrZFhE4LeAtknI5N9/2vmp6cIZPEm80XifTKHF2fPohDB+m+ppP1uzc0SbtMDdWuNDfcoc8LzF
HMKceY+3NsMnJ9n5S/3nyRgJoTg8XcfnysbKnVA8uu60j4Y6+tP2fXxZgw9jqO/0n+zBjx6FvaLN
2Yw1ofDPzpgAw/5mHe0JSa2J/kC891NEEy+j0dZnPcX59zv9KsRkJzdhXIW5df99rDTNpN0yh+tq
ecst8IzzRbezTkAygqcmaj7TzJ2fnjzuJN3FRwZmI+6YZ7/MGae8raLY7BerhEkZREfxj7QCpQUI
a9/z7wDq++TLnR9pp4dynFCx+aeuMD4rWUth1Bj28DcjENEb1xL1hcGo5FWjJD5QbYg9E6H+qphU
9KNYl/n5f16ylDN8RXopj998tvFNDuKm13bct6sej2N96Psnr82nh7aIxB5ctodT0n/2oz9YQ+j2
2SKnENYQTdW/P6yZKP15yLivdQWoE7jWllK7Bn9yXcI2+PtP/OiznrT6fnRyy2Ux/fthaoI6Qm02
7gXOjGncBvNdr4vhIXPW4jAq2GiW7O1PPqvzwdp1eK8hC8omFOTc3Lwpw9zOaznCV9funcuMF4gm
CsafzdjHF8rM80tYbPVVNQ7uI/1g88YE2dsr9LyK3BxwtSxuS8ZYiDr2WZ95iUPK+GfV84f/Sihs
J59BSKjnS36hoydeuoK6bCPfU2O0JawScaEba7jQgWh+/f1b/FPs/N/C8rTcQxQx6NVhOtj/Ke8G
KI16XaZ9gYgM6eISvo7xZJ7nfvLuSpcxsZtn5Us8MP9t1NJdE7da7pA9Zdd12QwXJuzn+PDJP+q0
yP/zj6Ix9fGUxF/m3F1GMyR1CxzY97UM2mvGdu0hJBv9IszLeieHdUv7YRS3g73JvWh6+N989L2a
sGwnkbX/pF78aL2SWhNReuMu4Z9798D8z7PeBaLe5qK9hnA+HuQYmXv6q5+1zEMwqkV9slw/eiYe
EZTDmMxygZ3dXJh12ps15+MeSVEFY8Y1JyhrDB+rNTJ1AvjHOKLN/PCTy+TD5xI5cPK4hNZwnqjm
gKJvBWM6gs29APxh7E7GsxNJpaAxBTpby8a5rFb+J5/8w+dii3g6+FB+n3/xfiyWchLduLfdxrsI
qzoIoCKP1XWGTHxn+tUBVEGF9slRdHqN5wuN3cathqE21o9nng0zlODJ9ZCIYLVpXstyGXbuFIjX
v6/nD64UMoLQmbOncZo8Nx6Af9qIMd6GfaD7ah9jU3SJngASxpD/Qeds0sFd3JRqwcOqdfI+qe8+
eLUuH5KcT9+B7ndeilA6rLp2CpZSUwXXVQDdPiLe6UjROuzHzoX+p4bPHHY+OMd4KOMYCoWT7P1s
/XK5YVQbc41NExh0uNZc2CtD+TrMyjQUs/nf9yjeSO7p3iaY2T6/NqPhZNgcROPeb1breggG/fj/
qDuz5catNFu/isPXDTfm4US7IpokSJCah8xU5g1CqZQxzxvj058PaXe1CLHFdl2dE1XhsEOZAgls
7OH/1/pWiBq42MqYKqO1nIpgOzrWePvxkz11bynvsMvjxqqkNR8vZQKrhYECX7hSO4ndWCiZJ4xS
drHl2rcqGnechfV49y9cVKfaMScZzdvp44uWWRPJqcFibSZhcTHo1M1r25BegrIcdnKuXpO/OyZn
3pQTOwR2BgxhlfuoQvA/vujox5aZ6r5wCz9rKJJr7YMYbUy4mlPjXf34G57Yt5OMgdmZUTvnCS23
I0JVu7br2YONmJE1fGcHo5+0B4k+6Epg915rML63Ipnqp4+v/K6UyHpII5WM2Zm0NSfjHn9POZ9Y
9UcHPRLFA/obY3Vd0cT8A9PGuA1LjQBVrayNF7v0S8zu6JoRg0iqfEjJBv9EN6e/KNU+DzeoovAY
fPzpTr1VrNS8WFQ5OVcsHoLR9bLEzM26aCN2s0WB8h9NxBWddXnlB93fRQH+vBkUvynhsk0jbOP4
ZoyhrVhVxSkmRGC5MgS4A5VK5i5Shfr3F4CZLIzYlNA2mQCa40vRa9KaECOZ66NL37EL/pzzlu+Y
YDjOOLVx46hZ4v7920lkLqA8EPyk+CxeJLxwhYnwu3UJA6d8oOTtTR/lo+v4CFN0YuPuP77eqdkC
KJ/taOzvbAKljr+jnctT0Y1553a6L3tD2CqY7hvxCdukgi1f8XmGSn9mh3dqzEBCJQcGROZMWTy+
aBeFwBWxIbhUxbW16VQI09JI2qArlGaEgXbmQZ6YKDRUxbrG4yRLZHm90mYCpmvdu8YYJFelEdVf
alUfd1TYkq8f388TX42qOug4vh8FYHP++ZsqlzFR/ZymuKeLiXrTsisL+7GJcVFqEYxDmp/O7MpO
XFDHnc0aTqtwZgEeXzAvdEwr+CvcpAr8bW72r5keqR6ha6iaEXafGZ8nbiX4TcjANIhhUCwPSvTh
W9rGcu82zFkuwsBkhyxCR5FunqOO/6TALXZC8zaILDWwYNSXF/OeGaI8M6NhcEUcjp6hQTuoIqm9
I7RY2Zi9aDiQyvlt1DbyoSmx5BiNM93IfRt8i0Bof8cNrkNG0Gqvm/NcLM3wHwK/bq9tjoEHxkPs
5fhevCBIxDmc2U+s3LsPPx9bKUMa75OyJkUjjBP5nGvUTYHCyMe7ZaiDcUHYXf6lQAjCJnYcgieH
5XhfVBGcEpRG0qvQiggfCSCBZvPx2DyxhNEfoM2msNWxaIAdDxVZKgCp1gwVxRQSWqXMnmlNHRQX
BGGgLRJvkpwGU2ahnXnhT12Zaj2lbboTkI2Ws4zRkhofBoMby9YP8ip09uuTuMaJbriKUNMvZtNF
q75x2jMbzRPDlaYILShObAxXVT3+ygGGsVyUyuBCUw9Rp5nJirRBzTUqcvM+vrsnZlI43fN1qI7D
Q1l8R02kgcZqOMB68Gdtv95nO4Q+w6psB7SR41R7VqV2Z77gidd/nmlIsGBfIKvLqvqoGG2dFBji
yxEiioygFqk3mA9v6oecGQAkSLn++Iu+u6eMZvaXxtytoMC3PKCgHCiUwW5H3r6ouW6UMN+phd7v
UGKe6yGeuhQDFrIFmxj7XahdGaedGVvwM2bN5gG7XrRKOhuZEjXuM/uYU5eCTKXxBG3TYGNxPFJy
pRxj25RGFwsxNfus1tu1geYlROXUp2fGyryKH00OQAcpVcJZp+SKbnfxJtpYaxDSgluIUFtfI+CO
TWxzBeCWjx/Vu/eO63DMmnNGZJjuy0hKDA09phcVrMNIgi+g5uAQGSVhSBjGcM+QHRy2rXlwBnTO
H1/53dswYxVNNspM4BxEfqIx36yDZuJAMpgr6hhfK0+0Tek2+DM3opXGLbXx8YuspP3244ueeIYG
9TttptFyLlhGa4Ug9rC7KkiYEMOB31Cj+3ykqGcJpLb/yqU0ogzmL8fO6Xi4mDjnFDSQs1pKEH9r
NPTzwdchsHesPxt2//4y/J/gtbj9c1w0//gP/vulKEcIYaFY/Oc/bsrX/EHUr6/i6rn8j/mv/vOP
Hv/Ff1xFL3XRFH+I5Z86+kv8/r+uv3kWz0f/gaECl9Fd+1qP968NPqCfF+CTzn/yf/vDX15//hZY
7a+///pStLmYf1sQFfmvf/1o/+P3X8HPv7nr8+//64fXzxl/76GPxPRap8/5j3d/6/W5Eb//qsi/
zblftIHp8zEf6UyP/ev8E+M3AkGYm9DHMBJVRCy//pIXtQh//1W3frMBZ8kcU+eqNiXNX39pivbn
j4zfONnBsmJ3w/w2y1D+69sfPaf/fm6/ACK6LaJcNL//yiZ68Z5zZiN3dq5iU7jn1y0OR1rUBMhJ
caGo+hQ+JbqTQDWI8Uwqesx+QK7kZu1wYmTsiAC1KMhqpZes26xK/X04VbJbho680pWguXYaUT7g
7flWsgXbC79VbrKhcC4S/A2XDlv4q4DTF7VRFNVXeUTEbjSZ+lXn1C6Z2+q+DBwTs0TXdIchmmxE
QwHVHwkkwkrtlJ7IAandtb5JubkWYotVb/o6WOy0hg5L6x6nyXgRdJpxocTDQ+4U0dXA395pVo2q
O+96dPFNUD8JMBvYm0Wzxcl9lxocOJ0hB6cJUMBeS1kY7LAixm6KAXmT6IQYrmrcI6s6jIxdpWow
0LMoHe5iWBGreZ1dBw7sEaGjx4ZmUR6gp/S7NMi1LUbq7qVPoSLUmv4KuwiLQAELocCOvVYTJz6Y
aTaueimlGKLV3RXFre6gpCQSQ41UrH3fqVaGhxteNzhgwmuGtAmf5HyUvtNtEBuldJIV7h9WAiUa
D0ODG3dlKYP0daoVxLxtbHlCaHiSCrNyvgaKSA7Q8sqHptUIttS7FBBmkv4xAGTykrzbDj4V9CZs
R6/DQ7kPC8yFmzzXdqKWc89Gqvypr4FltRhrrwJtsi6a0KiMFTz6zivwUGI5jFLjAkOrsm7Letqn
GKSvtUiGTWlmxc4p5BiCbjzbirUsB11IWCrczhnJMwIibg3jDyZk86KrWwTMfjHdTZ1u3Kk5knqz
zHDbIOPe2ZVU7xynaS66KcKVpCXmAUcAPGhwN57V474OeKif1FTqQS2gPqZ5oO4qcA1r/BfxxmBn
t6k0SXmE/ZCqGx3Uk0qrYmUak78qBwv7H653bAQ04bNy14jE+o66lT/F+sutS+WNNUBGUrNq27NW
IqnzG+xelXUAGaRfkWNhrDkXhavUirKN5afwleEG7DN7yvZhVgmvdAA9mb2zy7pO/kxxxX7UTV9s
e0dRpLUjg/hKzdR2RWt2CKtj/alI2xD1PgnLKyNQ8wvfycN4JTc4ITmNY6rQm1h5CtNw2o1x170g
BR/XfqCpFUg5Vd005aDs7caAVSTnUbhD8OzzD0O4fW6BfobdncLBgEDtjBDDNPTxblu0/OvIs+xW
o6kqiPN7qtxGOnzD8C6vcQ8O33M1NB4xfHxLJKVGOJtq14hnL1Ks6HgQFWWnSYZyg6vFdxvOurse
B5lblJCc8oxbJICpXlUVARQ5YlnPHJwQDhFEl2HVGGForcoxbT9XvTMlK59eKwLf9kmiiPhJ7eqZ
yKb324ZAYXkYCi8nIWGjSrWMXT95KuxGdnvd8r/wqraXcWynd1k4fLZ8x/JaQ9JcU51HIyoz7WbQ
4/s0Qj4+iiHaSlGS3Potrlk9ETZArX5or1H26wBfi5iOQl5UyWdTHQYPykZ7I7TOeq2GULkYbSRF
aG8bDV+wiNaIzHtwVYMsLjNdHiS3DyT1Sm1Fhvw/6Jtqg982vybpM8ZkkxnYdZJ6V4AfWvnt9F3q
6/EqJD3gB8YDtpg6+LZdWTbhetDNYdvYEo56rFivig+LxuH37aRkFIc8zfoLNRE64vxxW6bJp0TS
DejwfVxjs5farD/YbdQ5N1ExEvwhVW3ypeJVvy7YvMTrWMqnu0LKr+yg1jeaHah7lrLQX6lQCFDk
I3h3U0vPH4fC1Mu9LAf5LvSTptzE6uCy3oSrKJMOqhX0G/zlYkWa+rhKK9IHAAWoqWtH0mf02ubF
lGTxI10EBGG9fRn04PHwDqobiprc9yKMd4Ppb+ggBjDGJSfYa3rYXgaQlObQR32HiwFQUtK9aJVg
xWrjbK+1iBYUBWraAAQXAJGRrFER46tLiUbG0krGOoBHt4MlV1Ae3tJjeDGT+mvawJdyuicrTa91
GDkmWkzMYEEM1yE3zWiFPAq7YjCUnkjKZ7gY45U0FsGlocyDhJhIT6bL57aa0FBJDYHilRMzZTw1
1xRJtSfJVwI3SPXsgBccly+YosckssZvbLZtFyYlrJekTVHIdQ0kuan4qqbVk9ON10nv3GDI9Fd1
V/8QdVUToU0bmonRZbboObRaw/VExRdxVtTtgTJfCEsN16Nu32mpgpRC6r/nveR/EU0ZbrQkjzZB
Pk0s206+Juov3kS2A6MpCck4grGMzUuDVBb4anCTouvbtB0UsDSN7FXTJpctLq1qbbAAF6Be+8zT
I0d+KDsrec44LcQrcNvWGkOTvydsoto1kTEw27Xpl5FEwwNcgWlnm/BIMIT7JGNbxVOLeV8H8t+C
87KwvChqqX3nvFpuFTOPENILzSIftjF+wNdWb5w0k+/qMrSAHfBRbzCYjvhTm4Nqx+OhtwL/c9EN
RnwRFVV6O/j+i9L36aH2WcRMWAOBpVAipw+164ep2FJZxHholdbeSSKshsIIv1ZjZIA5KjV4mFJQ
7nPDH3IXQu3eqlhdmJdt/mEYOwamvIkLg3QkdTBvklGGUxSkSnkXDJP1nKvpbQdAvIMAIaMnD7Mm
v+IRY5gSQHdv+2lsP2uJ/KUpeKMGm2pSBELBxjuAQx5Q0baoAc4r5JV8Un2p8IKqM8J1ztbTglMn
z/AJNhGrEm3LBm2v+VRGuFCCUqvpCFb+lQkr7jqEjHmP1XbYK01SbUKpmtZjZuNBLDTov+BZpRc+
Y6qvFJlD9DrrbOs6qHzlIsCfv4VqCUtdF2vVqFUXTIl/OYWmtgtTHEkraHTJsEqcLFy3GFK2Thvu
pKbMvaLLrmDzKCuijGhMgHkp1lIHQQBi32TCLdGBJgl8N3iGEp/c9Fb/JqgKJyvVloZVHisJ5lsT
0qQ60z5yZ7wufAhNE3k7h6FW6scYbB5LiAICrVPsYd0rcnXbVVIpvBSV02bgZSe2Ija1ah1B+viG
+SYBX2Ar/VoFyrmDtB/QMbelhyQcmLiwHJLY3pvl56mOq681zW75EpyD/5pqVas8hIAkYACV1rQt
qKz46ymyvtVRN6XADCNd3eaQvdYNVpqdYcb2J71o/qg16Y9CmNpD7/j2xsamie1Ds6E6iTJ7drRS
4ERO4wrctHCua91q2YFk9meoP1K84afSAVX3TrEJUmLdLR50val3FkeGbdUl070RM1TIX5/44N06
bkW9lTHX2ey16DcVmUpuiAEPSPDAbwzJ/KKzl9xiCwI+EFihOw1D/Gpnk7WxiXTZtyMrKSWpxAP4
VLo8icqDmjd9ygfad132rdJVYpR9iKUWdTO2EMll7rATyyZoAKRXKNlXi9SMlRVFl7oxPeDnwXFP
dsJzLIzrOBH1bUMq/Z59yl2tV9vULK9xwLyqhUNFIL+vZOeVRJ77aNBftETdSTDZvL6Y1EsQ3o+9
3e/T1Lr1OVJj21L24KgbymfwVpoKJooemvs6wDGM65EaraUm69pgT9/Lm1QPgUuk0/ch9ufefA/z
23JEDFg+NJv7cagUxJBR0QNXbIuMVGFLGPBkkujFYgd7p1IfeaQFQZUnFCZcInUM7oDeADGV035d
WGq6mQYte/AzLV5NzgBSEGHKASN+4Pb4u28cYxypujt1xzY38s0LbM2SyaoXBDNYtL/rQZOOWyeV
pU1o1vF90PJHZulrrYxXcl9KXuPEkWeXE6eFMGV1zYiQ20tBKt1aU2Haa46U07WektUE1S7gyAV8
kNDR4jqk7bXWCCC91WdbtFVG8B8gVZBhy3lx17LLGaIB2EuD68ZCRUMVhjrQqgNN4Gp6yiyclaGX
zHaB1I+pjOY8YCNi/mHt1aqLWKgQ2uxguMqEToRE9ARvmBvR5IO0z8eUHURm7mq/HdZQ/0kCwx2s
3JbQmNGi2vfpJPJN3j7lIDpYTNqHLJpk12qnzDM1v97aNlyGwLAOeSb6Q6hpcDVwld+FlXqZ6hU2
/HaCjhtUXzAravcVpucVvMlmk0OTuDIreBF6X+VrK06zHRlhwd5QJX9XyM7kjmzBb6zIVq9CZVC3
VWbqOwQPFWwJq7qLM4b3BONutmL27CyGq86I7sChQFMQvbTvyym98gmVglibO7ELEjZLtiLqsvtJ
DD/auFC8vgVqRhQjbl18TCE77lbKLw1eO+g0TWOsI4Qdnyy155UNAudeGfvkSwuiS3WF3wW6S7p9
81jbhBFwpnL0+Rdk1mUQ6fwjiYK7yFfzYT2YeemOtTNtQoUZQZoUcx2Es5lCz58C4EfXCojXAJCW
BDY3j+wGiIBEooENSjdLeVp+Kh9wYENy6iYOrIhMErvMb6FcWBwj4+AWyKGDzTzP7g1jEtuwlqd1
hRF5nc0pHXWnTBvgCQw7SCHVDwynxRdDGGm/EgPz0CqgxKAXEQS/3vC1z0NlK7siNpOHrhrlDdAc
YyumOt3DtE2uolh/ZDCw+WnFKB8mqakyty5n/v4gVXtSpiOXSmzB+hzzfEOw1ivOH/r8XcKV5A/D
TTYK+6GG5d1ySm3sp9kNf9H0tqDeUZZXLWrKNfbw8dGeDHpj7SB996dxXJP+E/2hCNN+ov4a7yGR
DY//VhhZBeTCVleRoeDzjWDBhcBaPAh9yjqy5GfFjvuLfwNZNcUUOiAAaU7nyRXRPiPu1usyNq/j
qPXXlukE7BaiO46d8bUyKH8pLv5Wge6xyPj/suZ2VKf7HytzR39q91rM1a9m+av+Hyzf0Vj5qHx3
VVDlea3rZ/G2evfzL/1ZvZNM9bdZTIsZAUG0rFqzpOzP8t38IxXtk40NF1XmLAX8Z/1OMSnSIavh
dI9AlFTWf5bv+AmtFxlDI8o4C4XA3yrfKcc1bLpGiKUpz+ukcGiUeJcWrs7uG3NQk2HTmlrzKeZY
9RX/0K6lOJGvsXQrBzTc2l1WmcXrMA3mbUSC0CHXYulQBn371QwSFUVi0l6oqR7sx0hN72kh8er/
vK1/a/z97wbXTfdai7Z+/YUqcvPLts1/PAtqsv8fjLU5D+rf/6sW+65SvK1f85fwl4e5ivta579Q
Mf7lP3PxXL+I6OWXS/6zeTsG51/25xC0rN8MognpxmBxRKw1dyb/HIGa89usOaRROhu5SJBgbP5V
QJYU5TesJWRv8/eQZFNk/ucQBA//m8OYJfZLJVnR+Dv14+PxZ1MZ48jHbzJQ69vofxbV4zgiXw9E
WbjWjLB5TDQruSHux3zuZN3fploHwlUksvvmxv1VxH5btP7Ze/rv3hRXReOky4QNU+jh8Ln0l0oD
69KgO6CBk3ZTtdfQ6lPre+1cTvG9Hufrrr5r1PtqBsIXgKiddKPEj1X+AA980/XgNKHwWvI+q7/X
arXtYH2AuFD9fWoN+yzs9mZ7B9ll2/nxutc5g8WXqvNYKbabQzaUwAdQEHd1QhTGNt91oQI/rHLj
cqdiHRIAej7+uspxi+z91100crS6KlC18XWtB/squmYns8pW00baFuv6pnS1u/RzzZFjra6cMy2k
c1eef/6mRcaBWJJ9QjvWvtm2lCn6G79+Csghq/Loj3Yw9nrzx5kvS9PjTd/x/ZddNDkLQA5ZpnHJ
ct+428rdig0llVW6NXa+V+zNVbZ9+PiS78bw8Whaxg2PRdHTTuaK4T5y05tprW/7MwnLJy+BR48F
gbYOXZbj+6i03YSGAEnyYL3MoADTuA2qal0Un7P468ff5qde4N3L8eZai9ECqd2quphrEbKTr8of
9q76VHvDRbHrn/Lr4DU4qDc6FcSL/I7yL2SBxyFe9V8+/hQLZ+3Px4iIAykF3SsowvriU+hpQxRK
nCbrRnI1ZWN/7kLAo6tuBDVNJQ30zYoEiI8vemLoHF1zMVozpTZloSZcU0so6rW7XJCBGQzoSQEH
bT++mPL+atac1G0io2LmQwV9/EwpuUqZlCqcIQqJaptKQyhwbAjTY2hu0IFrHodnsc2nMruCrdhs
ZuXJ81iRLtNUnJAQpLY3JhbBGymyk9cxMfW/N+qYHi2U07PHj2eAqmZxPxQDn2FRR4jyDHAvkIvM
jeNE/gU23BjyrxRtsLAZZ6YM1py3769KEcREp4dxW+V/qOeOb4sMMBleUWau29AATkzdeItMMvI+
vvvzLPBmkM+CZQoLFNpprbLCLdkQ6dh3MceV0TPtkcIQZBwS/2IzNx5rWS5vhmK0LupM4Xyd1KaF
knky/fuPP8LCA8K6x+qK3JaMW/6NN3sxU9F56wh6cBRPtUvbNZTUWRU1aG49ijjW61nhYsL9xskd
RkDl1ETkROU2iZRx7UjCP3StmZzJoF5MMzh02Jux30RE6Mya+cW9nwpH5HQ44Xhq9FGlaOIcXlbV
Xq/tV0DovSdgsZ1ZjBcqMnu+KOswFijcZkh/l1vQAsC1kPKQi45D9gAeTN5GLSQSi8BWj5N5Dfkx
HMHCgt81N0Y8agPFqIbsPXvqSlLHlSQ/cx8W0cPzZ6LgRX0K3xI+Xizgx4OwA/dT9NVUbUOUe+so
G5ML3+qgsiQg4GXf/pFQAaY/XBAgMsK1cirz7szoYH/1doQatEFmAyOubGYHGRHN8Uegh1gpUl0N
W5MhEqJzzBVGRdrJUKatIrzPzVjttyRXZqFXwst4IESjeragippbJ+8piYa0WL6f+VTzCHjz3vCp
CLdjkOjEjfE/c3Fj6Es2UofEi86W1g/byXSm+xiql5cbTXZvGSKqIPZ0JaSuYBxeRBYZNtEO2ojc
r67jW2g12VzktaSCUz91wAgldbQ58ykXU+u8TGJHgEwwn2vgeyx2lTh8BMDc3PSYA/xLguayJ6Un
C2rIApOi8ahsE00BU4Y3DSKmIu2rsS8Q7wjs9qPaEk6j2+tJGLe8ccluCER7BmawfPd/fkKLAxwm
dPJJsRodP91k1BBAY1zxch9I1spMKLOLKFS3Sk1ApS/K0vVrqmSFQjmgiOpuZ9t15sYUmym+kAsh
ozA4syItZt6fn4mhj/oe1wZgj8WIK+E6izKQTU/EkyC6sjHXNHvPRWovRxDPBmM8J+HZZ4dTd6Eh
lIXRRpmAge5MwatcI0HotZrwHLweZ5bzEzdZwXf4p7AWz8ZSE6009IMrIyGsoI5fRmpdO0GreKPC
0l9Faa4/giqonlsNc6cpiENNYmKLYbnBJRoSCKp9VZx5qxdptbPPCjcHUh1swzi9cEYeP/deYxLD
de17vhDxjyHV9DunNfYyJdc1kUnFjkm+uEhD4WxzSIqfKNy12M6ojA09GoDSl1psNh2cS4vYYmxq
Ij8kU5PtBL2y+4rl2IWtWO8/fqHePzM+tcYhDdIcz2+pqiWIg5eN/prXUj27jCLqT0NbyV7qy+OZ
d3ceZG8nGG4QNjRMKHM5Am3xPEjfnBhwGjvmQLfMK0q9fbSJ7olJMlKNp5F8pBh3rJXtVHo5XjFO
Zb6tc1jr64+/7U8+zPIz4PLAv055BJbK4jOMZpskTaH6Hpz06kvRk/8IZ665K8OBkJHU18OOih1x
7WthdNKPnFcpWpV6qbsTKYQNFccYdwGxZIGrFzG6FM1qovVsZ652cRUSrhJqqZNsO9Fply3A3+fM
iI3CszJDLneFZYBNVigOnjmnvFvV5ntL6C/YLaARuBLmafPNvRVhXnXUa+bBFwJOaUe4g70vPILp
ZjNGmkP6A1veWJPpCjKENoGK6+Tjm3tiKM3uBDwnszPiHR/LbGIS9BpeAGLGum0EAnCH5tW8yBCK
nHmO8/Z08RjZ3WHnnitl8MYWcyyZeqYdTLLkhSlKnVbrwg2lBuKeQMdtBvryq6QB5ioK4Ogff8kT
gxirHdI7Xni8pEvHSWrn/Yhbk/6KXNcbtYXcWJSZiohjUlwlIWBPynLZRcFT3hRlXZyZ+E7c43n7
BvvkT9DUYvxG5K4n9hQH+7IIjEu/HeVbOvaw74CJnfmmyx0jQ+roUov5bID7LaOyC/a8tLZXyZDc
WtkkAoRt3aYzfBKXlDQ5M0ec/H4aXnKcwYi0Z93j23GcaR3rB8KBvQjszhWN9MViGriWrb48c6WT
Xw9AP3Qn3eEcNG/S3rwxsC1VYRcKX49jycbQUdXIVvSVaAT/QNSV/mDI07ePx877vQuTH+yu2YxO
heqdnlkfaRBXfLmGZuK2taRv9LvrbR4nHITYiZ75hicmhfl6vIlASICGLU1/k13iZ4wjktr65hA1
6udhStrnVqZVNGhQjkK1jh4TP8+3o0GGAm1g/8xHeH+TwYhRiaYISa2Rj3B8k4cpjZ2s4iaTD5Lv
yRUhn1HFVFdb8zYyKv0NYZXZuR3YvM84nh14OTDezHt8XtZl5bEfmpJeMVcNBrP/hscu2/pmB84z
VdWaqMF6GrNVNaGqVmRI3xDMFQkMneorh3R0pOrMTfjJ7Fl8npmMZLLpx3tAy/74LjBfDzngIpgI
tlmQ1ddkXlizFzVpQ+FEj6lK5CQTI0c09k6DMiUJOaiZBEjufAtkdNel/l2WJDLAX6XweiS05LP1
4xNZ57U7Z9e72aCZFxEIv1syONo9fXUCpYhq3oDHFHsxBtktgWfaFRnW6UEmxBOMUFcdhtFO15Et
rDO7ivfPnblRJVaF8xVkhyUmpifhup6gKXpDG26AQ0w1GljjKa+uUXadmRJPXGveubC55VBAavZi
LRjiwqqzOg/2UWSFV1XrPFlKIF8oJXEewH4fmyk9Zw848WbBUcBngVsTWBKr7vETjVJyLQOB0iyI
/R8l4lvPROi4mietm0luG69FQbhKSaVAJaRZl/4MFP67kwkfgVWAU9tsaFvugIuoirEISME+sQsS
Mk3nWSLJZ2OOk+rim4jPrAbvJ+YZuEUpS2a3ztZ+8Sbn+ZRrZRCEezsf24MiRdXVNKjdZTqSbvjx
N3u/xM6tAxNfEBtpB4P08c0dIYiOfZiH+8E2iX9A5hhbmbVBzTLrWjSLzbzvP5hyT44ZuPozR6Vl
eZJ9/FyjYtpCXc8BbknAQ8ijSR3CY5ZYPKz5GNl7UoBCt3BmDLhmTV4zZtL3BiYt9hAckXkhfYlM
8Gd/e2ATXDr7v7AJa1RK54H/ZoWy09iAn+pEe2RNlAeqYaNk0vS1TXvtqg41GQ3P2J25ps7vPJ6q
5mvqHBSBl1CbmJ/Nm2v6wGoI1LWivamlEc7hOLxi/9qfGbvvBxOuEyKPcdfMaIqfR6k3V4FMjaYB
JdK+z2VYXGqlelo9aatwksWZQueJwTTfQYotVBxlZojjL+TUWq/3Vhrv0wLrQAfGKZXN5ALpuuwp
nKnWelekl8j1zRXSwvEMre79is8XZaOI954thrk08JUKkZq+XcZznDDwaL8qthW5B6Q7avups84x
sn5u85ePj60pJRKmXwqQi3lJx1zQjkMR72OIkZvetAbiHwdpU+cdanoYaM1BDmqwx5qcIMERoRcK
Meet1flWyK2PkjCKvsttPQIOJiphFIa/YWuL6A7A0L6QIKWT2G3vBGkeOwmR25U/SbBjKcQ+G524
08xGfPp4Ojgx2XITmWNpWM4VqmW/IAC1QUZRE+/pf8ar1jYz11arkVSrPNjFVn1RhVho+0G0G3vg
h0OEPuTjz/CzQLK8sSY8CqYD3DeWuZiT2DNlY29HCUoSW0I8oyubUh00e1U0ymfMcvGNVI082HAo
dM+wJHGp5ob9pCgd3PjODj21qL62RJe4TYiOqTHNfj1Hn3q2pDmXKG1KpHRDdMgVDqBWHbV3fod4
pJUkPV/pXf8aD1+HJiJL1woMjzZucGbae7+K0jnFcyTPUw7778X8XmVlNOe0x/sec89WlMCUJ/J+
Xew5GqYcvyKmIh+fP76tp+YBGxsh0I0ZIiXPP38zD+hKLHUG1ZJ9ZbYoYIqhoPDbaxvoBMWZ9evE
m0g9fvZNUfdFXDH//M2liFtolVjUDCJQravIl4OLNpDTraoNwy6J+/TM9U5MpCrrMqMWAQjv/rJO
WdQ6nRcGrdKQYqjp4M7xwpyDW70/B+tcgoUKMSE15eX8IhHRjd9jivcEK3Ye9ZJwLaKmJ/eOEzgB
oM61pBIjxgvkn9lkn/x+VPSx0DLbmM7ifoog7krUePG+UZDWYkkpPvcFvKuPB8ipp0Z3ir0845IJ
bbG3GwOiRAGxMJ8NjkJ4gexfjWMneRJZK3fmHOr0r1wP4QBHlvmUv1hywe5kdd9yP7sodvGNFVv4
igH2mVpf2XjcPr7aqafHToMWKPsq+mGL2RozgBaQwRvvrUbJLkLyHDbCyCeP9Pb1rOM0q+EpkEgr
//iyJ28qfTHecjpVsr1cEukAkeRnxPuwVOcgcIvcLCVtyUAcpSsrko27f+F6JpMglyP1fNmQE1Wu
O1kXJnujVHBIEW916cc8ut6huNkBOzvz6p1Y8jEMzziJeeVlk3z8qms5svio4gBE5VNC6t3G3tCw
dxSmY+0lWS9cZ1QKqq4OCRGyFJ7ZcZyY1NiUY1uegUyU4hZPNfZzkzXYTAiJLZBstsZwPcT1t6E1
hffxjT19JYaOPtuG6Wwdf9GQXraTVGG6x6zsu8TE114d0T2nkJqced1PLcIq3UzCASjsg4VerA8Y
xgaloRK9D2URfk+0qdqPJJ1sqymu9gTUlRy2c/sK+bW/ZkfUPBmkpJ4ZuO/6ibOwhx2Aw9aR8q3+
80O+mcRLdHg5TMN4z7HdXxNKxOKqSb6rZc60Da1OwXCUkSpkkxsZ5yHpFaYWMgz80nMyqdt9fPu1
WSi12C2bMgWdGW+kU61aVpN1XA3KHCbrRXGlKBg1wuIPNM3KjVVAPtwhdBp1T5SJ/oPsEL/amdCJ
L4eqN77ihh2oPJvKg5kP9ZUgAH1aKe2gfoklq4PN1GmfR71PZLx1Ir2d7AH3oZyEY4jdNeiwv37t
RH5PPaO9acuptbe0PLNX8ghBOKjlYHwdAq0hD0LBzYgMXwnL6V4ljeqaUIjG9dlY3Ge6Xt5KWogT
J+8zqEuJIZNhWensTjcVVlp8DkGvJCtsjmLTYbCJL/UwsIdNL0EB2dY0bFM0yWmza2Oo9CxwGLUI
w2pmC6Uh0pdCm+zPxJWz4pIv2X+3cepd2XIaftGl/8vceWzJjWRb9ouQC1pMIVxFhIdWnGCFIKEB
M2jg63s7M+t1RpAd7Jq9Sa5iVSUBhzBcu/ecfVY7DUSVMoa2JwPZ7kBeWZAip9cxHUn7XG01cTFL
vc9DI5+rJ71jNWxbWjpbxo+cG/SRAS+emXaRBnrnRS5N91CtiuWEmlWNlp91RLP1nDZZ00VSaeGa
kQdVqXVyO8wNJiXY9sCwpNpntwoNMGXL5M0lhnBIGjxxuXU+ueI7tqeHBP6XFc1lrT0RG1nPO31h
Cnuk5T69StUto0KNbfCVFDRamOSOsTtdbweHcwYSnsgl1Pk0d5BdDtRgAYYFp4sMvLaPbjEWr06q
wwe0+dI8m40zEb/e28uzh6bYOTACN0uMVZlzFGAbX6wii719qzjaXmlbo/ZzHFPHtW86z/eqqa78
Vmb4Nmurcd+yppq5fWWD5EchRPLCm+32Ni4mzSJMGAQgHFiCblCI1w6fOiVftBA/23oLhIch6hA3
bhEVPWExQZmO9X1liLnZonbtdya02JupLez9mlq0mXJbvXAtS9w4bkvXOx4kIwhnHEfiNlfiH9vO
w1BTroN2p8asJvA3h/yc2Hv1yuamk6EWz2S32oqCR2ixJzXdikxNdgMZWbhUq2VwQ62zLxoMcG81
RHMz6PFtjgSIyl6Gja6ST19YlfqerjGmEnNdVZf+fCKe9EmMr6Q85bBFVEciXW9V8WxYWfMdeXx/
S8jd8LISXDfzMM9GaPYLSRh2MuWXeZ8sVkD4lPVq9ROm0XiWgJH0k6mSxzBFDAjx/HaQhZv5JLKY
egAUyn7pOpT9wcIS9FLgH8kjMuG9J71w8m1G39HwifQQVZBkp7+nzLFor8iFzL06Ndor0nGt2MbT
7F4xeUp0cq0bMw8K9jakuqfmA1J+91DLJSeKPtPQiCtJjc0i0836mzfRYPXdJrMGwhyXJIsMpPnY
IGDcoqeQC8GUpBVakclX+ckhziglqlzwJpkZQ6tgUNM2QXo7LEtUkiVDoN2y4k7Ocru8qoy6u2qg
ANa+MZO9xDLQvjXdXD0qRm7uq8bTMRynqDz9mizlvTfNxsOKdfwdfHiFsitLRnivGSkjQUdeZhas
sULU35SWw3M7kdIVGOg/viW5QXqLPq0uSTxYnd8m3EoP00K4YgAUUpKXCDAfH7IY0ipMkZ9iQCVE
WO4xd/YPXZ1Wx3IiC9t3ZUtSVFL11k2urgY7b+GdNrx1O1+l5iTusk5M3NCBR3cztJX+PW1X652Q
JTaYq0iWqzZvUwVlQY7rpGtHi0c9E9kVCzg2mdUyMD6b65K8TPTciEQuspHByNgX52NOWgPp8umr
s2iT7qsjqhM/blVvxFu5ejdLN3lG2DWMlM5OiN07MHyE/i1TQpt8sjvylHjzcJtNCxjW3HTwJquy
f7NEftav2aO6WuawEQW6HjY0Q2LuC6clq0IokwyJJF0xt6N7m3xs74RS8Cw06ZVITXVTadLBdqev
Y3LolNRxQkZYyvWwGnYeZfna3nTEn9947ui9Qt6r7pKqO68s75GtY56H9sDHJuhZ3BHH1sM5dOAV
+DgP8LMYRgJYWbO8J5XgSmyUib7gdq6reI3cYtCzaCAA9S4vjeS50GT6wF+P3ZiWFPdpLZb4sCaj
5/iZwssCIdVtfuB0xpOh9UpF1qub3Q9dKTt+VDnjzFhmRYSeQl412c3UIkQ1g0njk2VYN+4yNNty
Fvh+ZGHybM+KhZdpIFI+cicoi7604piHKS3wTcuaUFIIKJU/4TUsMMfUovfJMCv3OMdGx59l2mNd
RMbU4GKcyOpT3dnb912jPY9jAnoqmUaXNEBRaUGDS4sI0VMwiWMIZ8SxNJFmYTf97Pil0fTHfvCQ
DC+13TxXUnaXggJxCHTDm0ffTuk64zwsyLWcRIIsVJej9gQf173A0+U1f/c3/isN/peQlv+F/g0Y
iuyrKf7/38L6M1AyY/Nv7fz//Et/C+h17S+HTexJKX/qNv8EFv4toNfVv05bTv5r5DLU8ic51H8I
LMZf9BKRELChMamFT2k//yGwaH8xkEZ5b2jYQtiVa/+Ngh5ox8cSH7EEnRGUWYCbgYSipT/tdf5V
8ZZ5nFerXdSBrsoWB6dYD8rQJXvZ5rANV2KaYaak9YCWdWnUzQhB6AGRwXvSlN/GxThAEXjJ6QPA
DqT3JCgmfacZDR8tNQw18i6v53FGNe6xKJV695Jk87RZ0Kk32rLQTiMJT5HTZcKsYUPt/TDxJCc2
oc51V10rmpHtUndhkyX1YAHREqiJdqkP81WlLsgiThsgKBoXbpvpt+10aFztwF4oObRKej9n/Xcd
DSJixGk44pFElliP+PiHjvVAs5DTZ+3AqxC/at60S2155GN7PjvFE63rgzlWyVliShJ+q2HPO5dE
IzHMsW4NwWCLG50E3W3NpzXEqlXuprU8rp3U97FSnjlOc+4u2Rm9DfMiy6zrYTFv6/WkvSL7MVi8
hj5twedfWcpoNIY4Alp0VRFSczBxD9Me3eWjYm1JKam3Xk4/sui21Pzo7GWHxzox/Fm3H/pOZdjo
Ba2B2yxHipB75ITPhnGbJPNRijHwzOZGBTMlB7HL5By16HtABga1MPaumpyPqgEGYTifKBYwwPmQ
YulG5AQO5eKupGQKauncs49GR4pHbnE8ZIunlFjd1gixBXGCS9FaYmXHrKi+WExygXNViZSupbtv
cDJT8la0c5A661YsPbOVOtX3qRQuYenrvk7j26rV/LqyVjAu+PxYK8O6M0B8mG2Up3nEaIZKZyjD
krhJZUh2ei130rIvspK44yLf1hDXwsQsgAkUZOLJ5GzCCBcopIz4SotxlLtBoxRfYFH3vY8GkV2L
vdE753vmQk0xRRytYzH4jTSA/WXONs6Ht9HUznOvQE3TLew5dKLSqmJLYAn/P63cqnoPK29NdzmC
90A1lpdSXSiOku3iym6DOeN8LasHpSuuKnu4lPTogNTcxRSiBNyHBR5+jRmfr0OyhpqyzQT29ywX
7H1M91XiDJ3dwgT5oCuBqtV1kE9EruMGhiqgEjPb38wjPAzDPjeaeW8rxYS+/WQmGVQi5XG7bnh+
HuLaOaprKUN3sG80t+aHTM05s7Ukqlu5K2YQEbFaR8taYDXR6yWwBo/dgRWsuV5FwkxuRU12pkBx
ucSPVGoJl6J/BcdIonz6ZurKw1LXkpxJkwhj8211nJe2688SPX1zVBAhymzdAaAt3wY7u7XI0p4d
7dywlnOjAla3yB1p8U7ATj+crGyb29olX8Ut2WrXnmL1BMl65+D77lPy5xOpR7AXbyUR6kJTbrKa
p8WjjJNLQS5afacTp+XHhbYBaLq1iYUlmNR7NBoZDqlxNLv4ZZU83lRp163bIIjrLxBL7ta8MUHn
gOZQGNkArvFrz9rFonl3+nKfu+96mdhgbprbSVMOpLCpzGHNJGwJYN+4NYtEgZzL6mm/lBOCa7sy
31ynHfe0VaqNmB8MesFx0oRdVXGBW54peEJ3/KEIChLQl24IplV/5hGNcRXppDabyDWlZFfNgiMV
5aDZwyamzr6UFEF7u7U2djPcybW710l0GrVEBO0MqrvRZNCrfUVdplpbqj8IRyK9ZxMQ2lmGBNl7
JHMsdPXmYkTrFbpjtqvOpiL07Aevvk/d+8qdITIYzUZo6RKe/Htj1rP4r+OFymaomvWHom23vReT
Rrq8NUvLNon60FugVmZ4wnddP+uRVtpBD5LXmrOjmlN5xaSUU3vbZ+iCL6qm9pshs3CBy8bPpzWE
KH1vOfWVY/Gy0R/lLdEFW/AYc6zeGXtrGJ4hA92YxL7WerWD6XcFCedxsLohjA1CobATeD4Unb1b
mcd0IbVRrON71xgwuJLThqjJr4d5/FY1ib2dSGDl/rn37VRfe2JqOVJjwQqqXqY0M0DctNeNpI5d
4YTpFkuus4yP08CfOpPNu1o32a5XKF6tmvzl2ThMkFZZCuYTiOTRLrT1dpzTh86sX+3EPvdqInVN
/SqpyieW830bq/ty9IitZV+Ua8ODijODaGP2f0O7d5qatznjcueLvinFMvh8OybfsmvVl8bYBOoy
H2yZvSq2QiRGOqKQdqZQlP3FortvJwpVOE5DGjGdfKhtZtupDeQL9cblPJl8mU7pq4n3Y6L1v1n0
amCV1yDV1FkS5Y49njcy+TZP6pObl4fVxKXeANDi41ZgaMNFNI9nYJkuMwMG2VorYiPYAGBM0/n4
J/VjreUSdUl2lRnLQ6Uq30ctxR829Xtz0W76k88eY8QOBNL15BQXZtNfVaV8aVY+qqvm+K47HunZ
swHIhrDv5jPXJdCbDOtdM7Hz43N+0qN4u96xQQOIPpgyiKK5ob87uX7F7bxn4WrPi0LsCkNJg5EJ
KUGeww0iL7auirryurNk0AWAUjB/h5Fz28d5E4CGOOs9ceTTgeuLxAgeCzXCSxRUfQcnTG82mbJc
l8R0+lPH3tFsiivNNQ+VcK+zpgAFRv/B98ay9FdTZkE2Ja/dTBzu6CmXhlm8dbp7SIFVU5av+QUV
DRgnJPqQGJzHybTyANcQ0qEJzmbKREdkzQ37+CcNsBAfd3hpY02nxStEtNrsMbTxWJ3Krn4418vy
nhH0D8VD9L3CEyO0kBSjOVJa94wB4bqvBM2zYVK3pjmyQ0w09ut07C4y8WwrCadO3KEtw6UY972l
Hove26Y9Oz2vX2ewbivLQ7eZqmVTLo5DVl+/Jw2GKW+xfsts93XRqj5wksH1B0u9XOhEeDiCm5j7
ZJOFlcG78QVM4cIoXjrdTM+MZT4DmJwGujfeGLoAG5JXW0MwlszZuoaiNs6zrjJJuRKG7w0D8LSm
Grc1Uddk0FgvhoHOtM+mi7IG0DDaFowzo9tWro3qaZzYfa35PSaH/SLrNwnkC7R/diGTWSPZeOqD
ts8gOtTTRqPpEeZWcadk6jmy/3zLQjZEgL1OILdMRknTZOSTt2MokjLftKZX+m4Jb6O3zHNZVYO/
dKwauXZYxjYOIFw8TrMcNit597Szej3E9wA1tVeTTWqVrIsJG/YmlUEBlpvf7aLQao61o79oohZ+
y7dgQ5DxkXXubDTGc1byhSUxu3Dc+gUmBq0OxWTr5hLSnoF2VuhiDmoS03LslU1VZCSt5jPBR115
aS+GGZWWe9/ry409ZM+gfi6gzZ2T9vbiDE7vQ8HlbKxijPRUFuBgOiNE8y4DWwpKgbgkILFG3asl
zndhDHbEupiFebFcTnxxTZnvBlNeSBGrfjdOl4pu5OEkjev+lNZHFPBxatEumUZ/5s69E9EbviXT
fYt/F+2ugQRnOTX0jHdBS/7MIaBpFe59Z7pRq7g/ppWgM3u2rKDE59PEm9QWRbhaVUPrxuDVUhzS
1viEG25jBFNdzMHYOGXYqXARvWV6XvokIO0xpg01nS+tGgP2Y8XvxRhmNrKpvIxvpoXscjkQo+0h
qS7m4VxjGuEzUptCgBtHJhcEdea5GRCUuYKrqXeFavL9lsM1Tx+ZwLH+3svmPo7rfb4MYV4ZkRjB
GZrLeoeNGuVDKe9qDFIRBo6zTl+eFMdl82MUOa3S5U6P2/M5N+6q2L50gel09XDGM1xxW6c7Rnwy
yDXrtfPGC6QRgJ2U+WDk5W6x6O2kxj6xTdBDkMCDUyd5ySmozGa4GkvyittKgWkjL2iSYIQUBD+P
uXeZWH1FMsN4NtUNLjZiB3mIy1AdVitUgPIFBe4HS/GudHHqQSQ/YiMdtowZo5KvSq5oNd3MxjrI
anos3CQHOll9G5Qislpvj6rAPVfdvtpWfTGgN7SPuFzLiKtHBPm6SYr8QkhrR9kVGSJ9apyZVUcV
w542K81fl/GyrajDTgrPZjCBNji1WK7xTQ071PNU4yyrhyXtVagk5XQw2vqwWvM98OwzDDJkqmfe
ywjOC+JfT4HrdSFptwcxKDRoyk7BJ6aUlCnqQpo47cfe41Hteu8wo1zZoAfMQhUBJLxcYl5U3Dzk
d+OpzKMTNzVQi+7R6KtzvckeXFkjjHShvTeGg8O0eAGklHP1HRcbSLKZWw/cvddSBjIzoKPebnLF
Jnc0r3wcmVC51qwDuhLXgTbJ7LpN81dNT9czc7AOlWUkwShZEmdD2Zqw5bdqTkM2ttmOYkE6Gml1
labWS2+1BuzE/NgrEFlk22wU1CLN6YiTde04+JhXF6AcfhVUCkyOeCwUGalu84TMIGPjlwi/SqHk
5JZXUz0v32xMa8xW7nld3/BbXKbZaX9BC5OqvH33RCYCZQVQV7+h+Xy0MdttWqPaYPhr2MHKlQEK
mQK9Ulaboli1b0hL68BNRRrZmn5qfipGQAZ1icFde2GeQQ1HmDJ4U1ul75LeooBMWaPJi19LN7QL
mJf2orCB8CLJHATERBYK+3xxlac8vcbRGvaldmbVzB66rL5be/rfegq3k/afQeaTpidBl43vLuZI
TKjxSAli7GOzvxLQFKseyGmcmLt0LG5s49KrcxlI+je+7rRhtXR7IZaD2ciDrc6Nr7jWJgPjFiK3
OfPUEwJRb5/qBDwhHQIWxcFewMfqGV9087pXn2baxXtdmJhyjWCtjL1Nn9A3XfkIvy4LYrk+gJ+n
ilkuGLL58QRjrDPaTewYl3plQW11tl5d7edmuq4L6J6QHY9r05xlnXqB9Y4RHyAmu77vmvauEtat
VzQP2qTtujSly6ghGV3NKE2XO9oIpi+87grykkZlAiyp0WF4l/pz3PSaP3QQd2lCPuX5serkfYu1
JEzSrtjp9vLeruZBdmxNTSqweDpt41MGIwKPvmrBLI1XWw8sMQdlO+F9NerD6OVApjqMPwnvsW/E
2QFAE0ycN0N/nFgQx1VeZ+OSbsekfDqrbO8Cx8PFOGoHdQaWqI7xZUpe/R5q6qHmOG21GIFlp9/B
m50L1Q1stdqCWqOss+S5M1SB6SjMeLKntXqRw5UlXpg6B3Nf1KGjoFsR1CRqrgZDx9Az0+J91R+7
dgBKGTc38zDAAc6qKrTm9HYxHOWMzAQSSq2lgHM2Uus76nFxzLumcO+NTq9BX+G0WtpW29ETp6SM
6L++W8TSgANbj23mBKs+TNuhFTvGvUcBBlKLx53ddndZ2iDQX14QQb440nH2xfwjL+d9TicBn8el
FMN6tHCvD43yrnFGjyZEYlV10TqvzW7oi/cm5le44zIelwVPCmKhQLfTKXSkdTIG5npUnliYwou1
jVNUBG6kdOtyxpMYIQNS45StRp/PmGvOveFF8epM/9GmU8Ilo9Ax9T7e6riRgE25ysHqnPzM7g1m
e1B/8WMWRWjGdOK7wbr92Uz9r7rG/5/kFvEFAPx/YW+Znu9XfeWrl/qlQuv2Nyb8xAL/+S/8wwWC
yoL3AA6/iWAaFJ6LWPAfLpBr/KXyLKOGPLlt/+43/9NVBtiCnxEhO8515He2RsP5n64yfx/RzfSp
TTwj9IJR7PyHJXP1t0jxb+D677nen4JJ0OF4Py1//AORLzatT1KO2nI8wr1mMyJUIt3Al9FudSyn
u3Vle6G7s35UqrHfj+vClCeude/GE7Z9YcEePDcUsu3ZCZtB3qtjpOJ/3/Z9wjymmnvoskOmbm1a
tTSJGWA4zlzv/3Wh//k1/wa8/DRL/F8l5s+zd3821+nBn5KlPgnPNObonhd7lDmK7ZLhGWdnnlfp
7AGTJQv72npucvquy5IroAVpZx6WnLmbIRDq+o0Jpjt303ozqtlmzbkIs8keX/YoZrpaTMzdhm9d
2tzQjpdPjkoRz8Df+xaXjgopxsinUJ/pRUngbltppOMZhPMljNe+Z+TWYa5j5ntUxyrbNQ1+wfy0
oBXMyzYSWe5ZW1XzH0RAJznRx+uhn5KWwJA4+I3RzX+cEFgttvChBMWMiXi+K0VGr3nFCQD+OaVv
khnFE0BRffaHdnz9+l58ksqf7gWsIDDz/CcbUeUv6T0Eaybu0GnRMPGPNfe8+75clxD91bwRAsyP
05b036vWT8fxQZmL4rBo4u3r0zjpuT5eARysgI6Y8p6wRcYnGVSTir4YZyyziGY0WsrgZtWp/EH9
/mDq1brnOmT+14f8OJY5/XAc3qT7IOFEwY488eNFH0UaD710iFOb1NNyDi2O8Uzn1n860K93lwMh
XUfjiWAehMLHA9ViTGprtUnhy0vENqu1NltaYbBDpG6Gs9NCs2xd/ZCPufUHHdsnydffPxIJJO/Y
CdSCcvbjsWPubEJbhgjbuG+2lZBAPu0aR0uXsKVT2ztRxxjvyy7stPWhjvPyD1f5dz/+dKEZp3ER
frnKnZLYRTy2JORZ8RMppC+ztJ9yg2Q2SXtg6rVNXdt3X9/Zj7rWnz/aO4Wo4FI22XF8fqQzZaJV
OGR9JKbOwlKUdAEOfnH/9VF+fX7wHrOYa/ABULN99ooPs9l1tUO2gVNkKXt5RN74aDqUHmYWfH2o
39xGjkV8GOAEfB2sFR9vo2OjTJCd1XIbzbOBcZHUrO9KSqMqg4fir1jIJLqv3aqRvtB3j384/K9v
JwYPqAN8DkHNup/tNJ25Yt+nAxz1NAAJ+zlX5/abo/bfjGTYaXG1aQR9kWy2wzx1blXF+4ZWhD78
qhMBMROqkHhZMLhFBkP/+etz+81d+HBqnx7wvgPoFSecGtK+g157V57Zv3Jr/rBC/2aZ5BLAg0Ao
yPJ0iuX4MMS1AQjPub4yLzPnW6fvtnRCHkqjbX13GKJOyTepml64E1oBAtyp2WaQEV//1F8fa06B
BfqkR0cU61CS/HuOnOWo7JuBJKfClQyLTOGFkzDkH37pR2Xx6eU5HYWyQtU0HUvep2+R2oBMndSR
o+TOfbI4d33ZI/BAKjh30dc/6HePFS+Qa3JUna7Gp0U/Z3SkStKjImMV7W5NnCco9Z2vD6m5xVOA
+s9lE/v1MX/38yCjsDjgqUV9+uk+wtbV7Dnv2sgUw12CuY/efvuKDO0wpsb718f63WurG7gL0QRw
JNP59NpKxV71mE1LVC55GVaKnAPLBVfFnJ9xrchJrAIci1bFfWqSKVCl0P9wN3/73BouqC7jlFzs
Gp/ej2GKFfRGso1aklg8PvFnGdPUTR+vAPuH7wu3hT5cTnh11mypW2+yETT/H67D6cn8+HVHH/9z
/Vf5DhAr+fHJLbykkXpaEwMzN0+IMm4WTb9YtP5OaOKB0u6Kb9eKkOeHSXaYMTeU7f8jGPlNvflT
hP/L8U1Aijo1lstT/fH4I9P2AXBSGxE9g8hpVM69Qm22RQxHFrX+pjO7aASTuSFDBUmF18eKj9ou
DRVdiYhXMf2abLzCRM0US6XYObjiwrap/2RR+vXhJGMQFTgVCScJDPLjeapujeTYQjMmJlJTB8M9
5J4L/Xthcz8q0x++Kr8unXxKSKn6mVpEQ+LTVekmfBF9jgPSY/r2XhQMj43G+DEqfypvf8rlP15/
XnIORkQrQuVfyBZ5HmvFDMA+0hBvKKV4Wo0CajRCxDmhrsziqfSTdqmBMdcHomrw8nvqtBMVqllc
W37tGPTUUrgQdeF862133PWQG3EzVTrRwhQTWppetyP3xyxJhrH0uQWmvoToPszAUee3pK//oKb/
fK/Ix0DHxW/h1eap+rwaT0NNkzyVazSwgYosq3Kv56SxfHc1Y/I3EFB8/RB/Xv3/Pp6LORXvGj2x
0//+LxVRWvX5qJLRErVU52dNjsWjS2I7/Poon5fk01EAYiCl8ngKqVk/HqVEM1xlKvMuPWbww2D7
dZ2zb70pzrtKjRhTVX844Okv/PejwQGhvWFLoKgx2ICcTuhfP2sWZB9ZWrFEeuIkT0LCNQBF/qK3
2htkitavxpMmozHrPxxX+839O9XEQE05vsfq+PHAVu72ee+6J3MlOlXBV0hvjLu4h1VeTB2qq1FE
uZXfu+uP1HZvazW7tF1cL1RAa4OUXUMmO3rwrb++AZ9fSq4HGwXWKHRLoDM+mxTnOum7mnch8mTn
hvGMIlTEiLI8dF/7rw/1KdXZgrqiApT6uQFCh2c4n5abYlGGvlQyyPlWUgbtWidBYogQx/rqJ+wS
otXRaQiv2os1xZulW7qAnZ8SmI254fFw/XLKXr8+p988DgSf4e3jc0Gd9dlONUgz5VgFMZ2d3W86
ahGoLCT3Wc76ohvLEykZGZLrMt18fdxfPtWOCtSDDQokNxf602cmGT0b1vOZ1NylK36UNmId38OC
g1qbkX2ESW49n+qhObNLg8YDtA9MBwBi3r8+jZ9W5o+vA4UC42wNLTcL5udbMpRoD5JBGUlsn4x3
S8TPxZhdTqp+wkj034tpsO9GapvE7zQvuWlzsezKcg0r3UuvFbfdF6XjAi0qmt3cOnQqnSRB6Kc0
OGzNud3g2WiuHaVNLwUui31hrtreq9cpatSyfka1bu0wfKjferHq29hsvO2Q0g7GWyw30qmQfM+q
Xy0Qc8purI7NVG+lRCSkA8QP7KnW9yQsvdaK4xxAqBgvXa/NN33VcJID+T054/1a1x/kZMw3pDPU
pFad2Lx2Zx1lQ1hWRh7KZdX16zb1KidKmUKEFKNlHCbTNF+UhTSPvZvTFbFVhu4z1pb7wiGcZSsc
xMx/eBl/XSPwmcJaJPyTJcozPxVPeB5csyjbMZqqwXp3Sxnf61pc76pVfWAEN/+hHv6lWEMQTP3N
Tosn0f51n+XBqh0YYjSRUKwlnNple6IyHq1CL7ZlY7OvlLaT3mFfzqJlLN4zOjuBgbf/T7n25udV
mdeAXQD4BvK+2PN9WhwZWKgiG9QmgjViY9JMGA55xnT19dP+m5eOB53qlJ9KR/WXNVhZ8D+ghpsi
svTurMS855l9hff0begKGHB0x62120nmocmivH198J/knI+vGjcXmz2UIhUGx+cdHYkTtYtmZ4zE
KUNo0AD7VeifwsrBrADixM7CcpYKqQjKfGNP8fRIAk5+l5atc5YQXPRjzEdevHxWzvqKCBxfKTNj
CKA5k8UQn1bvAg3Rjbp4eoA4iSmVw1+kWp26FUajIZYbsu3Xv+nX1ZMgSgt8nUcfEUvvp4quJHHE
a6eJ1aNNANeKNrtCjuFeukxyz2ZUuHt3nJOo153yTwQXCp/T2/DpgtLk4WvNGXg4Gj99TlIt7pM4
pu0Sp3mdbYocjh9QgGqvN1AKfCFs8dxkBSoforWcfSsylPx2pVSXsVXV77ObZY9JbffsnTOAGWTD
Xa2xFdMxIz0I0mmzPLk2c3hdjD/KYdaOOWoZ0s8wxLnTadwpccSaZFi6zJ6Gaj5RMJfmCsbgM1mL
8KdKWK56Y54Jt2nDdKruV696Meo6YZ3pm73Rdfpjixb229J4qJmapryoZ2Pel3Hr7ISly6u+RKRK
hebdjIspjpOJi4i54lAh5KxMY694ZYuaOtfvyLFpQGyRPrdSX8DfHMQzk3Rtm8d2HZAYycC0FhJT
Dp/Vp7Rqpnv6VF5UmIXekmqOGEZI6HqM4+mnRIJI59KvqrZBr1N2l7Oy8OcY5fxZjLgP8Vw3ri9K
MSgv7Cu0u24ygDmgj5EnKRNVitYhNs17TTzPpZeHq5zm6yIfSjAS8bpXeyW7LGN3udbGuAlGoSBz
6cjMouWAHS6FTv+SImRipGiMKoJy11qtSNQ9LsNOggRqE7rnm0LWKHOWfL6whNKEVqomcpMLsmsC
PEK6vUVsyLWwp+6u6jHy+1Oiiud1RHVC1keD6cRQCC1BanbRDXPMJDyrv7mGTM/ICOw3JZOz0Ets
puNjnPmj7YCAb5sCeYegjf1M7WbpPp3iycd7ke/KNXWi2k2GCLWlPCxFnu90XMXvajIOV8vi2gzH
PVjr2pQey2rODwgIs62TZxMzE7StrpobQadWPGqoHaNUaBdprJIlqDRFGvajZzc+Dk3Eo2VqfZ/x
nCHjtFVcJSs7/CRye9p6W1iErhnYeiu3/RhLY78wvqdnZo/MZlh+QVsKo0xyH5+83Kne7EV5gV8J
e362LWwG6G4ls62JiPyItj07pHBGdyUpnTeqoqctIWIe1rFkKpfD6hBT5NgUaaslvHO0Wgiv8+xW
ywvtXFqi3vaiVR9az0BRYQsraqYl3mCm06pIzeqBqC0yw2Rtew947YgLbV3nW4aBb7fW5iwDc4W8
ORdL9YjfcKWcqJmlK+Mc6LqClk+tPP1A1AsJXKsTaaQkhutsK7xkWnZDZKBguu94D8s4elFLTOtN
q1BP+WvjyouW1KBNM5aBGBfMTEavHcEdS+a6unkRM+qfZYf9oNCcY9O0bkDKp8ZXqc8InauY87ei
cW2fnA/l0C+TPAL0aG95TZ4H8mH/D3Vnshw3c23rJ4IDTaKbAtWQLPadKE0QFEWhBxJtZuLpz1c6
J861ZN//Dw/u4EY4PLFFVBWAzJ17r/WtXRDJZoeEaz3Oo0v421zHV3CrrYsNKC5SJyt8LmuEUzrP
4jdNwOyjLtztQzbcTCyi0UGyaD7W9NNvFlvOuw6G361pm+AmxMF4My5b+N1lF/iIO4tbl7XVm2Tf
Pv66p2qqg32jJ3Gblbrn3DqbHrhVXOiLcGa2O7UjR12Dee8mE4rpXOkJ59lhIvJoumi+cAIEMWCn
h1OEne0OS9E+9iZ9v7Sufuy1V54yEFqHlUHGwQ0zs7cIVds3Kg5SbfvRaeD0f4Wv910RvLkkCDFR
vFuzd9EE/kPQTmxGcoz3Lglq9yVH8vsux96X0Fu1V8z+1nZHCoR3o+aQcITO6SmOq9qP4bI6NclS
/uLdBKW/ThCO1EuH5iXoiRwkhNK5DSueXy4x0icm4zaoattDFjx6XvprF5znjvHeuqwZB7DS7dU+
Y6/92hD7e9tNkfzqApo/TV4R/FAajf48qP7kIatAg6jiPXorB9fkWNt5ilGxfOttwWd09Nrd+v1C
lGq2Xg0NypIiyu/WOEIJIP3hCuqcvC3rJnqwqm4hNmoZHpco2r5t41R+CYwwD11cPHWqtz6DLRSs
PWip6Rk6t56x27SpVvwCZlvuCYUt8PHmzmJuJPbqZJGYDRD6VjK8k1WFYmFbu+iR5pG82traPQQm
4h8zlwxf1nDV5V7bsXIxl+Wrvui6kXinBuXHIZzjZccvrHyOxE7n7OhKV3oXedJK1GCC9bgEeXgg
EAaJ68A4W6OVW7dLuaFszGTXPcg6wIkRkQ6TYoF8abSt0mIcgzugqf1nBTHvS1PEFpdGU3hYoct9
8SyClZLC6ouDmtb+rWIaEKbBagX9noRNc5jiEeO2Kub4NIf2j23pURuuJM7V2Eu8dRhQ7GX+zVTp
6ktsd82xzMIqANsXRYh/S3XPMGD9FtZW/V7bbfncS50f2s4jvBNnjTsfsLtMgFZGMFmWWDtEdvWM
uJg/3174ObrKzG4u0d03D8yD+58wzRDIImzHux8v6iXQnrmXFiY+BKB4a4SPGxCPknflFGim8/4s
+guYQdXyuLWhQmIRiXcVu/Pt6nuo2zI0tQftWMVtRqTZp22X3/H+hXc5+q8flkStlizN6r9oxZrC
NNroe+loqppaRuHLthEMF/aIe6Ws6ks0ri6N1lk/c+4Lk0nWzYkttfm6bHaMuWoskhkbFotZm459
/mTXK0piZ0o9bTlpPOUnlNAPyG7JsF4HKEOal3XNbe+SLiuCuABVSH/EV8lYXypqUF93j4a846Pt
qHlXMHH9pqutLV/DaftqSkEgL5s0TstlPBcXBEQfS+RMmN2L+Mpo9yqnDr9oNdGjvM3TesRKe98o
izR78OEc2Ap3YJfz0E1FqfBGtvawY27CbxLpe6WyQia/qqB4yVEbFdK/7Emg3hJdtsMFuYlXEZ/x
hnJlumchbZJwDl9b/1zHjE18Ip2uQTm+PignLw9s3dVJz9vJXtp8NwdD9FxRTeMQx6q1UFJbzeoc
1qK5WBSODFNafcKxFte7G37psnOwNmemBaM9G7L7M+OZuiAOfEuk3fr7SMK1toiklQVGmSjrIpyj
6i2oFuuimTQfWUku6NeYDPqx/t4OBZLfzg4PdRTm5AQPVNdRfFn7K1m4rTvdzSIKLsnka3cjHGHy
iNvyijxAVqAxM6+23czkZvOq9IQHqIasU0fZ/W6ZNLot3eO1x5CE4cg7IpMlv2+Cei77i1JqA16/
euZlbtI6325B1EbER8t6Pxnvfg6UzZvviIcoczS9U233l6TxLqTSFd1draS5dzc5oR0kR/UWI3N/
8hmQPowkwB834Bi3iPXu2NsW5ON2SwVrqDda7P57FcTTvgyDNo1Z6B58Dd8malr/uprK4RFednwd
Oe1Htnbm1DQ07DAWB9G1Pv8P9jhXeYrMk/CaPnf2hSVEUhDLtp90PV5wBlrAZA/6qlDIqN08X174
OyfCY4G8MV08Tymc+T1v3w1Jhgd7rsli5am9WmpDReZlxXEQjaBOzkjwWfyAFUtyD/Ns2JdZe6v9
zrlFwo3WnRrDWtzuIpsyfSjOOrnMjQX/XH14gdXttV8YQhO9bedTDGLhr70XK+uH66bLzeNaOuWl
R9DRfb5AAFldm0MOVDgr2Dm20u2OAbFm+XTMdbjhWBxGYV4ChU+zIkaayKIAGcvQigmYgtsjLes7
/8bLuxpaHkakJuktnvqNg1sSxuFwYiYEJSw2COOSscSyh3HAqcxZ5l0f4mIt9nBB8jpVcezvKsvb
PoMqkGqHrK/m7+QZiZPWMAf3Jis8Hp1o7L9VYZM/rVYtL+dKa3JwMxXlO1o06wOkVSo7rPXqdpgz
dbv2rj4MrkXKZo45I07hgLbPS1NZ1wDRfbb7Db0wOYdI5GN6tuiJdovYZJKBD7q2W6EfJ4nWTq/t
T6safAGgy3jcdBvYcmmHFsJ++KeocIggPyrhR9e03qyrfMNSR1pE9Vg2AWZxEjq/Fm3QfWlXsj6Z
gZfH/rznO0VH+dKU/KjbaFh457CPdqtLJSjYBS/Jo83v7KCbKbG38gJUeEfn2pd73VjDrW7jtFvJ
+zWzrRMaT9GxAmqbrsy+zIwHvjUDUcSxFWWIlc9RtaUXXqxFDt3DNPLD8Hjt7Dz0DyTJhgefqhEt
w2yqhfOnse79Fhc5ZwR5/Us8NIvR2ddbC+XRyXr7HT5asAtGTLRZNRMebYoolfT1Ew440WHacCZU
JcqsoQl3k/Ip6jxd7OwqU+92TdgK+Ft9INHoaiAhl1Gm84rI9weA5fx1VV75fZ1t+wD9pP1Aho2c
xa5RngswM6pZAAX4fXFtLHK7MCvbu0KCkvCFQkWp8Mg8xQLvMKYuPzHW+SNNAZ2XtbmOZkAuiY8A
PF3iNUtHDJ7Xa+QelUdNRyyBhYi8HvYdQPIrm279UftxduVsXnPMrVnunC5D3xpJXtaRCZubg0tY
WKxAOcD0L60pvmEgsblpsY3oYmgyX/jz2URPxRAy/+nPJrV6yOdnLMbQ9YPeUSqpQc/sifo4jrRE
bmKbjvTo+Tj51HzcvJHyNvcWfkWvF5cku8OQ8AyIyNJbvwi3VpdSWniegd/w/ALv3dNR7E5WG7Pf
je5uLZ6BMxRXlu30dqILCsasiRhXYSNtkzUim6vqPA4C1XOuyL/GD5jvOloSdCDMUz6VAU6VfDzn
befm3DNfLjPPWQ8dtsy0xSZ9qG2WpLghmxy16Yb1hpL6SGegJ92B57yqCMWwkwj0EVbQhT2qmpzw
eqzn20VzXGTbSdfYWz9ylAkpFfTX2J30LYQNmlEIFO9zgeCdzohI+gCz4Jpl13GIwC6YJ6JJsrMv
wOovt21kyxbWm4asNyH57ZyW6HdxPsSpc0I72ZZ7vQUYEMUaH8dZXoplIdETPfXz2vGPwQ9t6awd
+zJ3SrzJDOs4q6TTWq+7XuUDbRCz8caSlkqON7lmNsHR0uTMWM87AiyO44CO/Zo0zTxFBesTFJ5V
kPzNs0HMv7NDUA62FYQ3jlf7qV/KazIiyn1d8iggiDZECduMikp900F7YQVsHrM6QpJdtjGP2Ey9
q49uYL9wE97B3r3yQ70av75QYsQiE5zU0mKuYUcW+5X40GGH22DKUAh60IepHWJsZyR4p5Gw9L3X
VNOV41IEbVuVhKyUCuCSb51DmBtzH20jWCic4DKRa2c9Cr8ekiGv3FscHOtnSeTU2W78BUQr9jBR
n1F/Oc2TeLL03gicNBkkkCO0PPHB+xQn1XnZNzwsJ2jG+P8kzaKUoIBj18UzOsWAfORgwNC0el9W
xyPb1EVz3Lby1kfEmKBq+1K2brkLY1Ojb3O2E8bkZi+5mxdl7xJlSi51EsTrRCXkwaNxcs7zpRd/
c6ftpZlyjpKc2tlFoUxJU/2gOVGnQ1y+uNpaEJ8Waxo2848lq3AmkJilBIdr2pvuve+uGIqr2L4p
wnNCfbREtyUmhZ0jIbqhBWxvc8u5rDkl3567/AUUqwVnX9SUr5kxPdt37d/OxezeNNjCbu1hRB86
5AdbeW9R7uSpB08Axq3r3wQad0TnqeAi8CsBQFrrC2eZUhxm/HFKA9SMs/4eK0s+9pVmShJwdMk2
Z7uip8+8JPDolvk6BNu9DBPhNG57aw1VdjMXTfw97EcHAHbZx4ROFRbdtAYBxZjmQ2exUxR2UL7M
NHlAskc4lT78LWSDapyAtAgOyN7tiiEE+T15vJKw7feQnshp4J14CLkHJxBI3anD5E5q+BZOn3Fg
MHTORcUYxszzRVeZ/C4MpboFBWD/0FVlPcnRq39msjVk6OTy69R69eM821hVQ5uOVjggUDDKd45z
Fi4IHCZ3V9Os2RNJzMND+MDOG4eIVxFbRe5O5tnpyvGo43p9mTbRP3B3Z3jlS1lcZBmFT17Z1XU4
5s0eaYI8dX2VNXvOOzqh9AmIYCpzzufkQcPLUyM2rh7XMZe+mTtdMjEcl8tq0A19R1xV2ySigxmD
ChnkOt/GdeAlOQ6F+yWzWoAF6xmE51PVkF/AeHio3JyZAOcj/Vg6nc4OQ3wOPa6d0X/Pt5JGBQrS
eL+2mtu0UDJUJ3dmeXGjsPlOCDcqObypVYLLLX4egsJPQRFImE2teO1Iaf5iUdqEvSGXvCbRJKE5
Z+2iYeglJhu2Cfx4cSrn0HstJ4gRc6jzJ9b4Rzp6KTa1AmCOpjR5quk+UqiR1x4MR+2N2JnC6DIv
2cDICMLkWdip4/CYLHHzbW5pPky9xtQUWj+9GhWdXUg63Lipt20Re9raF+RJ0ccpO2Ipopymb8Q7
N9TzaxlB7Yu95WNcaNaMjZp2fREsKeFYj7If6AhmFo2BovSvar46/mrfvx6hfB4LGBNEwTfzrlnr
+bKgi73z2WQ/7YwtevZb9yA23/802sGyj/d6t1DoBWtBYaLi9VR2vbw+C14v6dcDVspdfzduaw/o
YW1bfKtdkxb8uytvQFLCT0enjxbs9LTYgZ3QvlpvZM5C4dqZ81wvS7y3Fy9gpOV3BVUuNilnisgQ
DybbShDpBjxMOnoYaGtd/zpwm6JTL3nRwTnw8nUnpmpOSIYuLnBT+2y7KsKzE1y5IiIZ2nMPJprp
WQ2wY45u7y5PjnDAVgqzHmhW4xVF8F0dvbWJL4RagO95s/xajX343lVl/TY68/RKXy2oEwWOq9pV
btGf2lVPP0AY9KeOKdeltmgTGyqe62EL5H2M/e7YmfzegITYeZ0pXv961vMLsP37uOUsmeMrBGGA
iOJPURX8PrrEtjvsgf2K1JqGswUpfgE0Bi1O3gFZlE8+n+qFmcsn2xNFi9vaIdJEr/Hfg3M5rfIo
OIYDR/3Gbl4cVfVXExksCd7Wgv6aH//NZ/43igOfdR7hjEeAEIPuP4Rggg5TprwatWpfiRdT6jgl
tKfgECDrtBEI06bziuMu/Y/C40WaGBqcqnYSNzLqpoQ4AtNQHP1dgNK/zs38EOW5Q9gsx0HH+WPO
69ndkG9hPuyxSR8mlDXMox4yDpgJRmiB9YZwsmGy/o4v/Mul8cctRNCDJ+Q8hYQt/seYNfQ3nmgy
2fYbvBMC6zJC6AO9VrusCJ9l5b0jx38x6KdTkpZWjggU6j4Dg2Qeou6+wWeKStN/p/VQ3zCIjG5V
KfrLcDDebsP/+LXd3B65sH0eUo0OwwTtAKBXxc8RsXFCRzukUgNpwHnG/cjG4TbrljZxpLPvChUf
2w2Zoo8c4TreuvbDMrgkQugZV0Hc1uwLW8+xOwieaccUl/a6rV9HqAy7MWuXo1VhcEY/1VDNtF8j
rBY5llgn+Nh4dxJevf4kttx8/nop/h+4mf5vIee/JaGTp85//j/Ipibn+Z9Wj38Jp77/HJffnE7n
//v/OJ2C6B9I2GLGtniSkAR5/+R0cv6BUJbnE58PUgCKqP/lZ1mgtYQgkeZMj0Y95eGg+F+vk+VE
/+D1ZqwPqutXDHX8n5idfhcjIM/y7RDtOyxnZDk2BP7flVrEsQFQJmkMiTsucNn725GuePY3mP/f
14D/ucpZ9IAgQbCanj/FPwnRRqnwbxOVtDejfLSq6Cjj8r3QIeyMIt6V9Qpmtf/5T3fh3whTz+K2
//P+//c1Q6CzdGFZxZ0/I/26iCb9WEzWTmWG46eVWY94cbJrf9ronqzejUYs8x+pPv/7mhGwW6w2
KB9YfX7/noqNEMjqaoEYLL84cTFfUeFvCfEVzeGvv92/+0URmOJqAuDMQxT8fiUi0sowj3CUGT2p
V9SyFkQMu7lVORWqYX+68Gw1H0zbNZd/fWUevd9/V67nQlsLf1leULj9fuV4qxgnCLbGtYpWe9eL
2Xlqewx91L9usfzNL/ovz+dZ8oAn4KwoJyr1T8W8Pw1jPjmgtAhU9FPMWytwxrC4+Ovv9G+vwpVC
DABoyv/UMM8mNA2E1nG/NDq7iboGdXLhyv1/dhVEgUDv6DL6iDjO7sbffzkkCRj7S2ZxOPrNfby6
1sF1ECz89VX+vD/nqxAzd7ZX4jtDpPT7VeAeialryHqjVw7HrnXUU+9lwZUcnOxvJDF//mxcijoU
ip/tozHFbPD7paCkzj5pbtMeaUyQxjm9CdUCgvzrL/RvrkIibcyG6SPhwt/5+1VGo5sFGuyEcNsJ
d0AVELEA8vrPb06EAcQ9K8NJ5/szaoGJf1+7cpj2ymLSPbWVl7QLVvv/7LuwMLDWswQiIgKc+Kdl
zHB4HlrwO/thADVVZVI7x2y2YE/99XXOr/8/L37UO6iFzouDawOb+FPpyk0Y1yUe7H1oT3rf2nq6
cHGmfs1FhLgDMlt3/9cX/ENex+iIQutX/UmNF5yzpn6/S4hsumVdI3tfThV06MGj7+dYqP5du7oS
gXzPRRsfNwK69qbwkRaJpryGL2H+5pujbD5f6p+/PIYQnhd2R0S+Nl7hP1bhSYQbs98WZWHuijA9
MzBHsHlb2F3KqpXQV3yJ+2wnykq4B1WPcfuaIUaIHmYoseZoNSr/NDZxSlcu6TDTzaCV2t585E3z
fc9e2l7RTyokZ4EWbQ5MIkVMdqXc8REHJ3YPGhU022C6bONFUyl5PzFopjmp5Hht9ystSepyzTTF
lfUzpbMg7yyYQvdY5jQEUsZLUbFb28CdURUtQbizZQHFe1jL2KHlqsyPiSCibb/iNBFvuTNMv9gJ
bXlCEyTqR+VbkznB9NanBQFjTGLu3K5pTuGJNsvIje52vfW1dXI95r/XoTC1v8vJU7sm13mzCObq
InqMIJFfSII44z1sdMJxR6ghHq2qPFUdubI7mgf1syrDCLFRlpvrbPZs+aMj6BgI1nJ+ZYMapkfa
IECw021x+ungN5AYkr6Z4XDMyFfcvaeW8MsUjkLuXHceo70VaMBcvQO3mAb65N9D+GbKHo6WOAl2
uojm4FKjXfVnccBEXORpl3tugcF4QJDrlS5s50lYvb/rHHfjyDnp8NFuw25OJn3+K3ato3Fv8b1/
WgAomQGIsguTdcqmjwoVxEbudbHke9/WOdyPKX5EGOB9swqSlROmRTD2NOJVoJUoStSRwEBa+GXl
oPuapFRf8YXqn5vo2JkXkb+hvB7fS9vus11bKtiOWZ/TPGNeFryJyoDRGbJYgHsXU3gdjGfjlGtF
1h1SRPlRr9ID02iHNHbnACFP2ssg5DhV0SnNxyIfmNEEPIzYXiXdqbqYDh4SNz9dXZy+Vg7tYeSU
D/XZ93wO4kEOIXAspZ3qKouPqyzoDtmuZPQCAibzE6nXst6t5FseLYxq3+a8lG9Wa4IvypO6ae+j
Naii/gHw9LTdLDEhTst+Dt0OOUKpaHkWWOK5ZRhwPV8hp60pixSgMB2/BvUiFZNhFHVoULVbnSJr
Zk4+hsHWHeqxXoKknGHSpG7tD84Zdso4VuV+eCfwZ3pJM4rSSoQx7nadF3nl3KyjU89ouekN38EN
BWWhRR78oHcmn2lKkl84bTPK6ihWmm6EGNZvllp8a99JJ3wwfUWjGRFiCbNvVd1TofozfSzLyCft
3bO2cmb4QA57jiPUIX7oOVyqMwIuquLnulCNf6m9pb4txhaEMoBMbzg0TTfUN56KxFdrW4cMODMd
/FNsESCUWmPgQttBLxWkZ6WCB5+28CFatc5nWMotYuAXZlcqcF3O40VozMF3xhmIbNwzabDqMZjy
G0iKjpVG5Qbtw8mcUB1QgmY7q3RB3QVdtzY0OK1iSu3S905IQgpJyjehz/u4IHI+YS5nfMgfnRnS
pbPmn0ogEk0Niwxdtc6P16vCD9drZBSDuSLKu+ehVBYgrN4d8x8mjgY17p3RFugRsbL0bGUm6eao
AE/va/9zoV316o1iyo/j4oqv6PSKbyQolK+bM3tfm00PkEpz6Tupydug2ski109NvCKEHCqrubQ3
wNHHyFTUFnbZNx3Uj9xifBaG4isKfvNdmaF/jApanjsknPOQMIoIId7j80LNTQCd2HtkGT/T4Cnd
696KzZrKoo5JUxCh/dELUrL3jPN4eRreCsJISJxCNkt76ycHtMZPuxFZwEUmTAE70s/D4dJfF+8C
LBVlzsqI7EsDTuSMaFWthvAr+s8RMtNpQ/3kJJ6Jna/0qre3dqxpx1RUGDKpLbepU7wWCt+VMLyN
IY6t4jKSqzjyLIeCydOgIe6ryUlJUqQ5Q+LyOp0WzzaPUVdHP9E8M06pBFUAyQPlZu0YJcrv8F/8
H1ZVE3jrCSt4cAfcJ+eRAc5Z/JiQ5Ff2IFpw7rTAIl2Le0xYIwN7HW4gjeueCAAgAcX3hWTZMkUV
SbpzNi6L2ltV7Iz7HrPZE44yPBJZ5ZIYUo50x5PF65f2JOme3NWrC0KCCB2yAQ3Y+gbF8jj8dMBS
rjsf+CTSq7BEfgqXzr2nfes/eD6d96az249Zr/K+gvgHm1aaCMiSGcd3QvAAFKilsp6V3sybLpZ5
TofM5dFvXen9YEQYmktYWHCXq6yVEIZNa/wDMmJnTDtaUEy8seNNVwg8BH1iWv+gxToCQ9tqcR6Y
D6KsCQKiTQ9YZ2aV8kswyNDkjyYu0B+BZFU3P+Nhi03STDim0iKyzPW0eGt4cDn0Pbjzij7Azc40
xEIFxr8IRCG/AHqA8axHp9XJYM3la9N3LmosYMgwCI1nfoqJuSoz0qUfrwUYePcCwQIqYCbFXsw0
28bEyjClHk4TJ5dHmq682vT2MYFo+lBJWJjuzpnrGY4PmskHmtZ+kLZz4wVM3cD/gMFmxA0Lx1lP
7RJbM/elyB7QDAFWKufFvhnPie3JgCzxhTUH5QQbe3xbKduzUztcg8/BdolhkOP0GXgbyFpQC5U5
Ej25PKEoge5TNCDhb0JEl1PSj1mPAmBS1rdRtNsbHj7mr0Ys02NGCMGdYB7p0yEf2Vki4PFmW9mn
OqBaFu+YM34zgbER52kxZ/ygs/gS0Ff+2AAcXCyNWLpU1thcesjw5COMpXWHep0Jalh6xaeghL+j
DLC/C692ByxuTOXpUvM4AMwV9ndnEs69LOfhk9pOzEme+zNylKHpiPOwpxs3lxiYMa9h4mV2QmN3
2IT34GBbfaYL3WLpIS/jehnDrUkXVazfN8SSIHrdsz198kx9mQ24aGBPzBR+dSQqhvhIYqmJneWy
y1eXOYSb1Y8cMLcN0aYUTxaofvBh2dZvezXaNeVTwFg3wanudzsp17ZJYs8dVBKomEHyWNhktE30
NxKc8zyvYRZF903ICpdSZQXgNUVcP0Pc40PWjmi+ty54Syh/k3NfKBJ5UljV4LyLETxhElUV2kqE
JMy0NjVNL/PQRjejaMxwHKyBQZRAxzo8L1vmTmnV2tlyYVE3YJQJcK6Bm83WYJcxA/PYQ62moJCV
nd4zBGWwPhdRYSewrUuQVMSwbHshrMXfj1DIGTF3fYHUZR7FQOFhRXOqi0m/5shQZ6AsQTa0RVq7
jDWSPlZoYzYPhM0czfbdvPUxOD4FwzxhWsgLwK9vfbdtOYjE0ngQlrGNH5rZcVrCCZxuOqs81/uw
zZ1sj7iEMm6lpX8YzQJ8YMxK2JhdoYv+YNdbviTeUEuLE2ftgKqM1/6GzFvt7ki9HT8GEkZZM9yh
rSiUDRzbSiFQYnePMVVGMm5/DOG6bOkqhfjRl/kWpANkCRIRARmwFwcqBOMO/oY5tcZocRCztzBT
3EiRgveG+QzJ/xA+Us8tcHWHrnxZOR0M+z4CKCz6NtNoPbTBgUaCyMc4reO1hfGthwQKVQbabl98
Buh679Z+nN5sb9Qv/Grt51BKRm4E86IqEmEhv29TMT7mcZYFaVYU1MFlA9Gn72naJZMZJx+Hthff
cvqx5xRZfkdyJlguGudGM/JwhW4nIMYYMHaVPXUv62raZzuk75bAIAhfszZqfjC2bZnL9TkZJGvE
Ilx7mIsvc98gz3IbxfcoWZtukCTbfiKKOnySQ1E4CToSb018qwSd7JVZ980ZBcRlTCqDTMWILAq7
HjPkhjnOwvxiPUsyqgXmtitt6MRWp38WzUrpW8fb9E5uq4oYn5IPn8h6bcrDMCgEnnhTWClrTYCU
IefnXS4qgh6wVcvXbYjGt7AYGZFum2t+5NoG2lt0kXPTObV9sjzXPAOcV2C4kaX3pxnJKOaINY9+
MO9srzzCdmCqC3f5tvim81nV8uwatnpzR3yO9yxg/t4VAeq+1Amr4R49FBuc51oedTXn0ItC+O3P
GGbmRNDK1GeJP/b6S9HHGdDEbhMKbU5XEGizTt4HemN0I2V5Zv8hHs3fy7y27qy+WX+MBUVAMi8d
BS3GfW7YlFf+vp0JV0cdMKpn0y3h81qd38y2soqfEcfVJ+0sTXE1ndMGKcUVWrspZrSyM4gt3R3g
XEy+nWW6h0rYbbYPI/wZqG6VAjpF6OFlh3noex0Z5sRREAwOjMbeYAW2DTmqjuwdwLfoZk1aWGH3
4ddLTVAAOi4qpmC2NalQME4SfxrNe4YfsYJemMdvHvEHExvnZsR+9KHscz9dwU0sJWpbFVJEVGW5
nXAW4+Dwsiz6UE2GlmVonJHzOvDMK1+Os71D1d+/+Y0qDE4oSA+Mj1E07hl5Iw0eV4cHIZAz9HlJ
pN2L3JrgoerP2V4Vn4mEidGzvspQISwYvIVisK+XO3YULQ8s1O1dMYzm6zbF7QtWe5LVXWKv0MsO
I+hA3c0fHoCwz2XV9cTPcI4Si3KrrJM4UMNPw0+KSQI7zhn4HrBljq54Ug7HmnREZnDhtp5TpBF8
729hEBdfFls0FYb/nC77hMzeScGY4urpozgrEV9MxBKhTvKu507QtQgot50Us+Bm2Ly8WF3N0oF+
GBV5yPZQ+tQIMQhuZuBzL+SeZMTe7OsA1GbS9D3hZy6pPGgPp06HOxSD6xN9zrNez7HYnpV2OMR5
g4TbuWYThGOfh6G+GKM2V4dQT832Wlt5Pu22oLWbNFc1PN8eXcEnQVRUZmGpPy1LVlPaoHtA88EQ
jDSfDm8TVxYIiVe0z00KHpkIKH/cqm/ZYIfvopoGiMbB4ozJhMM42NkU/gD3ZQspt/eKgaQaTjB8
LCj5LRFqQ27kdRlP2C1amb0IVIEYJ2eHoDf3Jcxne9upZY3HpUwWHRURgE6/HB/oQRQEslYddimA
RcuXcNjsy4KEeuKf7HH4vtVCOztMn1N+vcKDZnOAFu6nZVPOF3aviEzQhaPBfOPoQYA09kJfiUoG
5T4IZsSZQDld3sZQVx94FJqGDTiIDCagqosTRMj8d7wCkkviUts3Vm+GV7AkUBZdafpXW2/iqZoY
OKdzcH5RbZ2VX8iHw5PS2r0hhmnUP93Ygv9bdWx0rmk4AxHjMaHGmzjqIyKrmpp6xl86NDcK9bRb
ESOftkGt7mevuJ8tR1Bzt8V43+BpRdqK7OA85HbEm14sH4GZRiLLA0O3OM3ZbnzO8aYQe5YBPDNw
0pvuMg9RWr051RLZ55moX+57QazZfp6YXu1N6HCnEndsugAukIyRpyYCtbB9oGuiWFqaAO45Z8Is
qq7binytcbdF7RpdrnaxjgRyRG0mjtFSaG3YsskBSzKTRz87pFEF5Egyhzh4FtGVkioen3VJ2N4t
KkT0r34DyBNqmpVP81W2Rf7yDF9SIwXEwli1u62mAwihchYLgWfxlp2kDov5mpCzFVGV3YSLfxs3
Gw9l0ss1AAsWSyGt13H+L+rOpEdu5IrzX8WYOw3uy2EuuZC1SSpJLXW3LoRa6ua+BHfy088vyh67
kslJonowh2nAQNsyFBnBiBcv3vsvztJ+BBFRjt/c1rbz91E9QmTzRz00nMCMkRI6aT3Ld+4Rfaak
yaFF93gqs8hVOAexN0suQbkkH+u2c9VAyzvH83skIXhedjO+NcqpC+OJa1Ixa1UUT1q9DA2K2LYX
TsNJF15bzQd76FCMPeotZa2cpZyTSiHl5NX2E3CnF6mAcckqcOmKEXDwXSDJYEh6Y8KKysrgvGN0
KZ8gap7bf8a62rwzhtEirImyXM5aPyrWj1hPzSXAc4rEcapCsLPFaFCXtBLT4fHNLEqKNQnmHOAU
hopXwhfCYepE6PSac5cFSDHHiPo2CJAWsIDAKxY/3RHrP+qecLkOtCOq4s9iWGRAoYxWWo8aKmL5
I0iOlFVrI2wn79KWhfiROK1mHEsV/DkkEsKMeJrcSIy/QJewQEiHFS2A5740VYeamZ7jp1lpWoSA
nlulCpKIIxrRyWfurTb72oFA0o+oRC/xySwtkX6ZFU9Hic4QrnjMGstKPk3pNGsHUMXYuhhmH0Ia
ruZl4j3Z9y0tf0xohHkqS2S/5wNBvrJBBpHOQQ4RotMcMP22YtxndFkkSwNJx9+KsAk/0e2pDP08
tYaXJwFqXdiq3c9aO2nLuRtsmHxB0kNiGZA1SCKDsnFmSFDTWfBgcvKjoQILARsxosOSAOis8+Zp
dBrQtEiTW8LOME6N0dQ9205BQ/pf3ar/B6CCD8OfTdc3f/7j3fe6/Yfflz+/Awgs/z8AEFh0Z/4j
qXSFHzj2fyC59F+lVPn//t9CqeY/4RNj/43kEY0cQAL/FUo1/+nR5tAtsjjaO4AF/gMf0KX9lq2D
DUAGVAqj0hn/t1Cq5v0T5VSTPrztqDbuv38fOkBDl78J7UETSI/OMJZswL9q6lei67K264agxUkF
6WwtOlH5XU6vFuP5X22bf4B8ea6Ssmv/5/+4bGf+axSethI1QG+OHu3lKFCdnXpESQCB5AHXKCG1
3iGbnRJ84Xeac3tDrVpYaeqNSBHh0IBO4A+r07wTUGnzGDWZuqNvJDtQ/+1QvUyKWrvUh1GRznPX
WlT4geQmZIM+gMYQnWjmK08FKFpEzru4DgbPq4OiVVufHmL7O5eRsSPaddlS/ff46DKwqg4iEetP
R80v9HKK4IHd61gDKR5Q69D4t2keKJ5tId2N9bRMdq2UwbLYw+s+XB23WojDQADlgJJoKpKHqKDI
02ChstP03pqQCSRB8+itI+K06hFrY+EqC2W+oJ0GRL2MEPBx7BmH23txYxTblrBA2e6kh7/ai6XR
YzXohF0AttL7kJud8xlRtL0G/tYo6NpJnQcUVBEKudzxvYNTVl6bXVC7HWYA1RR+RP5/2lmxSwDJ
yxbgu9BSJz7QJ3Xlx3t9ejvdHXnhd0Gkl809BDdST6G693mXOw+RBy+1d8DmIFgV7Yy8NT8a+mBX
XvRhtdXIaqo4RYeTWdD3c39U5KtiTKCg3/5W15sPvV2d0EmvHW26NQzCWdQqEVSHA7Aw1bFCbOQJ
giQPbEGb6O1DIdlBRwAqDMis1eYLPWtW23qCaKEVzsOi9w5Or3bzXjjWnrrz1qyAkZH1uaYJFmK1
dl0JTBjCKQ5jhuqcyrYpjpWip76y4LN2e1bXnwmkyquhJMTg1QYxUHA2uyJnKOxU7iq4Ao8Qafcm
tDfK6hIZBshcdQNsuuC6Onhgh98lVZTt4Hs2l00DpaKj1gsGZxWJkiKdCxFFzAVY5J0VI9+PPRsW
MJCkT39j2f471DoSDWHchbA6yP1moOlOJAF1if7n7UF25rO+FO2eF3WFy2kAnsEN0FqmAj8qVHPa
oduJefIzX15VbAMXY00VuIrpraXcUFIM4US4VZC2VhNEXWHdJWpX+Ilb/CAa5jtfanM/IGOJvjs6
rKZlXO66GEtclOMcbGmdRPGVLi6PmeJkb/5ILsA1RDNJoEzUp1aBXOC5UwJSKIMs7r7205Cda88c
/Td+JGBEJG/gyXjngidZDVJ1qZ6EnZoHnTsMR1uLu59G3AnUAxq72PlKV8v2MpYnhd8l7MdZLRu3
VUjRhLF4XE7fqS4OB8PDwHtnmBfd7ovdwDggijSHxBMXV3N1XCsL8EtcdvhHuln8XrG95Kmk03Me
eYo9LU3Zf9DseHqnGKN4EqCZP2SAY3/tKdLRO1dc6slGvLxzesrlDrIaj9wA7efSmOsdbe6rXSt/
J4uO2B/WtGCELrcRrcHESrokD/qo974hVGHB56xEoEQmaJp0eHP+AZhLiu2yKKidI7h1OR7KNgPe
SE4e6BqOkhCoTrnqTG/dtQziOggggbXiH/kaeB2Rs6UMrUwVOdqqeeM7hRjOIe3onaW74j6Qsckr
E9zYi3aXtwr8uaDNrGCEFLR8pu91LmnOvDxLfNZNF95dm2LMWtOmOpZLMf1mGLEXCMtWfyGSoxCE
UMtnV4v0J7rzzlNhsBB0Pgdk1IqBV6RGM88fqflSTpmG+uPtM3d9DnSQjxbtSpCxKgf8coloYdET
og0dZPnsAuDrqrtGmd2dk32VOxk6LXK+AtIwgKbXF74SeWrvih4P+gYRwbnGzAepn8ifBzt5hFzV
PGF/8yfuqt3n29N7yY0uzx8j08ThpFOfMda5oVE7JfDELg2cOMbEb5pS47O1zNb3qm4wFB57B/wD
2MDp45zCTj6JekYzpAYKtjzVLviTQ9i13jfgT+JbFNszqiZopiHDc/t3Xh8/3hbkdyCFcQJAfeTy
M/QWqNMpSjIEEHLjNObpNysuDdAhGIhC4+l3htv6HhZxj2RP5bVhyl3xKlWhW155DX6pQdYDripK
qztb8ulxtLskDOysNr/1WWYH9Yy/0O2Zbm04NgKpGLk67u6rQBPrDV5/cZ8GU4iIC2RK3A5M9t/t
UV6O9uq78+wAbUu2Lsk0q7hbJhWUoiZPA5E24DVyFayNDR3vU9tO5oOTNMbDPGvxl4XO/hGWEZxs
MYTmaSi76V7XTO+t17TBAZBvOtgNRPD13QZIUNOAoSEPVagZmx/9ZHAve9toY3ENFKt1i1oF17W+
CnjNMk9Ln+Or28fQdyO9qM+Uh9Od3bM3yuoTakk498jlwdianYLiGC5WepkpOzFj6+hyckFm42kA
K8lchSb0bvBenqGpzkPxwYWN+jlOogaBp9iSeDNHgAisxWzadDzt5Je8UnuI7TpaQXQvVMiINF75
V0//qXOo/qLAnLin29tsayUsiCqybkTytcbwdlWiaFHoxkHajzNCnO7ybOZos90eRU50vZdtVJB5
LfFWZzkuT2smFi1KkyUJkqwYHyxP4HDuSbNXXR92Pq08Fuuh8HxBhBJEMsFhNRTgvFaHq04rYhj/
mlLnQ5sAx6BC/kWar6Su/sftqa1Q0LyqqQ5QUrEoVqGA7zpyhV9FotjVBhjqEPyUTmRB0cNoRIE7
6k6CJ/wHTVvGAPhf9zilKmo6VlT6Nb2oZz6l9evtn3K9ypwcDo6uQkshBV3d4ppeIY6JeQYZYb78
YrtSadCdsIRM7GInGFxH+8uhVsEJ9TLwVAND6aTVvgN/7c5CsSuYEi96gu5t/l+OJ6+DV4usme2g
ipDx1Blzb7sCAZZk2GbCBAQwgl3LztG9qtYRhGDZ6BRiLYvVXAUIGvtN56lVHBgxvBqR0WHFqjDB
3S+cB+2dUjbIxTh1eQrDzv09R5D9r9vfcmtbscRw6blO6ZCvHaliI1NEi8trEAldfGzGvvoKmBn1
pTA0sL9OYor5RR7ks5k9eJEIz70bAyKuh/vbP2RrUxkq5Cb3pT71olL6auVjdJS8KG/iAG1g6ngc
O6QxpPaHjczH3xgKWxSOFIVSCm6XH5nWVKNFVRQHTYN62TLTEM9QlQQPiWDH7aG29q9hURbXpfcI
BcTLoTopWNDnThQINY4fQOYDUG6s8JyieXUAw5ju7KfrMEvJlUcU9jaEJm6Ey/EyTCA8kRhRkC1Q
nYGYan+pTlnuVKWuYx+jkDNQZdaZ2lrtW0xp3bVCjQJg58Ovda7A3Kd9hYbhIFUmPfdUN+leyXdz
auxQkgMLFxV7FQoiao2kmmUU5DABPi9VP36MNWPcCQAb6RAkZ/A8krpINvtyXl7tQ0VxJ5jlaRQs
uVl8zJZs/hERFnAyM8L3+igcwCpOfDZLvaY+lpbHoXSmZ0yyCsAZSJTd3j8vzOrLa4afQ1oH24Yq
FZW5yw+KUQEBJC1YasOrPmRkcJi6LAo3KBbLXpoZn1S3tBpQvIb4s0o146wWs3mHRQYusmhz3aO4
AsD49q/a+hTAf3mqQ4SR9dbLH1WgUackigB9XXtSaa8caNgPmEHcHuZKZ5orDx6i1HYnGaQ4sBpn
Bojd2l0cBT374Y9Krz0Mdpv60UOZ4LFGB+Qe3eT43otaBR3fuv5Iz3PayxS3fwX2SViAIe9PveVy
tuwFrw8dRYH6kC6/AWVCTQFG0gl5kfYo+s6lBOxlp27BFHRJYHEUiVf9dnspNlackgNuVRRGXN4D
q5WAc9RoteniX42ozkfFVZHB8xBjuz2K/FtWm40GHqHVIXS4Vy4S8tjFdjkqPqrAX5UOelISo80i
LPz2VG/nwbk1GMcLQgI0K4ifq/NsJLWxZAOW3FOa9T5PUsQ0htx6tvLSfSTqZ59uT25rCel6wKFy
JDN57VoUe0hi9nnP5AwPvA20qSMiVdkOHXlzFDqnFiRr16NMcLlZ+nIkceobxXf6Kj/UdkouGE57
5ZqNAIwgLs9fm38gSK7aAjQ54gWQl+IPjZU+R7OLsCyYg7Oq4pnWV2J8bKo22Zma/Onr3fF60NU5
iPK5gffJ6yXFt/ddB5jkUYACCUANmn84xhjeta47BGEdOv6bP53F3UmmjWipByHkclGzUqGek0SK
70VYTKkDUX8Z6iW4PcpGBsJmBC3F0vIFDfnnryJ/ktnaaDUIuGqFnR+nZkHGvvKAtyVaerw91MYu
4R6jguvw6Jax/XIoOGsakMDG8+N4cL+A8V4em7obd1KqF/2L1RcjrYRwilA+T8N1S0fvKrVZkOf0
7caY/AnUbnHWQtBGJXCuH8B4Snw41eQnlCsQsJM1RD9Q2tLe64uaBY6NDNjMnfsMFQHJQG1xGiCz
BMIjDKv6XVxa7mmGv/F0e22uHF6I+lguwrOUDq685FaLo/KoCZ0w8Xwry+v3GGq0YbBoRuNKeBuS
7XdgZOIZXgyMFZC7wMPw8E1+ZIh7f4LZFT7Hs6ODDddUiCdQxSSW2qyM8jiPUR/tkFM3No1MnWU1
inI/vYzLLynAmNmK1ru+MpTa2UN8ALgL9ulOgz3k7YXZGWrddlRHJNSbbnJ9t02mD1wT7T2igiMU
0iXc+QZ7Q62OOkI8IWhYhA3jzG1/KbNGvXPonTyJuB//zqwMmqlQfGUnaPUC6hGlTmETu36vNk1/
MuoUoj8wIu9T6Bb2+fYSbpw7jA7oSUsNDPKq1dZSqPgMEzLufocm7lGJ3eXsAa3fmdL2KA5ZuLyz
Kaxf7omc4ee0YU9Que+BuLbKoY7LYieGyJ21PtyUo/8zymrnZUj54wGODpiBePNXMQm63qFiPtkU
Xw9poYTI3aPEdVR7u+gPtt1mb4/KyF9gRSSDJoIi8oJ/FS9HfBlgvbRs/QZ8O6bLM6DH0dqZ5uZi
OuQJ9A7QOVl7WC6Ll2kJEs2+i79AwH+LWdEi2sl8tkeh1op9C0wLfbXhYQLO4VCUrk+B/K94QqlO
Q95sp/2xeap4ZMvuB480c3Vr9xRweGuy1RPRm+/jWMm/oghgBW0d7pXb9oZazadqCreJbA4wgmPF
o0aGHXRQG47phAXQ7TO1NRRwMHlx8mziXF1uAx15MQn4cf1Bjaq7WVLhYI4kJ29Elv/2UFtfic4E
OQBOUzzRVgvY0nCjrsnxrVDzIHurmjMZx54lykZyhZ4UlneIztKrslcRKSzbLiuHlM80DtaDmJPk
IQepdmfaGpQI3W0ehxL63e2pbQ5Kdg+kSRqJOavDNCBoUA6Z7fgpNMqz7H6dPTwFHquuWz5QMu5o
MxjJTpiXf+k6hHhSXoNjhUDJ2jUOTVdncEG3+kie2++LcTR8DAhw7QJ3/86Jd5VlNr4fysSytE9l
n5ed/PNXEWNAC75WO85yVzXlqU86vEaqUeyE342lpAaOqgvIQYAF67Ns4lg3qwOjaKgOItSgYj/I
e+IkEB1/VKGGHoQHyPb299uqo9GroeqM2650eV/tTTjKYd4PjkPVlYLlEc279qMeobgHMaJ0f+9z
YqRZG+Vz1NZIlyeymzbaGq426Oe+v/1jNo4kGDKc7gFjkjKvY6ah9pLEbjg+0mTJCaB7c1TVUPio
/eyJBW19UqRgTAp3UDgodF1+UhNsZpPpLtPG9OUjuOz4YEYA429PaHsUUnK6HBj/Sdjp641jK9Wo
tsQev3PYnr0KLj7p2/jtVw2e21SXyOOoRK57r1G/tGmYMkqNazL28f33pRnK4O1TsVUbdWxq+cjo
rJKDzBlQz0dnyEfMZDkbsxQ/tsw3I6zkx9DBiwFAkU/n1YK53qIneT46vuEh1Axe3D2MbtzvfJat
fQYIBd4y0kOyXX35WQxNyRs7bh2/bWf3bsRM4yFU4uKj4SEZfnvZtobi6QcmSDbtON2XQy1RmRvj
HDt+45QIcUdQWBQeH3AqVXPnC20NJbUOVbpCpsZGuBwqi2GDLBMOHQAV6tOCnMgdag7FKVLGvRxu
M2pQrKEiQbAiNV0dHxx8gVeD7vC1BsdzzDUOeqWcqU3/5igoIqOw8aX03P6IJCzhotW/jZ344+0r
ywvGYKOYwCbXgKUQDWw8ZD0caAhUfmW5FPMQ8Tk3wht3PuJGyirTH1zyHKKzY64uOWtCzrNQZ9tv
a115xHVVP9WRDkEm1LR3VqLDecGA9dx08fDRFW3k357pVhThapV6TxK9/lLoe3X9RDClFY6e7edu
bh4cs+yOA7HyzTcBckXUqOUd4CBctFaHQwuinJNB2L5SeSYC7RBLDy1NgJ8KNrqPGBWYp7oN7XNT
pdWXfjQHHwOn9tlMF0jJb5wxP4WgCUIG0BI9O7kir2a8CE2fsgmrDOg7xaNpJ/mDPai/3h5Evzow
FNXQM6U8yaud22b1WUe41cYAnN037aqfMU7rNXEYmwLUpTr0k++W2vwzNDISKaEqqMdDaMTPwltq
5+AYGPMdRvxrp1M3VsUUoITvDcFgteVf1ehk1sGbnLQ4NGE94CeSC+gxMxZLn6dGV784Ld268wAh
Ca9nS4NTqQBO2QlzMli+TpPwdaQTIG93WmTcEKsMN5q9sXbFMAQOBu7vWh4Kx7J0EXWZxkW9q4dO
fFFTXfnz9rKuV/VlVGpDiE29+AavgmttRRnMejgQdoN0WJrl0cnuBhV9nXbP0F3+VasJ0sPmMqKY
/3JtXG4TiBahhcTNAASk8PzB1OPnZUHeCktn5TmuTdXPItP93i1utsNWWC8txVDSJYfsk3DLrSj/
/NUGRS8mtvRyGYAFIJhEOfbnotb1Ce0rcZfZbnQ3Le30/W0L+zKmVDZ0NDmwI6PUqzFRvSkbfeBz
mjl2AQsq/DDPkBQBVTfvZBTrBJvCGyQusIwEVwL8WrTRclMlMkoEpUOuUT/XmFqP0xV6NOhFKXbp
7SznOsDK8ajgs1VNiW5RV8upJ3CAh6FHwLo02qCa9OV+iNDuPvTJi8r1iI42of5+4t5+pLOOMPTt
tV2H2JcfwBtQJ9oQEtaFTZTncje0cxHMXYsjs8UFhxDQBDP19jjX+4bbg34EVrsSLbdGgbm9xiND
h8viuQmWmXWpDz8me5BMg6pM7l2tN04F8NHg9rDrMymnx3bF8ok6ARUN/XLrmNJ9xqYTE8Du/5a7
bgphUPyyaM4eNWljHakSwbOiMkZRbP0hjdodFaHN2EqQUt8XAsNCBIrmuzdPxwIHTbWV659Xy+rN
skQYz9VDUwWUecZfRyNU7sm9MW4oFXRCbo91PSPYZIi0Mh/YE4DaLpdu0dDCC+e0DGIFxrfptNqB
Okx+uj3K9YEDqqdTVSe7prC+7tVBOlYT6gd4+WBBdfI0RO3pqQWjieVAq4TNm7c7w8kmFp+KPb/e
7lPa1FnJIy9QqsE7ghWK/Dyb9hDAG5PizYogpoeyJ7Dy9WfSMpxLYqsKejv71S4WA7Un867tCrTx
FH3YWcKND8VHRhlQl4gyeFyXHwq+qWORmVVBM6kL/OFq9kdPfSuaVj6wDAlyJRNkQ7jyV7wKwmao
WIMmtCoQdW4+jbk2fTUqVex8n+vzyigUA1SNC8YiBl+Oks9oCeadCcMAiR8f4hPVeQ0prKkw2rfv
b8CTINwIv5Sm1qlWqloiyxS1CoYaQrgK7I/2fL/4t/f31sdhd4Nb0cGvoD18OSGF+rUkjMPOGNFW
QOWng2eAndHtUbY2nMuTjqYsGEywSZejeFNFFKi9Mhgz4f4Wz6127mfPPmfekB0bR4Q7CdbWrF7o
aNwalOXXENS814pM6EsZ9CnNKtdR4mMRK3/jsLIRgHSwp6kgvqSxr7bc1NejXo55GeCqo57LFqcm
FfWrt285+kDwJOAHcBl7qy9kmGqEZLuBWcM4FHc8MorzwrKBM+3+TXD+P5Igr5AJHCIejg5lF0CP
VBNWMRUF+KRAUKYKKM52SC25YJONX2nR/tHE+V9FPjzGffkZb4zHOml2usEb30xeHQB1GVzyMC/3
yNiE6OR53B0YBs4onqCSEDvl3hQ3DjB/PaBkQJ3wCdca4jphscXOnlEq/HaajgCbtvnHxG32wt51
6kTd35KkUhJ80Narq91bhK3AgagC0Oexjze0dUAMqQ/CvE3fG0ukHytgHXegPaNPIkc45/aR21pO
Wvk0OuBmwsyWf/5qc8LkdWrRJ1XgVAhtNYpu+fRAu53NuXGwaT5wBQPB1UCSrCZJolGo1gA5Ke6s
9jldFLDdyYI81oRzHn5dmTrsjHidqLl0IiEP2SRNPP6Ny3llCPgoA3E4yNtZPPI+5PUXVea7RksR
hV8gCaP4BpRhJxpvHg2P4EXYRxwfuOzluNYUtfj7xIQwZP0OYZ8oX6KmzB7cRjd/TJWJ0kofG89d
UjYPOpni1x5wz86P2Ji7BTiO64Bkkbaj/BqvvmliFiP6Gl6Bz6enPKRTmr8zVcrdrdVBG0Xl6h1A
gLdCC4gJQPPk7YCEK+F7FRPguXfNWJMBNQDG7uYs9g6OEnVv364WOb7kJHFUuI9WUyNau9jNFIEq
5ujjEuOsrFBZON8+FPKeef0ulXPhI7pyr8rvePVSc8q+zMciQPYu+VAttf4Bmmp5mtouPoU1VMtU
xMqhEn10uj3yRtyxeLZJxLXBu3gNEe2KXk+NRhRBUaP0p/JQQlRsrnycTMadN9sVxO9llrwsOP3Q
TEiGLteS/xXM0FijiGvbP7S6fLLQKusS75TmzTPaj3f2iB0atKB7MYtTpqRnYUR3TV39envOGyGI
sjQ5M4VICoLr8reOmUrZcWkFfY/mSohFM9ZM2fL2nQP1l9e+fEmBel6FICOFMZRHSx4IU0vIlg3L
j+x2D+K7EehYTF4cEtpMAXy1pio+uFpbgFs2+2o5lGWu3CtAzeIQqSDHRTv8zUsnyXPsVOm2wcP7
8hMa4YQGaO1kaJbW6ikXZfO7OYzLTltnI57IFxRkFW5cjyr45SiFgxipoWVZYHnZ9C2edNTx0ds5
VFPqPeRi0B7SIUKP8Pbcrsx/2J8yQcfAAw0EssJVGIsXFKhiuBoBMFQERxGoyYMCls4dokpdkKYR
3t/FrH9cULA8wUOg1aw0uT+2Jj1ay0V5q16MAHN5ZycFucLq8suk8w/Iap7dss9xuSCzknNjxyRX
CCwNyPGFDhZveCQD13lCHPN9GCaJr6sYsMXFU1qO7wvh4iprTT9vL9HGyQHnQZGQ7JKseY2zSpvS
HCwBJ02xO+2hbz3hz6jq7kTDzVEA29LXYw9wl17Oljrj1FulkgamGFtQ0HbzEHbWj9tT2Qh8kBjl
pwYBLQViLgfB3gG3z9lOgxCEHeph8YKbNbyo3ut3RpJ/0yq4089hI9Oi5PCsgdYYg+nuks5pYE9L
dowS4hsCcnw9Mv/l1yXK9h6DV80WtgsUKQwYSAf4l3X7oS3HLB8Q4gzcJYkeLGMqq0OBHt7nsYus
oPam/KRMSXNqcxf7yXmOHxskvI+LnRQ7O3frU6KUIznE0oFEl3/+KjOQmdKkhUUaaOrQ4CJVYMYG
oHIHpr/1LSnLuyBeabiD0bkcxXXiKI8rNYVtW0U+3nri5IGkOc0o3e+EpusJvVRvKRt4L/XHVQBU
EVwbnbAoAnhXyr0ZTn+0o6ne7+xN+Xa63DKM4sCs51ams72eEPJ+hteXaMfXJaoex3GuE/HRJJGb
z3DLwvZYjlUXnjMMEHDGHepWHLhPdVQSFwNcbDguf1D7zYdjC1pcpyBEN+wUm1PzUW2zdiJ4VAhd
V06EVSY0YvD9Rdg9YqHazyePXBXtYyD2P6fOSH4ZiwYtrKqYz4OqNx+ydGyMg6Jhw+LT0SiLYHRw
EoETlQ/VnUIE/Kp2GIMHCLo2Rwb2TnOoGd+EAdAEFQKjONe2UL8nKGD/qcymtOzqxsnAQcxT/4iF
MmvnLu/DO1OxFhT666pAnzBzQGzqKF8fzBKZ+Z2As5FEs968uwgFEn67rrLOqkjTTscMOEvr5deh
8ezfRWohDa8pzUc0+bR3WoEbJLBE/cEp1fCkYf8R7Hz0rW9OmAelAiOaYt3lJub9metzanHl2Evk
Tzri/lONVXyHsNvx9lBbm1huLLpZDKivlQ76MevVFjviQBd2jH5gmJ14gL/9pedRRaZpjqABxC99
NSGvNtCp9Jo8iLPQuLOKcXifQ6fbOftbcyGZhEorVZjo0F8umxllLOmCx3JeV7+o2GAHYVgoO6nr
dYBBLObVIKupxPqcxNnMIFmS0uNM3Syo8fY90jjfIzZtDsUrknYRpd0rzmEZLX3lNLg5DJHaQgoT
oR8CUkUvc+52ZnV9MTErIL0vBV06FKuwuYDSmVU75wM1dfnQ1p0Oh7Yq1GPeN2jX5si176RY14kd
I3KnU82R76l1+piGTeI1yG8GlkAjFMFCzJJRmT01Lnp8UpDFH1Lj7YUqBqX4KrlOYF3WaV2WpRQy
vTgP7CEZH4bKSGjGJjWX8LzXrdnYjJBK2PA85mgPr6vy7jQOC1qiWTAnxfguL3T7eyYcnATefH65
TCm60TOlammsLiGnLcAFNgbDWPr4Xm+r9veujIqdW2jjY3GiyCJ4XECXXGOReFWQ/0MfCdIqj44x
3lf3IlG1CUFhVXuHZKR9GhrH3YHqbY5qcZnzYgLMv879YUL29izmLIhgpPnCNMQR44/0vR1mql9F
ZvrVXjxrJ/ZufTfmSPfHRNgIWuFlELHRzZdVKdQxa224SzxE81F2fKsoGYUKHDzp/ZJvSnbHKoqw
lKbWVmhwjouInqY6zItDhVTmTkSUx3aVPFwMIyf7Kueau9g2JwT3AgsJ/XubPNc5TF3xAy2ZzMeI
yA7y1IPcMBfotBpdaO7szo0vaHCToo1D4gfgRxY7Xo3flvocxiJMg6U0u/cDwl5HzGTEcRp6TOtb
s7lXiiL6evtIbDyRaCFSOKUchIIYCf3lqEk7F2ktBPoV1oDAOxeN9z6pG4encGv8Nbpu82NoVOeR
tGrAjyKd7mJF0QP0bst3apHt2bpthHE6gCBjMK0kG1+j/QtiJ+bjdRpAZ8exXEnzczlr6knERrxz
Tjc2r+HwTALWRKmBwHA588INZyyueZSRVXSHNBbZuUz7vRxpa0KOLE5hpQlL0ZF//uqrmonaqNjM
8l7KYljcy1L7pZq673An2msDbk5IdmvJf3m8rJ9mToXrsrAYKhbetwjp8Qc1ifdIXlu7FFQEJGLu
QIBaq8PYTzFEF1fHVRk3N+DiYjrX2CE/mfGsHOPItu/Be+69zLZmRomYjIsaPG3oVbKCr0rVeywb
ggIhLtyuPn6ahkp8uX0WNu51eoFcsi8VUowmLz8VcmahiVkHAjdWMn7AMrR5LtMQTZO+9LpjFxrW
TsTZmpYHe5VWGlxpoISrAWdRdwMOqEGqVW5gKWbrSy/e8+1pbWXpvCQRNGPpgOKuqw+5ohaDmQ1p
gEHB+ICI8nQ/FlryZNR99hxF0LRJZPJ7kOTJ97ZdqLfFOAQfb/+KjXPA0qKrhioWZZC1uFqbtqCc
l4g44y7mV+yAEmy7EatowmGPRrGxrBw2i24Nk8b8eXXk+rEfJ7eYk6Cs1PK7l5jsztYrT7cntDUK
2RidMwOeO+L7q4+nj2C35wyBGEX7JgpQmQa+HDsX7NaqgfOQVCQuBmqVq0FQXIyyMk6CKYuUI2W9
4Vhq9oz1kNHtzGdzKPI925Ho+yseTbGMiJvXThxosfK7iKbwlIz6s6Jg33N74TYHYtszBOJ0VFou
58TtVw+zgxhN5djRsZpb9WwgeI6T2Jv5IGQOUHZeSm80w680WExUVhBT0NG9MQX1vwb8qqlE7vn2
hDYSBwSnKLc6NN0ldvVyQmljDYUO3i+gCYhUBKwJ3A6cOrPbM990Oo+z7czHEPTLchhzyB08xhVr
hzt0Fbx4+1D5kG0dyYNdv00lfrSLcNQIEM6sPiQDrgUDyN0DmaJzKooyfGuZXo4H0l6WViX3ahWS
vU5rkLkq0wBKQ+F76tgfXLOLdvb/1SEjgSQpQUtVoscpnV4urWmjpMuDOwk0b/whlH44qVoT7iRe
L6y+i8xPjiK1E6TCHdCjVeZFM4ASciKSQKGWUB/mpAUQoiBxh1+k8clNvOy9PabhSTcbJXBSDRuG
otGLd46OtGDUtllx9LSh95c2arFaQum1McbpPIEk9HNLUU5NElvHWPR4HzmGmJ+VObF3ErmrUyXn
gKE3/RneazSlLleqQE2y0TtWyoy7tj0JUZpkya6do6tOQrsTLHS5JJdLBj2ZA0U/3KFjvGazmImZ
peDdUWPRdXQdolmkZzekRPqgUjsJH7BFAHGbNziNjuEkfjbLHL33qrFCrWZG3t8NNfcBonb5M7YN
JahmfZIa+Vb1DjPM4X2cmdG578PkXbWMDpBW7B8GRKUxVFvM+67DYKQc1OauGE3jXoTKdyDVexz6
673HFJFzgEMJ5Yoof7miiaaWGrAIBJyq3Ho/Z216yMw62TlHL2yj9UqihQ0QxIGNAVfychg7NSIt
T/s4CKV7Yr/ovlrrn2LRgXr3vra9/ogj4zPqezleV6bPq/jeM/PhEJYNPkDz81QOv4QDnY1RHdVD
Mza+yHvjMCPRUxnTTunjek1kRUoSU0gwQR2uTgqMb08x6TT6ZjnMWHnikoF8f98rO/vrOpoxjnwA
gB6B1blOWSKsW0tEC1y/CBfjMz6u5R8VZf+CRn1efFqo4u4MuDUxyemgswkUjP9cfoWsdaam52rw
Q0wr7r2Ud5cxxflbEz5AcxLqIDl1snW82lKWl8BGpNkBv6EZ780eHyOprvd35gJQhARdVgPWPHAb
M5GlLphL2s3xu0jFuq0usmTn+XQdcEiyABPLZyMZ95qQGLt6NWQjtJBO1OJkC5yC3OrPEnTKznQ2
9oLM5kDnIWxGuXJ1QDoj6qq4dW2/jKL5cRQ5T3BDmh4P1vhFzPbeud8ej7tGgg+Bf69utsS0ukKQ
ZfkF1J5vY4+4Jq4886FDbPM8Vpq1E7k3tp5k4YFG5d6Gd746UxiodRpaXrbv6p3+GMZWeqZmNPm3
k5TNz0UqBEgU5hpy4ZcbHMK+h2SZnJUBdCgGkHLXGvOELpC9R6LfWkDuIgKnhLmBVbocyphd5AaN
BX4L1d+HZRHGh2Gi37E8YRBS72zD69WTkoFI/9BZJ4iuYVldYuGeEyaG3+gzdkENzjzdqBg7Kd71
6sk2HC1ViqFcdi/X4atXfJVay8Qwuu8K74/FxiPMok7rN/BNdup4W/ORemtkxzwKgchfLl4nhpyI
oOt+4yk5KHmrPxVRHr45EDEfkK/0pPlMXG+Xo8xGpI4RvtW0obE0S7Je+6K0Wv/LW/ccGCBoG0DW
KIZCAr0cxUN2Mq7CUffrGclD9GcSP60t9XOrW+HOUBvLxt0pybXgDzRtzeldTASQK3fSybvFfTuY
1mNfOHvif5uD8HFA+GvkBOu9NolQRZaYQbALmqn2O+5DMip7XabrkpzMOtjRpB4SVrGuqmKfjK4r
jsz+4pYNZk8dmBSCfRd/VEwS+2ctHFvs2tQ6g6QWlrV6qOFUR/fV0i6ISy1IfZ4X2xr2AuP19MmC
XrCBoDkl+eDyc6pR0Y3Y+WB6FdnZn/n/Yu9MkuNGtjW9lbQcX+ihb8xe3gGAaNiKFKmGmsAoikIP
OPpmR7WO2lh94FXWZYB8jEerSVlZ5SAtlVTQAw7348fP+RsQl/T/5epIp/hl9KBsLlPJXrivtP1X
RREHI9kmMwqZSaa/ZtvTYhSYnfcRlotGntVHdvarw8HlpDONnhWsn9VDJdhsg1vBY0rR5pNC6Oo2
NtFjCnFYdkc5P6bF+mISFwIOCQC5DecnYP3D8fog1mu90I2t3puYMVlKsZFn/d3wJkYBI8qpzNUM
quEqigh5RnSus41tM8U/9b61vLrBqrCY2wdJMvIjd8/XnokiBVcBU1vKLquAP4o4aapaNraj0DMP
5XmxCR0tOxLpX7ypZc1xRnLLptnwAkBfQVOMhaTrWycyw93o0AXQ+3k4aYQFZhQnvO3b0euF4PwT
69YmeoFCWcQkVisx7mjbdGikbpMqoJOIdVkb4BnSZLU3VzpwAF0XIqI0raLp3syZarhVHQ5fMOAw
Eh+5uVJ42HepHY6GQ6tsslKRNA6OCrO3bmhBZGeDmI41uZbQfXCfoHXAxQUgO2wQmvOrBd0lZFKJ
UunbOszGrwWgi81USKavCXhsaCXZ5yOwgSNX6Jcx62lUlIWpgCxM0tWB0o32LFsh95NwjrLLcuqd
MweRjzM7s/t9VGEZ4aZmOfhGKKSCOTDtLYXA8lIvk+BHr5nd/u2X98qSpLABHg3W9CLgvNpmIfoO
vZ7A0neKSL/EyRvKRTY17z1GeWpEQhE3oa66+JUcbmbKZS2WMi2qGK0+neuDMKliWer7txcQC84D
ZVHfpoq7GkVTY0Q/Un07YbzhGT2q153OCnt7xl5bN8aTVZJCfog+8uEoaoH1szbY2hYzhzLw8M0d
fcWBJeXW5lTvuRLpJ1T03t36XUrfsMtgxOARCrD+cNgxtSYl08jfJBqJLmAE2LqtUx+Zwlcezlbp
YRPhiYYE3sNRhkLv5KqT1a2+qHk7CuNsEFhT/GDgPHdjgqILMqH98vacLmF2tReRPmCFgEoio16L
/ZlTpqOxOZEwKGPodtOY3SYDfooKBvOUtIIOQ+VAvg7s6dfbAy8v6+XAS7ME6seixHn4vBVWvl1C
7CEr7hqs+PLuMkWP/mTqTOXITntZPaMAhDDAcoMh5iBdcThWiiup6LpJ2RaxDMm6jkTmobrW8NSj
kFI/oOT2EOmJ4VtWYW9oUncbM7ES3dPnst0gI1efgt2Y/WQS9XYi5J5mYYTVi9Wi7ivRMHO6Mj6r
2CBuNKm518WKaI4UpV+JF/RcAegSM2jer+lmDoJcMq9G2TpGbe6lMU28gJ7JkT326ijIh6iMsJBI
VlPV5LpMAaVVtpJZf6ybwLpqg0Q5suiWX7J695yOS+RnBI6B1dlfNtQyR7lTtrE0E3Dj/ocjchWF
sf5karimv73SXn0k0kGLhiCFgDUovMD4HkNHoWxbfE9cudWsk3TGj+rtUZ5c4dYPRXWdw5gwSCl/
9VAFVkA1psbyVi6MwvBgRtd3ZYshh0chxP4hpXn0pcTkM/ZGDek2Sonj0GyznhqlGyadDCXSVppf
lTYGwq1R+XzUrGa+H4K6T93RTmN9AxUCa2ap1o3Mq4FYx5h2c/y7md7NAn1tx7w3cuE4vq5NSJnx
L0i3paZg8Cy0QMNDPNGL7/kQ2D8dmnqPCtff2163h89jK8U6iB1Nv8OpIR1d2N3GVz1soA5Af2kV
V4atB7BVtUGvZXq4+E6jbPvJTnvZRiqIBG4Dr7O8yeIhvQvrCo9rTc+xQe/lcq49Rdh48AJAzHCp
NePJ2PzDLi0rsptC2fZBlpiuGYIPduXSLn4ceTUvlhuwWWIr9SbOWVjVh9vfsTMxg3uSt9zKrI06
ZsIdpVjgBzUeE256yYTgEkmZFMT+Ii6M28bhWLLR1WkzV/M24h5UeVz55hNu7AXHbp7H9clYJ72E
OGCUdJi0h+YXvEbED7Uc8rMuLoLOm7KBAqmeFuXDu2dh0XWi94LEEQt1tT5HDOGTEsoSUE0M7h3I
kD69Q8VVRXWs9v4ytnNML74fwGuI72uRLGJf6NRGNG/rQBk2iOPqW0m2B+CC/bEJf3lsMtRyd+cQ
W7DIqwy4k/GAtktjQmkz4MqpVIG4VvDDBU6qh9IVel247oSThnTV29P5MqpQlEAsDho4ehNgtQ5f
tNEaWRTo47SdBmc+Tcvgl2MM8pGk4OVEgiegVbL4p4CYX19bwtwaLKUtJqZvNF1DkaJt3CLjPDfS
MZ2HV4ZC82WBtdCJp1+yqmGauA/1tprxPJRjSYXbDs3R0m4oLxrHKJEv527JxRe+vg645UW62FGj
GJRETNu47Gsv7HTnYzRE2c+33xBb7uXG57Bfcv2F0gJN+/AdCdzi61Fxmm1QDqmzr5x2kja5rszp
Rgum8btuVOCu5RLTYNdsHfNLH9uJzCIaTFDLVRMEflSOmeL3Rp6oLiLBku7GrVbFroIxfLQZHWGo
G5KmUd9Exljd4m5dRt4QxGMCthsxiz02i9T6qtwZq22YNZD4DTSbN9hqT9p+HiKRemNDmdrltERG
Bn+FJPTigILhpchzTGOmObMSLzfU8Fs19bbkCbuPbN8phH0OfC/U92ZYgcK16tJxRTqot3LXVaHb
D7lE9hYkYb/pzTpPN0GYx9cm6OucTlVot96TCL4fdHIou5o62pqLXkv9KGolyHxNmUzhpoGaf6vM
OruF4pBd93Zo/qyCTroBzCenWFcJ5caqFOVrp3VYbo+1nXU4X5WUJqoGq2jw1OpwoWeKCtDaGJ2P
RVeX+HunVmJ401Ra47aJqgzdZ0uay/McdSXa0XMJB6iPpQ5X9MrmHlsJ24kvubbm8nbulfaKkn8D
VWaO5M9Vb2exlwqtT5EKmfPcnWMjD9xYQ55kV5kiymG+qUHi00ZVPulDHWsb/M0bsceTvfuiGZF2
Tw+5RdRkAcvHtdlfmpIUZa4dEnE+B7FozuJoVudNpTtDtJDpSm3XlqIoPFtOTT+xx9x2dSPUfzl1
YBqIBhkTkDw9CjUM1SblYz9wPLlpPMhfsK3R6y35W+hsWCn1NcbvfYn9gILTlDKrLeUkM3Ja15oS
ad9UNG5dNDClgBNynu7SJq2YNFsixkWdNGE8Jhqusb0jiH9xTBfOCbTuwQ4M/YfUmS2CIrkVn858
+kcfVhNvprbJdYc5bc4pLM3aVjS9dtv3TtaRv8pRS8QMB8cz1VE18STrol8YvevnqjHEV7RcUb+Q
Mju+ysjiP2ELnpFOO1bR+21l0+yQE0U81POA5VNnZRitd1ITlB7hYECFvdP60zJKjR8paAp6gtRM
ebLcmfVNmITTL1Gnxo069KaFCr2q0LxrzWnwB4sLkoe/LMVa3IIiAnxpd/MeeFKTe0Ebyle9KcHt
N0E6eGoeUecZhygY3dy2RxBDSSx+qaURfEciqborbGiZbsNt8rqhUaB5KlbxNUQIpb5ozI9WH55X
sQhuB1FJv7hoNqlX9V1TeKjUWo8DhIu7JOlUZVc7mT5t1V7L87PM1JntIU7qB1hdRoGpX2RHW7WL
0tit7T65LEAmJ56lT/a9qKr+MaYydc3sBNAsWESjJ6MV+1g6UWd5MPOlwh1wGr1Hp7+7naZBFrsS
cWn+r+X0ra/lilZ6HarXgTuLNLml7BpnnkxfUHEL1Ah+NA41os2Ep6fhd1PACknxav/Gx2LwcN1g
umk4JJEXG5W1ATBpcp8xJOtTK01I7RlJarua0rRXmSZQNcOF1GJZNtEidB87vIOmsCLhasB4z5xB
DaqTAOn2fsuWcj6aoW7jqDZOYAp0paxxWDdVmrExioGWS0lxuCWPnGuXVzgkJJ+KdmaX5vRJyxPZ
GxLM2OkYT/ppNTsKi1aJ7OG0UQcBHZirY+shRBvmLg84YKxnmc2ZZJjxdWC2Y+GnRWZgPtPL+k0Q
Bfm1GVWNySssFXzPzFbZGzRLrkrHhDFl0WAiN0Xvp9o0Or4MktMWAAe7+HxGNPa20lVl3pqWMKrT
Amu+ymviHlniqXFmx4v7NDpfrG5YG/pgjtuS7dZv57Eti13fJaKgCFjYxT4VdQ/cJs7Byo5l8y2j
+9F4Ed3YnR2EOhFXFGjf581gnNtdDY89UyvlUgYdZnpDnnQXStUghJZjErnD9pMwWuA+GJ/iHx22
mLJEg7IzzJ6gWcGwua3TJHuIVGkId0Zsj+G27ZMi3mUofnGJ5FKg7WJjcEjwRURsSsJYfGeAkXJv
RG4HZ9dRbnALSenk1xJpVE0aW4D4labUQ7te/TrneKvuajRD5T1muGrkGrzFlBcTw00anXw0XK0L
7NKFE9p+y+1YRt8hkSEVFZY+f8POG0e4OW/Va1tNsxOtAyjhxkNVjq6mIVuwSawwbvYB0Vj21bCz
JGToSusmRC3ddB2lqi9qNp11allCktFT17PMVZMie8zirkbdDGmlO5AC9VmJ3m0ARk2pKf8Ki0vM
NIvpKnBmqcc6p8gJ4nVgjK6VJPDNE0kveM3od59kY2C4JVepXVdZsjeH7Tl0reaqHySDw4hEOHFV
zNGarSFEzxQgk4FHWrj4edJM7670eAwTF5RceNcYUt55Rt1DHKCVl5zKnSF+lpQmuf0anZG4iS5z
PeESIQk/SwquEME0VYobCrOM/WmypPMuRxOVYpQR3Wl6a17MUzXEOyKlNvpCUjnQIiWRXMtJMJTs
cr0iYFbJeGV0SXOXl0FWelppxRPB1EghmQ2KCPwZfEvqlsNg9D4bJnM2Yd639zNtmx0S3JN9OkRx
uq9qzg4/scjw71MjNedNnA6hchIVUvTdkntd+FpkqInfKiFWbWOu7NoxLrdNLOCs6VpaKV4xifyc
uUy4xMZlU3rxLIXCUxH4u5wzaLo/9GmkMN2lrXkrakN7jBwTZrDZZIO8yVob/fyCh+3cROG8dmW7
Jjy0pdl8TOu6emwrTrodCowg3bQmmLgZE3abx3DobI4lmXp2EcjTV0Ub88d+VlTSg6qe9Nu0l4aH
tv4ZZVslyeefmFbbd2M2F2R0gqr5GLSgWlTgF7Yr9ZZZ+bw3g7YxJprXVWe3D22X9V9LNMAzt4Lr
/CUerf4nlzvSO2EqYnAntSG905FWzG6W/OQ66iYp2vVZhG6mg1NY78KEgMdSG203eCiHjJE3jzPc
JNmJ+9u6Vq2vwjbab6kdN90lugjFA4zp1PTsRrFqNw+k+tIam/iX0RbqN1XTBRm2HgS/CGyczY2q
U7PCcTYPXX5P8anTC+VzKufWTV9NMgCiXEK9HsREVvkjYU7y2Y2Zc0IaZY6btFTGE3NmOYE+XlZP
Cr0CiZYIpq0dttY1TmNp5o6RiGCdoix2LZeZFvqD1BZ3IkiNxxQeI0l00jufJUONNKQPjPyxCRzp
Y1FPxUUyKOMm7pV02hRKnS9GD3F3n+dl9TBVLVS2PAjEfDvA5GNJxGN0Uw4OSbsVpoqFuSMES7cP
UGHkGdIJInVRpp+ZsLQ/7ZGT+RKVUpxBBCklcTlXtSL5vUxh17eI98Kl3seBlKSxYe2EolDvRYwi
NPwsbNWYW16TJx/lwZzKz01M0PCaWtNnPx1lIKJEgvYa4fVaeIVjTa2bs1Qvi7qWr6dMMnHhkAfC
G6lXMbmCCnLuKhF+sq7dJc7kpg5qiS7NSyPcqw4WeFjjjXXs0ggX3SZt7fAL5rrOz5LeHGhDa4xm
twUzeJNWJo5BrSlL33PcWmZS6Sz6NKicom4cU8Ybaz2YXTUCXeSOZViWrhTwOtmORVicGq0yRnhq
9Nplzi1U3TVmF/8a26KjLKGmge8kY25BjRuXu0eiKa2Ho4bovBohUul0wKsrRsnCjm4TK+t14t8k
jV9wO576vWPP7bTJuUJjHSmbFY18/Fg5ZhxVMqj8mp3YmsEcF/sKHsS5Wrft5KdaQpl9zpx0G8Rq
2aC+pxm/FkdqctGhsI2TsivHnwBULXGa61pYu41kBdS11DD3UugZ3zStZCelrcVBUtbd2HxU8TfO
92HdZY5XD0ac+so4j18Kre3uA6CboZd2fdR46tCK+9iJ69AD2Wk9FMmMRWxXFLPp2hnvz4ux/DZc
XWrrr61MUxGIWW7fZ2WHRiEcXIp1eW6E58jUV9JGbk0l2WiNiDDB42TW3BE4fehnZiKHvjSHPdMz
x4uoYZjO+a5Xc5geqtUnMR4u6J/sTCtDw2MwO6rVYVJqwyViG8Vw1TeW+Vmy0NvxlKElastybO37
VusaVw5sSn4I7qLyB69mAmdLEdEzwr6S91WTaepdhrFKdyk1jbA9tJ2Ki2gKq/LESafoMidPMN0u
LfTC5R7a3qFV1F7VCnbt7jiXRuI5Esmox86G5jcbahd4BfeMkoSFBrxrV1NC2p5k6Q0yVZnmdn3h
YCDadM3gmqhTF/RunGbYtbxuexc7uIJ4dhj10ZlaaM50RmaE64QlFPskq4QMiq9AiNbLEqu+yZS0
+1WkRER/SKfq00Bn7TrvUpL+JOR+eJYETUbsgI2BnZko2+hcElI9uvZUix4vzTxFSjwe2XFjNJS1
i2SRfg+Fvon81DTE1Tjix7KXSAN2aUrndVP2cvB9Splpvya1Sz27reRr0VUkjdogl8mm73qpXqbG
6q4p3peO36Zd27j27FSamxQaE9dqaijIJ+WyI4cZWUgUyIAPABo0lLM0JvCcRn3dlmQgofhqSXIb
n6QQnu5sGXUGf57DevZzp8C8PBsmxCHJoNpd21E6Rm05wIi0nazxMUfj4bTpDW6v/Yy/mAunDsUi
WVR5QLiy895FEiC8aOC6XtmRMK9VySZkK1WYy5vJrgLV7U2yZ2rQSWpRKIkjh7G6VHhOZDvCVedB
frD7Gk06VYztzyqBJLWHWRdsy3F2At8smuKha7Ra9v+hRX0psFobtulyIy5TleSxkkbZ8P4hTO7s
VQ6Agd6GRcreDtqtJSjbhQZKdB7yu1iRIUPhRC4V/FDnvWnZDd/Zebfop0V1iIa9DYabuu26+6bE
/VRqUzFu616/QLLT5DRuKE6/u2hoWcD2kFQ24f5TjT0sSCVTJ/VCkYetDHMVnDEEq0Kejgn5v2yv
YIWMZSNMPbqyLLjDUYi5TRSiN4/XVJdc5EmUX9W5k50qgaFtq9LWjkhBvNJaX3gFwG4XmQZ03FZF
2DmutNkwwmE76HgIGuzjvO453bTxi4TMimsXle5VaEW7xkzynifXiUkWXb/XX9GAoqQtLEFtaZQB
JDx88LrtOdFDtUXjKBn2g8ARqkBP4d0vkVEQ5gERzRMrawmHVIW+E2pDu4UOCnu7thrSA/xp3q5e
vqjHIspJfwzEv7xgJdYQWQpjWVyGPXLmwdBfJBkmNZSyjSWdzry3h3pRjsUzG9wqbahFAZQWweG0
tWMrwrnP8m3VWo1XR0V81YzxcKwcy2857I/B2wGShdgeFVmkGA5H4cvrecN74eVktJB6Uj0zeRiD
noKbdAevDRT5Mej6i0m0LGBnCyePGjoF1NV+yzqcJFvZ4FUVSeopeSL5Fqg7DyuAdxMAKdOzLkhF
2AIkNKtJVOfGmAOjnbY6XjhuzFVlN6MCfmRVvHhVT6NAKIEGQtt87f6UJXkxdHpFu0NI84b8eXZn
pfwtHfYfB7KMzT//kz8/lGKqMeNtV3/858f+sW67+vGPi3vR/LHtip/3bVwW/7n8kv/9ocNf8c+L
+AFTvvJXu/5bBx9ipN/fxL9v7w/+sMGWt52uu8d6+vQIIah9GiB8LJe/+d/94R+PT7/ldhKPf/35
APWxXX5byJf/8/ePTn7+9eeiavkfz3/9759d3ud8bFc/Fvc/79cfeLxv2r/+lEzlA4w6nN3o8AG6
Aznx5x/D498/Io1m1y4C/bQbF6x0UXLZ/OtPRf0A8V2HAIWcFzi+JTw1Zff0I+UDfX0sjBbVa66H
dDL+/mpX/9pD/3o9zMTvP/9RdPlVGRdt89ef61VPJAboQ/hfgjIQxeXnz6DAE1rwhbCqxNcSKfEa
vTI3ktI3e2NsLf/ZrLwy1AuWzTIWXxcQ7ROrR16NpVDoV0b0Jf3KcKQL7GMkNwh003ea6buaLgl1
mkWbBZGKdZ24yjjAsbLhTm5PY79UzBMvbavd0M0kf2ScSxO5oQcldbshL7d5XyY+viwON2cqIoWd
Ni667kgiZ9ymzUjkVJ7L+aLIWu367Udb4tHzeMWTscM4P8GLLfYgK+SUheGOkwYMP0tKtm1RofCU
sSk3qlFXrgbKz806x3TnLje2b4+83uT/GpmjdFlitJCXnz97f4hJgS+CuIYSWRFuoO6R/cn6MV/n
J5WH1QMCAUeSEIVkkw75CoHDtVmJO8eJ/cFI+tqvDVls0i7qfNkBkwd/TKt9NbGDDFXoMHgABxLe
TYjoVEMyWZ6SSuYNPZtTa0rVHa0qygpGVmq/osGOr+mDtYWr0Gvp/LgvQypqXZecjbaSfE/q0fJB
upJ709DRzjSaGyfdYIxfn6bxXVHsv4xIB1Hsvxnr/i+MYk9ck/86jHldff9wXz4PY0+f+DuO2R/o
9i6QYniFIPoXdODfccz5oJgqLRl0VUiK4Rs9j2NQiqFPLJorkFaX9v5BHANpRc3VANoIE+YdcexJ
p/v5CuWAgzGh0JZGZg0Q3upMnUBrSdFsqj7Ee+nnXPXRZVpzQT/rBXaOaa+afmlaxVYIdPqKWb6b
of2f9c1oOZ5GJWheVHb8yS4VZxPT4rqOJXP0ZgVqk6sPDXU9XTT1Taj0IC6KgGtGn5TWXomcJtsX
iqf96ns5PpkLzCXAwZUeInyA/xKkWy4oL56lNQYBlRTPd/BJiAqGMzTWRm5m37Ijba/TxTS8TB+0
zOXyn+U+/a068qa+RgaqDboj1Ld13s/LomUA1hP626JUw6n0PG7MVm4ERCjVdzLjJJq1s2FsPuup
NXpOnv9Gpf//3fUsRwAx+yxyLznIQZJwc8/5+4d7z+n+P/9H9phPz/fZ02f/3mfqByjr4OmB7pEE
c/j/e5+pH9h6HDAg4aHEcgf99z6zPhCaYaYsahULhJcf/b3PLD5FisFHOZ6gIBrv2WdPcgPP99kC
C+IiAwifL8FVYLXPaJ7WAMwG1Vcp5nh9Qu1yAYT5ffJZq4qdHKo7rgaPThLcIiSYUdiMpU1dj6dW
hyI4ldHb4NyubYd7vPNtSFTLLxztpJgSukpd+6WVBeW1vLxgXaLkm44eIBZc5/ug85N5tlyqsDjT
jFblFslYbwqjvEO4zdjVsoXZj/HbsupdS/ejeCxu2vrxsSW/Xaer/48cDos65BtnQxRnj89X7PLX
/16w5geMAMhG/7Xqfp8JGJJ8oOkMCx36C2Akgw/8zm0lxfrAT0g5qaMsYVvmKPm9WOm6fjDQ0wAa
CWoVJN77stvDKMdC5epNKZ1jB+6ICtftMMppFjquODDNZ0qEwVLt0jLOrltwJ8FntchL5XNEmfTH
s5l5Jc1d6W4uoLlFwH1RN9fgD5AYHg4aj0aYB2Fmn1rux9D99PX88ub6WNlmSSj/vQtfjrF6MGei
e2YaqX2aut++34bueeAeOSBW6MSXQ6zu4AB6cprpDNFsrr9d3F4l/tXs3cnusUd5okC99SzLsz5L
YSu9zibqffbpmeMq/m3k8zC5f0x2SznM0V88z9pWBN0MRUbDjCkLBl+gPE8ZppijrakK11JrL9By
37H3jnWjlKmHyIwrjYZHgdhr0xms1WmKLHUnuiO3oiNvcg3b02lw/mua5+3Hj463u6xd5/9wiNVZ
T6sO0EfGk+fu98i7bd1LcEBH6kLL3e3ZS2TFU+nkREDLFf0MLJkOX6IIg3nMHatFBkUfNlIaRL4Z
a5pbhZJ19fYGW9b2eiiwothWkrpQvVu+yrP1IqQAWK6D/7NkBOVtaNinxTwmix9jejpgw4uMdyW7
b4+5CiQ6ZyvIQAqlnKNLFrsqk6YTdnVU/HM6IkqznWnrUbrsaj9X1eI0V6149/Z4q2OWeMWAEHGW
YAIpB/Lg4UMGUlKpwLYZcMH1qbVubtA8Nb3SSC2/EwPK6GkV7FoACJuorawzw6jFvlEG26M5CHww
bYd7IWQajK2idF4gCtvP4njECSAeZ5R/g+STZOa22xi5c2EFtOC7HAxiWAt7J8a+XbJg6wShh/xM
StJqA7pV80FdVFtDbWxvsuRoY6aawn/l2Ub077zaMgW6ufDHKRdQMEB3cxXjyja3ADU64VYTkbx1
sizbluXQb9+e6WVhPl9NCBSglgYlH0EdHHrWUPxJMjQ0BWckrAGDeYMR9Nta6uojo6y3B3UBLiWk
c5R70DWRV/fnuZZS1ZgglLX0cr8Iu5BQMDeGmw5u7v7tB3plKHCS6JdzKnPMPnEPnm0PurC5hdYq
/KoQb6uUkT9PedttEKrqPr1/qMXkYkEcc/yvMbOoAdtlzF1xOyuhsalqWFw6CAj4+NH7YMAshieb
EJjEsAChTKwZ0QmueYLukrl1KI1tZlsMfptJx+gf69DClQh5PPbe4uxN1rzedU0XN+3gdHsrUNRf
hVDmiNa1Hv/KAoewNjeWuHEasI9HIvTqbFp0J3DK4YJML0LGy261PGQV4nGr98EuDEOEZsw+q79l
RjqkqOvF8dcWwC6NVR3nkkxp1GPnwzq4EWxIxXRIvDrtA1wEDmNNnqsR9EKusUoqVyGoJVQh9lwO
rcGz6lT+pPZOqBwJqOuZpvdC+wCPTqqPGrXM1RPb+VjnLUTOXV+V8Z6oG34TGD/QdbS0sxku5YYi
7ftsPIgmwLc4NPiHwMKWXL1egL5zjtcUtjZo/LmRjD5PVR7VFFxvwKdRHLJY5KSW7t3qrIDGFE5s
wHJftQ1m9HkAYDyjr4Dk9vt8j58eCAoxi4cNwQm8Th7C3lCm0eaBzNqZgb0qQLnm+ZgS/ysPtFwt
CcUyfrIvin9JWY3WHBViPxRqSZIEOTjehgCWVYSZiENHaKgvh+NMRyaOarnOvWFNXuvga46p2o77
QdYzpFG16MzW8tgruiE7ws5fB3/K55QzuYY81aa4cR+u/LmTEGMxzGkvB0F9aQRZvZMX1ae3w+Rr
o1Cy594OvgDy9Sr/kuCkhFbeTHsln6QtqgP1XqqOEZdeGYQOAseFg44Nl51lkz8L+03LYkOHcNij
5D5vkqGcCjeJo+7X28/yIlYwW4g3020kPeFut5oxRClGnEyyYS+xJj9agDDPVbmuLqCAzl4zjdPD
2+Ot0mNWAUxa3g5aUtC/uTUePpZiZCLspnLcm4UeXptA2zeKlgK7yvPKx7I59VsUqzd2Epgn6NSX
R17dK2uRrqClLX7f3B/XLQuoAIoFIX7YNwZljEDEUuwOkTxCNTD7z28/6itvEHkZDm6LkAj9cH0P
muQ8K3pl2IdFDMhiyhyoVyEwhiOh97VngreDt/jSF6RpcTilALu1JAE6sx9xRrhnRq1mbxdNrCx4
ca08efup1tdhVA4wUeHFYUFBYQo13MPhmhhdKEvLpD3Ibc3GLcCs7CtZCssvRShJl/Nc5M0dRrz2
LVxD+1NRl5q9qSIUXdwSBFZyDIDwYgWbqJIZ6PsvqAre6fIanm2UcARVlAyyvA+ZByCa8dg7O8kq
rGyrzpFe+1U7Gc0mVkl6fcI7AOg0MnvhQcAX1i4NgLuhg2dJsAWkOcn8KGmlL0oYT1cqPrTHiOwv
NgBfFyk4bh3I9LMFVtM3mnCfc22e9gkdxp9FIMmDF6ld60W1apwBY0u2Tm43Fx30r40qT8dcNV4c
1Mv44FxYMYs/yvpiZ7WdMJBFm/aTVgWuWgCnUVD93sFhqL8FvR6fFzz7kUXzYokyKJUbNJAWYV6C
zeE7mru5HdUCA9gY8Od3fBghCoVpA4od6Hwze28v0VdHQ4eekjhAUKjfh6OJIR3rHujbvujj/sRK
rCZ2w6ayPDVS5SPL77XpBBJE6ERYmBNh9WRs+2CgEDrts1aC7MKVizA9xd3eKeNhU1oqQouWFR5T
435KbZ5fc9joYIgoS1kyRWDcbg6fMVIgAljNOO0hqYNjQ9ai26kttAYttgfdS+Rin0093REr/SqH
g/ioj+YmLLTU06Jac7Oxjy9oFUuZJy341iN3ltf2JGmgvYhbUDhbzwokNwkQRCLvJ71FWrJoplsI
r5CdpbatzzQ5O3Zzee01IMlD23TpolO3OJyOwEpiWx5yeW9kZka9uXAuKq0pPwu9QqkRoO6uHEzp
CEPz1UEJhAvvG3kNczUo6MZegl0z76tsyEzq13pNx1atblR0GT9FmhxFboJCyzEv4lfWN8ULxOaW
HJ/S/apkP1Yql6o2lvfx4AjdwyOvkTZZ0Ns/TV7u17c30ysPSauPRAe+JvmitjqwpdEJstSypn2U
yhKrqIVlYcRmdzlETbHhe3RuILrmvYncco6RMWLnRjPrhQGa2WsATGtz3svURaHEK3pVefIAJWTz
9uO9OKSfBiIaLxOJms7qHdpRpGm49857ENOdz4Uq3WfIExw5ol8bBaIwPF7uomTAy355dkbJVWCN
Slsq+3auy943gqGQfcRU4Cu+/TjrKi+nM1hGDNZM0N9o3ax3XmFmjhSkkgJbQ5bHzVxPXeULRw9n
TwuX6VOoA982LfwsSICgfhAEVpvQk6Lairx2yGToWcJI431sx8YxX8vX5oEM3UKJacEmrjGQAcgG
EedC2eOzLhy/TFKj2Zo6Hm3vPwKoJP57oNVr5a66cGwZyChGPLnmooIiJMYq+6TUABaPzPr/4uy8
duU20nZ9Q5sAczhlRy4lLyVbOiEsaVzMOV/9/9SaAbaaTTSxjAE8gAWrmhW/8Ia7dJ8rDilB5Kyk
PCflrdvlreuuh+dRcPsoinMQkaH8aSedHrTTlH/Krdb5EDd6c/RyA3bH4wXfCCdQNQIoAhkNCcD1
OzCHAKEzh7tgBh782QL/qR6a2ps+8i6YMGg7T30rlHB+gmde0X3OqmTnF2ysKekd326DJwGVttrb
jg763cMC8WrnSQZlQ23b8Snu28p7lfYgyTGZHVLL3ENo9bnWuk5czBlilOD6r6qwzGOWVTBa5i5/
/dNFhkKExNuKPIm9Ch5aA+0rbwqda2ghg+J7+Th5R7Sq859cRCD52yU0/3q8hhv3OZ7y4AfZsBLY
txpST0tsWKLMuZaKdM0RDsrc86w+kQKGO/nPxsMMfIPtT6RMTr5+J4mMXC3rNJMydNd9z1NR/GF4
oTIcvTqHrNhgUtTvxH7rfpBcN7CfbFDZ/gYfuT6LZVPNoIjMa64vNeKy86LPflTn6R9wt+o3KLtX
HwWG9/+YnTHmvr3E2nM5ZPYeQhhbe87hKmgim6bcSJyAVMs62aUIb+XqkthQJXoP8NlENHLutK5+
VlRh2u817HeKi2tVXXIBHtU0fjrp1s9OAAA762lnJ5ygYrBOduymXxMR1eWx5QUpgzjRZ8isWRO5
YESM7mtRxE1/iGNkkxHrM+G7qcUSfip1LfsT6ZX8vRpNbf2XsaQN+PlUmz7ktjNWMLkAdx8HClv2
JRJVWJ2VLDGMAxA4c3wTpXXnHhY0+kaYGzPaAJaba7+aZuj+IQCty7eQfZX2kI16+rVWIpQvvBym
9SnO2vKj1Q+m4yf4xi1+1bbOcCpRBvs5eO44H2I17HJ4IxpTMs6K91fv5aBHLHNKmyPuK4p7njgZ
40EZ6NMf8tQIP9AfGsqPCV5h4dExBgTkFWpw1tlIIJr4Jkmg5kvPyvCEacz0XesipfuQwM58N4yW
kYLhs5rvSUWAfsiodf0NU1x1gzmPx/nYeNb8tRuq/nPVFUXiG+2ifTbiRPnPLD2QI5K+5qJlyvJs
exmM0xRBA8NfQrjcxzAlsyMMnyzjOdNsODfDrIfPTawqs89baH8MK6ioPhC78CdqN5MD+Ces3ndq
ODiwysvhS9n3VvjB7qWjowVhp0Yfr8nf94huQ9OlnjUdGmNUmtNoFfl3CP6GcTFaN/syjZaG3EI9
9r+QU5rFtefvgBektRGyrCFiU67Q4PwYNQoCb6K8U4uDs0woH4kypSVim70eIyTNDzq3yCTX57gg
K31WkZXu0eOpNZ168tQi25cZaojrTjIP4DBUSYRGBqE9iDzSrykGuyry59BFDyWkfeMo6hHRhmlI
jZ+lJSzPT9GxcA6pA1z/yVWq7O8p76efhJBLMDupm/iFpjfA9vW6Qb/WncIfwlXLH6bRIf4JsypT
D06oKgVWc67ylyJUuz2myA8+V4QRRBG9ys9gn4mTq3aj6luKMSIeoE702cZsyiXnv9P/+X9DiuRf
m0gdC6WVf/VM9RMVAmijO1HBxjuNeRFieKBuqGCs1WsTo/JqJWzNK7CsJvIbNcNVJ52m6K8GQaYe
+ntTXBvFEMS0qCnupf5b1w+KBiisAKAAFLQKpXNDCYsR+fRrxzX5vqFjccyzLDo+fk02AnapMcv3
kR7SxpGT8FusOc19Z5RGrl/1FmkJuIVzxsvvqj2OiyovaIYlW+b8iKDFlv88HnrrdeF5pi9m0Mjl
Fb0dGrNiIUMF/TpnSY0fO9zhS2uoy0ercp3L1NrfHo93/6lSihWlW8DOlCfXL0tYhYWiRaN1XULE
Q/xoUNT44NVj1b9RUiivvgIwfzpHcIz3agz3Wwk9OWpg+DNZ9MvWb7bkbcRQmZKgmkXincrOMX4I
RAmSQ62OLrz6EvPvU48U0wj7MvL2cs+NMhyFW1p1MmkhN1snLmin2yZGt3lgY1koroPtRvWhwPQF
gLIgzj51pHSa30BuM670ASrlPJiNkXP/q90XUy2KdOd03YcxtPKoaYEWIARmG9yufqpABYK4kgZ1
09KH9trGezO3mvU0NLH79+OVv99pjMVZ9mizwSxxZVj82yavIIlhn5OlQeEa/Sky4vSElkL/LjJH
72whkrPzbfc7jZwFyABTTuUaRsnteMMQm26cLe7VjZP0AiLI9W1ryd8Z6Ltc4jbV/Fk12p2TvDGh
skAoXT8Aat+l3oY6gc2wDMSLRjV7z0MO/n2Gdi96Vd35vvurCXIaF4aU7ZJqkKsyViMi2+ms1ruW
cHXOCoy/py6Z97rmG6smuXZ4f3NYZQX0dha1cCFZqHpAOeiS8oSEyqc2GocTyjgjp1SLdqoIK/FH
mTIQydNPozfIUaEafztgMi04nZC1URvWy4zSl8v1Rz3DqN9MY208l3Ux2sHYpcjIjBoyupck0qIP
7dg4f8SKWRq+O060FrG4VD6H6DyIo9YaefYu0c3C8kMjXvpLW1ndc6J2Q/geWwjzWxfO3pdFEAqd
H2/6jf0g9TrRZyY9wX51lSfEs05oaXXhdVL1SQMHEtYRoiJsIH8W1pS+fvuBCZUCZwwpS3m3k6e0
ED4XkD/XCn2DGSJfkSsnqsbNZzPDUOrVaSRwHNmQRB0d6sq6Ll7PWqM4kRYiJtISXorB/tbbebOD
NdrY54wC+gCoEX2ZdU/Gaxghy+bwWtpKRDAi+eZf0FfT3J2BNt4HF+YI3VXeCXkh3k5e6kidB7MK
r4sTIx5KuKwT/blQ7FpIIz5CUeMJWcTobTwv+V5RYGujyHKAFOCDEynxmL/fjhn1YmVo9fCqKl38
mYio0/9KE6P4oqMfWX1+/a6kNEiSRw4LYGxV/BCti1zUNChXpekUf4ARnKDrUKvBoHnxzgnYuEDY
+NR36fMSZdzBbqalwG1zVq4i8/JjNnTdEYDyeIYF9mPmeOzcihu3Ps0KcJ9U0l60V2/n0VK7DiEb
TbnSGo8+6GrdHO3Fzt62aVagvIUVS6Pl9s7OkYtzm6SCU5EMVrwJoFetn7ZuiCBlmpZy1avcVn2Y
2VF4SGuttU693U7g8PJRarPHxfi3oofuRW8RT391aRvZYzAVgGYkbW1dRkyLyc4tu1euFC5z7YpP
AsCwQVjjeDayYVaPiyfQK8Kksvn0eDttnVBMQMz/VpPAztzOOUcxGvo2V65Zvdhv8gQBKUE6u/N9
W6O4nE36X4SrlExvR2lxNLewJ2ZlET1AiIw+nHFEN6B1dgba2rFS5hD9eToTLwSc34+iPXhmaoUR
n+NQTUq8DiZ9PPxCXVUcGpHvgW+3Tj7HQvpeccjv4pTOi5OsMlwPRExrHk2jbGk/IUk0J8O/OBz0
0GXvVXKI7kIG1wKHqvdZeEWrB3hY7yb9sxohOXRM8x5F38Ks+Lyk9rzXXwLcp9BsiX0hfd9dAlg9
F93CN/Zh110py2bwYBf7SzZQn6HYWpwe78iNOWUueW+xe4Aut45rrYyiukwmr5mGRpQeaslxjlyD
4mP7Oo2Al3iFJgvXKGoussi5urhp5ReGltXetUqs+H2mF9FTb2ON+foPIgQjOpKWbNix3W5+ATQA
oyCdqCjNpjdum3QnUWviP56w9mwoV/IA//silNNdjyvt3sBCz6pGG3EmviZeWwYm9ZXzNOuJTL6x
V1RDpM+yLiwOmehB6bXDgFiS5/7ZGAuW75ni7tQ/N55ladHMhSZP/13allHYyJtJvv9tldIodEtU
9fpmeBLU0Q6xIrITEpBEfDxo9fH1025g+QnVh/Ny1yqOgY9BQGdsei1N8ha5OOBQbmGCyrWVCUbs
vxiOHJVrhwv8LhlHmafqC8MiWlS8KkDAyXCPbInxj7GaLbEz2MY1B7WZqJ5/widchztjuHgjGoce
4Q5Qam2aFCm7afgh4Au/zVRvZ7yNojKRKZ1BQMo6/1vHwrYyjFlhdd61zRYEtZGRM5Be13EkPc2h
2ihnuwxF8oYyf5tectEO5SkqjLimHjrN2c6Bekm2V282P4VahMGu4lFZnahkNFvcPM3w2iZjbh48
ijD1U1PmZfShKRvKrVEGmfYUIjg3HRUcu98MeTL9x57t/q+ocnHcqPvMFr47xYnGu4Be9EXteudp
pqw+IoAy1uHOrba1YjK6eCnNy87k7SVQhLGY1CUKsU5okH31jPibmqblN/By2XwsksHSd/b//dkj
FaNTLpMKUtp17O1wzq1Iy11AActYX8x20L6FVlij7mcaWXdqsTNMj4ByzE9L23r6zpa5f/JR06BF
xtOBnc5d8tlbbeohuuMSVxmNd5gEKv/ndALgt/M+bQ8El5/7jlRmDf7FG9HsO+E611oI94KUbBH0
nTntfM79q8Tn8EoAWKPYwp67Xb82E42NJhmjpFKzbhnMY96A1QaXOO1s780PIgWC/AQcEeDj7VDR
XPYROGXnmoWAaDz4AddKH/rDa+8rPogwgsIhVR2isttRANmqSzvbzjVykDxqEXg8NINqBI7SvD5K
YihSaYqRmgQkreoQOppMiK+OlPq5Kg4uMjynyotgB8+l9m++6sWA2YTRD4Pu9quKnAAblrNzXaLp
Tw2wEEDssb24aTXuPG33B1oirNDwJmamG7sO2WMLlOFiTw7ArrILYq1wz2qejofJK3S4Tob16guE
HhrJkXQfAk62rq2EkaGjNMF5KkpbfcLdHTp0trSnwmiHg4aA6M6G3/g+djvWFK40jgQ+uppJjKYJ
HDquDydR/+hpdT+Tt9Xt2zAfrJ8qag36Tia2ccTgQADeBLAnCVGrtRNj16S9UrnXSOlnP8Ye1qeD
7xxnDON27satoVg4ggNCTZx0Vh/ndNibKwAlr0uxuE+R1bVIc/NWIMP2OpcPGZG5VA05yDIEkiHg
7TymXm3YiK+6V2OgSts1bXqcGmXc2fdbq/XbKC/v928FWkNLwPHOrXsFJAb40tNnen7z8Hl24+46
5a90dfzfVwHPR5GEq52g5/arRsK3mW4ua1XiMmdi9Pk829Psi6nEVdtM1NfXWJhGCqZYOBH13JUW
FXdwqPGV7tUZQnFyWq9HJRi1cktBVfjxzShX5Da6oAgM91W20akCe6v7F2nYloCgYC4bVT90FY2p
1GRHpvmSHpbRUK8VAnd+DVPhaCWN/uvx8BsxPOMDT6AKAriOfsvt3HblkkaGzdyO2OJU11gT6X+8
eunNYxq7TnbIdbst/5hr9BkuLiKlNQGQ0X7Kbb19qiiR0W0ecbHbmZWNcIK7AIQnPBcwVeuYC8HQ
pG8mw6HuZM2VD15Ae4eMr/N339fteKDt7KHCZwz9P1pt0QJ+PCnmxprQ5ZLu4rBe7phFyFJqdu0R
8NqNgtFgZscHaMRK8HiUrWuBzWWAG4MayV9wO/ORcMwJnxw2WVrP77GZTk7JMLtHd6p+Ph5pI6CW
5GxeqhfGEvnC7VAdR2qhwONegTwMH8YCsMZBo89hH6Yis7+ZRYuEW+yJEUsTkm1PG+n2doiuP/4d
G/MKRdJ1ZU+PhGLdIujx2oJgM3vXwovS9wgPDv4wF6+G5ku3EB4TulXolZAR3n5sY5upPjaad0Vp
Bxd6WR0BhT27XbbzaMlZWx1dCUyHYkGXQZabbgeKciFxFSK8QjIow2PWKkZ9bLIm/ZploR0/jUlW
v0NWVd0r3m/cvxiKAZy04XHedz7mhs57UWbszyzV3nbM9tPkROKdKZoOFWbXvjxet839I/GGQPuY
VfrOt1/qlDoxYqpRJTGN4VuK2/o7GxVFeiT0DiJc1k94PZlH6K7epU2T/Dxq3d7m2fpo2gfsH+QB
TH1dPpnMblnamC5W31jptykpW6mhmid4YxTob5z4F9h/PP7wjSNKCI5cAg133tX1w0PZYzRyj4fO
7Rx0cZcI1d7Sq84JSpv/YijGonQjr2Gi5NspNqy5L3or4o0DyPAliz0TXbJysfwI0dk9c52N6xWs
6v8fTB7U3x5wVR2nAulv54oDhGoeFKLwb/2StcEEfKzwo0VofwD2cB2/BCE8XR/P6tY1QLohG/sI
7Kvr20in92h6s+JeFX0s38dmOr6FKaDvhMxba0cOJS8aXRZl5J///o0p8UTVz1yvs9WckN4Wh2m2
sXOpkfF7/QdRKaWFDFD0njWDGciyoO7uXsM+qYMU3eOji6/GvxgFCKbMrmUj9w4U0CVw7IrUvkZZ
Hl0WdFeOCHRWO/vwxQhufavJtiBhsSpB96uNSAF7qhY7t69lnVVw7bT242wons8Bp6ZnIkhehXN0
qfQpPqKIqPqo5TtvAY/RtDR75ahiAeQ7Tt28z9Ht9cMlsXZWdrV7oX3TO5HlDYIz2bFfvWatZZVJ
AcYwcJxJ/4oIE645vYKB8DtKbVYboC092IFIogTResBoezjs1b0vx6fzbHIhwjWj5LF6uFkFuHZx
VwVLnyrHth/mAMRzj0G7mR+pjsenZOqMnV7D6tDIQQkPEfOCGyK7ZKvHZkxKAVJuKINRqMbZwI7D
96ZxD+y8OjQvo9B+QwX1pRiwhgoYtL3o44ZFEGmZiatNVV0qQyfGU5Q9ouoa5PK/sSCqIk+20QtL
M6BUqjIUAc6AzXQxmrBufWAm+R/ZCMDzXFl4mQi7GebjwG5L3+pT6SJPNDv1CAfGK/ZC8a0pZudD
yaS7qt8lT1MeiX7RZj5+mIqfNYrhyJqDxn9dFPTy3QjNULmVnL67qgGi5cR7UV4Gad02z2JMnQB6
h3J8fCdtHBJKtZLrzzUPkWh1/dVxpjeTVxeBNXip4SNcj3ijkfcJdokiGp/MOaKOi2ddcsF1Ndd2
rpGNuSR85qWGDACOa11A8EBPCqVd8MWrbeOzYpXjk+b1+s5Ubu0hqpsob9B+owC4fjURlxwBBORN
IBRT/eIpTfgBBTnnojRae8CkHGF7cKmHYVi6M9BoD9XKqf6MWUe6g1/fODh4uSHTRhNASjms7qQY
3KPeRaIJnLwo3kNQK/4MvbkmRxHDTjS2NbU8NlQfVVqBd0FJUsXLpCV2HfSLHZ2GglSNPbSHZ7y7
5Og0AvaSbzR1ZDwWb5/PEl9JBaRFGqiOVFrO2Gl8zegNnNFpqdUzLeb2D6GH4ytZOwgXSj0p5M/g
wNEvWzeJswLUT1JnSYA+ufhoIITuW2a7p6l3N4uMAlyTB4QqK7Xc1YKFXtMVrpYmQWs7aAtlC2L0
c7131u83qBwGyTjkYTD8u9ugeSbiOsZ5PUCinzOOqggC/haq3dX7IcWw84sedYv6NI56a5wHdYi7
g5tbhXKqTRgRWI95SaLvJJ5rdaWXGQYPBlKV2wcu5epuQF6m1Z2oTfCcnw1c2Uq1qvzZFPnsOxMb
7qTm4RxUTYmEW+Qm3k/DnDK0jzWhJm/CKFbeVkmXpr6KvlvsT7bRftMwsW3OQDWjz21TpcUBgZ94
j2F0d8iYTBhjVEtAmIF8Wa2Zid1ABEoqDczanN4kdhEHU5mB/c5yb+e53RyK4EL68nLI1veXgusZ
UjtLGhhmml6XNpIOG6lzjZfsy+OLemskSfRk01MBustrRF5WySC6hIOW235nNF2QhRPeCiJTTo+H
WkPmXhYe1Bz8QqzPJE3/9lAP1AMF8Lw0mItZl4YjVXcacwPHlmnENyHrsvx7zRp8TxI1TZ7w9Yhd
XwOS+K2OIgyW6qY3kYki7OnfWdVgPXdZZyknJ4ud8jDpbvEDbQZT84d2Mr6WLkwHX8/yIT6MwsCh
8fHXbE4cZXG6PluVM72uaoHseBI4I/C/Qsdjvkbd4DDkrw3w/ztvHF8AwZI4tA6+wI9HBeTIJDBj
6DVLP8dvSwOtz8cftHUl8WRDV5QIQPL729Wp26jzMsdJAjvx8GKKsCop49k+vn4UiVEH/uNxwa/j
e5ghy5BjmBxY+WwdAXMaZ7q+rwQ7yBnjBieXBSjHWGt8YawlelSCFA/GVBd/TC41byBH+U4msDFj
jEJkjEKNC+d9lavMij0WRi8YRZ2bUz6E6ZkujLETZWxsNFoE8G5lS4Re++raaRSvxPck5S4o6tk5
YUjUktcg5VL4ZJhusrMN7iI3pg5mLNI+BMZAi1aHFDvpwabYkQT6WMzXfnDxO9GyfIYU5C1/TlpE
yV1NjL/VDDOwx3tD7rDfcr+XVQN7R2wqr727ilYb4YjOc5UEpdcYx8YQteKXubYY1wl2yDstmsav
Rad4/1AbdH7VqvXr9ePLgigaL9Du6c7cngAbc8WiaDzsPhF8xHyR7dW8FzDK3QDN7lQAza2b5xYJ
pP7EjUUr0VjctLw8/hVyPdezQGnHk4pukoO/WoCMBNwA25AGkTrkF2NquYhN5JY/dlpSfIrSJNaf
arNVdw7mxjajGQVxll3GIqy3Ge2GkdqSBegf/tR8CDHXsPwYFHR+KEqrf/0DRxLJRQMEkOHWmR7E
9daJrKIISgDoOvakZvOxdmvxazJmey+k25jRm8H023VNzbC2rCYkY+9TFOrcRBzpgql4T31REvWv
MrTKnUO0qhbKnUzDTeJWiSH5wNUa9nE31vDn08CiHotjVJaMn9uCWh78LswKMZYS+bQjF7HupbwM
KlkbiGrTPr3rG5StqhgDPNIgd+vlmS4KulXxNKNbMEDRsovxPEBKOk6JrQFaLweMjermRPzY/Ghn
nJlevY0NHkY6gmAUkdteYXfZPfHU6i6BhZXwwerQP02eW73tRZQccVs1zz3s1Hln1I0rWV6UhNUI
0FNDWh1hOvJpYStlGsA4XJ67sjEgzSjuj8fftrW8oLxpmlCMppGwvpL1Bb5iRyCzRK5yLuB9nTsv
qT81TtF8TCEh/ouzyRnhWHJepOPI7Qa2O8LzFsWmQDVimhbLVJ4s0QMAsfO91tfWNSDnDVSizBrW
7zN49Ym2dJ4GNpoxvlVPPyqMrQ8zxOmdd21zqaCeSMQaNbr1FZC0saJkIZyeqE+Kt/g0j08htbWd
au/Gc0Y5SUbRANUAdK6WylMBxTsjiRaU0WX4UOD3NPmTFy/1Kabn1cBxEgbS5uFUO09FVEb/PN4q
azUVeSqRceQmgBRAbLXOGhazdZx2IZRPMWvFtxRjnqvAqMoIlKVJx78MDWvlP4u6hDTldtUw+rEy
09vxO88pv2Dra5tHeKxNiyNaYhanApw60oaVh33z45+6sSD8UkyJYVRjJrUOmhawr2h8cHbalqwm
zeL8DcWNnaOzNQj7GPiEIwOa9c04hOaCP6Ypgti1pguJTYp501zt1EM2DqjMLdnE0BSola5Wvai7
YuhoogcWdJuPOOvFH1priv+eK2i0NbH6XjNua0CuArA/iPVAVFjVK5wCOkuUDyJQyrI+dvGi46gk
5neusnwzZqArj5fqJbRcBQmyDA+Cnta5rMje3ghVSDN8LIco6PK6fDZs1Kh83GIj6ygqUXzSxnAo
37mhajdBSl/2ihHKYPnwvOcnG5I8POoeGu6xIFez/k6S3MivHdZ089Hu8sHwMQ8T4aFLisk89BPE
cl+gCiROthcbKVVt16AOIzqYOkWeaMoBF+Y04T3J3PCcqRiseE6iNE916Bqd30zQzI85LnvpF/gc
pXNutAnX2cdTsnFxURAnoOD9k3iC1YyUemG6wkpEUM7mfBrRnafHbBjHsGvnnaG2Fhs5CmJxjrUs
UN1OfsYfjZRXlauL3V8QFnrxGZfC7LtZxSomxYr+b3YXtUyY3hBGeNhX2zms4fvkAsrEqPXOUZTG
e6GZ5JvgHJ+WBQObx1O5dUZhwFDr5/KSmK/b71vyVO2Bx8HQUNX2GBuWQAR7KXZu5q0FA6GG1hRz
ifqG/PPfO2T0d0Tt2cpV0zv1b2uotTdt3rQfRxiXn17/Qb8PJRf0t6FGLl7YkB6u94BBD6aS5hcH
E6TLvxgFrC5FAQDELxZNv49i28sUDXMtApE1yDtQF78kItlD2G88aMAoUOSziT1IPFfTlsXRlNEl
FUHo4FVepJpySpsFkc1+0J9yu4kuws3Uo8i48x5/39a2R5sYhLsJNukOldernV6NuPUE/TTHqK+K
9IKWhuZ7KZ87Iup8eDye3NWrO47SJVBsnk+S0fWuR+WsIg91oiA3Z+XZbDX3jFZ4jFgx+M3WTrKr
Ne6aHG4OKlupdIX4v3WNqqvaMEssNwpGDW2JdFyGQ99EVuB22E8MpdVdPWqqOy/vxlFAZBCoObZa
dKTvhPNaG4NypRUBO1V7X6V2R7Lr9F+VwTPOjyd1cyjQWug48cxzxG+PAnBoe3Az3l/8j91zb4fY
bii5eO/Ww69/MRI5nuwYAyRe4w6TwsutvKpEAJ2n7g9anJkVDbYy/5YDOh9Pj0dbg0RknGXRMyas
oBKDEMLqBZ4nEVVdGkVB2/X9W9NV0jO27Tk0W1fYn1rco6qTlS9LfjCRafgOAbd+Wy/5vkyWTGzW
21aHZiOtIiXNbnVZi6p26jIrInCytXGMtDq9AKvrz6NeQRQYPIUcsB6YCq10D64FHa0N+//Z6OAg
su3VtnFW5e3AG6XxHFLYvV1m17KK0ZoMEbRp3/tT4vzKDR1zeDu1KKzYr5SNe5l8g9YilV1Q1lT2
bofLytHUw1ISNWV971hOfXxtRRf96BSl3hMl3Xie2E30uagiU7Bed90mzLirsKyUa5yP48HQ2uZp
TlU1eLyhtg4KUSrtQ5D29+J0c17bvZXpynWqULc/WkNlXXHr9dCV7GLj2+PBNpeLPAgUPOCbu/Ax
GlW7LPVRuUbDUFuHoitZuVCjC5KUmhRTA6v2+hGRKYJ/TaELju0qhqlMZ+JtaXh968U137pm3gNj
SET4Hk/xuTtaWe68UgngZZdQGKGFz7wSz6zunrpC3thFrDFI4oRjiC34oSSV/xfPBmEZcQWVh/s6
Ni7u+E/YhOJNofQAMWyoOZcGTujZHYzujUQlw+ozImvn+d/YMLLVjMSBVPi6iwq9keJSVKhsSyvR
nqKojE+pMTp+CGxgZ/HWKBk5k+iCSu4bTVBSNbmffgtoFNEus5cMcTBEkHgveh529TEvsnA59KPe
KF/D0artM1IteXwtbEupD2HRolSiLyGW0shnup9UVD1UzB+M8pr2+fAly9vEPidWaKk7gcPWzPz+
a1c3YqPg2Y3kdByUAEeO5jxEoHY73Qew/krm6H8nBkwk1m5g3e8qMzhG0r+jR039Zxk+q3hnH8qC
1rGhtPUHBCLMI+rX/c7Ky7OyuvFf9GBd0nwQguvkrxj6pi4bYgan8JLnbtRm30Y85tBLZr5rZ8oR
uKj5jeVRjwPaV8+vPsqgcgAKylqjfAZvN8NQRnY3ohgW2NicF0fRZDROXavL9YuY9CxGP8Tp93Kg
jTCU9AAoEoEuWck6j8/zWdWKvo8CT9HjN1pftmcY3Km/KJnGJqLEqgGw/RYCDN1R3tjaTQRnREn0
XCiSrz53ElWS6shSB0oV2h9KR61o+CGApSeNs7OwG9cyFzKupzCUwCKsYwpntttpyWUvBJUOQvra
0C65jS+lXVG5FGq97JyUrVkFPkxWJGUqkMG+XUrkmxMDpHQSRGIQf45tWgG4qpNTY2mz8xS3vVf6
XJnemexdyXcGf/nbV/sYLgCBNjkfkOJ1qcrqtZCuds3M9lHSH/VBgXGNzrgaPRmtg4MaDliIHo+D
iI5GR8pLFyRSdb8x3OIDmhfjF9EoJepfQm+LDxMPs3WohBY+OUbfpc9hGHfPXuM27/SQ/+xQVW61
nBvXKoudE7ERIWA4BzWeGxKQ8npzTk1Um0lNdaSukukDEH5N+H2E1fXjg7c1DJKHMj+hYXRXZUqS
KY2VIYuCYlDmt26PNFBhOtHOKBv7HSQ5qopsQVhs63jSRmeqt0c7DyrLHJajISov9z1E1UzfpCz8
/fE3rZx3AUx5GHMi8oU+rnRpWjfBBkfSl2WzJERzTpzDFoMfH4SW/inOzbE/YI6Lbh3btNMvsz6j
+ZkSXwx+h2J09j3XrWQ58x1xdpzxpf9lhO6yHMxJb7Krg01If5hylJr93nPD9lIuYnoei14dP5hq
JMZPnW2L9GAWztAcMAwQylPNYvJi4XP5xhR98QxIGQeexx+9McUQlrDhAHpHkWW9X2o0zXqnN3Ki
5SJfDmE9jBdDmFEV9An/3AlQXmTjV+cMBgLgHymvzfu9usGWrMBRPgZBGsaD5h76pMu0Q5+rDbpm
Fmx1RNu7/HsHNLl6q5p5oV4qgV2DbwvUWA/gSlvXV4ZG66nPG1rkj0tevZJR/rINkDZCVJiYHh/3
1W8sVC1fpmHOgiJxWX+16s/KNLd48Wbmzi27NfvSVIb0l2m56250ZhlFWdZkgYUAy7nPmu5nmMPb
7/Wl+Of1Cw3BD3cG2V2lz3F7vwrZ3a7CIQvUrnTPc2rYRwwp3YOdFp8fj7Rxk3ODEhDSuqdDtE5S
xjDt06XNs4BqzPcsj92TZ8+uj67Y8mx643AoEys9jlqV7KQSG5cS6syUvek9AoJbByNhZwk1t5jN
suyqE2KvzrsZ8Nfr+7dEO7JJYEuq37rPlrVmVrRNy/YQcXZdUqXCjHtx3im9Zu+gLGR0uD4tFICI
2wAGSM2y2zWLUc7MsePjg1wRPUX5WBwam4ws7meNB0iJDlmlll8eL9/GnvRAQLBDXqzY1+lR2KG0
YKEDEMRz0wKGasM3iTZ+d0sn3vm8jY2Cu5DkdBFjgCNdHbQu1r2G2zgNxkkZlsDTyyZ7irhMqwOa
d0vzbknKaXo/ADW1P8H61sO968i+n2DZjeFS5oG5hz10c5OrAsW7IFHN+GeoULOHqRUlnzU7y2q/
dez8s4VfsiIVrxP7ozJXntTzbVx84Cwz/qB3MOQuA8YUb8B4QduoRiHwMQ+HvDs9XpeNzUDSQ2OS
FxEhmnVRKXbMoU9SumkVIdkl1yfbL9V0QVvOWA5ZTnwfYtKxE3FuLhEgTbJJ6kt0GW53oFuVoxo6
Qxr0mIR+07wy+zKXxUhebkaXpO3Stznzy/OmWsHjz92qahFhcIp5jsmY10NTPZoLeBJpoDtzBEku
r9zY10pkWw8Zgue4jrh6lh37payk822qGYepcg3N74Za+fj4x2ydCSgAEjrO1XYncdoVBrmzY2UB
asU1IoUkJX/Fwqz1MxDpbtpZ6Y17zLPwJuK/pZIGjeZ20smy86iseICA/jnQHFr0fvVwT0Rm65uI
d6lG0Iokl1hdLoJ4hcJhzyiZ5jwDojXw+pqLk+Bd3PmgrWNGMEpBGxM1WRK9/aAJ5fta6ewsMK0w
vbR57sQHY4qcP6d0jAz6BX3x5bULpkFToYlPfYe28vopWJBMGhsPHU89azQKoSZecUfPqDrLLxeI
lo9H2yhKEAnT/aSwLP1f1sSUwqQMqITcI+7g1uWhL5NW0B+00q9Q9shkzLx160Mn4qZ69soxEn4Y
esDH58ZS5ovNQwwTvhZDeEI5McExsjbH4lQXeofJq2XU5qsXBEV9m44hUQfc/3V2h7YZRIsRBKcF
+gge+WQ9WWkF6cjV0w+d1y0741l39yzAcrqTUi4SXPua6wyerqLuUiZB2CTGgbCjOSTuAh3VQBl6
Zy3uSxKy9CULpBSjoHnIP/+tQCS62rYHrcsCLpW5PUb9MIZXOxpIlifuqc8lafu3MGvr8vJ/hJ3H
cuTIsqafCGbQYgsgM6nJEhTFDayqWIQMRARUIPD083F299yxOYvuRVc1mQLh4f77L45katfCItfY
82BKujp3R61wXFhEE9/CSt9vhr3OPiAxTWs+ZbuLjqE2pi5dOA+GNG/DbfxfXv8XPv0/L31AV//L
8h+dAWSE/xiEk6MKVKIhULWJNz1VwG1/TEVfl4fWP+JiqqLwH4Mj7kOHyKhAmCJ2P0TfC3sXj0O3
5w16mva/ND3/+wSjAOX5hhgD8IYj0f/8UPk8Vy+bv65qT6qfXuvEeWCy7LSJzXtW6/76//8Q/h+/
7gu5/8ob5V7+340P8U1m2NrhWlfMIxjC1w9rd0BoymJAnfDo/ptq5n9frhxduuIvn6X/B1emCynx
Th/B/WmX9rtp4GTvLgYm9gjTSyXsegVrs/sv/c//rvNwmhPmZ3aKHMb/HG9RA0g0bP12rUiUJK2T
EOVp9JP/cpFyxL4emf94pFiZMtTS5aCf+0/0ORZt5W79kF3P9RSQ5YyKpX4YbRKdMmwfm1wYpIOF
afbkl7cY3O2aaJ+T0sx6s7lIne0D3frof8nS4rcFn95HVQ2NeIj0vGO454lN36EqWebCjLuVrJmn
pobS49fzpbJVYgg4XvbtaTaI3nPcXUdm4b4alttjdcVUBDLJfuMb7ryFOhJPglsW16bIr97Sum4O
giFpq0poh84ntp4TRkrHJh88US+/rd0HcZcd+/438ratQxoRbWMR9Og6Ct5KM+Sdt6CJhjA2v3wd
4SZHgqujs16ixhZHltj+aQz18NMdRf+WdL58I7kGG/zGH+YXvG1dwvTa4zjyYTIGN/+16vt/g6Mb
eb2CDTl5mg2NyVWkhuWHqcZFDDnayD68GBOzOsnwOVG/6zYAI7RWR98dV6Z/SBnS0amlDzcXv9Ux
Hk1ev0x3vcOq9E4gl6rLNdqH/nYVjnVvIY0HwZ9tyFonJ+bSHH+paP1SRHrwoat7x1gVbWaHe3wj
HG68aVLe0zBWmqgUp6o31CJ75n7giZ+N6H+1Ce67QLKbzTcoWT6lOXHGYbpO5x5i6oefNmtcwMMa
d/rdIPpgszDGtwzw9tLbQ89YEwKnXe0gTtvVkG7DR1P56xsLYzoVAZ3heXWV517tpDdsOSxLM5bd
Yv09HxeV1OS5LJkqgMOMLiAQ1Z/pqIKwQO/YHfk6iuFd2troPBa1YWmhCb3rVOUNMMJE86qjSmkk
ZtPwa5nacCj8dKYnt1x2GRw3iHsnMqCFzmHzeBiZHQNUnWEaMzhXNhAfVT1lTeF5kD2g49e2LuGp
EVgL3Lu/oLL1Hmhjll+QiJbx1Ki5n07bUJspn/x0W4lYqKqhSLNFYqcUHfMnZzwqN+gV3+ycjW3e
2iW+c8Y1hWqXsHgUEhV/wSTSF0QixGuxZU37zZmnBFHSTJRynoR6ve27lLAX/pleat0Pt11EcoYz
CvXHBrHILn5vPVXOrpsORWaq5Fu7yLjLndHf9oLHv+9yrgc3yKcjSv55W1C9HX5d38hub/cTqppB
kZU7BEO5uNwzd43WPuKSXoU3DXi1JKTIzLdrS/hB3id19c073PYt4wodCmva+ofsq+6nG+njvXE6
IuaitvFs0flV/TdsTePkrb8NLeFZQta5Y5f9KzYiwWRFecv+Evg6eMrUEKz4/tT9y46d/HNWh6sp
Dm3jh1XALC2bNjV/ZehYP183CX45kd3aoOBayfzSs+rqwktE65aN3OyaZ/LYHP77mp26dJ2qYjtk
99gfbu3xztpEd+U6y0iXgZ1b+xfZHkd5ztqoKSX7v+HKWXR4h8uX83hUTVYK7Ywql3I1Nod2GB7F
siH/LSXLPZGLeEwLMczmu4N5y1zaxfiPYR0M/CsaiTpXRyqK/TBRU4hsHd/afho+e+WgSs+ISubb
JXF64SkcxydtdZMUEcF2r0094F2q95o8AeIMOCDbRIRigQGV/tNHvjR5RTET5ayBD89LE8cvsduZ
zzlOh5dgXPv9tMQbuXDZHDdPkXLi+gKfHCGQHfVal80wRUSngFgGJQ0/GSIaB405N7XjX8K5FySI
S5ZI+VbP0z1RHMRarJUwz5XvA36NIX1zLpMu+Nu6bd2c7KTtfO57mwLtsH35FRxj15QpUBnh6RgD
PM9OU62FaOPoFXxvWk6dU5N8gS7z+HTY837J2Pb0wGbUsa9yN+NEkKcjrqaQobowuve6nF2e05cx
z0yWe44an9C4dW8QLOCAbfOy7Tn+yct7XVfakgUj3d8x8OzrANdC583s9+9DZGN9qsOB8kDsfVDl
ScvvKrqWpAHe0BhFGJG36pMwongqJ2JJxGnbiBfE7MYdHvECHr/hCb7sxbI3zVLQnwcvKLnBIN12
TdVztbgxVoPhNv4+vggmHEePCJOjxgXl7CcqKEOPQJKy1/6CL1rS7C8KlQ6tabQ70ammE8f0hWyN
tUym6fDyY/L1zv3n7eslHo8jOaVEGMHBSRzoC/BUKz8PQ2WvsQeLqsss1ZfiLwlbPhR/B/Evor73
nWJUvicIuXX8F+ABIgwgMUHQW6UMPojBze5RHyE3TCwal1wLuY6lCgf7Ldg3dRf1zZzkGJtAbuKK
7B+tP9nnUPbHsxw0z2q9t/FnWtHHnSQOFpra0WOH0vWry035FbES7roK8kytuFW61h35ZDoRDneB
3sLrtl6b32RoL3tuuoYIKOxi9PMcBk1/7jZELhswv7xpVXNo1j8hFhlq9n7rviZMdFP8hNXx55Yy
v7r1aZwS86k2jOlzibAHNFnMlEF3ltk9IoeqLu1qk4vnj7MugiqKx0JFzfIvGqshyg9FqOC5s0si
OGV19omIe7L5SDVx8kNyWxYCGmCD40Krh5wdtPhc23g76C0a8mMiOYQ296AVLIVXT/WQe2bMHpu6
mW8210Z7QUytmPIw0N0bKZ3NP6l8s5VVIlILqu3E3+rAlZz/yAlHNk5DRIMxVxsEJS7WXvM95+E6
zo9H6q8zsUWp971ykMOdZ2r/9RrvVVbuoqI5VtxEPlihXVPo1G2Ssh003LpxXE2vfigxIBJ73f+c
7JENp1FCgM231kkfFX4DW5nsFc+kJFh6vupRq/0LRmd86p2RjItIhMIUdZqqvjBdhpGa7b+qFlsM
+22vZRtfdX7X3hNksiAxaacvPkc0bU+9P8b2guHh4Z2pEu5TujrTTlPg2ZNchcoeGOG7b5mFh3ua
Qp2IEpcUqG7W+aJLcN9gRcXCZFAnt3WHJVe1y7VTBzEu0wOROe2d49RK4rsmB1UYxBbcj9hpcESp
9v/GY+mesEFk+vcwHVfFCnDmXx3LuH9k3lpf5niMMs7Lsv+UsZW3jQ2Wn64ruAbdeWT/MOqZXFfp
U2ELDXfK5CJ0ufydvneHqzSBdxBPJv41pB0nzD2m4KbqRLrwDoA+82qiKBcEQpMGFjrNJvPal/E9
s1y75wkG9qoMu2B1T0cvfb/YG01dnII9ikpIOtCIBtwZfI5Ilj5CAurw+agarAEdY6uRx69x7mZM
KUSu9Lzxh+2WPcqBvR33TEJcVWUyYy7bAnrO/myg8eqmuvqn/GhtUebTxEKnFF2UD7PPs1LZtf9Y
eW1VPviN90MIVT870Zq9JbPLJV8P1PS1w+XzYpqmms7TsYgVszDfm0ColSOLad5jhwd+dFihxKN8
2zKXdOCB5cBVaKeGINW9DX4KAo8C5g+P/GYiE+E0ZuvkjWdXOyGE7giORslWgxgaFzfxxzA9Egbc
kE0xXKSoUTkT1jDlyvoNWResapZcwrv66nYT8iadOOr/rP54TFdj2DjfhXDbLp8hqj97XwSRIpqO
jQkhhj6ew47wr0hjwGnOTm3f5txJ64+sVdot+iXd3mfXq++ahGNX9FMw6CvmZK8rkFRwkzgMOz3t
oQjJIMIAK+/Txrsh88szFwHtbs6H1Kw/sUmJeNVuRM5TYGP3vVddd2NiEgeLMVGStEit9lcNaW/J
G2+OTZ4hFd+LBj/lJYd/X6mi6k3fnLyVRrzIRiabkkfVw+4Z9u3fpg833G6zNulybhnHvfcciCC3
DAd4evtEqjFKbb74rttWzrkcB/8vsvOIFiQbxalOtBIn0408ZGG7WJNj+KGfaiiNMsd5oPoTrN7y
cigx7eVO8zHyOX1NApPYxVRutl8AzlPyzfKKpSXsG63bH3N3ZI9sbrj/j9hO5jzTJoVfPub130UH
1W/Wnp4oolS7WxFXoeLX+q19kOyRPqYwosNu3Pi7cBDn5iOuSQ+1clnA2jHafw8mC/mYPHTQRSjV
bEpL5/WHINTplSx4MnoM/cibc3i41gUZ/unVvqZfRVrYJe/pXn6LYePt+bPdQJfRATxU7GPM2XeG
9i8j2v45qIFkizkZeERDoaaeaWLTJu+akCJc7REv2BgP05aBGUPMQExVsNzDaIjIkh3V8DdI5fQ3
rDNujSE0JLnpZsavaOmc8C1cmc2KcE/MGwMthYyCBU8ypTzf9bUI28J67dbgpQ+zhM9HYCmyHIN9
j/ZYE+S6HcyWkX8E7whF6Xycdlt28uWyYUK/tMm3tmrNR7QKqBydYHTKIac4j3TsEePrqofqsmnh
4Ym8Ljtf8xDp9hQosr9LAdywcCvu9pdo+wp4PZlcBzfltLupslFSbabe/nFM3d5Kn8Sxb6MHFUg6
In4hgLHuz8rYDDGCVFlwm7q6VWVKBNslraalx9W+VhBYPLupi9iwZ8j3yQY1fXYlR2gn/srkLEKf
Yy124v6q+AswxnpaF+2UTP+IH0/73NijZQYE+xvIJa6c98MhUzePoQb1JTW6eth10H7G8RJ2ZTQ7
w/fNd9uR7NBI3kqRJTTuOnZ1ga7AvwsQbAC0zQvsOUP3+CO18ToVszG7W0AJwZ7POP368eU3tVFP
D0n0CNY1V2OXaS+ntZqe69Sme5F0OFDkzjQ5vwcujT/VHsv3PqiPLDdDtlL7CfZjIo7purxw98h3
WpWTFcQNzK8kkEZtPjn7lJy59+2PzpXtb2gy+hv+S+KdIF+P/K/N00uR4SFX53NsFTeGGFdZNIdI
KP8COjA+3jpkOO6bEBvHaXkIWn5v3o7V9rGrXgxM3Yep8BEgEzHHmN9Ghat38zTwZ9+H1smcS4wT
6K9KiOw7GW5dVlYOxCtOgp64mUMA/Pz/SoS+HMz2a1L2joYI7DWADpYeeF4bM7bPPb3vJRNp9m6O
GOvmJhu7iHq3kIqnVJX9w/NHEzjWwKo/ZRMu9md8EdKuCNKGgkoqq3ila/TuzJgeax6qyJtLlXjz
fJauTn/vVWffQ+MvN5HXQcbRdWw/KNc8K+kS8QszsY5USRiDde4BAXyQYZ8+rsmhyfGNu/YP/VEW
5gTvjTeIMpav1NkVxgF4gK6uG3WAI83aPcyly0wHZO923B7xMSUZA20gLh2T+X41qa1xEMVHjndq
5mG+h7diyYJcUoKBObBAUKNT8+13ep2GfPbHgesssCa9dZRxn9dmWh+RfNMMHaFo7miaGddsM9Tk
o0TzJnK7+QB27eEE9IUw/Ya8UXKbTyLy62+uWIar0ffld3PMs1N62ThmeeWluyxN1SQqP9LNjBhE
pGlbNI3ldKxIKoDLNt+e0rAZ/hybl727zjJ1RaMzj4WsPrI131Lr17lKAcmLdVXBz8Dd5HtHtGvH
cUyNAXyelXvN3LgaOlYztUW9TK5XNADLZD5isfmjJsKC52LTzYPrZAMJ1ANWQWeEiWw70EFG37sm
9sZy8NcD+iIAl81DL8bwpEt2+RETUDPnNUax3PVZOr/03V59N3tQVSVLBv/fzLt56DMfPWHiDem3
vV12XqPovtTIfvJeQckSed8xlOVzBaidh1NW/yZmdK0LIbXihqmbVJ8UU/s/PzBpUy5KSq6VZSPl
OFIBslAJsfihCgR3qgagmc/el8LuZjn09ki4qGjgAy7Zk4qnlQJNOCjARjIFS+mAto6nI5Ik2+9s
vL3cFYd/I1cZh7zgKn7DywU1Wzps4psTes09XtN7DKK3y9fErnNYuHG7/zSdX/N51Ta+cSbpJDfQ
j1OPxdJa7wWXfBLfVMG0fyq82fpSwZ/7VKEFlqlJ0MxYK2UUzmkZ1g8VmXXK7dL7d3Rmdr3gx+zT
KLZgPPiUqv1xoo19H7MYe9yEZfxzdnRrw0D+5V5K95++qzEbfm5C07RUu0IFh5CEWaw/5PaUZZJk
ComXpXcKBRGsSKoS9wcLQWe6Hr/ytvKs8uOHIaqCm4SD6+fpVq/vex2JP3Rw/mcgLLuApg03pzAq
wMhHVUnf0LEd3nSpxta9RUOqJojVldzL1NTqdxtgQcgKLatnTByIUj4tRz29bGBtPs173asTvQDQ
YrIe7YzZY6M/B1e7MzugSvzdCAz28gHMlkRvIm04eccunsikaz5h6DBj+3rdfh7evD/asDG/eD6C
7zGWyn8aUE4iQWfYobmHE/+7wC/ivq5l7WMeuNW/LR1jWkydZQ+YJQxj+dH78rU22/jr6D33bSMP
9ceEV9CbI+Ypvhj4g4/o9ZPfbVtX6qRm23elBoEby8Px9gu8NFiFNJn+vwMW+K8ZE6O3YdzFXmB1
xOBKp+p/CAvOX+IkRYKhu3JI1jToMc5zvf5nHJKpe+r9ClJJyP3v5lmzzFluxZBNReTu+37JJhAW
2ha5vLC49r91SSZ/YJ0pbz3dJv3VIly3KXu8QcLCcJns+dKQU8l+1zvm3Jqw/lk5+isGJPG7V5M1
DmVzN25wknKK/o1OYoFTWfm8He1KcEgztCoE2u5ddWLnY25UbHacMd1kefFqv9EUtTpILoTybGnO
cwnlmXeH1YBd3TsKEeWtrWTF5lV52ydUQqqKSzKRV7Bcks6Zz+tr28dj/tOqZGdeWJhyrgNF3Gxu
JXvEXGWEO+e0Htu7RjUw5sheCJ+ELRpP+cBWYMy1asO1XBcqTC4gYLesTFYerKD2h38zAAN4tudC
xpzmANdsuIVeES5rwPjcTMhxkYlQGrUzMBIfCleVPAIotKUEPSVrnGS1p7XXFZ+HEbHkzpVZVtSd
nm6Mj70bL7HbulIkdXA/aJHFxdD07ku1T/EnVrHjj7He6DGWnudzhek7gRNGMqQ8zU5WBsMwvvqL
IS1tb5P2eVuDLXg2kwm/a6hkajyniqX3Kzvr+d+qfYcaP6drIBmaueuiS9x26r73s5V5Rovpzmvh
c1xhwLeJk91k9b5SO67pDHdx7hQcimKIF/kRtlV3nGQ1pFNOYAfQc++IjNFZbuszTtMNKCs1u7ls
ybLeZ8uCFrxN6u2z0eZrYmNA/BbZXj3Z1ktGnA6mwND8d+LeKM9/6rfdbU8agVabp3K2n52Ig1vZ
JPZnpLz+VfCURuWRaPNk92D6LTsdv4ws2kHQ2phxc/yKsBugW8u7ZB5TEom7wTBWap/meRNeByS0
bRGzBIW01Q8KdHXyrgaJN3YPCBPZiFT6yLWS6HhNQoOIAQsmYnvZCowJXU5n6dxdiMH9qZm8ipnL
C9obpQfQZ3eskzF30t1zy4n6+tyRqfeUgpzSbkDF+WcwAXpd+9l5m3gtHvnwWWXZC80e8kSm9Y9k
CULWK4zIQQHjoLtZwLRU2czqCwekyhDL7A8SFZZv9KmreDlsNfb4BmnEGJ7dBoHQx+ChViZxeloX
XOeqjU4mo6HEkYuJnuIADQ173hzL5eoh2kN3LzYrsh+j0bu+8ol7txcSWTom21646so3DHGnyBf7
dhqCsX4dHXiywBcTkM5wmCYuXJlFXdnY5lhu3bjuqtMeHElWjmOcLnk7q8SU8iu6lrZkGb+j2LAd
i3mroWInhg+izybzAyBCzkWXDW760bhDxFYwbSb3Zl49fH0Tbs+mmFVAe7ak5FZymGjTLyyGjit/
XhkcdKy0KLUQ2oKfIt04Bd7oMgC2tYsbV2YheJzl4O3eU5BkG9RN7rhX31Yp4P/4lR5+UmEg3FNM
IM3LlqxLVpogWVAwx6yycNI35njk69M4z8ds3MplS9Utl7Z42yYTEB8z6L89N1hztcHM7c+EiYvu
HGudPYptFn3JYQFC6PxEN4wZcU9arodaNG/XiAaxBWBX56/r0buuTSuT+45B4W81hMfnoLfgl1wI
ICm7wRvHfMedRRYE1FCMoBh7n9EY0tnkwGFLfPES5S9PNmrX4w3QY5/vDyDw+BTSxjR5NZj6Hyq+
2l48VnfiVhwpsAzZJol4kXiQ+mdPY4VRAgqG+hpqcVeft2Rq5ENoVbXntTmS8doAp09MoqFNCs4F
TTBodGtvRBDO3htli4kmU6gQ2rw10xrnQ8sd/LC7Qxs9ORnGJ0HuZHZfTohHh590VVV87QPj14+x
3hjs+jSyfilceXzIFijw9/ol3rwsPGgLR95lcde0rncKKHndqSVoJii2pRkqqu5IfLZO65XZlOeH
VapnMHFrq3Bb+JuyCm9wo4qXWyJBfPls/Cbd/3aDs5KEyeZqJis6Xvm88NDeH/BeXSlt0u2mgpk1
CO6TfceynGlX9AXyiA4g3ZgG59CKGz/+K+NIZRegfFEXQzqzH2miOttO7Cayl8ZmDlxAffh/AxvO
+3fsz+f1JE3fZ2xVx2W+N+GGb0GThdq9DA3m1PcYzDrexelalnrOROk9U+f05x44k3smEgnbhoVd
6Hk4PPOh6g4cpK/sbmheMu9z44dvd0Bwuj8HgJjLMz5j45D38+rsd03UbUFB2BiLLlaONih403p7
w55nvfNGSu0HF0lqCjZNo/fkVDoNiiZVmfMU0rApzBmOdXvIKpOykuS8m2+eXCdzDzadhG8eBiDJ
ad7nkM2KtL656WxqlnueeW8pmCoVvpwLB6AMJar4fNvmyP3rsdeeyrQFir8OzDCoa2Bc3ATg23Np
LOgPZuoUl8PVFC2qKaO4JUzGX6EP5ShVrP9zAA6ac3Jf8OzuXaDzQlu5j/djMlP7B+bWuTTTCCF9
x6tG5IM6qNQQI9xb19s6QKY2mGzhqzBbGIUwRL3JANo+DmXZKcNFn5cTg2oVnGtd4fxXUx+2uzHT
PDestI+9XGh15I/uSyzB3dRig7OvO6bPMu7Dnpe5VuRlwwGI96KSy/bu98dGZBZC6CPnAVtiwj2T
bjnPpNkwNWTuUJ/8cRuXYgq7tS9nn1XQqcJRzi+bJdT2tU+F77KcDNf4ZzQrL7nJ2KUyFOJjWATO
yAuvu3F5nvReoWiRkNmLDVHpXsyL2o+yHbYtpke3y7LfzNXU2nI/wrY7oaLxeVvxgX6mcSacyDMz
Rt/54VyIkjf3Mi9m9spjWTPsLNjjfzA5zQ+YHtX2auKwv8Rtz3zfDCZ179xmJ+dYZYZOIjL0l2zo
HNq6Jq6FuunqhXuwb5wjLmF8HGy7lyRQtgA21cFN5izhj5BxFrZdt2BolwNO9iNjQrUeL9K6BK7j
HJ9WrBNGNr0yW6vq7G5uqJ5ZPMx8MVsn6luAC7b+c7ssYMrss+LTsDcQD+GZzayu68HbXoDdm/p8
7KRlsayLYl2qFKEwuTTpsj+Ma+LcR9Ap0mvgg1jljnJb7zYC63jmNqq2cgFXoL6DIf3w+RRA4sI+
tHdLAtGwGGyQgbv6QgHIeaJqzktSx+SStwyPN+RyYgE89q33HSCWicK3hMuCF2FAn/NNdO9N6Mmj
lOZoq0LEh5oJmZNhW3YjdJ1fSgga3YBtVJcnwTAOV5NsZ/cx65FMngWRN+69i70dBXsDIWCFyVqE
JgclAAlJeKt2uFSy7BpO6T4iIlunGSVP0w1guh5EX+chIPN0/kb4d+++knzZNOx+N5azJ9VVjLkh
ROvoh4pbdyvXDT/hj26pUs1ugLI50I4D14DFujzn2mXmuoQTCOXD4XtdWzrwXIPTEplsuRrrcF7P
GXTA5gdBJxPdAyK48bw7GIcrQljllTHz8lNgP31LoGA6lX67HCwRoXWUQeNF410SdFJdc6kJiIV7
CyLSLjN7wakNtv2MiYd4A96q4qLVadXkaRWtn/jJQPcJe3fTt6qe8GDaUH58KOXNj4Zd1xtSdtKn
gUlccP9lscEZZNjxr1sQoOZnWmcEPpg5THTpq86psA6iA97xPGbHBZkgOI8jToE/saqBoZ7IYPzX
rfN+3IzUQHNyTJtC+qDiXY+VYktjOG3+d+gWUrqF6EG7/8mBSMkLAtNeFBNr66T0xyTezjpkK4+K
bHdWLfPk6Po2zl1329R9jYv4hjsxiMwdFNd2O8ed1O88qXR0eAW2AImZO+KWgZNnRUGs67qY/QM9
/rAd0yvDg9gepyhr7hART/WlmewWnCWYMKDA1rOmnbPDG2HVjEFVKr/v43wySwqZJ57AAGfthkke
IUIT+e4E5r5lRZ9dWkMtKbyZDWERid23V76eGN5WZ27X89hrdVngVtVFMARHc+ezIxNEQyEQvkrx
w4J0a8feliSlrqqQvvWOcqkjuRasFLigudXbgDV2uDqFjZL6flc6wDd9NClAXtY3DwuMTYhDzRrx
xlrvOMWttwQXm43Tr26c6ocNkTLUl5bX7eH/K84HY9NL0+j4wfK6xyKr0pVhu27lq9kH/zeeB/33
MBrUe115AqLFdoTH0xfRJr33gg2MFarSjGcNGLcqwKLkkRsMY9+D3k/68zT00LRc+IWXY3fGf17L
iT4Pe7WM53Fqo+jCKVzSk98k23DGIQIy1CKtVRffifv9EsMcmIu5rZPojPBnrn5uK0NxOYXh10Uw
Lu4rP8yb7hYaU++3UUsWXaR0PL+UjTmas0rjOTvbzjvU97Xa2uewCzmzLXn15JpkM0jFHgbvrHXg
a3XYg/1YLMDgaa9N9D7VSEVyzSDHTpjmhLNORXqZwdaaomom/WnC0BVlyw7oAeSvhz4TL8kTFgAT
JIY02rozW/SdI+Q3JCe4gWzhFcnVHTEFrGMQcOGOz43cs+fOxuoTdnA43IfWbSEpCxQO/iYHUSSy
AUuL3FahXdO8sh9LpGVzBUVLcvdvINQ/1+RrOUFHvX6LjbZ/PDg3AlPJlNk0daT+YBHXtXfBuHDR
V3E8h7eBXeb5zcCLTM5V78/hZWooLDd2lLq9IMxr91LPwQY3xjcCqWnFANMBHe3Xa5ssP7Dg5dl0
nFi9CzRrfwwM629OhmNzMdaYyXAUCT266nZsAco4Mco8B/W4waMK1tZeNdbZ5MXZ9P592w2bH0B9
zF8WNvFZ6aeWHVHtDAuwXNOSCaAUYyykDWPnKwhLqyn5X90nBHWgYhLJIv6hzLWEJjL2/ZNburOE
sglL56nm0ftLDPZU54G/H/+HszPbjRuH1vULbQESKYnSbVWpJs+Ok9i5EZykQ80zNT39+aoPcJC4
jRj7oNF9k+5WFYsi1/rXPwjQynFuT5D7WAQKiGbTV9VS7mUyOERyk9j9Qh8BNQCwbCm/mHqYuLnN
yGVkgprp9QYNSI0PciP6JDKArdlNXmfpl2TKi3zX1qFjR7kyXf2s2rjy+dEk0xKZMx872s7gTjgI
lfb3IZ4g6EC691aoU9P4vR+sFdeENjXDEUYQ0QiE88RERE0jZ4ESuXdnq6SbfhatAUsxkjHcdrJ7
lMJFZSU1TK7OT/eJm+EhG+KthwufbJovk8DRet9NXTcdOYxyGfHPgvkIrVrFfeywn/u2HCZ0p+n6
7CRZXB1w8sXjDHqeO0QxGxV4F0b956zQtrpp/VjDSdCDo6M5GcDK7dDyz4tlGkChRLUFs5ruUpli
fultPeVBDNEIzAFRtR3DPGLQUp2qIsS9bawCPe/guCUJdJIGuGps9LBu4iYABXRqZX1ZqpKOieV6
sa2gB9pqkIsxwWfMu5vHhHEQnEobsgNHs7WZNb/ybjWF6o4pQ/RXkoSAyRQY8Uj9pnMqjDRpn8Yx
DcfTnMzOP36f+HHUgXM/ZGsPmYg7MkFB0Sj/MoYsTYT82kc6Mifujrmh99RCm/EjpAvxP3gOwsG5
mOXcr74os0MYl7Y6c26O+Y4yWwruhqal8/VWG64QfXuy15SLwcHjh/9ls14tde2g0kMBIbl47Tsc
8TfUGsyeN6mqxBH4X59RwFvmhKYtzC98l7XZ+uVMHy+AGtvH2gc134gqAMzrs8CZrzg3s2nrhU0Q
BReN2GZgcuAcPQxaywMNUYKqT5M5eoahnM+QL70eAboCUduzw6v8xoFIWvIGgmZECPPjM1Ft3U0y
8PPvV9/YnxiSjY9EmYTfOpgW4Pk4AtU2OLTN5oGQaP9Ku9DKNwMDzGTHwMeR+zycGWKAthcwv2YA
b9Om3aOaXHvaxSw20k1TNcFmgCA3QVDuJxGBrucM95xUwBMHi0+vcrJLOmRxzqAZ2INfPStCeKzr
VFIB7MKWce/WJQZ32opEWOsD3AwQtqGNQ383FbZ3U8D1Sh6Xmk+cbYa17M0W9kl6UwyzU93JdeoY
5vVLEh6klaYXx/zeebTRW2LCZ6VifmjDWiMStpvhn7kmrudqBuut76hFSPBjQhxTCFd2bR8YsVKH
uP7QinsQqHqILDrmhtM1yL7W/ZS7GxkLr3tawXmpo3INBhxTQlhfnba1xuulcJjCrYhIvFtgrmLc
kxrguZ+tuljlDvrWDETspzK4dCcTGg3IScmup6JNN/mUDRbL1IT3GY0ZMDUDUPsIcTl8kbC8s/1g
XPZNGBYzlEUplx9mDBfuwLxlxKxhzFyS0gf9y2q6cHzUpANxAsbEkN67SbDAFgUUmu5XacZvEGfz
DuoqDL1NO5IrdHAHSE+RHkKi9eS69P22ntV4v5pMjFSwcf0yUAFpdCa19bI0FlVi4QnUS6Esx+kp
QO8x/PABf6GMu9OACKZem/nTSkCIfT8ADEGNEMZ122M6jVxQGubbg1CL64J3eOHXyins1zbs1Bei
2QZz6e/al1ITY/5JxBkkcbESKnY92Y0u7udVXpCpIA3ag4BeC5dXwhneNoKh7sOagiBdd13bhtdO
o5gjuMOYf/LQk/q31mBEdqD0iUUkcgYmJBKFowWeZcUdHa2v0/k688Cdookc+B8hV+247ZOm4aju
a7val9zbaOEdpwfjx+ftLoN7WG78tDHQLCo64PsFoKje4elVxRsqjXLYu81ajBvorx0umB7jfRiS
F9cCGq6RqqVZBb/9EEDRG9w1HraKKDMgr1oYudWsOxZVpp1qqgs/aLY2B+6ldkUfuKsXZtwA+HAl
zzGvYLhdUrDKbd6WQU390rTVFrtjPmEQNnb3a50zKZILD9osURcKT2wd4O+XNJ+KaYPWU4rIqES5
N31X8zu6PSbNN/hXQJVuQtH0TwVY7LpfyCK57MYQ8A0FRlZsV7+vir0LJWWBcnlpa3DsgPvEfc0l
OPres9MAKG0pcZ3ykFt9011NY54+OV1T9tuxzxZrZ2bYuExeJdxkF5z6biVpw9oHnixlVDVaN+fJ
abPkyg2akUpVjnAxWRrqzyqdltsKcwSsvNqixkWVOLqMbrOvemrucDmj+8iKZ5TNRKytiXlsZQJN
aG6b5nXyVPGLmWPwRAoN0LcRMTT7Vaw3pBrmdwUK5/upqocumplIwOQ0i3gsKISZbTPWfnRHLiFm
l1gdURtNJP7FhYDmbJt+3E9VL8Nr4EhH7UyQ9N94G1quUlp/RuDORHpDTRX6UgbjiChi6aC9LQRD
/tJzKHSUpX0+byHA9c0xTFr5q7SgsUZ+AXmCDjIQKRa5bdb4zJ3z+buB6v917rkjLrNrv9+7a5vb
d87COb9lXCG6k0xNvB5yqOkvsKEQO4ilDJ4cNfjdXQMZbwCqUs4EvhLE9Z0JFg7pPhixqxvnwHtN
0jxTByAOpmK17tOzVEuIeAGn+uLIpT5AMVXajpSnujKCuwpJrkdrebU2K5OIDK/I5FwSl/tQD31N
ImQNcUm0MV9qSaeYQqa23XOgSk5Z2dX9y1hawt6rJON8p2HnkOVD0h3laeG3rw4Xyuc58ftum2CD
IyPbS2RwLFMK/AjVk9tQ5VQeHlCxrhX6lgYGWeZP5Y+5CMzXZbFac7aUPZ3yQY/uY+N4zeJu4tKI
n1oppmhuJYD8JzzDXsZVgPa1eDRb+5XjawedPKvQ4DZtuF+NR/sFUjsn5d6xZidFsDCZ+8Syqp/4
e9AOL7bdfavTIqv3ELNgJxOECZBfV03tUaVX9leC0vrkCdXN9Jk+BQXdHCzhblm5PeFISBstTcdt
vFCwfy/cbiLevjYcZwQDQsayZQDZuaTDvM1gWH7GQoDhmtsm7Q8FM23YBHnYXClZ124UxAYsh4DG
9Arkg12Ev+3cb4NEeN9mR2dfljRI1aZnPJJsugVSB0rrdB03bpGksK4uo8LrgKSZOXLinupSDQ68
cCTWEDcmaQkAlH7B62vAN+PJXUvNlAJWxA9l0Daf1DitqKbt1e/2SkAL38b2LNuDpFiLL1P8MN2O
jC2i1kqowfCrr3+kvI7JeagQqQElClHsrElyzBqrdkGr+ELZdVkywIC338IkgT8IXb4StAVR0QdW
HzWhnm/xSZr87ysriasKdaN91Si3RBOVGTHukzQ0MvInueTHQs1uy3p5nBTFWgzoe8aEkD2aG9zq
NzPlJNvBZvIBJN/U33DaQuLFTyHTHZPQC72oscPvdgPPagNPvEhvV7sv2sjyA5hc1CWuy+IS9gov
vR1js++QxvTHwAJiZ3C7wpHtBoc918N07Xfkh9Qh/JoFQm9KEY5MTxMaFuHfLSCyJMNtTg93o9TQ
651KBq2ufbk43+WMUzFz1HFyD+BK83Lo03BqXvNe9WKbjjDizxduWLMjBAMIBIQvGHe+pdF0UWAE
wbF3piy7WVun/kGLvDxyquXpAd1MemP1vmkO06xT7wpKePiEGVX6oxrMgqUZnGYXEnDVEfZVV2lC
W49h96ZUIxc0HKoqpTeBZLpFWoD4iGGtBmOqaRb3+KMR3temkgsa2p23HqZsHNx7ZFROuo/FkF1j
urwOUU/Bm9/29Bn7ykhctkKr7TgzU6v7RWSPm52hGY7PoRunty79Bi2zzod/tG+r50YisroNwqmr
j2tnDw+qmGX+YoNDrJ9XPU4lQaOLHtijaEZ2lWrHkEIhV/0p04obhiPQ+Tw7eNxuC7fgrKPk5/Dl
HjS4iNI79XjPOpV7sCbjWjuUCdUj8HX6q7ZG60cDaY/uzjA7hChoylerrKgTSQJs1yMTIj+NvKTI
KaKyOYlEml0GXMElOLOkpr3uwBWqXWtDykXJLnM3yh1leWD2q/pezQmjOmdEF0QN0+brbq7QlEaF
SmEPjpiuyaNvwRc5ZGYVL8rAn9o50LCLg+2r+Ls/8VE7Exv8jZi+3aERgVhlZkgwF+8bmDtDWS3D
yQP53uf+MrfwG9hLJfK3qvuaZKMljpAW8RvspDfNhxbos+VQKINXFMPyATKF+M7ZPvoX5lSu92CN
bfLJSWzTwOTnph4eknyqmd/AKY2jrJyXiUvIS/OjI7Sg2vYXWkxI7VW9swDHn+s2cc1BLjRcTLB0
Xd4kgsgUlHxxbe7txGv63dgu43U+5hXsUqiQNFCSud8NMovahgSbroz6S9mQI+kOqZmPlgO6vQFg
dY6iKXwbVteMlgeJRp/tsP+prrysat07EiaSbu9bFzCmH8P0ng9UfYNVzPpsVqZiVG2LkwAsVEI3
n2Q8M/Iw6zhA6sXAHg3MVC/9OVN1WEahDR8tR10H8x5r8uDAGWePRyuBrgoVIuw5HcHKn6CjL1TR
Xiv0je5MNdxO4boaVI9qhatgI35gcDGgcOkNwvpD2cWxeuRDVcC3CHXi7RTb8jMR0F66bZyUplcl
SRhDvas4jMMEguBiG0TmI2SB61hYntpXSByu8pxN/6BsfJKOdOvQ8em0oMz5rWPFz0U+G+DQqp5+
edAO1hPNVzcfLIa68gw5nnLTr3K5h9hesJGyNL8xtTPBRYUR/4RWCq4X+7QuHilBwx8QHHNUwkqb
douAS9C3YgeaPPltol9hFall32Dc6dFPkMSHPstVYt+W/zaf+OJJ3jsg9x9iarppA3s2uwEp6tIz
uQ7luJ3LvP81E6icHYCEYPm3WASygdqKXzulfF/3tmea9VzzKutd4abpfarLDD2G4lX+wu1cwfyH
B6BvErjRwRkaeSp3Jkd8CjWSoe0uXob2qixkFm/B8YKvLRZT+QGlIPWMKfOsOanOyZOzI9KaLE1K
DOQ4DJjwytSgghsdM+XedoXbN1+nOuctEyLDwhJzNEIPvMoehgiwOyjuoOXire/PC1qURTT6jqC4
mlt3LOaIGYAbR2U2gXA3lgw+Vxo2E990meIbXjIIFZeW7pOtXcccizWgcolVwBHhe8iSfKS9wa53
eq7+UDa1f21mhchAAQZw+DqTuplyf31OyYPm3wOTD7eljJm5hTm53AiOxuW+5DmsCrqElBe4oR8B
h67Ic4cs4EWSnI0pKiUqwKhyXMvmhAXd25gOXtXW18LND5Bv8mAv0qB0D7PFqBQHrqo72EEKmbbt
F5keXT9O3f2YJvLCFvOyu2GY4hpGW+43d2vZpdUD72/tn2LHmuYTsglA48I1d4lCN7utm2SEHsoi
UpFjViXsxjE3+AHNwTlsuupWL8jXT+GCxwhkl3ylk0iXAK5LnP1a0bV2J4abNFEAU2Fq35eWFzQb
DNVyl92WrcWuHBKv3nUMUb/3JYP7SPVW3W1bBZJEibXqhx4VwPzaDpKYi5SKLY9iqCD+oRkZdh2b
sVNUjoQh/CLDHQQqU6Qx7WxfZNVhNO443Q9OnftI+Yrli5pw7ecRfhkgT5DdVVDP2j7YAyzXjVk1
0wkMHjjYK406ETSq5eYpc4gvmzn3HT5onDH2AKIrICfblv8zTJTutlrMSboNuqV1ohID69Mccnxu
4VZiaupRLXfcX3PXf+5HvfqMqchSqimaXARZ2iyf+zwOHjQTHofSAQL/znaHONs60JBgN9cJIucK
s2Y0HIXXTxsvVu0rkxCG9mEVSjpZN4FYyOKkIBfUhfkR6riTR0KqFcDGN27KEAwJcYRZjlZ7p2ME
cFogzgBdVZBNKcFyuwcShEy3a9WUWtss77nbYnwe3dO8Qh8/enMZ/GTygPQKUCjTkZzbWUZrXS6f
eYuZJiK9XDaBs9TOQVY4z2KfMLpPLWzD+roOp2U469Ybv/CCX/L4RqOjMqzrn3KQyy/IuSl6sdZa
YIAFFM++gd/JpRGgdmqyMo3ssB6YdyOhCw/W3K/ddtZxvEadlHRRbPf7GkbUL0bo4Q7G30V5BD7d
Pa/LuGZ8OJ9aeKLdQEgy6vaOGVVLeTjDcDlRuU8BdXnXBZs6Xjn1ZIihwxahTVVHRHZ4sF0uDc9u
TjCBJ2u9X76OoTd8kq3Tv8ylWo5kX9fpuQWtvlL4ol0kqxNSm4LYFFi7Crd/kK04u25hvD2LpAsq
SsvaaSBdc3Cz5VU7RzhYxeCahKuoYzBZQb5bZIIQKJzw2UgCqA6HBlofBg5WG8BHCHR1TyxY+4K5
bfKYLrn14piK8U6puE2uccIqZARcOXpbaO7BtcpmZCPk67jQnmwi/GSuoEeUsZiOlxkokz0o9qDr
8OluenduvtuEHU+RmV1sB7BPQCGuglr7h5m0jhBcEILR47D4IQ0ed8+GZin80sO8S1HJxMbHVCj2
njy4y9kBLGF+UuXafvXdnJAp6dTJ68CpN0cFKPT31oLftYFSrOcDHvT2K1sCn1DaFJu+SE3zHXYS
7sUfb/VcUkO6PI/60PT9PakuHRRquTo//Hat6EaYxlW7WuGdvdOraj6leP3IqG2Mvk8xjPrJZa78
nWWKRdBOOxIebVUU3yvmdTOE81bR16yTC6dO5gy2urGGPLRKivm1QaEKEzbIvaMSNGfbBJY9EJLA
cXnjd7hRbIWTMNdwZx3iSJFiXjQwpjGHXNdjzDU/+c+B7UyoWWTp3Wml6YWcLJTPY6wE0/9azQ9Z
Wujiyoe28stXY/rcWw3vcsm79S9Qupod/nal2mKElHxRdZ2NxzZdUWcorcKjFUox3aIGI9VrDGcD
e1KkcjkHPhxTiscRTKTOSSzd5MPsvyzTDEtgNuEQH3Km0lcOEr1035CVYlMa9RfwGPmje1itdbk2
7TCZk0BwF+78nKYVfeEUqitmpX3JS9jyKSxTA0ejysxyJqE4SOw8Z8ia20rHGFqwe+3POadFdYCg
RbKTJfOlf8x9k93n/bL+cNA2nGYHDeVlTL4gPhzrVu/h4HkrUqQA2DqM/VBs3YYq4FT5rWtDRLFw
mHPTJNcHDycGZvKeW+vd7FJfHsDlE+fb3M/TU+2OVr9HwujfrIMuu4OPAcRLaugsAFmb8hH6ZjVt
Jo+FYxvgS7DlxsRbY4r99bEujLdsABIWuLqdheuadny4LMZaaHno9hd91CCVkbBnBvxZWjouhcvY
/hxEQJMwwCwYNsPkzy7dzho/lKaU1l4iF/hhF4X0T+4k5D9mbbwSaMW37+M1LyHY14F5vgRG97DD
uoZSwa1C77xCqyTYHY+QuwqnKhdZv2ZrXSxQ7toQwn60NKO37lGZV1BkkdFsPKxHXyeU86Dogde/
hn6ZWCcD3vapRZiQbdBCp7cD9OGMoVDj3jtg42y4RTIcEEudxjcID1MEnnkX3vVOUcwHBJmk74rL
iAYuTfvJcgaQKrsSYRJ5Q9HyJlndYO7CSc86WqaCDLEey/f6yElF8RWWDkm+7MyCzKA5yAu2lsJE
JK1gkSSacRmH0hDIQyNcDybPv2BReZGEAnNwY20XhN1XXj2PbL4SOhM1VMJoBvMWAyfQYYj1Pe+S
8C7jpsMWhjvlm4+uqzunSaxFZM0KKAJsYpKRwlwk3aG5VY8iXh247rJJSnIqOnU/JC0Hfm+o96yy
RRaLF07DUY5BYsiYICy03K153AC4iUbtbQZVkJ2qRHpbwzAGQNK260fqNWq6qbYdNG49J9Zh9eRy
Vzgcp5txYa42eVl6qaY7AOh19DNAsjpNtukMAXgzxqQoXcnGLvqLDoWq8jvtjVJYgXjijnXmWvE8
m6gwhPTLg4sR19e4bntcFxIJAX9NOUz22HUN3dmmmXnUk8rR33tNClkIJdW4qTN46DcgEGBiuu7d
L3GQx/eDXuMbm9FNfOXW/qq2mG1YUxSGk1Nu1sXxF9g7LsZp82CXv4gdbF6sxMRfFlij6+lixfWL
aUhKklkFJ2ITDOuIHXibAJM5cVhe4wvN+SvdMfmOkVGiDrjJkZK4LMXi0wnhh3CyVNPexUnrAMn7
9GCR1zH742dIKgRMnh/Lo7JgzyPER3m2C7q2YyhRB87OrUqIrqQMekfmZMwu4Mlk8c5dVQCLDYoz
oRt5YapHxA7mfsnM+CDLuufEhsneQ8NP5q+de2lVEI6MZ0wYIJAFeammK4672P7EbkRB4S+yGuGu
eZ4T6RjcBAUoRLYNPerFcd8epqs4mCFNepaHTSbTvHLrB9qx9SYnW+mflpH7hbyGxHgDij++GCeA
+k3L0j0mQwNXHxucq3rwUy+KF2ZyGDZphGix1OlP3Rpn3sEVx/PlYpYhNisckHjvAcEMOAXI8KsX
i+QLHu31p3xOeXFStxqOi1/bNnOZxL1CmaPFJmPT4PlP6ZNFXi6xk1hSOzzUYSavGdMOFTHc4N53
lSlg54Bce09DGIz9pjGy40WACBSDLGguT5dKsr9d47QNNxqXKm/bO9VFvq0pcSJLO9mz32ftum+Z
vJh7Pur82HFP4chvtSFgqu/JIVrRGUCs5BrzWS6PkWfprv0XvJ4YBxVF0Pzow1F1G0f7AbdGYZBs
wOqAROJ2gzVs9CUVYZvJuEwPnT03jA1MR2YHwJDsb8Uapk9g/753y0YsMAsVvokjp/W43pgGMEvX
Bpo1+KXX6sjOJ6xg+E/HNsL3GMOCTK144CFkxN2ftUVsBZIEBoung8p23TgN2b7Hyzah10rGWyFG
++IeECQ36yqt4JOO3eWpvLyMIBUZDW9Th/6TDSUEXwOvya90FxQSa52wfx6Zgs6HEnH9bcndQI5a
RR6sZg5Vc0uY6duAJ/Q/WCW4165VungaqSAOttqFPX1GwmZj3dzU8wlbIu/cdWQtblC0QJNYKbLY
r7T83jcHbPSrA1WTCgoSEtgm/Er1yReFbKKxG30sbribtz3qohMOFGN74M+SfNNPM/OCQviNvZNI
isp94JrlW6EmQO51TEK9EzTD5Tfw2SBC23tBd2RHCU2nZ8kj1EJzHuUIpGQFrUeJorzwlXGaKFDf
O8nlfsAWGqFEMcknLNjsT3Mvih8W++SlL+f6JnH1ctGLxJygXrxUP1Do2xdpsgNyFuJe909SWqTY
MZDx583C/XUVstOXq8Iti3srz3Jvu0IQzjaegnvwjCWGRuZGADGyNHyZgfBXmkbuGabPu2Fupsc5
y9bhsWZ+h2Aq7IYvJfAkJFEc6J+hXEzBAT6ZbKEFVZyUpEEqb9O29KDHya6t/huTcrvaiiltm2sg
jvpcU2qthw6ejIgSW1toGeB04c5TzskDJYn45uiYQrRa4ZFA3h5gw6121g746BD5sGkZNNUgzLLJ
DusaLkjJqoI6uvHtkD2XVC4VMwfgvC/p5jgF6t5p7sLKzW9R0XTZ9dQUHtwgu4SFlWtZQRvOXB15
wMoN1eR4GYy22C8+YH+GZt1z0qA6QZvx5RaiVvyK9ZbO7hvjddmeDAxRRZ0IJ+iZgWhvSW5u242T
2nxqFDZCnEUADxy6dlAcCqcskjNYaU0JRy4RjPmqX+znIWisnzTmFas71eph8UsXEuaSdf4Gv0iT
fmr12u+lnhcTFWKm+V/F2EOFlXG9h2aX3TtYHOERVdfNepu2rSRvFo0NyW/wcHV5+z9wBH1rSIfp
5AdjcsaXs1E3o0jjcLOqZXZ2/yNi2bnQY8vTGo9EZDll1VR47bhVEU3YAc976Oh2zf9qhaVQZ81y
bLqlUlFhuLEWww+HYiKfPrD1fMdB1KfAwVcTW1falcuf/+bqyTR0YebTmBNO0TbxhrWEKAKTV9By
fuQK/Z5doiL/LPDxoOSvN2aX2cUmFCmPORn8EXYxbkdR6ovgdsEVZgtYpL5Z8UprEVIHMuSGjFZT
mKMAzOQHtpvvOUQqSWY8EyJFHtMbL1CLLQ1yZptTr9ZhbzDCxB87HQ9/d9t8x/zSV7jCBUJe4hzk
5c9/X1sNorvQkZxM3H3iB9RfZULbyH9gnYAS6KfaAiX23x/qvLvKON87MJtJDXobZlKhfZxi8MfT
NI7OPbyG4OAKx9q6zGb2VF1YFkG4icreX3fNlLcbUk3DbTPVH6Xxvre18Ov6fx/kYkb629fHZqlT
nc8ij2WJ7R68qyBw0it0ouMH2azv/pzwN0iCuji6/8fa1Z/9QrmdOfmMkg8ykN6tj1/cB2bV7z5F
uYrVkhKm25ufc4SwYpxe0sESywpQ5XrHeuq86O+/37ub5renXJzDf1s1OWgfWtZsTg1q6BPRFDoK
GBR9xYKrOmcdzEpqvvGD9+Gdn4qsH5v0UsdWBAq/+Wokx4dgjq45KYwQI0b4w63JpxjXNvR+f/9+
76wi5FBoNj78JWzq3zifG1yWIIhk5kRCnUA4O/jBHu4kc/T/7XMEu8GWxN44eNC+PWySiuMcVgu7
L+vlbb0KuKPrrD/YE/811OUplJHSVYgj/2M1i0sjDHGPnRfjs7gP6lZ8jsPZms9rmokTkGAsPshk
/69zPEFUtutzdimc49/udUHGicKIqD9RIpgviUebYWVFHs2Vr/FSvpj8536N7VssxAeOt/8GB/zp
d4v3s/N/U6HcgDycP/cmnkESRVi6nobR8p1TDvMXzyXXCmmAm0rUp1FBRDx1hnrsyIDAb2lTHO9s
DDqFfW6HLX1VjJiYcT2GLV6hlnKLOCL2jhU6WvgEJQagDF2DUJ9L5TGQb+B7bwq0+GVEDhSU2RKz
E6iDxeo+qW6VzQfH53+3J1+Ri8GFQuMSWvMmdtAJizpNU7GckiD3n3CIgtKwJvbD3zfnf9+3y1Mu
+4UTmlSkN+9bl1u5y3hjYWqFv0BiTcPWGhNxmpq1P/z9Ue9+odAPg9DFOxE/pj9/MxuN6hpoxaMI
yo5yF5D2wiX84K1+7wuRbkF0nPRdH8z9z6fgHBV2XeiSLgi7aLv0Hp4HK00dIoaPYgbfeQEAOW1g
VroexYDuz0dBdq4QMAbzSdMg1ZuinDCGMtPFywjnQpFc46+avE6hgYcrCmtJPjhYLv//Ny9BwOMd
V6FVZUTw5gADWM1K47bzCbjEAk0sGd3WE7w9EIertrWznS/rj9LH31nfADDQI6KMY4bI5j+/dBM3
aaaGbjllVkqWhz8VkerMFEn8bv73PyWPugQkuER3kCD556O0n+Een7M3M3d+dsVs0Hkx9vWlW37w
pHdX8rcnvdk0Q2vhHWPK5TRQhD5C4/Jvq7Be0MqI8dRib8J4NvD3f38f3n1oyGBRkqBjU3H8+fVQ
xtFAByg8engc33lj9I+yoXkJKiS8pWPE68IQ9vvfH/rez+dy57ksqhvYb43CEbBp5jv5dNKIXs5t
idrKcpFAgFZ3Hyzqe48KfOFCzgsdgRXhn98P02la1KmZT5OLG/jktqiR0vEfM0/hBzfRm5UkqScQ
nCvQDVhFG3brn0+KR6KCfIR7iOqFwWEA7pazi+wKL4IZItQHB/O/J+9v791/HvfmIEuqBm9irX1m
t6PzGg+u/Inf+VjuTd1N/rbs3PyYNUkNybZwm3Mg1ehGYYyc74MD4M0K//tBGKdIEu1C9t/bygJX
LpRM/ugz+MqG5zDBGsITrb7LvSqJ/r5v3hze/z6K+hnINfQ9arA3S0yeeYIv8qJo9i0JSdRedxoT
qw+2zJsi5t+nhBwtBN863Opvf0g/Gy4qxi444lmlTkkfiJ0EP9oz4cdLGUz1gwV8Z+NINoDiNlLc
tG/ziSjYmqFhDHMk2ddcxSA7UbeW1i0rMG9nzGD2/dLXHyzlO78aRtLcTDY1oS3eXuwiD2MdgFgc
5QBshXPgxTzN8ngFvfSDduSd9ZTsj0vEDBFIrni7UxNYSTkO1McpbcKt7yD3HRuMXRI84LeWrofd
33fJu1/tt+dd/vy3lqHAi5W5daaO2k9TiHtC3Koa4V84t9nx/+NR3LmSmoW1fLv3G4YdJgXiPJaM
1jcEdaGyba3pc+3HH3yp9xaRbg4fSUc5vnzbJ4RSgpIyeztNNWaA2Cy2UdcHJBtMGNdlyhOHv3+z
C/jw5ngBECAWMaAs47FvwIkxLS250n2dQBRVcRriESVY5Tj1Nq8lMV24/BcRxy1cD+af4mrIx+yD
+vqdtx2QIGBD4JHB2XJ5b377HQcE904lAn0yODLThRFkYzOz+uBtf1M/Xd52ji76IgJAhB28vYtA
P9MCBEszahmaawZU442P/esNvbp/reOhDnes0KBhJIcftUvOuw8nkozKWlw6mMuv/vtXVKvGCJYk
c4hCYbudl0zKKO1K8qJNPzVMw9saIIJkI+Bzb+yT+IzErMRxwsIpGvzXoOGcMV/Y+yQPrZsW0pU5
QHiA8QBHCB706gDtbJFate7z33fIe5+dTk+wdpe/38I5Bm9a2QBjHjVRLgmWsRaqUpMk9wUOe2fk
2B5DnR7qPoKA/4/Di0vABXhAVvKfmjdWF0OngabKLlGQhRBOCU/xcCLFSveDTfjee0BKJ68c8WAU
nG+uHMVLZ5fVmp4qk+RM4hcxooi5CM+/MSIT30i8dl5myw1R7SVucJ07dRF+EBv73oFGxpAAJyQK
8D8QFlavaGRTkoBR+KXIELo4WpT+gVJt/eCUeecqch2clUjZANFx3wYoMRHTtrukpMxjp+5vkhQL
0W1qrG7dJqgssPD2w2GK0nYyH8Gh7xxwLomR/yYrCnrqNwcORpNstrG3jpKW1tyUY4ACHr4IpvX1
/yHtzHbjRpI1/EQEuC+3tZLaLLstyfYN4W7b3PedT3++1Lk4EosoQj4z3T3AGOisTGZmREb8C3/2
pdHDrtqITCsLyyPQ5Do1DFu5KB6ANlNRNUskFyuEJ3rr+ZOcZk9Za/cbX3BtXVlNEkDk9C8faWBE
O0lRC99FOnkMdzIg9HBOtf6mGvBh3fUzIOcj9WAEl64f0rUZAkMQoqgQeS7KS7Qn266lzewWNNHs
AwYROQAPU4k1yLH1vOE0tHIl6HDdIaISNrgWFsm21UkpoWTy3XqEQHd2WtC/GFH0dutixlkXZ5Sa
zN9Qe4J/UCZtpo9f5bqhU4uEfqqgdbbYQjASEBG1bd8l1ZKeFAcZu0NgNRMsMNKM8a6zdTAyuh0X
tVfNQy89X1/slbtCRycd62wKYJyhxfQd2ywUmo6hh9qE1f/q6MSENwX7rz/M6jBY+9K24nwPVAxV
yy4wIDErTgPE4frPWPvmrL7OUtP+kpeHuKiqCshJxiEem+AWXlKM1QuyVyi1ZBsHSFkdS+f+J2Fm
Zy/7JQUQw2SWLMmtKwge906pBfIJQb8QXtVEt7uwIPdh1CEhaX0KTTlrXhy4O+NeVhEKOlV9Vsdn
i8b7jTFKUnc7SNKETGxebHmcrv5Q8TyzaOpcvlKMbChlpw4k14ZFZUAnT4IfUt/XOirnNdT6659g
7TJjE6rcKbZ4Wy+iRgYnNPHhK7thbvIwQrwBAV07nDUvQO4a0VBkVk7Xh1zJloiIVP1V3p60QxfZ
EjlOO6qBHHn6pGQnFOyK0zyY6vH6KKr45Yu8kESF1oKoh7DZF3sc1CqiULZBxlK3YfYL7gs9jMZQ
cGOp0fsbAfqpgXMztegBnTsZ0pFHJx0FBZ/eduwFqpbGLxVEJSGBpNVgOPK+ewiHCCZkq/WlsZ/m
2MIUIzK76UaNYZp9ifw5Nn/DFRCKAFmJFxgo7aDYuLyWnSKRCb4eGtsUInEXx3fQlTHRZCXyJCfV
HE8BlzPuJCoY6q6aJie472IZPILqO2Bfu7lhhTNDb4Q5p5Q+oOCJA8L11V77pkhhcZaxzuSZJjb1
m/TQBMomD5oZeYrllx7uXSXw83bLLXvlaJDXUKuUVQefzuV7t0I3r69NO/IoMcc3MunwY9LO5dmK
cuX7X0zIoLEi05jiP4tzAfG6jkDTRB5uUeN5jPHIUOxG21i2lWgr/t0cc6R1yRAXexR53UTOecd6
bQeRU7JA/wDMaCy3KE2UvBF5ug+UsDz/zdxYRBosvHeXb8F07jXwsxxAhKkCKN6TLsWHorLTjTVc
CbKGKCobNBNVvLzFn7/ZFEjWwTSAzu4lMN70A3PM1ZvIUjUoAUnuo5/r21H5IGF/84RwOuZA1+e5
crdRcFVVA4NY25GXF00AImKEmi0umppnGbXFfZVVQFJr2adv0YbuX4xHXOUNSK+Rosf7+Q7gMEtN
B/CTGWB/5gJgmo5+7SGawulFHuNuY/eszA+Ug+iCU1Q3zOUN11Klccq5Cjx4POUxDbErGeIoP1Nz
Hl0ZFs/GvbNy/EwRQKmH8gi17MUht7QhSG2/DLyph2c4t3inYWimniZM6zZslteHIgLq4JYvm41c
3fEAlDnwoAIi1V6Z6m0FF8Urh6j2rn+11aFgBLNVKYdevCTQBlDSQuV12A8Acua4SW/9KrBvpKwb
Nma1ctxNmkfUd22W76JOMCNIOvRdEnrzhELZbQ/lH6sWHoTaoaxmNNinMI79b0bWzuHL9Vm+NrkX
4dAEk+o44i1K7rvYnAqOw6oRKYFHHzepzjDo6TqOEGt/NWGr3iYjieepmzGoOgyaDNK5dYDZnCwz
ClOQQJBv9xLI4Je+0QyUA7vOuutM/o+jCW71IZANPXy+/pPXPgytGnrOFgGPCuD745SMJrI7U++4
Q2XgrqUFjksVKL3h5SPtrw+1VqOmumLgxUyd0aBw+34sSRe8MSCBbqoY6gNGTTqJcDEcezUo9qB+
w+OQNeMRLUpY0ODp9lUbdRvZ8Mp1adroDIlXLRFheV01AM/qWK4dtAHK/k8BsPmmGUeAifas7yfc
BL/YRvbbj6t+Y2+sBG8SCuoTJjBw2nOLKDTDyIqiUXHcpPdb18dZ8dGi67C1xipruNyBPDk4ZyA0
7Yv6FQ3uThtlzXFJt5N8VzaS7h8mcGzhSYWy+B1h0filhXT6YqBdAhssDnPemmFRFCdpDhPzbLWz
E348SFC0kxVN2Kqz/otzAQC7gfrO3mrqOrlHUXv+YzrBfKYzCI978stv17fayle2KKKJBgT1IEBM
73daOCBLbpql7Q41fRfH/GMp0aewNu8x53jBmvtnkcN1uD7myr0DOIT7hs6H4Vy8dhsUGPM6GR13
DrTie+NnWAPaLdI3o0WZdi5/QXbQN+66ldPL0eVhwcFlssskA8kDZP+DwnEzJ/5OpalFhhtSbVkD
0b4+O/GFFvuKVJBrTQcVRqtgsX3N2jCRRNUdt8MPIdpLrYpgQQPvZQRwyWlDswEFXFT3lOpfhCYb
pEuzWnq8/iPWpkvtzXD4pLTPlpcVit1SH1UUFJRSUjN0kmTzobEMX9mjZ4ED+l+MRhwxyP31y8aP
gY5lj86gT6OiSwX4L3iujRBZFq2v/mZib4YSl8ebJA4nvD4Ys953IwSKERGSvgMwHU6Tkgx/cRIp
6KggZDTQg0uYVjbwwIjRnHQ71KU8AfO7A2EdnuwJKryNxPH5LxaRnJu9CaxJWUbEUtMopqWV78Jl
hL0Gq1HujmrTZr+xM1GdvziDvI14sdEYueydRbmw0mhNx4VSjFpgOyL7hoKvYSQHFVVJCiwxJLKd
ERhRefz4REnDHRvYNKu7nKijIf6FpCHH3477o8yCPORFhj1BoVd/MRQVPNrKMOA5jouzKMEdRqI9
9V0cymEg0WfdN3ogu0pnb1WA104cktVUSASEi4vm/cZshYE9hnuWmxRD+phhRcfZQy29n0vcjK6v
4NoVQ+JEW1C0Wy8y7cFycvxzaQyWemc9QlucgYbq8mcduVS0JtqhueeZ1YDFbYbvA62Zrff1WtRA
ztlQFAztSOIWUSPQQdUOGRpOBTgr2YN9kXenmbLJb3Sr/T9VWPbNIRhS7YVsIQ02bti1pXYoNQBM
Ze4X5UqHHh5tB8cCGjZln9rMHE+lDRGJ4o6xkYusDgUMwiAZMS6d2S2ULCLcSW236Hr/VMfafKj6
KLmRG3ULsLnyfLJonSO9bvDPi9KXho65RikQkRfHnu9KfHL3rd2mGClAQuyTemvDrmwiFo8WlK5Y
5mVzJEAuo4tmRGXitsSwydeM+QkdBxgsEe4h3ycjIXqhR2v8xyOiuJnUJvp9fRuvJHqAEgjJ3LLU
n5enEz0XgHdAsxH0MKx93bQYx2bWFvZh5ROKRqU4J0RXEsr3B1OzxxaTTMSoutG2TkOlh3swOuMZ
+q65cS5fU9NF7CdtB1WJIKpqXGZTGMvgd+s4bo/EQe8aA4IcOSwHQ/m3grTmvChlikpp2nVp/TuQ
WuNuHvXoAV62Vj7PekmLSO9La3gYtAFmxNBWU/osIbRdo4uFyhzoviLIgBeF2T9FSd8FJd56fjB7
xP3301An812Pqfs/NICRSYNSOHfnGY2EX06MDApmO40KmG2YqgNkgCbfQ4kPIw+jjECw/jRMbWrV
0sMbdCh2tZM63xRrmMbPRj5i2qNqka64edSk/yhzE5i7RnGi/qA2OFc1OkzmHSjLst3HWa7KELqi
9ieSdSro36BjK9lVE34xE3saEZVJkDRN277q6TPoJVKnuVNDcu3iVt5JMm2yo5KVxryzS1t/iBHk
TV4QsNfk4/UduHLmbO7R11PABlz2sCeMGeNOnDmqWlhXDeh/SBouJRlSZV6PK+7HEyXGE0AnUGMQ
vhf3ZkQK6htQ6dkZsvUZ9dvspi1RsuplZ+Nsre167kDUu01K6bzy3+96gLXQS+Yw8EIDrvvJ6nKU
vZUksBsUOxDK2dj5Kyk9kY/8moIMYLhl0jtVgB14O0tuBzDoRHgMvhrT2OziJDQPsY5GG5XjYWPQ
1TnybwXLSPXnopGOAEXVKLJBF7IfGo+P5z+oTmF+6nAQPF7fKGuXpSnakFS4+Gv5TBK8/2loavoS
AFZ6OkJqQNHCqFFaryVU6PFpmgp9H6WI5ql9Z437OLS0yr3+K9YmDO5ItFwVQ7mI+34oZZM5Ui0s
wyF4Mq0s3+tzbT8jzbcFr3/NwpZXGbuU2rkAal+EeNivltaih+rWJILTPx1Woj/oh1rlrkwjPTyl
GAJNJyD4eXo7R1J8F7Q00HZ4VZjfEkuzH7K0dFpPg2WaH6x5xGoC2bi5d/NC0uPPUWA66KGOhoX/
Jt65T/gqJfZ+aFpZ3hktZlP7nN7IT7Ab8TOpai6dIO4qN3iBolQ02Hl+i0NylHx8S4FnwTsJbUUs
Hpb7eKQmJymmKrmOnD0lieacy8nEcxNRvI1vuRL8gN+DPKa3zOe8AOn0ser4GDu7XdKmQjaau7eA
VH99x6xVkig168iOMRaVvsWNU5Sl7tSZzmeM9BHtD60+IBkI0d1RWOI4xw8PJZv4OJrJt6EPo2PQ
Kb+v/4aVS5afQBXJEXU+XlLvryKlo5CZOxLHFKKeK+kJqlMFBPAjQCHlpCR5sAEaWDkmXHsU+An2
gNWXd18zmwipNpPkJrrW73BRTfe6I0WIdxF7r89t9SuSA3PtvdbJFssLE0SLjU6TXANDMDcyw8kd
nNrYADqujcLDWgC6LPWyKBTllRqWgy+5TaBP+6aekdZpEdW9PpfVvSJAcibin3Qpl3jKwkaWfpwo
4MuoW3pOFQQujkD6p96k8m04I9ZUPDvMnd47Jia8xhwiD1GZn6//jJVQ4ijc53w3oAiA1d9vl9EZ
8EeVIsr6KIi7E7IKQmMtRjTLmqnejAjLIbS08R3XBhVYJeAHOuFk2fqv6EzhOTnQ5Q4D8xjIkn+j
KU1+D5+4cvsgr76oqI5sVBhWggoq1WxQLgKDo7nITOumisxxLACChVH5rISYoAQt3uiQF6PDKNXZ
7RjbyLuMRE4lx9v2+kKvnUte4TqAclO9rNrIkZAlMyrOJU3Oe/zI8oPilL99m0ojz/5xY4kvNzF1
DcAdqHFa+mX7K1YQhVBxMXLD2VK/WkjZ4MyeTxtn/+JlyqsUfwsaNVQW+Ev8ijf1oUmt8Cumq+E6
ZWN/rvu6/NQ5anPo0s56QIrO2s94XwQ78EsffmgwNKxBXqXUFwVe6f3QWef4saFanYvMficjqhZW
Pxp/ntFfyNE8+PBp5SqgpAEXQKNdS1vi/XDBZOvzhEKtCxqDTYPPgZTuEKmbg0+9NVbmQSkphO7n
vEymXcXDQ4UTj+jKjlQqjjfwLCvLzgMZfp84PSRKYqu/WfY4btFIivOeuecOjqIA97GqZzVe4qqz
v9ly1emnoNEsxPBCg8fE9a28MrygGxJgSI+IpotruENVpB/o8CM4XGv7AsNqcjTEsHdYKvV3CC5j
sJum1o3aZS8fH1klmRc0Niray9vKweaCIks9EAD8ep/YZXor57B6sAHNh7OCphsuRRX2o3Pse9eH
Vi5OFLJyYBtJuGkRka4sdoBvQ42FKTK48Wz1N0mN39Rhyn31gBLUjJR+gyBO3Gnfnanr6RpFzSmW
NR/zRGwh6GHWu6Y0wv86P3c2LraL25QfJsIh/wA5hD/T+92AuREmg7Hau90gmc92bjq7vJytMxyE
+WvthNpTp6fD0/XluLjOKL5hskNBgRGpwC32QIVhqAIav3OHuLN6fAOc2JvkKf464uaoHWs1a/KN
M7jyAWxTR0Kbjg3SJdZy1w8JBzAoexeFJiR91Gg6ypTBj9cntjoK2CFZVPOJFyLdeXO2GhSdo8Ju
OFu8yP8VYqAPLcImG99sbRTeaEQh8AKiR/J+lEpPbaQ4KVrUg22cm34sTjQgtzoFa6PQsLdkULIr
MgENtgUIeU28AspC2iPKY+4nu7Y2roNLRBJ7AVgOyDpiAbn8YsnKikqF6We9qw8Woq1qEdQHvPcQ
l9bQSzxY8UCdgQKI8TCj6fhYZV1hH8hJNUSt0DseDte/4MXWhL0BjgQfXhIaOgri+nrzBQurDUtL
QUs4lBAj3WEthNtEm8p4EplOge/ASN716/qYFystxqS8hoWnBebloh5dFmHfAABzJdLTx05vm4es
9IeNvbk6M7inMGGI6wSk9zNDw9CAyKvPpDABnuu607lxF1VfaN+qZyUKcbG5Pq2Lm55+OEeNvhpJ
GlnT4pQH6DrlfPXJnVGUPjrA2e6Q+Yz/GfER2I1KYJ1VpajcoI2Cj3YQxcj0EvgvMYZa8vupYoXm
d6BAZFdCgOSko6/yWZ/oJZh4FIYbsxT/rnePbzEW8YyvJ0Cxy8ehrSEk3yIO5gJt1o81xgl3bW2G
/ww1DuobY12m/QymGNyZhG7evIb4xm9250iHENcBdXaHVKpeNBy4bslH7Qibjbp38BJpIuSgGqP9
b0C39sFGz+9THFMR3MghLnesaNCKrinoW4WWzfvfgURV2QfIGLlqpeaPkDXw7JBinGiu76C1YQTZ
0FFV/glz5f0wfdYWRmyxZdlgfrwLqqmx944Cy3/jFtoaaBEdEkXNpAr/Ohflav02rpFqwtfiw6gr
mltvpvOKO33z9XQmqZnxNLtIPDQ7NMjmz6Ue/+erc3+oFHXcmNRFaBfDadTA4PyoNHzFpN8Mh6gM
VUVLnl0sOPAHz4zGi3Qd+b0YBZIc+TAPq/L+8Bef7M2gi5XEckwxZrxaXNsYlTPuwBlCroO6sf8u
D50ihCTE39xnNM3fTw096EA3sRtxfXWcHkN1qo4tzHA3gOqwMdTl1iBhdwgFnDkiwzLYYsQctshW
aW4uJeFBD0Hw6F2zRX27nJAYRRxpKs4Gr/r3ExIVSzCHlea26HDu1Skd9oM2okXaUX2//oUu4wCA
FTYGDAKgoxdP2VhXUz+JZM2d5lkWlkfycZpR12qzLEIotJFfro93uQ1hVAOfVwRnAkaT+n5q5D99
anahTkEg7c9DJlc/kCBFmjMoA8QoUyeo0H7s5I1CzNqKij6BBTAH1NCyDFxAEbbCLNBdgJwhfltp
v08VmuWFpMkbe35tRanFCDgFywoE6/0MUQSPKzmPdbdKk8oL2y55CipzvptjdfqNnBY59fUlFYfo
fcwBa0bSRDQg8kCnfz+ggQBmVIawP1FqrX+mUWJVN3NsQEjQyqxQSW8byTinNZqvKpV+L9fV4r/r
P2FleUU/lyyJdIJMdxGJEAFu0jLKLXdGD3zXOVa51xNfOeLNOJ6vD7VyAqlug/hnyiuN3WkK6VIF
menOhRaeIcWZh5m1OV4fZeUjQo3hUABQpZa+hG1DATWynmuUbKWyaM0Z2Wkoje4AcRQ9u3SUttKj
xbToxBLYbMskxwT5QwHk/Ue0QAHkdJhSj8qKfWegNYiQY7j1vlsZBQo0kQUECQDj5VZJ605zpiZN
4esk+YMSRPVhLuwtkufijIu5qDKuLqLhQhfrYi56lSQl0E9PVzDRTbtEwach/dfC4bHc6RPuvjuk
hrfedItj8DoqgBgeddSQ6eMuMtqubRVYFnXqDUaUf41pYt30Pl41uyGP8bQuElT4dj6+AkBkjEB7
TPB+ij92FP/3N8CKZm8KDsMSeilp+jQSVFMPbUH7i6GRcI0+6qpVgJiaGc31vSThJm1OcfYN+6Hy
6fquXVt44Hm083hM894Uf/4mxpcprd++qAuPNrOyr6dB++5baPCQn2EeIKn5PeQwbr0Pj6pBqUc+
4FXfYsnZwERwbJypKrwZstnnoJXVc2WOzXMjj/Z9XCa/IzAY366PubKR2V907C2aXJfVGwXN7Xau
+9xzikr7VBVSheO5nLrXR1nZUsAPCMAqtRoQ94s6TR8IgFwl5Z5iO/YPbMLi5DhUQ1K6ZDZ1cMjU
IC92fRzE5g7fdKM+lsKP/fP1X7G4XMWmAsdGaZ9MnzbWsrU1tDZSNkZaYDDtN998vf9vyhG2lpCd
/np9pLVVfQUdkiFykS+jZKhg1dFGWeFVvt+imR0Yp1kbk40bfHU+3HGvoYLS8iJeobMX1jqeRl4T
8/SkBVkjwO5jdNVIW3CniwOBbhnvTQONdsp8xpJiW016kfeKOXhx07ePQZxqp6mbiyd8KKo72w9w
XIvkjVi4OiapBq948CRU994fwmhC81gRXg49TobZoea+vU3BVByiUe6LY6nLKQZkGGDqG7t1EbPY
HSKVM9mLFIIo5S4GxrgrT5IY11+848MHB7FeLJX69FdBkeS3Fpe4Hn1wu4gBddGk5K6BhrcYsEYa
aAjVpvIw+2lQtVQG+DhRs6Eyc7EpX0eBCAMHjy25rFTQzCkkaWwrLytGOsjOqNifndhUNyZzsSvF
MMStVxrv5WdTEHfWga3XXj2Ec4DVUDOfTar/wyHUgv7P9ZVbGQzotgLuhdInsLHFyiHFP1lVFLae
E7bSbRvG3Skc/exhkstog2xzcYeJy4PXMltRYGGXdRdnMAwkz/3GK8uman/lcYi8gtpN6UNeCqPH
PqqN/gZfYv8xpeGKFqeCGNn16a58QsAsHD9KaRQRl4hcsy5mOKdB4xl+2N3JbYc3DxbJz9dHWVtU
QdCidsYDDfDv+4NnR3PR4v/XeWGmhid/zn6C78iOwJT6jfmsnDRxtsnXLGqV6nI+o4wUsDKC7TLj
WT4DTwtiVLb1Xhhk9N25dZTW2giyK5Pj9W6bMFAVHhfL7Ab1mHbUaqP15FoaH9Gryk+8eZ1btdK3
CsrLupK4SGglkUFxpEHpLNubeuWEmPYYuDBjV5/d6EUY1rtMwlF4hxGsftNAbP+dJ9Pws0xA/wsx
k69qgAPch78nGwbYDj8BZbllGokN40hBSZisYED4FdAIngp2hF7ClOEIen2slS/KpEULimo9z4VF
TLKsjFdpFHVehBXVrUSu/+RXXYZHeWPa6r4Z8mqLtH45JCUejauT1zDA4+X0sBXK8zSKGy+tsXwY
DfOIUURzkEsMbnP4d4frM7w8gwxnOmTGNHNJDe33p2MeKAyFrV17oRJ2XmvYGNMz141RLrcpoyDM
J7SP4MJcPDAwQdT9wa+9qHXmhxJ98nMaODhBKtDxr09oORRfCvkY1ISJPKRnSxCqVOl+6HQSbh8U
6G6aQmuw1YOhTAf8o5Jqr0Nx2DUwgCCqltc1EvFYXtWp7I1ymLvIqn3D63wQRtJbCOnlV1qOJDbN
mwxemTQnSdpCRve1HE5D55sHXdLnjaVbxgQxCi03RLDEo5P8+f0ofTyBDyep9BSykVx4HzyLxpKH
qqB17FslPhY8fu/H3GiOozJtaRmuTPK1FilEZtiRy4ZfoqDVIF6InopDzE0u2Z0bCWfU6/tjeb6Y
pKhFA9ZEl4Ci5+JI51ps6hE3i5cnsHbqTAZGK8/DAWkbLChzo9oItGuz+t8cBaYwaYT6flG7WSIb
8iXZw7pApm07J/G3urbsrer0yr7nViQPgrRAWF9Ggh5roknKTRVgcQdpwPcp4HroVg1g7JTayDdi
3cq0AGawgK8I94tgYBTIXEw02BD2NPBN5g10x8e1vOsfSxOr86aIxauDJhSENqiTcCMuilhqa8bg
ULEM48Q3znNUQNn0Qr1ovlalhGGVLYeURPw0CE+53kzPMM9VlXALPnGH2V6voqsWKeGptTsrOgWO
XMOxkJVmXyN656P8GyKKAo+EJLjAceBzUeetdPDxfHicMRZCXDbl9X4yhyRyvo+OPDU/wlLtMYvE
/FRFtn8IpZvRl5Nu3xpzDgQmTWSMLrGn29K1WPvAVIKo14tW0gVLYgwQuZqTVPVC2Y69GYv0XSzx
/IPBv/VxV84IlWyWHSI2GNnXTODNdRPHdYx42zR78hj2L1aEHSkO2sOh07vy9zj1P65/ZRFjFh+Z
dzRVUVJRyObLB4NdD10+ywxXoxgp75EC++Nbvf0UlHqxV8JR/aQmSeaVma4dro/8mvxdDA3AiNQQ
78sL0miWBnFTVXhDgRsPjNsy16NvOLY4X3rJNjxqYDaCHWEXfJo7qfqmZl11woTU/Fr5hfoytH32
qe/m8Xj9V618aUqZyDbQ8NW4rhb3cDYqlOASfeYZ0BhuULfNzYQ55BN2X1s4ufWh0GqgRQdHZRnC
HAQEkP8x+dKtrN2nRY2fEHWy+4IywsbFuzoU8wJVxXPNWT7YqJtWsYllhBeGFUbLYT+2h1QKwy+O
lLQbrMKVDSyUJAH8IjsMal78ljcbuIIC7MSNDY2qKObkOSC3exqxO7nvQEVk/6nqJH0wU+Si0mDf
IOsPUoX/WYwIkjsKgL7OnjKU1hdANMYBiy75gD0QStFpUG3s3GU5QYwH4AJxD170QJUWr5qml0qr
gkPiJWGgHkYVfY++xOsJA5kMW7vgP5kH4Acz79cx2ZNcxGQ8F2wYJwytLAsMLuDcKr4EnY0FPX6F
cJnT6P85lAg/bz5gS+WnCHp78mbVjqNj3k7D5ywR+iVSKqvTxtZcXUzoPQhFiRLpMiegB2/aIUY1
ntMMyu2QlukZQFP6Rzh9usFcls8yycnGHl07DzRWEFImJZYviu7CNqwcOvSUDRySH8Y2TM9tWUdn
8aTbyEHWLlgoFTaDgeACi/t+NWMQxgWX2ugRs5BRDwBU4Kmu4O2eqDwqyH66pghAVlsfVaV/3TJv
Rl4krq1pTLFEXVIkrjbyKBb+TAjCnOQxd1x9VLpffdjgelKbRb5RIFpqSorcASlSUYMFUwdsZjHr
yih7LEISvmpf1wWRHO1OPNcm2tl5o8eQEwC0jIecZ9GwN/FD9CYdlZNdbvrOTRlLtrKTUYsU9DI9
CHeKOmXtTp1G397VRtWMuwExs+JTN/RFevx4BKAKRPJDL1m/yMSzMPOVKUtkr0rt9DQ4knUo5zQl
e5S39JPXrkoSCkq7RPtL3wC5181UH2boUXU1nYIibFwHsNhBDqb5LgyL6Xx9amtnDaY17R+SfOCd
i/wb70ItCDQso3rHd9ST3mloHA448zz2WqHaXuZLSg2zqWm/XB/4VdF+GetBbOGVSqgnU16MbAbE
OblNMM2WRrU8UNLWf9aOHMVea1V2fUYc1bJPOabZ0RHqXTifpgqvXpzgRuPb4JRy/slExEE9xHKE
97Jf6IN9KKeoC/b2nDTJqVEy4ERF1cdPmVBBOfS5X3YnuQzr4AbD0PkJcQ0ZF6XJMDG5w19L/9EG
iVPuYRe2/83tPBeHyMbE6IDVb/V1GsC17Ga7GrEQ7Xorv5XlUCu3OmQrO4BqLZ0/h2hClr0IJWOc
N6YkbgfOS9HtjVJJpVuIXsMPrZTj9NR0IMBO1z/G2ph0hkVzWEeUfFnlKOWKzLKVqMAXcjkcqjKf
2HbcDEcs+VA1aMKeosffjAk2X8DMKOkuOoE17Rh1rBlz0i2fj6BgudhyN5wMaRz/gbK3seFEjFrs
NyxhCJWyRg4Nkvr9rQtIXOt9H1u0IJt1XmR0wFAEHzI6b9cntnKkAGmDdKHNjzzU8uHshImGS3Y2
errRVOGdnMp028Mmk6XjNOJ+uwvCeb6Lmyn+eX3glRAG2wBlF/hIoikuftibKD0PcWPKBu4Dasir
Zx+a0eQcTR+WDso2hroB1ljbM+xRAQEFRXeht6VnYzlVuD57VTt3NxhZNlgwRpI6HhBu0dSjqaVb
9/BK4KSFgRgepGZR5FlsGbsIg1YLqxnPpNrJ79ukkOudiVYMpmzZT1OS7q3c0sZ9brf+RswWu2O5
ezB0EOk/QPwLbuA0Wbnc8Dz1uFMq8AbMLWuxEKttPfbSRNddM1OzA1hJad6VfVVvrPbatxU69pZJ
Bk3tbrF7KQFnJOcKt0Kbf7bHIfOaRPkXVa5sIyAspTNFnCaXdF5rP3RbltlJohjlkAPb8yrSJPUT
OmMUVaErwjPs1JiOyM6Zs/Jes7oBe8tQyX9UTZW72EjZz0gSa/ikwWT4l1NQmTcRzjqtl+o2daTr
m33lOBOuwOaBqqTfusR44aLTWk42zp4eYjSvdm131Bp1SzBTF7ft4rtD/0DiTQipA2lcZC0ScFfi
cUQRjqifnv0+68rbpsL4Bir62O9xoYMSEUdKfGvpxTzuaDbP36njFvO+HRPMd7H4zM+yFWFLalm1
8quREWbfh7iRtbtmBhu613261+e0BE/GPWHk2RHNHgxpY8eJrX9NqbH9fURdX73lfZhOrt1UQ3AA
25QMuzrKLH/nl+3ER4qSMt0h7tqnd/00xf+Oelh+1qMg+KOWZtYe/EEJZBzQLbnbo0g7KPsMqdEb
tFEt2uSSOeVuXQ7qjSaj3vP9+vda0inEvgJsC35NKD1cCiKkxpxF4lXvmWNS+C9Y6dV4vib9xLWh
O+XwuwNj/KJGpDyPst7o2n2Vhc7oYlFqulU3zpgh8qXCPZW16Y+Fr2W2EZFWthQlfs4WBTuy1GV7
wVZK20wrRfe0QgY1HhjKUxik4weJYWIheCDS/EI6GzrAUigRudd8KEpD9yKJi+bQ+W2l3yCQDlU3
aHG8/0LPIfz464aaCgVJlGEYcnlzBnOkRsaoa/AMM5RfySGc6DSoXTB+m2DPbrXeVkIgEjtgayhK
rkAjw2ai0zgrmpdphelpqMSfa+A0u1xVsxfcJodTJpcbAIyV4CDoFVSNgE2BkRR//ib68Y60+jYP
dVrcFnZ5qDnD2h7sbHisK4dUGk1frwzm5NaZoSK613f3ytaxDUhxRHsyZuQv3w8+ZHNT6EFqYqKX
Yh8bRNk5icbp43ceUR1VL9qmAh8pfsWbKQ6Ras7JlJte0hnDLlCt9BCHSrwR6lZCDYA6SP/UNenn
L0vkcWs4vk525o0FLkmOUsWwUVvpqBW0Ea8v20UTk7PAgxBEpIKpCau3mBG2oVMaSXii172lHWQz
M+50u42OkWTMrjUhuBvoWftN73rtEEp2fJi1XttY1ZVERsBP+HJUcQUx/f2qmlimBr0eW56BS/JL
GhvtF6tS/FNhD8bL1DjBVpd4bdYAFgUOn94tIVb8ojff0W5Ss6xxVhGpb/4VxgXuvjOiEbVjlAca
SxKoMEh8yTCGpyyIhr1fzdbh+tKvzhp1GG48gZ5cHpcE7tYYprLl6ZmjnxJNZZTYHA+4BaOeplnx
1vtfLOMikgp1ZprFpIzEgQVMC+uT1ITjYXlYNMf2bmyd5FjVen5obUxDLLSW9lFiR19AQaQHyZab
vWNR/J+MGCF66r+HoVftc2Ta1fP1lVj7YRRBoTXCr0TFbpE2K8VAyVuWDM6urX+xyHd3RtcHG/Nf
uRJZ6f8bZXFDgCIn/smR6cmJEhydsPthO636Mg76zx69nJtmaLWNg/wKAVguORhuoGm0X5EEXOzs
zpLI321CbllnnbQrLamrT0U+lo+alQpZMtBw2AqnRTN9ypuwwVq59JPuXo27XLtL5Lb/3rbF5EK+
9/vvUSrp0qOu5joa2akWN7se2FaNtVsoBft6GJIvvjmYf5pE7c09xVKklHMpHZ9p6EjWeQyCxvDC
0mgsNHKV4RwmMO8OGrY4GKRXcTscijpW/APkRsP/YvsjICUEFSgyBjiHBodmMDE+buAIb/VzVw8k
MEWSXQTi6FKr7w+kNQZI0AaNSV2smJxTHJPJnevKkkNXSXws2JsaiYMdihmWq5jdpO59NeByMqzQ
NzcS8JXrV/R5hEQ0OvmKtTgnTtQpRRtOpjfTdjjGZmAfq1it90TuLRC82HPL/cHdCx9DiMTSPnw/
7cRIcEXGPczrgyj8lRjDuLOzsjlmQT3d49M9uigpTTf0942NN/LamRMQB2ppXAp0YhcjZ2g1wqox
vWbu52NuqP1eH6OtxtnaUtIQ5clIlgX2dbH/zXSekgh2HaqXY/rvHCgZN1usvSRh+HT9DlkbiZsN
hjbUBZE9vp9PO7Up5gsZkdnxcTRPouInDoHafdSCrbg+1NpFQuH41dCBnEZeBA8pRz2iRDbFy0ZL
u/kfzs6rN24kXcO/iABzuCXZLVHBtizZnvFNwZbHzDnz15+Hvjiw2EQT2tkFdrAzcHUVK3zhDaEh
1S9mnqsPMRn4gzqNxnfLbA5iq93pkWpRrOFwcAW+nR7GCFqaxCykpYW9dZIIwnIvNobqhJpicpAp
7A9GkoDONUGrujmMeuPUuREORhAX2nozlITikpLcGn2l+9fX8nIocljA77zDqzq6ttmGcxwjJTpw
KTtqttzXzSwj0Gwsz9USHRV2L3f8mi5rsLWp7hJqbIYy9DLlUlWNwBhL2RMIs3l51trn6xP6w3V9
e6RhXYBWhKEACu2ikucMkYjUPoEnhvaEczPRwlCfjL4co/t8yovMLWWnv1/31a9CktRbZIgH9KCp
l760uEC/ODogQ6/Jk1oZVpFKeujaPFkSimZJnfui7ZTGT0Rnf50sMyxcJVKL3wtWrM9DhZ3oWZSm
TrlyEuLVzLBex6ggCr9gbF3mDzYEaBsJIwqRLtJ0kuLZgzBfoR4Y2k3czOmrZUx26tqRZPzXRIP2
2ixL8THJdftn5/ToqpLPDuigDWolu05ttTeRU/XWC9bY1LvSZamHz+2UJcU9OvDz01IYY3oWQ7X8
srW0yW9FGTuzP4/ggzx5rtWX0Zw1AEk1kF8PmFehnCnQtVDGMjjtbgiB+jVLRTScyjnpZp+7VH/E
q8ZETTNHU/9OFVL+Q1Kwe3J7y4b3n5lafyTEvvM60YXnCYcyQAJHwePt6Ys7WZ471JICouCl5QvC
v/op1xGvIWW32I7cLk3U1I1MJ7NvDGqcCeVwe4gpVldOcxAu7STyHMo1h4TcQzlsm0sO3TCWBSAd
4qXo2a719pTQrr/NNGrzzSM2iN2pb4SO3zFNLNSoHD/CVsPPGjzEJLrL/kx9+eX6vlfWNdjs+xXI
hsAriQSt2M0FvORl3Uwouwd6Nvdp4pq2VDzERQJivVmc8Ju1gGa5nYpYl912iOPEyx15ke7wEe6y
u7zKp+Ssx7g7HTx0ynodb3/YKv6MCDyoPmqlbz8ejTAQp4iXBau09RA4aEwnp2wea+dxduT+xyI5
CIgMbWqXnuh7ufNqWloqnrytlH9V826CEh0vquZjkZFVnp123Q8a9fPHKlaGX9eXceeSAvAP+BB8
NaHHNhUyrLluJbXRaJvn8jPSUfLkzZo5H5XVnMtFoRQPxhgQMKOZmzds6C2jsyPYrPJYOP9mQyj7
IFyqjxpxau6iq5jkXq+OWX2a2swK3TrBZf0AInD5jvK0gP+H3kghEdTg2w8j2WptplnNhczfPPNJ
bbeWc3VAGhh1/FMtzejDA5A8yAP2lphXgP4OMHl0yTbDxlXOvdUtRuAsg3pOjDy5I2tQDw7pzsOm
IspJDQuKEx3tzQILxA8k/HP1gH5AjepY2TqvvVOFTxAi5eT87l1DlkEcSWkaSv32fiKkH6aiybSg
rHIjmBHvfFq6JDyogO8sHJmjRbWXLiywh82UakTpktQatYCYMrwTsjO4kI7qAxmC9U/ZHFcwHOD2
oKSYCFduWgzF0llCgz0UFLEQzm9nVM3Uh2Ggm+7ccgAfC7rXB2Pu7MRVRgPHNyKDy854sZhIp5b1
FCi11n4f5RWn0sKVsoYy9qvESh/msk4PPpq2zmQzU53IZxV62BPEbtF6ieJJG4IhHZvmMVdrUHNW
E9FFAdjUfGJ5JDWwI3S5UnMO6Xab1mCgOtRGFcp2fG/IllFd+3GeJ4ofTm0TfpygyX8Z42XllwLZ
eLSyukB5Po0q5YVaakveTzoQu0rKhftDi8oo/bcitfqByINS3qZcGC2QLjVGSjZLU9wYCK3Dz5k9
5Nj+lcdG8ntrz54CoUntB2rupttqRQ5E2brrgiTR5mchtZkbE03UAFs69TxRya79SanHz9ePzM42
W5t04Pbp1CE+s57fvypAUVFraYZ3YqBgvfAJCtfiGaWNExvGok9cVt3BM7TeKtuPTYGSriTZLTXE
dRn+Go/6V0/0DKQ8niLjaSyU9rUo7cgbI2M6YZm1vAK5qVGzaouDfbZzbEksuYNQo1pP7/oU/DWy
UaltJRq6ob3eWq5eq92NERpHfOO9Z5YROEXr7YAkzSa8rhE7H+vKxE877tPyrjOE3N6aiaIGZjWa
IRu2TFcfUluS0AeuouXeaNkTz70i6B4OvSa6X01YlfmZi26QPwm1UUEAlZjmqvIcHanR72w7bku4
ItBvsUXbNtmycdQSVPdo52EuRKPYrD7NWSYIBDot7d24EVlQoqzs+Nf33d64XNEgCwA/oymzud6q
RIsHexFzIJVWdZv1HSorTTl5w5AqH3kmW4y8mvjr9UF3Nvufwjhlvz312mGYTL4OXueavVR+nsip
X9uDfZr68qsoB/ugnruz40wciXkrgDfSn94c6aZIZX1o4jlo215LuUUdbGD1KjsCamxlkGjkgIyn
UEMo4/DXloGzGDWNwcoZAwRPELwfQy3+UVBeQoSNurbAzKTRA0Wq5wHQRho/y1KkqzeDXhsPE63K
+cf1Zd75thhI0nWxeUVgNG7O+CQKSbczGcWQkQAP2enYeqrYxzcdCk33qRS36knJovL9VZY1UuRY
rJRqVmRzly1pKsf0I+AWDok4CSEiN0vD9nYgLDhdn+JO3GhxgfFuUdSh3bLZvrMzk6jGVYutUaR4
Rmgqbt3IjicncXeetErcKELuzjFn6RzZ5fJyffi9TIxNRSuJu5QCxRbakSyg3GO16oJFGxfho0aY
227RTvmnWKrwWEAq0EjOtcWrcdLiTKfEmijhNzky1SMS+06Eh2HWGsHCHASXsLlXJ1LsdM7g8Exp
P/smaB2UQ6Wpb/wWcvlRt33nCHODw2XgXKEkv30mSXYBcXUtLK+xBLvXRf0taVbvOmUh/LaXi4PS
9d7scFbB5JvhmN/mDEfILVaak3RBB2u99OpGs+ubqZjDfwc7atX3qVquB5mOLOnZ6nmA/MhmNFr7
VdubTQevrO88LHEdD+vIMugTRTpb09zdTYCNn+qMAuL1HWVc5q3UWtawmWmuDdrNZwTokogyg0oE
1y/lqA6E6r5i9Dkqj7Ce6X9BIvmwZPb47CSRAwlbt+dv2WJLow+aD1u9AmdZNFUXvAb8RlSyxisn
Rtnvxq7F02ipp9idnbFRfHuhHHRqx6xIvDZcLZZsnKllF4Gx2MBySyi/c0cDaT6IcLZcvB2tZwXj
psxd2nz6IHrF+J2iTRKdjYmWQYDPkPJShiLX3aEpeiAfbf/sjFYjnxF8MhNPdIak8fHmzj4N1ugM
HmWFFFiv0o6+AT8xMNVIjL/LyOxFAH2vszwT44vCb5ouFJ5ixojUukbet6oX1pFpHGyzy7CIowyq
k1oZ6rQXzzDCTlD+ZGUOYuS09WeROInze5nbPrpJUxNcSZQ3sE4S7luEHTU0jA6+//4PIC6ibCEr
F2C/Oow6jEYk3mNT75LPSwvKBnuatn4MieZuaBglH4B5tB9nuKX/XN97l2d6Vcuj30H8waX257L7
KzKLWxptS6otQUg9x5OtNPZlfbLc0cABdx4Ji66Pd3mmCTgIAllq0h3kIt9GgllqRTWqejAO9LY4
xXlqnIxG/q8b+tG7PtLlS/h2pPXQ/TWzSVWL2KgglXXlmJ66yemxRxjqc8GbeFajKGcDz/XN9UEv
ww4G5RTbaMfvyFB0yQwzPWJ6+CMSWMeafTdM6ZF/If1hfvzbUJ5xnD8Fa26ti4u/yOexo36ytsyT
YvyqDaMdf3fqMtV+YK4LvkHWI3W8gXdmqW4XN/mMx61ISr/JRGicMIZ1aux+YbQEEzC2xK3MuVt8
CUe89KYs88VwNaWrajeLsITwlr6qkvvEyaiIh2Za9W6fg7L1uWj6OmgrPRs+EVssqkenavhV6QKO
bBTXnQpXSCySa2SKUrh1OlkopkUtd6vSKp3hKZko0ptQW+YBPs2s9Z+kyCIKBd4dTS8AgqQviAJW
iCVnYR/eGwOi9K4jxvC3MK3U8vXKarGL6WPajroZte4y4i6HpWMRJzcU/asPtLPj7LRWl5azmsXm
R51GCZqQWle8lgSJZx3HricbGPynhh9/r46OEvlILcqmK5qxaf0FZyjdl/okqR+gNhtUnZM8/qp0
ip16kSqaiel16oexU5bkH5TRw9ilLN5RZhez5fA85k313U56u/nZZSVF0WHInOjeCJEm+bDIUvK1
QytJ+HXdjuXZiHTnBl8MrXt1tCF+zvo8T29Ms53GWzuclvKTXHJkXgtqAg3zlarQUyOzBdPVLerz
1LT6yP3eJ9mpmqq+/JTUkNQ8eTLs+IfaUh69a+2GpwXnpkzzlLxRQ9cxisG5LXVZxAGHd2m8ZVIj
+ORVZ5/NtFHmu6GmYOgVEWS8j9iKmCMIaewEfNsKe/GvWSXmXdepeuVTGae2r1Hu/UcymnagHq6k
00u2VKrj2/BgtI8iTvTqBP8hTz1rLmP76xgCJXxYavCEX01NqssfYZpKiqtaTXerNSpb0allPI/1
RBXhg9SJcHSnqSe6WuhX6/fNEuvJbZiXDflUC6bcxUlBUnyCcDN2DdoC7XmeFF69zG5oAMiJoVXf
kO+0xm+tIbUoN9eq+iOstai9L/HuYlu2kV57E/cvViu11E/eZK3hnNNp5UfcjLgmUTCz5HNklXJ5
Ls1+eJpy4L4+H6Jo/I5afNxytBRkNLtGYPKXdAtulmWeo6ZSGer3IY3RR2yWhOKJnnXzU6oLPXPt
UHZ+OksqNP7WnB7LPJ2R/oPM2Hsp6IqfQjQmtaE0T6r7wnamX05rxbxRY8Vnp1A1afdVZBlSYHWQ
FtwsiaP4vCCjuZrGWvjKkEFkLfxISc28drA7xdMyW/vZGIAgTrR9aO8jYePIHp5+be6HaiPHfjFJ
cY7UYo+nik3IUrgxun1fy6ns700j0uiI2yJ7ko3ONE52Amr9DobPMN9VjoIysrVYIuAOTsePZBLx
Y4L0UnmTjWbXePlccLCsaKazOEVzHj7ISjdqt1kmj8/4XUWv0OC70dWzqVG9xUCYzh/HIaxc5G4T
wxdm06eeaKvMuHHkaHmcG7u+Z9VYdNrX9LFq+k/YrdpyoZyWxGlqHySK2X+d5K6xfkH86M2T3fY6
ocY0i4acQuXtnY0i9ZIWPAiELp6sXxh1msrrpMrD1ynuik9KpipfDAgz4Q22qXEwTm2u+PjX1dp9
3ddNc8MfoQWDTebllo1Bv2YA/HkQvO70Y1b5HILHNb9GcH7z2tlpZcRJFtuBQJW1JpqLbPRTVf2H
Xs/mc4qU1/fKMLLHptKaxzgO7XMbquboWpgIfg+HYhKnsQtti2aSrhzkpDsxBiKgSA1A/8ecYtvn
l8xYtadegrQuRO2x7avz5DjTfSE38708FMb7X370JTl4VL9BS6vr7/nr5e/CrpC7irVIyAufGmuK
JpdXLLsV7OVodW93XuZS9F/f/fYDHFVISA1qiRc9+aVsFwlkHq4OyFP4JKnDg6Bpd74+ymX2u/p7
AEJnywEQ2bYOemDKnSMUK5Dwgc9ckkIxeUjUax8KPFa/NnVU3OtGNTzUUDo/L81Sv17/ATsRnMMg
FDwQjSNp2ayuqcqJ2jWs7qKanY818OhWIWSNSRqPZEXWP2oT5TDUik2hZ36JOJAhp8pTrzJXimOu
kK2IlIxHQc5aB0m8+ciubXdqFC8oHiJFcCEipiZtWxCeW4GiRj/00EScMXPMz5lY5Nvri7gTJ6Kp
SRcD89+1HrumBH9tUfrjasp1AvAujEiOslH5YAzj/Pn6KJch8B9VSwRLaLdAldhcCmI21XpQJjsw
Wkm+T5JQOusoy7KIXXVLR6D0RpXdc33Qy0WEOL6i5VeKxErSeDs1c7FzJM4p6Kl5ZLhFvdQnMm8D
ePqgnP6XoejZskPo4W3PQpdUtZDHhjLXHEfnMpw0N9KN+SZPxJFn8OUHo+QETomeKGf7AnWrt1Uc
EdjZQR0BtV+R6I9EvfXBNX654RmFVgBCNSD1qLK8XbslA1mTjLoVcJML+QRiM8xcLTSse7uUcvwW
6ljJ3fcv4mqtQLWUajSvyNsx5aTlNGSJE+CWtMZUnALF4yGWPLOrx4Nce2t5RZVlldFa693rDqHR
9Xa03LJKBLVsMxhrO5Q8pxfGBzqkhu7RFXBe+lhNfkPLM7DYBLBduStxovHaZizwwitACLoU8q3q
PCStVN6YYhgVf6jCJD0Pdo/PcFUXje2Hjlk1nzC5UXtC+TksnkMJGsUjyrlIpMDxM5sTOA6tu51R
phk9gAF2MCwNXqJVkmqvYEh69eDevNxBVBhQvOKwIzd+8QrW5bDMaFFZQVcXyW3UaOH9gnyuf/1r
7jwPSDuu1CjECvBm2qyvg1tg5UhcYWU1lp/7uUn/rQenrFxN7RTNbXsruivyCIlstanLm9jO62/v
/QXA0k0FaVSwGBTfN+9D22Iur42pEfRTPhF26SKM8HPPEqDNI3B1f5o0+2nClad3Z6TchE9Tdzpy
iP4jyPD27UC/npNEO5pa+AXkQm7jpBHo+wXaaBWqD+7ELJ7HtGr6e7ugROqBq3ZyLyNFehlK+CY3
SInkZC+VFXf/RrJTj34nTWVxC7UtFycZw/T6vk5GSzvN0mi2ZyW36yOC9OUmYWfQeKYOufaBt4uX
LZZUsXV1ihbKcooTJfemUDmyCdq5otczhfwTdS+O/eaaGaXedJrYMYICD0avS2kSuGgCk/TVmXqk
YLTuuM2H0FDr49akbLxyCt6e+KQK9S6UYUVI5MRe70zzP8MyWolrA3D9pBOk1l6P3PlDrHWHAhc7
64mmuUVjRqZawpK+HVyTh1BLTUD2tUXZLpzN1Otm4+hx2KExA+xEPA3mLNIPQNvfDoM6Sms1dW8H
DjXLR5h5TG+u8vapVSXU6chLZonCmtypNVk6RxPqS0pWkBaSNkL5l0PFBVG2/IDOBaqNymvIWS0T
pXSRWuhyt7GXIqb33cjZyU6T5q7qwHV7OWC2x5peOijktG/+NQcijhBCnt0PCCCrtXyClue82kqH
7lZh1doHJyfLJ/1TpdJDyafSTtpSOKk7VaPz7hsP2Q26sVhbESbC+n+7KvmQC/7PxA7svs1OWI1p
txownPe/X+jL0gPh1qF6qm6CnNKRhRlOZBcxDH1v6qwUW6LC+ZjU89HrtbeboDMhLyb/UfrYFC8H
NeMVVQkCFLWVfWrghh8RrAfXL9C90/n3KJsJUdBLUEdOWTY1XkDtVPk5nMTwkmA8cDDUToBIFIrA
xorBJvLYfCExxlmVhpEd9LIyfgA1J3KXF6QBfhZnD05Nsx7S/JF1zE6UA32J47ji21f147f7Qiyd
KmNeZcLa7JKzgcnlWR61yKOhMJ2aqFY+XV/Qvc9GWwfDC7IJ8AGbWeZyMw36OFpBylp+WNpp9gCf
2Qehzd5ari04blZCN/bx21k5GYiheECajQqk82/ZtaHjInvmadOi3lXtKAUxcNYjReedzbK6IK88
O4LSiwfDpsSHVLhuBtk0Tue4kvD0m8PEVZ3onULrhG6rsA2NOJJcuGfbbILbHZxeITvoTkUFOWdq
qK+SJk0f6PJkj3Ap8wNw3k6nFZAcYsCA9nk5aPq+XdIprFlENMgDqr/hI0pb1i+Akto36lPOywT+
0S9WY0+UHhw/VXPzqU5KMZ2v757LiArwDzYEaH6YgCa27xeRTok2XBnelSaldT/H2Oh+QbMcxRLU
Cr5GhHWOR70ljTxHLUKCdCyyjjTnd47MqoOzGm7yiEFleLsSGCJAqgaBHXSKjNmdI+NSCwpUmn8X
i+BKjcyoPLi91/26ebcp2agogAEoQABss591AynRaHKkwHaWOJjAb3wqxxCUSDw3t3GE/VrhRIs7
kFHcXF/xnfMKw31FZcJ90S4++xjmRuUsFC8Nq7M+jWYxuE7hZAfn9c/ltp2gRQjEiV0VqbaPdgKL
NFycWgqEMcnKrSmhTTUouWy56QjGwAXLLf8nS1b6KYEh3blUjeOPsp4sP1RlMZaXPEoT4ZoEhxFZ
k7FMH0oEuXN8Vx1EZiulNhXPkYZOdeVQipUzqveW8BoFgziv6EOHQmeO2f1pgMn60EKsRLmkz5QR
dlMmdXzS2R69YY7H9GHI6DO4A6B147YKQ+UFGoMz3iqgq+lthIP2uR1b8Q3Fnvhz1xSZ6qexUbYn
WilRdzNDgn1aUMICIz6OCu8juTsw9bnWZ3dMRau4+EtNz2YKk99LEeOb/GnulY/OJJk24mN59nko
otz0RW8WLwPRGh5edkWk0QnJpP0RAyv1milvgGPWndX6+eBUuddJfWm6XaiEHfGJFH/mmRmA9iO+
0rtRP9X0csqpeDJKzJB8ZULKDWGfbFI/YVpWFkDGtWL1t7bnu4Jk9HdudOrvPgTgXc2s8WkM+/w7
8pSp406Us1tPpnH9E6Kx9tLkcf6Tlqb4t2/C5tXOYnW+S/pk+QKxSil8m6k2iHD09gM8WlhciSVl
Z6xIyTwF9SHdRToMIn0GTVH/kkuWGR28vTs39xp9A8Ci8bxywN8e6bm3W03pewmiefxtnlS8ApNG
sU+6XsQHD+DeUChKI5dBHE6UtIko6tIZ+RkEKpgET08IsZSfihz71Ti0wtO7z+4KaVQp/kAOuHhr
afAlQrWJKDo6Jrdp380f5mTQDmpMO9ehvVIhMN1ZEUfbsN4sq74oR8sO9EGR/uED1thpOXIMTUWz
SZlKHCP9908MHArIH1BVMsHL5nMlbZjQ4KNMMCPAIVnD8JipEFevj7L3pYj9WDfKg2tV6+0odjQq
dQxePBhbZfHTIZ98vR9fgZOlB9tv55Jd8UsQJf8QcrX12furAqmbUmaaEfOxEmhVmhRnvlmJo374
/nz+fxR9Mx8JFmiRFQDRKHZmXooOxg2No9jrIMDeXl+6vQnxXlH2X2Vv0Dh4O6G+qO10iBzqWEpv
nFrKXb9ayUp+vnsU3l/eJWNlpl1UcfrSsjOpiZwgbIf8pPXlfFbKsnj/KYJAKPMogakjpNwsW4L2
Qy7S0MEfILYVMrRROLd50ozdwaLtfB8yJkpdq3jpqkXxdtE6eRF53q5O1FXfv6RjAlBA1dBRo4te
h+71tdsbDCddNH7xfAF7uvlCqhgov3QkNpAxhA/FHhQuJpiu0JXk4ILYCV4coMCaQyuGCHIbq4Zm
QeSi0ovJKH9IXqsU9MdFaieaO5dS1QEIGOyfRVTNPKLm8nR9ojvXE1rJfDpSnNU7YzPRSEPLKl+o
u8/jlLvSLNkVIOtKh2JbzS+omoQHn3FvupxmOLi0hPjPZkB8GjUlAZwRoAaRvoL7TQjY8EX2afdl
H6QMDCaMDPlDOzQo5V2f7N5XhSZBgxTJKSr+27HRKYv7NbsC3rvcdeZgEOoYjfUI/ENXD+7HnUMO
vQsf+LWih7rWZrCWC0QsVmmBysNDvNGc/IOdq9nBKJdTQpKCrgkNjLVSu13OQesXa25bgcMTIuIg
G1q3b6Py42QdOoHscNYAHqJEhh28hSf7diwApgpd6kgERU2hxydLnyN/LRvhKrVo9hdSimb0MGY3
R7/t8nbyylxA29crvQhVV9eJD0/W1JpHMNvLPbX+MErVcDHgrG0VQGS0hsy2iNf4ZAnDM3XP9CdS
o/q5bIVSIbjXdrqnzmETu1lZG+np+rbaHX4FUtGZ4LLdnqHJLrHekBURxH1v5F5Eu29A6Aj0pyuF
bXk/jLL2DVxkFp+6EY2zgwtk3UhvkwM6FaA3kGBEmuNCIrxsorHAdUMgEQ7rR5ccxy/kajgVwtE+
52F61KrbyXV5UMirMZleSerbdKtp6prOaikCWatib9A76KRIHZg3c68VXq908slQEvxAKnv8lERt
d+71sfp8fdH3Nj4JFwgSCqa44q3H76+gAM+FoW2dRgqiadS82ZlgzmZdcVILyzg4Y5cneX1AKZly
Z6w89s3LY6WtGZZjKQXqhFmFnpBPW2qu/Q+7iB41immrhftFT95aur4qCntd1WQ+y0pW3wD8Sk5T
ioZUj4mKn6Wj5scWco7Xl3JvA9HfpbQGlphYdbOUUQ8xTyy6CFAANr3a1PTHsK8Lz5al4qNEB+Lo
dd3RzcbXldYaNwYYxItub6q3OvZ4nRMswEPWvC1P1e9ohYX1Z2NYzPxc5H3xzeo67Us7FHrmWWZq
WV4h7Lh0I3Smfw9Q9560sqW6c30x9m458JCAqldRC5Dc62n/a2MZqb1kclMByciMND8PY5o+y2ai
ItuKTt+3cZaV6gx3vPguS06ou4jkF09abKmNP/ZWsni1VCnpwRa8rOwAQSUc4dQZa51p86PadJVC
aSwrSGL589znDyWC5Dex0xp3c6hkJ8KDX72tLn6Y1dk/11fkslrIOvAXOQxqERdy7mahRpqZUy0M
FfOxL1I/jRoPIFL2ISsjYG/obt5eH3HnbIMOwlSWZ9OmG6K9/QRhOKSSVtdO4IgIALgjD6coU+Rf
lTK/H91AZZegkucMfWNekLdD9dUM34v+bRBbueppUtP7UL66g8+3OyGYJmu/E9GtbeCRxhpBKiWY
AJheeALWn5NhQDV8XkaNZOP9q2dAc+ePoVNIWP52SghQqbqYSKFDE1Ah2NPCRw/HcE1VHOWA67bb
PD2AsbmwePdoYG7L1XIJa92WeifIDaOPb7sBCpkrJkwyXOynptKTzRgkujrY4bPcpNLRYd25uRif
MIucgP/ZAnyofdiEWNwjsi0tvg0x4LRoXe2X1pB5kNaOlL7XpdvOl6+IVCENW+gsm5gO/qmqzGsy
37fG+EgypKOvHx/1PPdmRbEFkhYBOQ/c5r2ZB4k+AIlJEOLrGt8ZoVI+57HGNSxXluhPKA29H+vO
LWzTzEWSYAdZMaad3aohWZw1av+pcts8VPkiHqnEZUfUzr2zgNKszGjM7eIszFLeOyN7NJgqeUTo
FeXjhpqkJyNzfFCd3RmK7iD63YAMVoXQzeeSFxAw2mxqQWSBoj8tI50PSmaG9LuK2jQ/XT93ey8H
pVloVuvFhbTGZri0VpZxQbYoANlZ/x5zDSUwcMdy6iYZOfLNvJTl9FlrxgXd/bBBHWZwYE/7aao2
VGFb2KynSa7k7OB939m1+MCSx3JQOCbbOw71kzrNQyj8mS413xY5/DYZhfT5+ux3BnHWtI70DWWq
i06ZHAlNqQRaf0qlhp5CpTCQZtD910e5PBprQQuoxmo2y3+376ColV5fgYu9XVZPktk7M+5dsQkE
Z0l+xHOoH1ymlzccA65qqhRSDLQvNmcxRebSahXE9uDxiafO1PPzFDvVcwluxF3maPgHrlHhOYnR
HhT9d6e6PvjU8IBmb6/xVhGdlsiDBch9mm9AjVU0kzTTUyHc0onU3q+KgI47dqvIPPES0qZ++2zM
qWPS4a+B5Yphuiknodw2w2i9+2kHUrUWo1SkiYkBt++tisomNSIrgLwMz0vWwoeiWX466lC+f/2Q
LKVQtO56Ou6bZ1C3+iFVRxCZ6GerH9TeARbdtSjQNpJyXuTYOKhSXoZJdBoh0iCaR8cY7d2369dY
QxKZMK+AECCDnphxc5pQmvAGSUx3UqLPHqo9w8F5uLzhSMPI+01eI57hbccPYIajLm1FT7VxTD8u
MQphQ1WnVQv+y/Wjd3nAQS0CX1g7bA55yqYKC9inZ/xJ3E5mHD0N7dgEdqWMRwZbOzNiGJ5Y5NZY
xC0reNY6BC7h9t2Wti5VnqQopQ8lcep9WU2PWgC7g1H3AkK7nvCtWjJiybhK57m4nWUzu2n7Cmcm
sxa3kVIfIb3/9D3fxA5oVtLWJyahWG5c0NcUbM/s3GyiO2m2wWVGyHNYJ7lPEUJqZr17nfNqnPwS
DXbTlZsMLaLe6IofxeIkxSm0jAIt/2mqvxVGmf83FhSdzv3SzyWVhqz8GTEuXLF6rIWnG72VeclS
g3eeNFuyPmoh30x1wxDnWjdbEt1C6CjuM68sSuR1cxVpNH/p01D4PKbzN60W9X/jnCagGgF29chH
AejgZp8RNV4ZrZ6GGhf/cCnG4lT0Vjd41Sjqj4a0UOLKlxCf+HbR8m/8CyhkLU0x/F6SsLkFV2Qo
flQ4Sg/Grs8gfMhL+nlabGgw79yw64Kvdjp0Zqk0bnMmGIh5IfBCuhNTG/q0eoqgUAE4XB/lYgsB
suUEcgbJuEASbq4ZOZKQKOgmKWjBhH3R5Urzs0XpP0SCN/36UBcn8M9Qf9QiGOkCrmxHyEAYBugM
q2njkzY06v1S5Ecggt1ReAeoJ1HWv0AjLlnfm+h7UEwbM+cGCUnpVMBfO5jLxeuGXAvyJavIJ0SL
i6p3tThNMtiGCGguqidhdZmnSGr8j3D65E5vpvjI5WDnO1HlRjR3Bb7xoG8eHlphrbngVnw3pKte
bStbNwIsnhtFw1FWdPEScJGQKBMLwiXRLuopg16N2WQ2+R196DDxDbVv/UHp8Ka3Y2hQvqGnMP66
xXq+vj8uYhXGdeC8I+esUQvcdhJko9SqKoO1taDmfoKIhhynJmcftYGOQqEk7Xmoe/ljkeXjARj8
YnFpMlJ7JAXkyr6sdU95LtHmMrK7ouMOM8KIuvCwZKAGou7gxbusPjIWB5sGEJV1UCabD9malKBL
ZCHgpsF5c62YcnKlKtM5KUwzdKmS1+feLK07Fb1ABDSnujfva0frv717tTEGWvGiZDHORS5YSUYc
ZqqU3jmibx4jKW09M4XTbqbiv1SN2xfZjGYQxDAfrw98cUBZAGQZKY9QTrisfKILo82VaadsL+w0
cUbWH7sKl6vro+x9UmhQNA4h7SJjtG7yv8pgBYWkRMaZ8E5Np/ZFkfvxrIazeNCN6UiQY3dCfw21
CeoNqRqsSWjpXTdVpu8o8NhR/BcHN87O6ViF4lZGNxkhIjZvJ4TuSVS1XZHdpeOY/yCcRubRbOyb
ChxxoK8sXOBQBlzI2uyLL9cX8+K245P9Pfb6z/9aTFWbhwb2U3qnp//H2Xnsxo20a/iKCDCHLdlJ
lCzZcvaGkMdj5lyMV38e+mym2UQT/jHAwIAHU13FCl94Q14ctcJBN4BGCrG8rLgxa7uzRW6lXpYB
iQq57lAKZ79cD1jW2LXAOkh9e+own1LVMHtI6Gd+xS0sLSlUYr7itiJqDvIUgMETZMZPRljO7yBe
5HuAhK29xD6EaAaEEjmf1a9J9JmvD6vBb6auUl1rtON33NJN5era0H36+7XGjGrhReENzitzPfUM
RxfNGecUknb1o9Di8BQlwQByv4kPmTKWp/vDbc4Nr40/YkEkg6vN60RWnczSlPoKaaEf6XrrYbsk
HaLQNHZ017Z2MLI9IDYVsGY31S41qoMh0vrU1xqtctyQ6uiHQSrnixx1AO8HK8QcqonNYDygn5D+
/R5eQmQk+rgWbkEL1Bqn0aji1Jfj2TxRvfwXSdLwCEWy+5BYyV7RYmNdYWUscmNLvnjTDlEGzZ4y
vcn8vunFe8fo9N91ONTfq55K+M5x2RwLmTEuVKpfN01U25jTqDOrzBfk2k9FYBoPCpC/h86Y/tr0
GXLgYtmHJy1ypDdd4SJAUYTyBpc3bjzPszTMJzPMQUxLtXq+vzM3rtWlqL0oHHLj3ZYuisGUofCn
fjYayfvRiO1LOIETuz/KxtpRfmXlqMEimbausSnA+k1kMhK/7ero+9SK2hMZZqB912o7E1I3DgDI
D55bnFkAuK6PthTX0OXIh/yBsq+EtkFlNcdy4Co5jXnWg6lCCBgLsg55dJdGoPkzIE/CYqbR5B9i
7ob0gKjplB4pZqMfDOcn9iIxmHgjSX3ruE0W8mdhYLDm5gPMcQwr7eRIiDpRmVNBh3lO5ECP0KaI
DR+WufZvHTVDcgIl0iKDJuyg3Hm2ttaX1B7bAyBqCuiF6+usbyJ4KHmR+Ag/18gkZNPRKWb7JWqH
9/e/5NbqwsKC04PiCdTR1U0m2cArsR6h4NziNGaRHZzt0UzPIjdKD/5+7mn4r7hyqwfH+yMvc7hK
jaGxLkg1clSg2Td1WtLHJsjVksC/T1AGoD2K/kY6nBP40W5eyP3OTDdOBpAbKIk6L9JtNy2MgimS
SinyO5N2TFkG87fZGp2dcHzryxGP09OlKHSLjMopOc+I58Z+MPfSQ9Krw6s0NN1Zo4r/Pwxlsjn+
gM9pFK4/nW5IRhjKsT+Aqz3UcdicEiSCQAf3eyWTJe5bf6slzyDgx9frhl0qTR0dUDWI/UxPpOFs
Cg1jY4kepOeUQXxCJjP/0BsNSh/398jWai4yalDJCeBumvD1oFhzmNiMGyX5AcW18XsejM9dYNWv
/8NIvDpL4xFF2pvYCdBc3BhG7FsSwF2YproHd1f3JqXcC7K3Nv6yBRfDC4D768Mths4GCjjFfjRN
SMcj7fKWoYXrGU44PVk1yif3p6ZqG1+P6iuBESQBtsvqNikEki9F5qS+hZLmN20q1K+1laYf5MrI
vxpVHsFVqJGjjhFW7XHsCdTfpZTMH+05KmRPxqFj8oh3supg9XXxMDplRwG+jTJ/CEUO0COx+ree
Sld1EE49mm46GsiwN2ppYAZW6GJnV9z0xbk5YAZCT+dA6/ofttt/AmveClqOwZj4RWf3Pscg/1WR
9/4sraTBomHWbXyHGjz+YM3an7UBzfOdR2nrLkG3F6VQugPL4359P7eGPcKnsxJ/no3yq2aGilem
4Z4F79apA24D0vKPJ9m6mK0GqehBJiS+1EyFqyYxHNA4/4w0RX1xsKX0YNOql/ubZevEgY4Gkgj7
iehoFUjPtCRa5FlSv7ekn4lTK++qNIkuaia6HY3prWNApZ6aL83cpaF8vYZzSIGCgCv1JSSGftgS
sh60xXGeTIq5fBpgA+5MbbkP15cYqGXKFQTsSw3qesDI6SHELFLWVtRULxyJyXNiSRyQS9Rpsg7i
i9ZK0zHL2Lv3F/X2Qy6+vJTPF7AeGcpq5FZrQRKV3NTCGYBtKNXglpo9Hu06aLyx6xaXYyPaqVHe
TpdByeOXUijan+sG4FwTwSCpwO4JRHFRJf0namm6l82h6klRZry0QWkcVKcvd+pCt0CfP2DLBSZO
BLqoBl4vtD0ZWhMj8LTIM6XfpF7PDBe55XmGM6LFRxop4TlMmjSGcuJIA/eO4XwJ2rZ8rotpUOGX
yKXqtZBK9q7e227t8tMQiGRhALPd9NfCmhYYSSH5DHKoX6x6LELXaLM4oIPSF/8qZlEabqpJyUs7
ieInDVQCIl2o2vdUhyDvQoECxXF/dyzLcb0v+U02ACuqO0RD64OgIE8kZR3BtJx3aEn1iX4ym/Cv
ZRSYOVHWor2zhTi2iqST4JEnVK5yw++lFGHlClsz1e10B5Pq+3Pa2nykcEvzaIEornHbCDDFdidx
RadRLD3m2SJKJmfjkWRSPueyNp2gyeiPuh2VO2Hl7QXGPEmmqPtiW36rsYypbdfiAeoPgy5fEEIP
Dk3NMyYpRfk/TJI6IIkxuBBKzKsbrNZaiFf5EuuFUf4QNaURg1ZzJP0ABr8Y3WkK7C81mk+PyaxB
QLq/xLf3J41HwpWFNLNkj6vRQ7CXiJRlsV9rU+vhUJd+sEIrcudySM7It0Q7b94f+e31PtVRTViO
9IZsEapEU4xKROS3vZa8i1UxlF5fVoVwhwI600HwODV83KZovbm0q8rNAit8s1KntY+W3Y3lQ5K2
U/Mqh0WnPQEeRrQzGuLhGccQYX/t40ESR2pmSf5uttSSW7ELciwlmtyQLo2ZjsFZoJ+H0VUwKYth
Bz3601g7rXbMezS1fE0P4GNRqug0dxZ9/W4w+wRi3Iz6lsurFzzmaV9GXmnP5leTnwW4JkL7HdWu
Un+H73aEnpg+Q4INY1G+ZlacmIdhlLTy6JR1Hh+bOZsd18oaamYh72LvjkgLGmfUm9AW7EGhS0w6
LkuvqtoG8mE34fSLZV//05Ao2R0GY7Sms9T0GYc8xobEK1BlKj3VEHDTeH+K4TCDXE7deOxTE2VU
o1dhIQSmfVK7GORdVsn5yPmN9IoGcz52p07MTX0hjtM+50UlY42eykF1qMdefi83A46dXWD20WEW
g6LthM0bm5C0AHzsUgZAymp5+f4Tio3Vovxa8aamVe24uSxyb6oH/Tnhd/9CCKX/dH/Tb7ykqDoB
p+FWARGyZgXlSjkLqY4TLFE6VfJ05wnB/yhDeynUfvW4H7/mvV3tvKRbVwrmY5DgltY0wPvrSXbC
dnie68ifkhD/R2RjsYgpu3M9/D1mkFvaAIaK0D985tvcAFpKHZtZ5If4F5+4pRsvTI3gsS3lnZXc
+HKYI5CEgDZZXobVI23Mk4XXXx/7slMZmts1ZvJKpmWexWiLn0YtSzv31dYzRz2cJhweU7ctHOyP
sOSp69ifcmzOXSkI6+yINRHu2Pf3yNbMFiUPMHtgQZjg9eeSzc6kV6LHPn5LjTcEen3olFq4lB3B
cPfTHh5xa3vQfwPaQpGb2GK1PcZAV6PRBrOnyXN1xjEYKGLat69ds5uHbw6FhAepo7U0g1cCD1hU
xL1cRIlvyl3/iAFe7CuV1h6nyfxr1zF2IlkASQ6gQxony0/5z8kuJgXL6mRkFYtCP0ptqrsIATfH
SE/3goWtWS2VLlgM2BrTpbkeSpjmiKtyuuyM0bQ9aRiTC1qXQUCSmWs7u2PjBoHBoJG5QWld5AKu
B4t1ZcpyoN1+qiGPqs2O3bk54plIX9rVWUxd9kwdY48Qepuy0jP8f2guurgQpq9HrbIyp5xAPJSP
evyTtlR9THWlBl5ujHN+pHuBzCbcJGQtl1r85xB87W7wu6zj6gEHegkbFWOf5cLWrn+EJTe8O7yf
Pohvi5JUUUvPkjNgkIZFSvZkCaTRXkOwfo079QBGac7n1edclnPii7gc9rwJNg6qCjCG1GQp8NLE
vv49o4KRkRmXsW+PGDBT/ZjdJilV14ia9GiKYD7dvxg2GmSL6RYevmwyai/yagGQTAL6YBEyRWqC
7DD8ETy7Z9ze0CI9pEadXkyrrE56OIdHjNoSis1d4M/2vOdevHEXAq2n+IkaIyHc+ocovSHHuc2z
mWRZd7ECI/7g5Hrwv8x3kQ7AX4mLFzjh9QI3tDtbw8lSP7FFf5Lt3DnpdaR7lT0bj6iqFg8WvEpP
kAd5jVFT+2kVddEsbs73V37jhEP5+OP2B52AVPj6h2SBXpbWYCT+OI3hwQJT6sLImj3EavaqXZsf
2QQBh5wKtJqb2yRv4wDZbi32cazXelcuW9s4DLLa/CJGrF760k4+l3hBXIxoehoCtSfVK1RA+m37
cH/WG1cNF5rFtLmrbf59PWso8wQnc8Ws0Te8EIJl/SPdre692cXdmWS8+ULVYdy7uTeGhRhoLDUy
8CDUoa+HDQVa4iUV1QelGM3ALbGqReUFC8RTAxei8NCCKvCXq2wECf56wqCu6RYutbFbXkVl4U7b
i9R50A1hnVSYTQ/OYI1nSY/Lx6QNtFOFRPDOoBtnCckXCGELJ+C2GqjNsbCigkFjpQxPYGSyo9lT
47g/tY0dbCPyCdaZ8Oy2Eh2kjU2fEGJnoliIsNVJeGh07dQOcrATbW7MB2kCytALR0q/qUTjkRCZ
OQi9hwrUhTtqjfpehMkegm0DUQP5mNmQk1Dpu8nQW4hOQqghymOTGAdvELX0mmBsRcQ0hLHkzl1l
6u/kKmniEyDvukL8uC3Dp5rCTnL868Xl03FDAUVeKAKroqM0mYGFJQqgPZLFU5mX5uchRZIzsuZh
p+q4MW+4s8Qa3L4UOG8sxYl6s6LAP+zBLKz5qXCCeeKdU5SfrZrPtZcoTi2OVTUHH2P0OlOvSNr+
xRGN9uv+nLd/CNHiIqWw0ddEZzpCqaRadHvK4IAiROw1DdAFl0JZgFxQq5wwMZs8FWWQQw4JxVWR
kP/3/q+43dasBuKrVHsJl29K6VNdGlXVVxICWxU8Mn6PO3KteLUBp/X+UJsTZqNxQ/AC3/L/QGbq
UY8V8ENK/YYbKaxhu8elFqDADnriEhkC360yQnAeW48eFTwcdhu/bmy1Ouz8lttQaBH6JJThfqb3
vw45Gc5JhWGE9M5aUKsIb5kfk0jKnvOw6v9JgHdeaD3pr1PWTA+IKuTzMZUgxqNxHoX9zsrcBofX
P0a9vrArRSZ5nqfQVwu5eI0AEqfuoEzWU51Ug4c4uH1EaydzHTt8X7XFtHPhbH4YqqGLBKIGrXYd
F9ZtpXX9FEV+Qop2oH6YCq9oBu3nGEyEfllaOc9TXwanED7yK373js9aSH8tKrEoeAHTlBchW/0m
Okt0NmNodqGfGpa45IaJxOuc4Xazc9vchp0LsxcxcnCLtFbW374UlhNJAxDhVh9xbbYScJlG2Z0Q
bcfHgXrlh/ubbeuMQVrmRabhzau8iv0jBNlm3Rm53fJKOrRjhWv73CMumqKr9PdDLdwRwDOLdek6
4ijsPizsgTslMaTYDWnqHUJ7Ln+0hYwY0v8wFphMkIIaF4iuXe9aKzGKvCjS0BewvXGYABRptCgz
yZOx127bWkE0tkmgyEhpoixP5n9z0RQAwRiZ0kOfydGHCJODz7k59M/4FDjf7s/q9vWlQ4qU2R+8
Dhqnq5C5DSTg7fDa/Vrvh6NeBXgrpVm+E5nbW8NQLqOqhOXuotd4PSMtD40yGCYUHOJujE9WrMvi
3RRNSvheGEr3NW7STPFya6b73Fe1eItDGgPnPsSOxItKpzQ8HogJDQbHST7l09gmp7CnVuzWYpJ/
jQ1PJy7hOCB5pYWjtWcCttbPDZHFfEARjspli170bzwpAOTxFqF5E2nxmHhlk+GBIloJia/ZMuLI
Q27P/l00fUBqYBjje8zjxsClQpSNL3VQsp1leyyENyAvR86YNJZ1CW251r0+isyCJxUXzk4nAz5i
i2A2B5Dzo3Mk50971x4XiVBZne3PCS4c+dPUOuKBxr+oj5OeGPmhTRX9klkF3pq1VUXJZU5N7YeZ
6XBMA3TKgmM69vl8trJBao+KKLvqpZKrzH4i3J8uYTgWqSvpAK80qQQTPSEv+6WxIec9RFrT/CK9
daKjJFfpO7UW9YAGWd5MCNcnojsKWcLwIQjiDnXgPKxLt5Xb8CMJU478VxirjYtVzRC7RaGgBi23
DXWzWNLLN2r/+Dff35wb5wA00NI0laGIgfi+3jVBTDtYjdAkSPQhe+RdX1TSQiAfM9XmaOd837Zw
yIWBy1g81bhVO8uP+c+hC5qm1MKiiX0HXfEj/YTRxUJ9huchi6MJor3Is/igWNHewLf5C8gZKhBL
LQ3K2PpiwQew0xrLxt1FTtMvSd9IXwdlSGyPJEs8jHnKWywqPELuL+7GKwy7wqBIgxCZrK+dn2wt
Cro61anyRmX7YrMoFzxuXgbYxjgL6f/Q1pTOKHVSiC+7eufi3uiZUs6jvLxAG7i81/eOY8yKnosu
9isDnoxblH11niLKQG6HqtelbXS4clob4Lldq3P+A5xR977THJJJs0cyb1Qa7OmjbrjcX5WNLUel
Ymk0Qauh4LjaBVYOkS5uZFBTpRkdeTrJH5MO/T2aYju7e+u7Q57m0iUL4FlZDRXPpa7OCVwpBPpN
P0nmzsuc/F/YgqWbQEM70jPe68xvTY8rGDkAYAjUHlcpepRMeTbYAW+zU6knLhDlIWg06SmRlG7n
zt8aCukUkshFtof8+Po8pQL4GQEW21qh3WrQ+zn0jdKfxrSYzvc/2kaEQz5MJ5nxyMPXKxkMjg04
RecRSyYsesrMCZ+GruwFbfdEnOMij+Wd07MxJO3IpR+JKhg9hdW7GSIqWXSmHfpRWkXHhJb/J/pP
4cmJ6obS2ijtHJiNzbI0eWleGBABb0pbZaINVDCk0I8dlSe6Gz9i9lz+AJdtejPXpGsMeFbtTHJz
UAiXJDAL7mgdKGfAwS1zkRw147rzml41X6SpIHnGAN6bQlt4Y1U1O9yXjVCBNIVaNcIAKK+vdTHM
xiGsM4npRqNMsDejJGl5AQfC2pnd1idcohFiVHJSYHDXG1RBtcgU5sIBa+fcpaEReVpS2gdpbKZz
GWfS8f4u3ZyYA6VnQRIvBMnr8YI0yBNrIdE1Kf5jll1ggJcaextl49gR5gNUp5tGVWx97KS4nzEi
s6WHrC3U8zB1hVfOhe21eB39/bGjQwg/x2RTktKvTvg0Tk6XOQylq2H5bpAgfOSa8w1fNvtYOkCN
76/f1vf6z3BrkckEDLNJf5jcPXLQXo8M5TxphTgYUaYeQaftleu3VhIwGo+jQfEfzavr7yUwHpus
YHQeJn0eXFXpSj8KR93reknsYHW3hgKUbKAYDY6D7Ph6qKmCxqE0uvPQTukyl7K66NXIKnZRf7y/
in8aWdddkeUoLwA0+ru3+PK24Wzh+gjZv1CLizkObQeoIBmgdE/au1EOiOuGtHHSY+YYya9G75rB
HSg9A1TqJk6krk32fBGFthiZkTybH+XYmcUnqx11cdSTEGynSvunPuTlLBvvkadQz3aRGl8THe9H
zwCb8xhlhfkRZ0Tjq0hsYncTY0/tmaKcFZx45stfVablvRf0tngXkAuFP9HuQAcB3keFzdkIsMxD
pySKDxYYdtkdpMB23EoHIu864Crsn+3co9EVgRn+EXeNmNzMGGT9wW4KefCCWO6/pdg0dWdk2I0v
1ON4pMhQsuSgRRGZkKSEWJBbLUZ70mQlv3NK53SO7n+MjZiTMgT/LPnrIi95/d1n04RCXyF5HKmp
+Zih/XuYlFE+Lg0ikg+SZgmQyL8ov5U7Z3djx1F0hTmEJhBiBOtrolUIoORa4TIKjPI08F8csqil
3jMZ4+v9SW7VWxYYASHuIlROpnk9S1FJApyZJj1Is2VeJnJbKGJSOhFfswOlbJJcHq/BayJTf9EL
7a1DF+yvixKo34JPpz2hQ0tZNwlyLc47owCSmIvKwUknF17QWPMnTaTzzlN9e8+DGl9CA5ohpLrr
pc1zvcDRj1b1QGPoQnQrXbK07n7fX9WtUVABxI156YzfVFmMGQxPhSunP1a28lROA471yLvuYb6U
21sXBzE42YBP8EWE3L/6eCMmph04K9B6dvdBAeLylvbjbHpGMWa9B8SaEjrSwOKFbFZ8zqJwRscD
Wmw8K+Yb5NX4n2RoHMDKcvRpakf5sggZfr6/GH/QG9eXGmVWWk6oiBDc3tQ3KddkUN+HyO/nsPVL
ajWTK3dR/ruX7PBCWoGwgAo18GlCEZ68N0cufE6HY5VI1sHo8Yzsrc586SNzfrj/024P2tKtMXXo
SUuPw1g9klE3xyMyp6FPr6E/Z3reXAwsmL3CVP5aJhNAJawBIL8q+TJS/defypZs2mCZiHx0vuWD
nHXpOSnq4Jhp6Z7+vb6x/YCjQ5znGQHLuW7wF4QFIOKIR0NI3289JVSE1ikzpudA64Y33CdF5eE4
BL65NoLuBfhL37ugfcSbSVlDPOFBM51Hve11IGFUew7j7Kg/8Y7MjZfIhiyDBuE0jyeMXwWlPams
U7futfZTmOXxVwxTh8jVaPNeJnVMskMSBspSeinHH44BGPcgG133vlqw2AcNTjz1H0mpcy/PR4wB
lNCoDMhTsvYm6MFQ/s3wcMVi23Z+j0OJq66ozdCkITEltaf2ox1QjS7jj3UEp3/nEdjYIQukkgyb
ajQtoeXv/1N4kOh4paiZRn5ux72njjP6jsC2P4xauQfdWTbb6pgsTXj0COk44Imx2oydkxla4JD+
zUXyQ+m06DxLhvDsXGsOKvL67x3YEIccZp8bF2I63D8Kt+kEfEAKDrT7sP2ggXk9UQXEgd1lFIYb
LZUPeeOIAzTk2gsdJ3inwgsB1lgnO7fx1pRxcEe1hrSe2391KMLBylNJz0gn5MQ+NvRfHoSJnquH
jnfwWgTBBCglyINzVJXUFequASJ8f9633lfoQBB0gfpYsKv0qa8nXiqTWkcyedQcBfVnRPg0cVh0
R58UQYbsogPZ94c467IBV+gZ3Am1SuEXRh2+JmoyvqrFKH8cDU1EbpCN1EjKUmUyaJwUPxVU/vdU
wm8O9/J7oVVSAaEMfWNBp8xmMgqwnQ8WnLwPctPFP/ChlneYvn+im6vdyDBLk8DgEC7QJPV6WQiw
pKw2HTxobSnGryAKBwf5Ig01tqnBVvjCQ2PPoF9jKSTdDHrpEuJvIC6qIuy3PHa06INWhFJ/gNlo
fDMofzZ4MrWOdkmLlJomn1hYx0FGZ+axTzn5nhEZTfRBCcbU8JAVMQEhlaowzlIcS62HQWP6Vox6
P4HGN7B2mkRWIAaTpkBuDaur61OkGUEJcx/UvYsly/wbbmqNTXAQqHst+K2vgCoXLVN4kfINrk8y
EsUIa2rmSNlED7SkJ18Lary37+/Om+uHr7D44FGDMnhA/kRv/7l++lYdjKIrgoeaFtc/naFF7yol
G3XXjEnD/4fBuHcWFSKZqGWNRlP6oJBQMg4esqRPcWieQT+pWf6E6dBeonMTWzMv+nuwMoivF6rB
9e6aA6sLtAAh5ykmaRvMsjzmaWYfJ3nun1o6PGepSGtgw+Zek/nmymFkuC/w5TnDt9iJPsrHXLIH
56F2cHNyqyk1LjEdbVA5Ue1JNjmdatLu0HJjPiJgUD7c/6JbGwdjCRC1wGq5clbXzaDMYHa71nkw
iiDyB2IaL03Rm70/ytb6YvYAwG5RgSHyul7f1oipOwUS4BersUI3KEfCG3Lx7wlmmRdJGt7AYrce
dLK/xk+yvgS8i3IPTxkyWtcjSyU+N4lNP8MYZu1cwXs+jxjCYMRWFX+bJi2sVpTUqVPD7wH5fT1U
q/fyUCz7NYBE81SocvFY1J11airilvvrufHV2Kq8jjSVqJmuAcrTomaqxTxU9lC3X2oNRgzcjn4H
D7Lx1ShlULqkaUrNf712Zon95qhboa/1dvo7VPvhXPSYkR+rZnB+zEquca8ZRXTO02oPn7c1w8XT
FM10xHugMl4vppVKti0QDPersjPOstZpw0HWMac93F/Jm5SFj7bIAaBlSMGULsP1OI6Y0wKFZaIc
jJCP9Nsuc94fnViMF1L4PWzFxoousQVc2qV4c3PPTNoUA4gOAVlqVQ2bznJOVTeZxxw3v89ardYP
qp033wRemzub8yaeWvw8obBz/LjmbqpGY1o6diTTscpAodERWYgZWZZ+wlxce8zm5nfeqMFedXZj
cSnPGiQZdMFvFYGm3MSRycoyHxfHKjgiwyvZbmGXYetaA6SXo2jLPDmJOCm1SzAqbe/nsGVw+Omj
8Ct6OwlEIdKHf1q7UQ231+OiOhIdz6+Z6nSGm7VlK1ytZ5u6gC7CsyKNpuY2TmPYXGOG/DKCMMj8
pjdF5bdREwi3tISterGcq7/sfMJ2UXLih77qGtWtSid+xoYs/GbOwfAtCOXhdxzKQQlaAFscNxKO
+g/WFNn3Ig/j8Gi2nRw9G8bU/hCpob+iZT8/W2zYEJySbAJPyub60/39uvkdOfcQYsDU30jh1k6h
dEOmkrdFCRLh+awIxUX2aDDcFnyOSRU3tmNvTOpG27nEN54qSrgMDAAPeMi6LDK3UuzQEwIKY3WZ
OGd9GmL51Ia68VqmbfOODT/8lLCWe0FBrFOf6jFAAvz+9G9JiuzjP3tqkS7jclq9V7GiZd2gxeDh
k1SkH5YcJcL6CXMDPDe5ltxutObZkwIl/NnmyojMB72WA8SZllSutvqPMwytPf7GbdmKn4UyCwQV
8CWoKKyuKyqjQdgKrsqyaNv+yEBt5fV1hQnoiF674jq5EhtnRekr4bVTbWRQK00dATR69TuYpa3v
RNZEtYeOCya6qydP7/CWqAZSJxXb5MOiCH9Mqil4zjLsaILcNFxHKopDPGLcm6Kv/8/9T7RMdRWp
c8dQVwG/joLFOoEJQENRw8lDv9Cb2rWlyXgKCKp3zsFGJLrIciA7TXxIxLu6tycbsTw8aRklRJQP
h5jWnRnlNNTz3tW5PRTZKFh0lnUdvNB8aq3AAcwzp6pzFN2of9ASZTikgKiP99due6il27oYIfEi
Xb9GVdgRxSQhGKV8EIc4lvUDoJTZ7fpuT0B/c8siBLMgd2kq3xznZsgiOumC5k+x1JPDrjhKgWZ8
0qSifR7jUjzEcpFRrpvlkxgVTHG1IPtyf76bx5k8m0wC6NKtxEod9DnEPQKZDkzfdxThY2LgGgp6
K2fI8yEQ3eXnEeQB9ncp19u7SRnK+VCG2vCdApbkuKpZaMnOLbN1ybKDNcCnNuLNawSSnOazxS0S
+rxt/c+o6kdc/7JQ/mwFon3MQP8+DOow7KEs/ki5ro4O5X0ykQXpx5O5qj8ogdKDRJUgzYoaon1t
O+JniYXfWzlO8vdC7erXfrKy4lVN+jJxg1ruZBdj5GR6nrOGpNQRwnodDVD881TWmQtISnqzNK4g
r5g75RMqWTR+46KGzyBrg6R7EoesO9go81FVkKrm1IM0eFfpDg9rPVQtzTMkLD4msZUZvoZNcosb
UgPgJJqj9gdKz0X2mJta9guIf0/mn1nVUS8x9cTVb6YRnDlRxJ/plbwmU13/khLIMl6JZSJegmEQ
GZ6SR4l2TIsyaLkZp/KttZUSEThnqi3XSrT8PamhVH6DqlA+4qXVah/DeUyPud7O7WPdjsk/NZT9
f+MwGn7d354bx/HqeyxX3X/S3SqcbICI7M7BSN/UPraOU2PVXqGn8+WvR1r0yxa/KZoANwlSN5E4
DcRB/qTjD2T04XApht46FPFo7PQPlx+92mR/FB64YEBDolp0PamirW2rlETs90DlHsUcjJ5ZNuXh
rycE1o1cCBEQ3brROQCjnJrwe2Hj1UH3VQ/S+Bk8eXwqhmFPAv2W1bIAVDim6HrRnSdhuZ4RQrZ2
VBuoOdBWrt+gHcw/JnqNX0CjqR+7SgwvQ1Plb0rdx9UllqOB6u2gddUR/FLw4/68N64O3l1WlrTe
4eesVjcyIA31NfEJNkHNs428jKumsX1CHN86AlJQvzlGZu580o04e6mtL4QpKAv0oa8XoHGg1Nel
Evl1WBRHfBvxwdSj7jnsGuFJWKV+/h8muWiWL1QiXqvVJOXS6JAoga6axDE1psEuko+hUkCwH5CL
+I5Rwji7OlWoPYLi8j9e710INAR+cBQW2vH1RLkLHalC3h55IIBQrlbYs5fPkf16f363iDN2FPkK
iYtO5/PGCXNKHEVY6hT5TRSEmouXUv9Jpol2SUWgx65Vhdl7ibr1P3URjA9tX2WRa7agUY5DPqD3
JuREOdVzX+986I0LiV0FhoIl4HlYZ6uhiqtk04FGF6qSPg+SNZwH+hBP6ZzuyY5vLDV4BgonnB5a
lOuNnEU9fdgKYrca9fIPq1G1k5gxjL6/0hvHBVYLn1LnsqC7vPqgiRyD7ncWNJbKgzNq8yFG53SS
k8kLUtxpO6uMD/eH3FhDnC94Zin5UWJfh3PDWAx40TpEjkaWHXQzlM+mgneBqebRzq2+cS6xIUNA
cVH6XPr219tVRa5BkmGV+hXao499YnfPc5ygGJUR9YtTIZVq596f3RIhrk4ISSE9XsIpNu76hFSY
nymhwgmRtax5VxN5f2wte3pE+EP2I0CQj4bZ2hJi6Im0Rx7YWlk+JFCR5ehAZb+ebq/OpgV9mDJi
peVn3Yq/97VUvlfr+t/7k9zam/B0sfFcULA3/HxwL3LbL8ezNNXkBWeVNxlnhp00amsQgn6a2Qsn
+GZrBqU9aDOFCF9pk+JxbIM2Okaa3uw5Zm8dAR6DxStk4fmuN4lkKEUcAYD0O9F/rClDn5H5t066
yOIGvLVceXGDDf3OPtn6VuSqsMrBWNxa1plF5AymMS/9Xz1431RD7tnKmJzMctoD6f3JWtZ7EvkL
Snmo1XGxrrIazC21NlzURPE7HwO0Oto6eWmQ5/jd6Eb8MZuGcXCtUYT6QaPeaLn0MMT7Kszbj7I5
R9+TpA90dK2D6q3FVeUfOQy7j0Um2h4tRKOq3cGprL1g/Pbz07lcxB+RKydMWmuHc4T0dsqnzK80
u3XLLlCOtR3sCdVsjbL0zZDlWayX10tjOx3BrhVSIRuK+JAg4nmc6rQ63j8vtx+bbQy7k3Iqxs7U
4a8PJtotYyREnfnybGYwFuXs3DRK9ZA2GFPeH2prQtT4qQAQA3ENrb41hLREbYcBITEJ28Eqa6tj
A7thR0br9szQBacCxHFRKLavu4H5JLo8FAmyUCJSwduJegajg6bKSyAQsXfVCsjSscedY8+14k8O
dr2Zl644vDj6RH8a49draZJMRVYY5746qBCpca1Qba9Xu2Y8VOPCNEgUGE0IdxVh2Z6px5qmK8mj
/Iasdve5yIAXHIakw32a19Sk2dS3+T91LhTdleowrF2oJv3/cXYeS3IiWxh+IiLwZgtUddNOLbXM
SBtCbvAuscnT3w+t1FVEE3NndhqTlUmaY36TPHhNluIThqPeb8qQyzsL5p8d4B8J6slLsw+dBi4J
uLsngKMiu4qg36CVqLsPg2ufnASaQDiniS5vaK6h5paV61I9W2DkykAsvSkCoYG1DlyBxw2F1MrM
gqZVzc+r0eAsPwG61/28kSSAZince7e2+OO398retgQOCiaJmPVa5Q4HQaynDJ3nsR5y4C5re9JR
RYOVU3gHl/nehqESRp1oU+S1LyPkFn3TWTFQ7Fg2OYuCNfphFgJLNGcSL6LrtMBd+v9sW8YjSD+W
O5YqHBKyF8//BDvB6ArCZEw2tNte4g2qNp7mi0VXQpyvuoOzd134Q86OhA6Rb5iKV+R20Yuhri2U
cTW3scowK1LzZy7sWNt8k4sCACb9Bkd69XxCrsX5qSedd8TXvI4/qL+DOuf1h+R+FV11eQoXNN6k
c9q8joMplslHatHlfS/n6sEe1C4ydQHkCLXyo67Y3n4i3aTNwbJfm+8JPGukPjN2XZZesFlF+V48
m761lkcF371rDgQZ9SFq0Bvm7fUtUCgdKU7FforVFVsjt25vG5TiDu7t6/gRTWyCKZ1QBwX3yw1U
Sgj85WojSqJUQVNW1Q2k09RXu0UGwC4OYvE/fJWLqw1fgy1pZUqqfuklluRloUD2zO8SfdRNCkuJ
fZuDkvzopnUfn7bbYPOy6LFodyeqOb7oCuVhqjBgEVlWBrUyds2tPSuzHcRp5t3nalIdQHT+OBBd
/kgufUI/FPt4OC8O1ZJw4ynLyFuWlKt7swJ/AQlDR0ALk2F2swcYdYl66sZ2fJfEoIwDaCdTc8rG
tvy44dz+9fALWu9tNWsi+BPDAj9TmN/AqOXOycaNOA/VKXPxai7VtolK6l/KnYd/4hS4CLu2Qeyu
xXKqYrtHn5PY5EgpYmdvoROBoD0KQxRGL+8qm0pGJkc+g1Z75UezMj3fyM326AndwJiXC0l7FcEp
oJqYS10s5Gpk7YbVUyLPFYu8y5oy03z49s7gu4VSi3vasogWj1lnae+ttjGVwChoX/i9tbn+6jgY
VX6ryDlG31+tX2L0IGe/7zXStmVUB0q6vTmGszu5ja83CDecvREfpyBHcBfprkW6j+QjuD1Ju1XX
YFSL7GcxmCOtyNX+UY2r8cECq2r4GkSIzFf7NMtPhb64NmR8xerDvsT99qSNnY143ER7lyqLs3xu
hFHBr5xlcts01oxgdqap37o2i39XbWw/abasCCdhJX/M5tL4AcHEtaOh9lrvPq5XrKhaCp/xWRbr
9FWsaaX4XOLNFJaJks8nsMGW9+AkVAf9Zp4VEXqN9D4RYSnFeTW1NJJFqf5y49qZ4VaK4UfVTYgZ
N9hcJRjATFOJJ4uaaY+wupfPmoDVeXbjbFNiyaVxlO7uVMfIYoBoMQuK7FdastJO3bV1hReJHp2E
hlppmJsiCRK08t5twIknr88bOmZD/VgpwxgO9FACxxn1g9vsT2Z9ueNAO20J1SZOfHm/UI0zqmKW
blRllWGevGRKkeLL+048rej2crL0NEvuC89DpbEaiA4CstQiu+3zRVg+gqizdwNMK5Znw5jzf/rK
6dAnSAYk0yxK8+4DbRM5/lY1kQ3QCmzK3hXb5ZM6omN626PZPJ/6BKGnYFEmtfnQopHcnpuhmH9U
pVMirUBe3jy67uo92uumGwbMXDxDGM//cVvFIrgrMSzhX1t6fvlQSRkovYNziKIb/dcMCkNxrhx1
wFlPgtX319Ss5g+oiXFgZCxFfTdJqCFzn41VwImDEl56UnunGmvv+o7HPjtAiuwEPiQXG7SHY05g
sD0xf5WwJ2D7+bo0XqSrnXfTwbXw/IEcK5w19gAePV2YEukejLq36RgWXiR8PhpMl+25uNm8zYTi
RqmiSz+3QW/MRdWEWTvSzRqbEhxpHwdDTziq6u1872izuDF6eaTlshOP8DyTjvBbNkrBxUPtpLJC
M3nkh+DCG85dsT7hhzKc6EVZT8OoAhp2KudsWUeF4J1gBAUF5BqgjW041oucywE34BntttlVrz7H
fa4GeeeZZ3VKjmwgdsqVPFT0DKmE8KmvShULKnTCLGfAkcUyvDepJwBvdrGr83sDhldowwt+n2eI
DftOp9LJzIxlzD6Os7J+M3TRGp1vxBjDIu0Zq/V/RphhkUgUs5lJk0lfFhIRtZppCKde5CqiPBVZ
hRbpMlcHo+zt861zxv0GpP0K58U/qCqJ6FWU57lCcwvg7EccPMX2eoze3TIWDlpmFgoWR1t9J+re
TCDptYNTVq8QdFbvzs7QpUqUxGW/nAyR9ES3lYdAkeQfmb6QAwDy2JrkDzxHlt/cRcMH9g3N1bqQ
muOL1Bi8k63FFlKlhl7oYey00xcJ0IxmnpMrZ3cR9O9zctIPb6dg2u6v37JZwm2oxZfABcrJswYj
T4nalZsKHCk9bSsve0ACWmU+SCMx3uGTnZxBPKv3S5zA6icvtgKsc82nOffKoFcm5Z1nLMp5dUf1
JZH9fAsWRfnHMPvlJkX84uBb74TFEBZ40cidgaFeZv+jtzq9lwI55h7BxWmt0pu5NavfOd5iH7NK
0Q4WaecoowOF3vtWPbkuN6ZFh/3mwHg4zZY/S8w4u6CZRvGc8OgfmTTuDkZBHI43ck9XIvNDnJLH
b3oechnzkBJUGiKlgLKDtVrntz/+TqCJuhJX44bQAml7UatpitlrlJZ50UheAm3Vx7BBnzx8e5S9
r7VhnNnRTIfv9voFYoaEU2lNjlACPWk76D4mJaIbOB4l7jOH+kV7C8hrRxUcO6GdeiqunaLNgWEu
lT2GFpHVSZl0ZIt75BPfntruUGgjb8AFeM+XYCQzjp2lTLapZXJ4wMRbfZkLt4g8rHcO9vzuUAB1
Kd+RbQIffL2K2oA8ozMW8GfbKXscFW9BSM7pv1VaesR1Phrq4oMtYFDSJck5XnqdnHHroLSG7fqn
JM60039fQJ4FFPg3LCvYhtez2oSvZ2Q54yg31Tj1IZWKAEPI+XZxuETeHmvnhdhk1DBpYf3on203
4V+RkCIGPQdT4kUVHLVTb675U1pNeehY67duTH+bvTbfvD3kzkr+PaR7EQPM9WoVwCBQG4S5CV/S
1peXZiKXJDjtjyAEe/OjXABm5Q/a+TLk6jaIjSqbOGpdu35S3Li8L7revK9t9G+sOZl5BFfnoK62
N0OctJAdotV0DZznD9ehH2M3UhosvGysmUj1Vv2cWPMRu3DnHoGaB4zUo7l1Ld0oxyHT+oGQsoFT
Ha6tmYSzMcQBNr9ZQKpuH+zNvfFw8KKEB358sw17vV8wUo/Hqe68qBin/JwN8/pr7q2v5jDod5k9
eQf5+M5Kkp1R6dmI3bzE28/5a3tmWlYrJX5bYPDT8oHHoQmqbKhv0BZpDk7C7lCAj/+8nzxoF9ty
aTBdrWAb3HH5zg9Gbcknqj728+jCNXr7BOwAvCyXZ5pGss0R5558PS3LLhNjtWPeGDCD50VWStAu
tRku4DJuFM2RJCIw5gVevk/CaIfP1VzUga61yn2SUPF+++fszZy27yaByl66arcYHeM3iGJEq+Oi
DI1X8C0xnXJKqNQegJ93jiNqEeyc7dnj+bsor2DSF8/OtCjRUDbyoUUe8lbLFPUs1qQ8id56XpQm
PwCfbDfzRYK96fZtMj3AT4xLTVu1r0q8OyUaSH2dnDxZF+/pRYiDEtzuIv41ysXMWhUNyskdURyz
84x8XKdRgRtO5nfZBHjp7S+2l0mCz8cmnK9FDHa5gca4XE2cDZQImofzfTVaK0Kq3wynGIYAoahn
PHeoPd0PqC981hApcoJsNYCSdXF+fvu37C4vhQu6FaQZV7m0IUjec4PQrJUq1oi2U955iTceHJnd
5XVgPSImgXbLZcaqqLmT5BWaJr1hLXduCYjGhSH75HnV/9GsY02hBBAmbfr9F4dzBlGYdx0gWndJ
gWDqXn1bTtXL26u2exDc7Q7lIgWse3GxDUbuCRezizvEgxJfOlKcLPR9QyWHzjmhYRiMRfr97TH3
1vDPxQ18h+fpEgINOElbHEskd6ZMemqDUN1RA1nuihh/9f9jKEpa+Ixs6liXyUjD9VliN6JEyPHA
PJRFFZS9WkWxkvQH+2/7HJfHG1CHC1MNcPUVsJsOmmjUjlwN1avyBmskNXLmsTjPeH2E1TjnX0nA
rE9DsvwfJWnAieixUkNEO/oy0J0X5IVnj4slTlvvpjGrInSyUR40IPbOFwkW5RLC6a139vqtKJJU
my2Xow7w2I40oahRoevFwRug7W1IEkeVIBB7Mlh/r4dxMDyoBs+MI0VYa+LX2MiCoh0mqfl2V87i
NnZW4zcNMhqpYtWWNhQ9dsU3VblaW91qmVAFdPvBC5F6Bk677Y0UIam1+qXWq+hPlDf1o1bQ3o6m
jLaVeTaH7cssStfXdIEgq0T1pEpk10X506t142Q7i/Z/HFgH6D5dPBeU1GXlSpOqmNEIpKDRVG64
waj8zFbHm3aop3NRYLdW4ZV0wDXb+yiIOGmbmwJVevfiKgLZ6KWIjKQ4cs1T0MDc8M20nk6IHr23
XQldAUrW/3F0kbil1/JHuOeyMuXp8Gj0HLFTR0vMl6IRWWAatfiJDvLXty+JnZOLEihFb3WL0K92
dpWvWttvomNKrScJ7QRT3GPErD1pYEiRqLGS6sUezHa9AVp6lPjsHCtyUy54KpFUei5vKCdHuLFA
4/TOWgDf+mi5gNnMK3kkc7Y7DjUwKmEbzuQSWGc2sZ12PbrBkyhwcZus2TkjkhP/+O9ryT7hEab5
h8DqxS2RVq0uV3OiiFlaHWK78XiiK5r59HvjO6HlQ+Al0ASzEmPtt0femyClReJZTKe3etDri0On
2WX3MWVWMVbTBxpaHXQTcfQo70U85MNI1CJm6XAGLyYY13nnyG6T4ExzG1pL1vVuCFlhqXyllZsl
w1y3zqnKvSr2oabMC9XbdKZZshqjg+VvbbQHwezezDciLRgG0JpXxezGXRIrb2DfV6Yqn3qqDzAC
lqPofHfmJHibnBuXAPN/vcBWOUu1hawSwY7Qbhcq03duvTRhYkPxMDAyBw9aJU+gbxbfS8cpUvHU
DMfZ7Q6qLbu/ZOu9I1QGxPCKZjdbGMJxaN2oxMmcxxWlvhJeuJV1YW1LlIlE0o7fVEXtpI/WU26f
Wq22xNkAauD6hWLP+dFP2j77q9efN4uonirJVqdlg7xeHCGGWXqxHkf1CNvQ172yitAHj71/5eQ1
2k8PBdLR5xVzowESX3arwItEqx5/BeUkalN/novc/ayvtfWvSUm+Chdn4uEitj6ytNhKKZc/FdQc
JwXRUMCoFz/V43qbEkewXezV7QJQSzG+b22GOFjLu2z7Q5bpTmB56yJuWztJ1U9a1pvufz2vrBjH
h67IxrjlKL1esTpTeT0KQXnO8GQww6N/NuuhPXi59r4L24S7nQ4AkITt5f4rcR+KwukzO6Ng22bq
HFqKl35YEqhkQSMbQSlkyNuPb19EO0OSH1CbQPFhMyzc1v+vIZMS8bGiH+LIKGxXhEKB99lXk/RO
Tpl5Ly6uD5/eHvEq/NjAUw7lHLBvOKZcKjv1WownYZ9sV9/43KG2dhoMhCSXsqhu3x7pD+TxYvMA
Xibhs9Ak3LA1rydnFR1kEQkvbV5s5dFMvRJAqFOsapC1y/KDDbdqfo9JDdZ0bV3JqMi17MeMqGcd
KnUrvhuxQUNrMDrvd2zrsvFNxdYerWK2nmuD1pPfa12uBaumLq2vVIran8Wk1Nad1FvkVJ0eaeXf
Wq82TqAn84I4VNwm3m1rLeLDOGdj5utyifFDKvT2k5UBbfV5fNOK/h4ag6dp6iYQEPE4/ECHezZO
+qKYHydtBcMgWq9+VnLFiOiuDCjZgb71PmxCG/c1WlVaaE6m3Tyi60MfD5AT9nvumFdrGGslhoCT
2a3vQSB3SuDWHhwrUdWKuM2Kuq35k05LQ0UXJtFsnRQ3Hj7l5Xs04XB60Ru5lqFwPQCRqtE6Q5CN
ujoG9QxMplMHUIR146Cqn5bqpxGT0RdQLxgDKqkyPWZl10JppqWFfugC6KmpPPfFMFDaw9Fvcp4M
TII+u1rfuDiqLE4cZo3TmXRWdQMDxDVf1hAW49L5lZhoeXtFk4hgYF0mf00kItvQKFI3dFPb5T6q
4nIMjWHKxxCbTLX0a231cB5dmhJqlJ4oqu+g3vAVC820QPlpzj+/vQWvYlECbbohUGpw3brWHpjE
YLmIwluRisrwaVD07J9S0NlXqyne/JuXs8yMI0GuP1W31/t+w82x6yEKkAFdig9t8BFpWcKO4IIh
GCPMztTCzqQjA/18Eiq1DpH8Lkmi+5Vsw+WT6KmQ5T1OtkV/sATX5/31j9kCgr9uGNJ5Pg4I3kgr
qiSswVacGrvTT4vqxuF/Xm1Kx8Rx5DV4D1wiFBy74mDNuhnB5kwDfB/Vu9Fq0srPi9U7rxyUx8GY
j/RIdyZI3wHBBy6ZLRfcrti/Johl8wAGYzKiiWvzJrbVLlyLFNPOOfnn7fntjASon5YofzHLyyJL
NhA1ZPmkRSOmfoBGrPzDoKbqfTda6cFQV+8CvSEWEUg0wGs6e9tP+XtSM9JIk554UasrH6h3iDtt
7j96feYRRhrJ0aOwNxwMAjbDxm258gPQarMhnc+9CEE1+7SmgxkQTGiBl8dGYFbrEfb6aiWZHmok
1B/IEhn24tkj1k4t8Ja0U2Kn+hRPQ4zxjtJo/7T1qoiDMsFVDLMNhvwJFGleIxKa12tpjtixlEj2
RFaRZfFtjcEMTe9ar06djvBDsMpuSfyp8rqEWzIt3/XjWh+E3XsLTLwHZAq5eh7ei9+w6qSMWuY4
kYufwWMiTae8mbAh6066Vdb3LVfoQWRxjQFl2gRNVJjgoiKxcLHGJrd3heOLF6WFa/e3ndaXa2gg
rg7AHPAx8llZ6mLTnVkE495YG6E2TPGvvp71aHBGXO1Tt0g+tVk6Y3zR9kXvF3M5HImhbvfPq8uS
nwn8Fmw1bDikvC+Or+KuPD8KoLYOf6uPerOUv53J+M9Fl20UG815utYEJJcBpKdjYwxAEehc3S3f
2kramO9IzB+SOW0/vX1N7M1o8w8GcIcu5dVhagxvjtFi8qJhSpcTMfF4n7WZfnDZ7h0hWllIqHFP
bDTg17ua6K6qULFjV+dzERTjWt0gvNv6sQcr++0J7R2grbaMKwkFD3KB10PZc7+6JWX9qNdqNfEd
azL+aXm3349jFX+BJ56mAWVhQegKNCvzbfS0jxgGewcIBycKZrSYkfS7SES0cjbLIQeEJTGOSkAT
2p2DS3A/5Sj8oi4W6U1yNO+dD0l/mVO7YRy5ii/GlGVNmzLWKWBm5O11XXW3UMjT6O3V/VNyvTgB
ZFjEKVxOXIiXeuum0FwFfLUbJTjvtn3YrP0sTsQX+QvVTXy6chQOKd/1XY+AYG2n7WnV5lI8U3zb
dOIyq+mCfqwU65tIe/N5jAuQBDTOkiRQtXWQT/AE7PQpdtLmn6GxBuV+HfOhCKTnJL8m06yIsZV6
PSdr6vWBaiFZZMaKo1HOr4vcr3ukWqJ2buLPQ+3kv9yxKF7UZTLcMFYt6d7q5lhawSy66ZvqSMxH
FnOef84D6gEHeeDOpqeBhLAjbQ44b1ebfp5cp5jBQDquEDeaSmG+ngxlA37W57c/y1XoCIwGigmv
PCSorenxetPXpUyFrejogBNrB7iEeAgTpXmIW+h6Y+kVKZMq49Pbg/4pVF7sBYsOPJh4OsebVNfr
UdH2LVpLG7i0h1k5k5fXpAM07V8a6q13GaFkEtSIvT8uU2e9W/uielRQunw32EUe0crGXHSgTPrN
E8N6xIHdOQ4Wq76pXW0sx8t9ysNlrXlLLUBX7OZnrFjre5ks3f+z7lsTC+XmDTh/cdnkRu8MWed6
4BD0FR9CXWuCuExN8eDgdDlGudI3P7u80PqDvbVzy/1hUaL+g0oaQdfrpRd6KVoBPzHCsQ4NcI+u
wLp4UJjtHDJ43qh3w1KiGqMly4eyTo/oNnvDU+QguGSDm1f7be0TWQDV8QgurTFqBy8LlLysbksx
tnflopUPSPGMp54u7bktLf2gFbw3PE5NoMfgOW9M3Nezl5qdl1qXEQG6rvhMF9x4ZxmNytI7KHho
fR12Wtn7JJBzsDjqoW3ezv0OFZ7nDBLbjhEz85Xg7MF6mZutu+8sff2cu2WuhcO46s/QZpWaDFF0
v/N1Ttl4hfO1s1LzHquPWbtRjNVYbgcU7r/FsUmQUptZ8rwsaDEebJO9K4hSPsSVPzyeSzFdKQqQ
YhOha52J7tui5w60vVySh89GclRB3jly0M00FbEiNEWuXl4nWRZFJKQBOnZngeUM1r/2oo5f3751
dtae/AmmF+KVFGsuk40a2R5VURoeoGK1b6lOa59SOQxnNTYVNRi6/+wLTPN4Kw3TJUKl8yr6L4xB
tH9wxABE4pte62GDONUoqpu353UNWWEgtCUMHU1btDn1i0296mAg45zApdYGtN9KTdqo1qGA/E1x
B6V58ZC4+tHrJkwsHoLhu15mpkI91kSU2KmzFn20NjuSY9jZQK9+lP76pGVJ5uhL01GQHoU80xOI
3+sIQJ46NV4PArfrSsS2AMBqeclczCgvK82dUTsCLqgbLWY83swphjgZru2+03jtbcVtE+DAafgc
mSwY0oUi1ViXR/pUuxN26N+rW1WEh+31hNu8WwulBa7X8dw+ogAEPUY08V25lu7B47E3lE0fEGAl
5LerML8eVyGtCoR6Yw7Jv/0w0VHql+GzYzcf395bOyeTjQsWFnb0dmNv9+lfCbpmUUnLMFWKeqs3
oZAlzQcIbM4BlGznZDIGKbmH3up1eXh1UbS3BFHvmtbrZzUd8tvZS+bnjKVOgsIb7R9vT2vnGdi8
aSGy07PZ4ICvpzXkFdJ3ag00r8e/znfmLvtWLk6+/JMChHd8ExXW76soxw9LOfJETV5JTfLt37C3
a7fWEUIKBmHxlReQlvdO39WzE82pMX9DtD2+EaK1et+djBqxLFKAFGlIo15pSAhxj3nEeiddZT6i
oV41e0k0ttIS7/EmX36Z+Mg11h1zVK0IjDqpIqg6X7Pm4pRrKWa1bTm8l+OqBFYfNwfP8XXbiqEJ
1LY20YZwuyxaOO1aOnPS2ZHrtM56MiF6nzsDKQtfn2BBPjSx2QrfULoMuqoRf0wHJ/6Ye876JPsi
PjrCO8GwR2pO+swlAjrrYrfHpFhpWcZWpFei99OY7+PPOGKGdmZ7Z60V7Qm10/X72xth54whi4uG
GoAmGrXuRUTGhb4YaVfZUTXa37q1q+8xqUwPKjM7V8aG7GPTU4m6dmogrSxVCExWNGRivKvUBQhJ
LUf5Y9Vi+z+rAm5fFaAW3RdID97lfRznCb7MuaQenVdNVKOABmO+W0Ovn82D7sve4m3SCpDzuAf5
aq9PslArOy7txYqo4mDbUbXDWarWIQRne0IvEhaPoBV+FM/iJub0ephFrYw5lrkVrebSFSdXBYnp
YzeXf4i7rYPfrVr+MGZNXgTwr9OnscXzxq+XuYQzo1YQ7t7eM3ufE8Y8mkpb+fTK68Bzmr4vkd6O
dIiq9xOFpcafMWQuQnVyIbG+PdreIqOGgu8GTkjXpUVqleayur0dKbT3goFeUjChLvXfXzUSfDq9
QN2JQy5Pn7lo7lQ3jAJiFJakYc1BYXbyjC3LkejQ3vKBceU92wxzQA29/pwIBLZWWzOUi2+pX3rz
Enn54oVxIrSDL7W3dmxNblAgQQClt5/y1wuaZkJZW6DNkeoo1d3EeFhgLe3B2u08JuDQtuIf/YFN
gvriHHiUSlwPubFIzSrv17BIMw7idRhmf7WlFIGGZ9kvYiT75EEmL307beoiNEzA2wfR2PVjzi/Z
XJ8AUPKoX9Yg+4SOuZtpVuTgrvM4FQXos3mwk8lva6d60OWgH+UPe0NSVNqQ4dwFtGJfr7HdSwfZ
Y5vTgIXxLYa2Ocb3ePGek2ap7hZjPKrmXu8fygPws/mo6MaQxr8ekCL6VBlu5kQ4S05hXonkTD3J
OtUCq6m3z97uUBQkDNCoFI8vu8vGgi7WXFg2wA4I6U2llmhKqrySEDQPuBHbMr2+5JgVPR+iaXQK
IJ++nhURGI3mMrYjoxXOSY2X6SyH6buGxcCpAOTrO6kbBxXW3neqzI/dmDY40tX45H8Ixm0I/Ms4
RM0NJcUXxokWyxNgIBLxgrCBdg9Oqr/ROtguqyEa1FDiWt+09NL5aa3rI6zC3oJz123oWHpTV2ni
hIdybpmJE6m9Vp11XDcB2cnyVtPp17/9bXfqYJvrFF93g00TgV1cDmszu062UHrFjQ/hh572/88y
TyVJi6t8LDdBHsWqvBchFjtalhrBgxFdpoe1VOd74RrdzZhN+Qd4Vsu/b/8009Gvvwbb2+E4bR0s
8ubXu8HMXaaOGVgUF4k3fSf8as33s1VqyCoohtOdzdWGTOjENKcfsHsdsNCTigRehHwTzIl0FE7r
4/Oi9h+yApso+33bItXbPliFaRXPRPx9dgI2hovEJOB4+JNTdP9icuQ2v2VtD8m5Q7E/exjUOkec
26O7+9HKyAj8EWCge6c3UwJcSKrN+jUtvb4O7B7BfV+xPJljQmEk+XdAP90cToYcjRvFMSrtdnC1
wQg8dBXMIBXzGP/rwF6sQBws2TIFdLKT/LGfZpH4eTxZC7h92+I5Mpvxe2mjYX7GqhFznxQ5Vy1I
4NjLoHbHagiJb+lJ9I5I5bs01xFzKRWvL/1e5N3dKLM59jPMKhfAqXHd+/Zi6M/oQdBBEX235ncg
VbUqQKOpJ/ZsO8UFabRMP4TVTHaQ6emYhmo38l+KLE6fHb3pxrsi67QY45hO1U/wUjD06xNv7j8X
o1HpduhQHIeDMAstOdcm0LtTa+D4h/5LJpPcx1xtLb8Az3DbhyXPtPp+zi3ZnEVJSvBjbqpFDfrF
tKegXnQTSZJ6LEwf2Oks3qtlqyBHtK7ym+gsCDJYgJYvgwSH+0MzquYpaQpDDcfGqa05QvlWQ4lj
RLzQfCxlN6pBZxrLw2aaC5piGqwf6DdY8bNm91S7q7rtvlh2NxWh3liAxzRks2y/ahVd9Qsr1pdQ
b2t1Qmk51j83rZ3+1ozRI+LSl+Wh6pCXv7Fbtg+CHHH1nRaH0/lU64vUn9RU+0fGutK/w8V3QdxI
qwfjgT6P8WRN9joHxmrmv0bLTtrPaVKW8oZ68/wwuG1TPa88CekpSyw99zF5kb0/WPZyV+HRE5/n
tZk+O7z2Xih1Zf4AP9q6V9VC+exJ/g7MVUreYJjewSjT+GtDWmf5qohBf86DXJUcDnPtIAmfOeka
4D/aYASUxUlgmq3xLChyTPc4FAyJr0rm6BvVaMigNTpQ4Sn3yydnrofvQ++OeuhVOZ0LFbzOeF/E
ojJuCiUzxttsGuvfENPbOayHuvhReWPR+YVnwTxvSUfP62Bn3zNrGL5VjqZYvq2WbsFGn71PWZ+q
YM6pSo9+Mo3Le6VViAXzvM1630NjtfLRNsm0s4njl3dW6MeEnkIaHi5xTI81nRyNHC+r6mjIqQTf
FgYCJ/xIM3vMhYx/DbOrdaGmtcunEZnoNPTokTzDxqrqKbTFYjjvFy1GLMXI4tE6013Hx1KYbTqQ
nY2a+sXou4ynEspzcy88fDOVQNgDpC1jsjdgX2qBtKrbDY8oTIf8eu5TL0aeZbaI/EbDUD44Zls5
99Tbhk/VQJ/vO5LKKG1IWIPpoyZyzf685LK4JVhFjixr0h4Lt65c5uF+KeBdv3P0LBOPudU6TZBk
g4eAJVZYp0Tx5GPrqcsPgJrUwFzTySdM3TrzfZsWg/q8Ogi6cBUm6Kf3sjR/orM4FQFG5t5yh6af
Od3QiOwfFgoBtl+qNYCaBspc4WeTow7PWb6ApIynrgs99Luw0zK0CeSZyOsvc4YgzHk2x3W+mRJq
c89j25dPShMDFZjitphOIxWlhE1XSeuUmhliI02tYUgnWbEOaeyXviua+bOWwnA6JVwv79ZxQKuh
ahT1m9263TtDyQfTN/pe1aJubgbszilLSd8q3NXxXaS+n53FzEyMYKEGP2jtmibvsXYe/lmFwvkw
Elc8Cpu9fU55DwCLisINVBsD18DTpw4NKaNc7LC2OEhf0Cgp5DnZlBrvm1XLEOxIUIH/kir9oN2Y
Wi5e0lHWzplv63pPPPZyDOzUnt61cZMsGBRN8/zYSgcoWq9XzhAamVgLP+FwuH6Zyb7yzU5Ny8Bp
yqk7l4VuoyoAmnZ74rSxPBl6Xr0nINGas1XpIg+yZAL9NRW69XM0l0HzcZUoN+lfU/Mp5LF5ZQUE
zZFl82EB+fJDU8bst+MI47msXE3F57rOf2W9mH+phWPnYTslvePjkLGq4TxK84VKeQ4yFRMk3FPZ
f194kPsq9MZGfvW0Ln6Z7KW/b5Za/ouOzELXuJTjp4m8m3uiXobBR861+zLrKyYnSqms4lxWWv3J
Mfr2axtr2Qu1ZBREs6JsT908aBmrMrnfrIKasc//NyvCuqmaf22XvgBiYunURNpYNymkpVR917hK
0UW1nLMnNEyQ1SqwGoz9YfLsNEAoOf1UUlF0SErY1UGuOlUbDcA/85C+ty0fhsa2vqRAgmKUMkdH
9VPRLv+ikgXEujBR2nVzZ3gUUBdQSROWCscF+akHs6zbwsfuNG2+GHIQYTz13GdWgReAnw1DzycD
Hvi++h9p59EkJ9Kt4V9EBN5sizJdtJEfSbMhJM18eEhcYn79fdBKRRFN9NzdREijLMjk5DGvYd7C
lBPCEY4bZZr8mkU4myeKiiQ6m53Z/i2jShNfx9Et/mK2OCh41FaoEJVWTKSdBxw1r/0k4qsbxVil
oVro/T3ISfwyrd40T4SiQv0+ybG2zmETas2ZZE41T10tyhfdKZrvKLQWXPKD3sGJb/Rv9BO62beM
tgcUL6lfDpXOv3cR1ZTYR8Tigb0cOkQY3cBJ597ANLiVzQEpwCTh7vFy84B/bvlhmKPRovVd5L0f
tiqeTlCJvtkUexmagUP4GclrhnnuVLfNe1JInfslTwSGGl7qVcdJUeZfpSNVC+VQq4+ODRAFakcH
TfRg7HQX2rkbT9ppVPJRvejSah5aJKetI6RQGT/lujN/bGRVmxcdL0gcs9R5/KvJwVP6fac7vR+7
XoaHSFZTcGcN0FygSFaWXsgXxMtY9/P0YHUO128WhTOUsJin9MDVfiyqZNBw2hrCFFl+o1BiH6rq
bP9TdggxfX097b1vhYI1WfpjMBkd2rKrpBeFh0Iz40y7Fk5hXjMof8OxU7NGPRjA6p0DIjnRY2u0
6VPaO1q9U4BtlB4L5RgODc1w527ubwElzLnRNPQYvCVJi5L3KLAjWmanewZnG0sBXqTX6xg0zeht
3Wb3BOQiVzpicdiSCUTkUb4Thu0D0i/l6fV3et8BoYwy+biRy6a7vK5gK0ONqniorWsJQfQUapSx
0VBEH15fZaMHQO8aLSE0HGGhrCe7VVf0al8N1hUMsTIfVKsXf43EpE9GODRnO1SjX68vuPUGFwnc
ZZINUWldrUoTmdgh9wBkkleeNNnpT0PpLB5KmbHTUtk4lXCJAemgzc2caw2XGCUO0jp8A0JPpdWn
2U7cU4hDTvnQhUp7wSDLzbHkGkruRqHF3c7y9692GU8sJ5LOgEET6/asFFm7aMNWAEJRPEZfIwkf
9RxsrelhVAS1atrp6VL+btSecDfpBmrL0GndnytI82cJuRDJkFj5IUY7DA+q4Fcc7LkxEIRtEN/z
ofdJ6duFq86HrG3bJ8SoVXBZWDYUpynCj/06el6c8btT94eOIHYD7zs20oMZqbI+Nip3KleFUSG5
V6veD9Q85sQHfVJZx9zJIL41pt59NSOpjF+HsobaKczS+ibVzCRQKUkGsHkW9mNbhSRtaoFGx9lU
CqxW56ZDTq2WYZhQDIhEQQjQ68KAfyWcH4W5RHoye605xoLJDN4i7eC+C8GdTB/b2nEXDZhCuJex
zuP3jVAn8+9GM0a8wnLdUh5IKLXIR+MQx09svro2OubCU4qDinNxeLGjZqA4CrX2I2ZAVYZ6IZ5O
+UtaaP34ANRCR2guKUfGLHWh2L6qdmF/NBMDgWA3VRXtQht5zI5SiSz7nHijVh5Jgsr+r1TaSGbW
o0PKHel6Kl6krSV2AJuhTr84FiU+7O86Sx4xtK/FyREmKrKxAloLCTPoH19MSvh38wjG3k/tzuh9
0acYYEVGBujXbsE30POZ1Pdj4cr8GTi39Wm2PAT/Yg878xNGa1px0ryoEsfRlimgcoYD5oOQ1fxj
HGftr3AoGq7iQojoCcGGtoTwxETlYBZV0cL5L5LmAo6vft97C3QrmWEHkCfp4/IXR6M56Y4yYf5N
sztGBE+ZXaaAkVBOnVxk+hxTDvQqeitt/VJ47QfFcAtuBu6x7qx0Ne/Az6rJ+FwKO8dZrfBsJB27
rM/rlyJM6uZ/6dyUX5HztCkfLHNyHxPNjZ7swo5RpkxF1vsgd8KghpWYnLxScY0z7kJV+1QMems9
TAoa43BEtOIvr8RjFhqHbvEdAAL4KofeDoQYde/STlr6mBNop6DLrQZCeYKa8mUo0Hs+drabf+sT
7KBxfpNmfMjHzPjUW8L7TpmTfhq9Wn+MGEQqfh9bRf4kXFCyh6YqFe8hp9R7zs0JUdwhm530IZ89
tPHajEHBuctTEocCMHJ11PBeFQc+VXU4dLXuvmRxyoeTl2XcHlq8P4Rvy6L6YZqzwv9T594vMyri
ge8GuZQTyZbKPDKKoKd0RqzNyGzUqXXECF5+7FVcbZ7UHLIsVkdT+NUsirnwAeol38gRndy3c2v+
7NEW/5+ca3U+1VE+fs7mUfToeIxqdwoVY/k30zHJzlkj7Y/R3C2MDdXpaAQhTPwiZF5XDD4t4x9K
gFl5ngav/zSU/UJcKz1FPaHoWWfQeCbHuYRun9DuKbAuOFdgNf5VcltMMFwACh6kURiLEKM1fbQn
pS79mB6jfjCSuS+uniibS9IWnud3WjxXvjp5keqTwhco+ScA1fzBQ//1QMmFI/3s9UZ1iBUjPCU4
WXoHVbHr7ExFZ1DducAfZqyvz8YQ90w3MAR+7HXZpz6DBziZeicYaTtVN3yWSeMuavR6+zltKkc/
AitAW1GzqL6YPOX9YR7z+luEZ55+wbF5PIapFOahZooT+x3CcUiyIzB+KtBO7P1sAt10HfXISQ64
4abvqbltPJb6uNm5Iu5zCrQK8cGkUw2Ui1vi9krKtUFVJS2+K8RyjASzsD3qMvL2+rPLP3PbkWYZ
AFtcevTemUzdLqM5JUVJnZpXkLF9ehistn3nlWmJz0E2lP8yVS/fTW1pXbJY0fDMs1NhL+biOjRf
I/3+esJxnwUAnkXqWEXYgNR0/cyI+BapQw/k6jEme/JC6lNF1/uAvp/zgRZf6s+51x9cxA4ur6+8
lQAAmfuNONmYzHV53epO2xrXttHdD2M/atQYU3E2e7d8GbRQ2ZmZbT6pDvkbmBYU3nVqZcbugARb
bVyXVO9QeV11dGsjOedh9XfoFfY3SqSCXmUjz68/6H1Oh3gXCd0CNIdqs56iKamElIgIwxUVIIx6
Uqs/jnrm0tVSp52l7lMclqJ9hcwtvA3EAW+PFq2NLE2tyLgCd5iPedFGzx3B7F2ENsY5Mxh5StvZ
IyxvfDYgSZdslb4+kP3lxf8xjJT21Fb9nKrXzqzrq9eHv6xJjXby/Y3TAg2F17dYkaBhuprGCRlX
yEHn6nXUOhvDzX4ofqKQ1T134ezVp9ZNrB1G68a2cVoWJQ7QtNCjVu8ysfvW8pBtQsiYCKoimhmM
Vpmce8Xdk/O+n5HpBnwlCEvkwTR7V0ulKGVI3KS0q+JV82lubP0n8KjwAqfNDBo0nHzqu+aUG+jl
6li87kSkjXcL0d52SY2BbGP1cbuBSZwh+8u45oqtcX9qJBDezE5D0tI59fvB/A8fBLiUJQ1nSWa6
y5v/48AUuMRGRafOV4k3kC/mrLow3JVXy5L5DgjsXhQW8ACHc4He8IIJ67drNRaWIlZvq9cirPiy
VcVpf7QSluhBw8Hvl5ePPG2UGqU4pKmnpD4l39jBFG20l76rM6iOjiqrQzN65ZuLS34aVSVKL8uI
ff0azLpr7Z7c64r8j/WxMYzppybHNDsOrjB/CY3GyU7NtWzk6uYh0oOLsgj6C1L49mXUOSw/28kg
ZYC2uEoVIftpRvDWtUQfmLPp+j201TdGP8D4FOhQG8EmM9xeRQfI2wW4wiy8ZlOSnxt8NZ6MdNTO
i93PDhzpLhAtSy1eKFSzKG+sOZTFXIXSGxLo2Y4anyzAtycFYM3OA919LaziLBxwBICIC2sNmnEq
QwYCtULvEM+TGFLwg1S1DNOOJjyKOf319veHVw2vDiQqMJnlof/4WDzk76q8clA1tkfTVxk8PIgS
5o4us3wn4t0dj+XJYCote0UatA7kKAqSgkWRclWmBGwxDSnlYNqNeJLtbDHImWPNYFAWz3+9/oib
63romAA9WqioqyMCyzXsoG4gbgaK59LQwgxcZ4oew9TVmN8aNAvbXVbbb7zYzcfA03IlI+UBSwmB
tNWqscCQXsOGPAgZIJunRFSu6SexR0o2uSUCavAC+6B3I+rj1CBW9JBZfrlOja0N5skh0jxU7MrR
rhqaFR3mitmhB8lX+XXTTP3JjfPhwzR7Cm4RTTYOBw3wSApdUKQ/DMsY0cKntkjOsIrab6HAR5oW
pN18Vzu8It+3npRXGteh9gBvxHV8iehItBMPlkdcvwJYA3TQmBOQiy7T+j/OlqPEIqmFILtW4ooR
8uhkT/UkvDOFty4ORdxW1xiG/c/REsnl9U3f+liBy7rkRWRjXLO3a+cWtu8lw4UrsiPJqa+N7lIk
9DVeX2XrY104T8Dzaapx39yuUhUo4qsDYjVKneYPltqoOEtBfwqF1R/iysh2mq33kClO1Z8Lrk5V
I+K8xyowvLZOZaOI2xa+Uc3Ru2jE0of/8g7mpMRHqlXES0KtQkEMbeP/8NAOX7K29GJB3tw+tIgd
UU84yRIyRP1uVLzmnMyR7iu1AYveq/a0ze8yJQyhgfGBcYVMCedidccqoIZkbFjhVS0l41BpQrXD
R/AEiHIPM3kfKm6W0lePVqVYgngpqmXCdcqfc0Fr35t610dt23hpa49MCZ+tnaN6l57xfMDAwNOB
KiYIr/aUCWWDHjl7OqY67zOk0FWxjTi5SZjLQ2631YcsQq/Tg151ZHY07+zn1vsl+hvaUi6CY1w+
pT8+06y13Hmk3g0Mo4jfxeNcPrl9LWB4YUcV7pzgzcVQPAMrSep0dwm0jPV0ZS7jgE5l/mKEbQdA
Mxzf51WX7tzXW0shCQAkaqmCif+3zzWacLlTZk7BaHviSDtVQKP29FObmflOpNtaymQCY/0WtMDb
53YptSmFGnV4WSdTojxOmpL/0xqyOzqTsUcevw85qNJYGup9sHRwf1v+/I/dyiGTTlw7mKKp9IRa
bgvLGKJzFg4ZyAN3Pr3+sf+u0G+DOOshCWqgiEiFtFYCa9p0SqLBTgIKX/ezbMrwMM4h/mG0jE+y
71FuaW3j3KfRdIzoLj8J0WP9kWnGjnDh/W1CDwGvQCompAnuOvp2DlZYSH5ICLz9vVdZDN9t1OQM
Wm6+OaLgkdQ0k+tSWjuZtHYHK+ML/XPp1fYqZZZbsp+yoJ5VFWGQvhWddQKynT3PyC7VB0EPXh4Y
XGH5XWiNEfQwxkTQ56F6brmYO95eDfJtZ2/uwIf8LiS8oH9bhJA7rcqxR3ZaAm0K9HKKYUG39qVT
5uScyhGBtiIXj4Zs02MnpcumNfElrYa9pH/r6HMXIKbCrOdeT7I1tVZXOCNB1lmOH5aN+l3r+44R
R2rs7MPW0WeAAvGEK1C/M4GQakQjHBnIIBPzV6+IStV39QhBolY4n0q0/3YCyMZtiyIi4FwIPpw3
Omq335oRm7ImcYyDMO3zsx5raFImU2EceggIx8oIGcM3xK0K5Mo7q0ZlVcZes9NY2npqMhnQrQil
aZAtbn9Emzlu2Ub429JHdv9Wm85+Jyc41bCB2keTDG6PRrm5IO8XQgmOHkjh3y7oaGka5gzacbjj
aFmgdz9OSlo8OoMSf8hhs+0c461Ll0LHRu+XAuvOO6mi4WsIN02Coq+Qwh+G0ZflyDyq7NMJMToZ
HpvUND6+/vFsPiVEcr5rBtecp9unjCMy/1RGSdB4cvw+Asc6lEqcvgwWvWk9SvZ0ZbdueQaihC5c
iiEKrGKIXjeA4Eo3Dpzang85ch0XrZDfJxt+ixcWDOVolPgT+nYHRgP/vP6wWyeZ5pbmIBJBqLjz
h7FkBXTYq5ZqRC26wzKPGs8a+HvukM6ez4XU+kBvdOccyWx4hrtifCzlHDvX13/I8pSr24S+APMN
JsNcK+vby66tMc7HPgpyBvyH3LXjT2JQ9kDhm6tQZTJSR13GXRe1NPBRxUC7KZiS2vgH9MKXuhzN
r68/yu+8bP0sdLOIer/b7GsJSWOwLaCtaNKppTID9/QWg+tkTkDJqELgRbXQc1U3dr7x5ULdHKcR
BEkp8YM65GBdQf3G4dwcJo/DeNBK0SOeYY9Veczi2uqOfSmxaxirLFP2LnVjYxsMUNwEUZ2kYJ0a
5eTZXlJolOK2CaZJGeL5KR3j1r2gvGaqDyl9WEi5tt59iwpVWgBpRvVRCzPxI+r68MlGGqs4kgtU
404mtfFZokoMnRpiMJTUdboxwLnLS0vBBkaJhvNYd8Y5xv3uHz2v1A9jOXc70XXrqJC5QPlYJveY
OtyGAY6Ko8iED0PHST5ghGmWhx7X6/evH5bfeIP1YeGOpBWA1i+3ySrcuAplGbqVUQD/KncPg27E
P2Lw3F/aWa85CeixaT5motEPHZDO+KyAGnow+7KR/gxEoH0xpipzTjoDw8HHkHn8HjsAf4FD64Cu
HSt3m4OryOlbYxTOz0amnXrRRr74o+2mdXEI56L4VLkhkG6QbZPbPQwM071T1Vct5owYR7uHWcWO
+zyMDOjB1LgIVkxmVT3ix+NFh0Fq2adyghb0rMZpLxBO7aPmouti+BtJojb7XxfjKH9oEVBzTq0g
RTrpvV5Hn3be5MbRJf/VTTJSunDrVNvR6efOU4entgrMS609+2Vo2/Lh9VU27iSIYwRMohXNsXWc
kl5S6a6LUrJAXeIRTnz9aJdJCzE6K17wC/7iVaH27fU1NzIpyiJqFXgkKrpiq6PYSQGks+LoT6kn
/LEwi2uNajsErznZCQBbXxlnHZGS30S8deji0k9zRsNI9tTVL+G5kj3Npk+JOXvvwsgr+7d/1VCk
6RksFyCKLasSdwrdCPJhgah/aExYHjeI/J/rHHHBQ6QYzehjkKymX15/nxsPyaWGLfDCT6W3t3qf
GkLi9dSjGtIlinaaB/0nCHXgGkAhLwUk3p1IsrF9iE+jBQHjksC61tWtnaTFUhRF4b6BInMYoyV6
87eZg1eJke7s4Ebcwn6Jzi335O/c8DZuRaYhIrVeHBuqukPvZmEgEVR2qvWNV4hCAc5VIOHoTNwl
wCa26cJGEL1RkT0+1zrdiU/24MWYlnnNXJ1EU0X28fV923iRvz09qDVp1wLfun20KZVWq+hIo9eD
WR9dOSvnTICZySh2d97ixlLQ2SHTM87EhH6twp63Uwq0SsNiopbV2aF8fZbCQGW0zncDl76xZUua
S/GC4CXJ9eojQEcT0aLZyAOnSDwkTJEb9Xx7Vi15YDTVMISnjPzV9E7ydwIeAyQ385oMY9Xc/JfB
a/1MxBXoxDWqWZ5EpufsexS7Z9A42l9qT2IN3GghcnhVj6unMnQtEx9d/cdwIwD3aZUOn1wAucnO
wd96LpIsFCLA28HYWNUL5ghPKBqVLBCJ1xxtvq9j6FZiJyJvreIy50EijuYHReDtqTC5iawRIZ7A
Muf8QQwuYGBj2uuFba0CDZwBNwkq6cdyL/zRXZkiLUpcQ+awY0T3lOCk6rdVN+4cu71VViehr1kG
WFQeJBbi/8Zox2fdrtWdVbYO9xKO0PzE2Ro46+2zYKiH/C12kAH4bgUJHPpFKGZXZ1Odu504sfzg
2+xmmTMSZTGwYDa23hx8Hsa2ndMs0MIoaXyqieYUAnL8KEHORkeURZ1zqasPhpO9WSSA1jvXJtMS
air04FanzyMvtNXRzIK5NMvAigASGaacAuB7007xsvWUIDsYYCG3R7dvtW1xXRclVXceIH3QFZe4
Tdv+3DhgnoGHYXn/S3ekZoLZM0IEqSYss18PjJvrowwPK5tMEhbR7YYmTTZots5b7oRVPprzEL3Q
P1WBYVrxQxGP6QvGs+oZD9g9Aa77o8RL9gDTkhQx3F1fpZ2O8BfObqw8I1vH5F51f1p4NEcHVxd7
5/b+66BC5vODW8qSd3kQasl53+aYjyOlgiFxOMVPeOn2l9df5n2GB4YFSVriFsrlEFVuXyYj+YE5
b4nFeYKHkz/Eo1UcVRjn1UGGNbG1jrvw2abxsjc02mipsjRSZgjH0LZjQ2+XbtSo7FsjK4LKLKcv
AAfG5zxPbfVURFr5K+4s+aFrS+c4ZhY8OEOJEJEs8woCvDtkewXQ1tbStlvk3Jbukr2KqxEeaGkS
hzm9TfG5jgvnGluxfsQnPP789jcOAG/xdVrywHXHxagnvevtuAjwksuvElrZh0kZ+4OHVuTnBpnT
s4Nv0c7QeaPzgbQAKj3LIGDRz13tcytrerdFVASlrMR5siPlWGnW+H6g03zsHf0fiJ3eJWu63s/z
tkRh19lTON060Ow0J42+yVK33O53ogxhks9OFjQ0yC997Ro+ylfeTrjffFJQCZg/od1wP3FWTDfS
1NDKgtFr8g8GSHNAlvroQajSxMJunobpqYKlcnLtpKigFNrDl1kPQai/vtH3WSNJG/phvHGo4nfR
ItSHzuy1LA8gS4M2F4Yz/BQZXOxDPYwRurbZf/mYmZ4RlAFvLWOs2zfc9CDFe/KCANNvE8EbLtfH
oWXo72cDUjGHPltYiY0uG2vnWbf29s+Vlz//I2Gg/a3VVpvmgVsp84s51HYAF7zZ6XxvrkK1S4uC
OR3E+9tVwDmLqECyH6SCZ5UByDyIRWES9Xvo0c2tA3SCHLKqYgm3+lpidaDa8LjiQlOvz0CITSv5
qfee7qOII3aqwo0QTDQgDtKDXUrDVejpO3WMnMyART6Ayv/MnCT7qifS1t9lthNerDivrqoK+P/N
x3ORr0JHC+gWeMnVlnXmZDKltpIgb3sEIeRMdeCHKS2wRM/aR73s5fvXV7zv/ToAn+j6EvVJ/9fI
IYyYJL4c9JqhedBdPwz1oNdPrtIp7alwAYbPqi6Nc10meYw0GrfPuRiizvz8+s/Y2FzEyuhb0BVd
CAarzZVtoWcsDV0CC7NnTKiro9AbibFNFT3FTr8nJb4xN+O5kSfWaJLacOhWgU8SEBmNSBZc5Ezy
OBRHmUzmU+PO3aVx7PoIs67xm0lvocmiLt6X2WOmRNp30jq5s+1bp225d0FXLeCt9a2beGlvmjR2
girO6GjmPaSXs9V601914yZH2ZstmHYt2tPtWR5ylRsDe6Lxh8Y1QKt17yMaxiHM4EkEURQWR3Mu
F4uIM3wQy07kk+y890bqlDvX3kbAIElFZ2npDVA0rc44QCEQDNJjVKaGzskWnfPizdWee+tG7rCo
HqHoB4ltUWi9DUuxpxcehVISpJaS+NgpNudZm8LjVCDH9vrZ3VoK7OhyihY3sXVLvwTQUjlzmQYe
hFbbr7tmloes88Ic3oa5xzTc+lLQzIK1RoN/8aC7fbBawRe8jZV0ER3rIe6DbukAEDxg//MT6s1e
1bm5HIAIlHtJVLi9b5eLUqRIkkZPA70t6itjbiStB6O9UiKiaBda7U7uu/UyacIt7Wgq9jtEHBxs
1BYU1pNICQQxmuho55besUJK7PT2fSO7Bg1KnKc7sHqTuTZOSjJqaaAUJCViLvVTNrba184I6+Pr
S92feeSxQDpzOohvSNDdvsUWFREvFWMWhLB2r0vledI7DIxfX2UjzWIZxH4WUMRGzwjTPJuDr7NM
4+U+FPrsspQzJ+FF7iXODfd97cn64sxJeoCzY8I2bN7sm2Asv2FRrKOy1+4q0THtxl6dyCgtq+fA
EMUfRjRSniCn6/4gMKA5EM+rQ6JE0WmcIAG//hLuYxrrW+QiDMepQ9ftcbWLbMRNXPIRHamGg203
j5nbNqeI+R4gXzhCUszTh87JkvPrK29uMh8mLTQ4lpzH203utLZvUrfg7Rdxd5rTpLq0pWm8+dT+
bowzLV2AJvgz3q6CBHQJRarl+WIl9BcDDjTUNecYtc2beSNspaaiH0WrE2TD+tRyjLFk6QRLhV31
MDhOd+4sPJMcPDhwOh3VMyjK4Wx1rbXnqnqPXl/Wps7WqcrQF15XZG1tdppCGyOoZYnQQ2Wmvwpp
gf5dJhHyQmsysS55rCTPTN5E/eB1TnLiIuiPKDYkn9s5BmvSNm9v6fCzFjb7YnJ4j/OIDClLxbDI
CyO7nkBupeFHyGFje1SaBtDw208UPoDAx/FQcOz1iRojAW02Ixhi2QC0Y5gi93Ptdu2eivjWN8MM
2AQQixXO3ZWcoMzdzagtUvX3UAXSSmRfXKnP8tpj/fcIGZzaHjtx2HxYooQ7FcRvQeXbNISXyqdK
EsLxZUhxe6RhgOaiQ2AnwKShzj7q6MR0DOuiOTpqOtTkr8UopBWjwZwMvIV00BGgAclmHHRtooZM
XCRrfAXF9Qp9CZCBx9Fq3RYe5dx+60Zd4H7TC/nQTlNon7HxGJMH+G5GiNqVGe+xy+9vMIbWQG5d
yiHO7rq3aTlJWCAGmAaNqhdBkY3jsXOt/KGbjb3zsRnwwY7zmcDbowW2bOwfJZ4eIlLSSpkGMWCq
d5U0jRwKZJWfJgFDE5Ga8dlFEQa3z6T41+2gglpa83ZbTB54mdhxhWLJsn7gFCOlyLIGAAVR172M
s1R8pyicnbi3FV3JUQ0Mncl87polaR7HZYeGGm+0hjDjNMoD9GF3r0GwtXusgfo3m4eM7OqNQpOX
lWZPTFcbzT7GsIr9tsNj2csjZ0et9z61ogEBMs6EDmQt1c/t5hG0B6wkB7KcWXTPWqdr19ykZTlK
TR5nw53+S3oAVpKpGX0uujir7wxVO8SmjYTqcjbUn6ZiTtj4OaU0H3OomdqxoRleI9+JufDBK7PK
eZ/0pftOzTpMR1+PbFuvGenTpc1JQnRXedCzjRQXUm4QY+t5dM0mDGJ0iM9p8XbFR24SlJAhXC3f
yR2gxARFgn0zsN4KrKA8olrfas+DmFw/1CRz39cfbGtTqStpnbKh9yCRuIhJdJSMkqqzSn8E0vQY
pWAPvCQ0fwHC3IP3boYA8CGLWMfSJ113KnRRoWFq8CbtcNDzg4hwhDM6FM4ephZAgj9UdA9CR0Sf
pzJO65MIm+ghG4Wx15/Z2FIAZEvzH9UQk/zr9ji3vJXBSC3qumEe/UKb8ScEbpU+yHKod66MzbUI
rtQHjGIZs9yupec9Wx2FcQC8WX+wvbQ5eQ4OuJkGCeX1Dd2IO4x66TexCiP09fuNhsaMMf7m+FQz
+khFK84hqjU7q2zdgb+ppC7dGK7C39v8RyQ3kM5DUQKkux21vXlAI238paWR9jfAJvcFBd8KcbUh
1MvHvpKCy9Bg4v0D5YLUO+WxIb5ghaH2J7NWqocKRSa0BAQWT9oBna7cPWnmIFs/pfJG7Chxce2E
bOycTPQFvbd/2kBgKIapvRHoXWduZoWcmlkxc1VsI/Ot2tUOeRFlDxkCAjsRbeNjYylCJ9cOGNR1
36SQCRpPQ5JjSDkRQZW+c/0GOtL3BOPIs2GGk7bzeW8dPDg1kIZIiQkry2n5Y5vibtbnqSD7hq07
Pfet6V5qJequjPS8nXJiIynTGP3TfCTZpJpa3URiqmYJrY8p0CJcpJReep2bzK4uvHzzGcqcEzDX
rM+ih2e4s4dbh54iZrFe4Ju+K6LGKAW6UbB2gmbXaQKMeeqspNt5wq2XCR0Wjwd2kI7Q6mVWhtTC
bpmmeXVR2yh1uVagD0r6PxvJyJ2+wtZRWSA3wPdost0hATQlTVO97fIgLez0hPyneByV6KOAfnws
HXfYYd9uLQeMYkndF/nm9VU7JB2Ue+B0Aepu5rHltvkrQibmoJgyuxSGtTfA2nqVtIzJwVBOYrC+
OixWkjkNllx5MBedhqLHEB45kuWxNJS3j4xcwjvjzyVXv8fAUK8gqwVKK1Axn37UhKxPaVTsDZQ3
HwhqMEMTQFJQCW4/NODVfW+6tLm6KXL8kd7sC66E5mFWzObL6xH+vvvKA0HFgQlOz/2uVZjJCnSU
yLPARaLurBAXmYHF7jugs8UFHaTsmteh+uYuKIsiaEG+TJxky26frwTBV9dRRiCpSZWtSJPcZeKf
159s6xRCSqEvSabF2Gt58j+i1ViIqdGhzAYGKF5M4xvEH1CAjybUmhRkCv9/q63OoFmXLddCT+uu
SqwnkRc/0jrL3nd8er5op+z0+nJbJwQwG7k6bR5clVbLefoErwKf42CS8Ax6IAe+EsM+jSq+gNeX
2nyPgJKB6iFgcpdCei7gvHTkMJqK4p0TQ88f9DZCbihN1FMTI+z9+nrL4V4VxMu5R4sQlPE97c7Q
Z88pXRovXqblZ1J5EYRKljy8vsrWCyR3wnF40dG/y2yE2aLU1FdZYLvSO1nQcE8TncqHqNeb/7BX
TBioUBm3kCSu9sqlZZwPeIUFUaonZ1RSY+OoYHJ9GkBBFjuLbe0W2ni8PFoJBPxVXVVFs9MgqIog
Z6xCUtTiwU+cpgzUmXnd4vSwc1luxY/F5BL5CsQW7i5LUCcwT0qusckryi9N0bX4g1bJORGt+kXF
+PqkJ6j5vL55G4uSJHLDUAmze+ssi3NYNNnSJ+cFtEGVx1NxQPKzw3iui3xbKezJ75v2239YlRjp
LVOV+5Y5El5wTB3EtdtSOseECvqSMyI6503sPDq9Vp7nudLefk4B90CVBFK99OpX+ymkN0uRNiyK
Sc1LX87xRxzfs2OBENQOWGzjk6DupxsFv4jaYt081p0YEb4wSgME2TT3HNp5/S7KQE5eK5vSZmcP
Nw4q8WTBfsCK5DJYVTEIO9W5EYfU48iQ/F3HdXiRfd1erGRQUMKu82Hn0tk6NAwhKNEWrvYd7JiX
OKPxNzLMUVLFTxJP+roZRw9GrMszcpINeu1IrL1+ZpZvexXMlnJgGev+TohW26fXbi/tsEqCutTE
e0cbXyhjUcFznNp34jq5TFE5Iq7X/oecaFmT8gBNzvu+lFY2yKu7bGajRC3yJpqJvn4xwGKSth3+
h71cQOu0/Ynbd+2pSSdlqHI1CQy7QjGyTqEZ+MIQMc2wCkrVe4RXij0zi417gguQe91mL2EDrsJq
2NXFkvFCh1tmLTbydc9utIuw21oF9UgKLDI+YvhqA1MbNe4e2/KgLixxzKal3SjknqzpBvSM742R
Hy4JCwlr/TBplA/CchYgn0YS4Uvqvm9eLZT3DZ9h6meoVpSHtqzRq9FgAh2jCDXL45wANFGRQ9rp
MGz/nAWcugB7aU2vPk4GI8gbolUbTAZYj0hWhV+WsnjS5tL+KrRKfMMesD+kOLs+oKIdH9F9756j
sYp2wt/2L6GzqlK2bFDGYm/M+XI1Cuo8sxp/QvP7yUqVhCNt517QhlH30miNeZ4qa3o3iFh9jpsp
cQ/W3L2d5wpIQ/U4DsyfFyG324zSi2N7Lit6vU0W/8rRnKFqS9tDWXv6BTXneid2bB09si4iP2H/
Hicc5S0QFMsmpdTS+aPl1Nm7GKjCzre7EfUxUEaLw0DF4R7VifiGPUWTEQWAz4ZTa7i/phY9TlJl
sXO/bMRCGP8ECT6jhbe9PO8fCTnOK+7o4IaNJ28lfiDrn47XwkU5HpMdPEfbGGF+OjvxcOrd0VYu
b47E0CXo/cLKJlStB97R7CJpSLsiUOi9MgAGbpPWbXXWmjF+yGrTvjR2gZwPgWxnH7feMG1IZvoE
Yu7WVaDqo0ibpryg1a1m0yl1FPcYO2F2oVNV7WR/94CmBTwAPAIqPiFxfUJRciEKt0MUZHPbBSix
oqy9aISjCDd+dhyssMrKnC5OPBhIzNra21mCFODLJcCNQ2BeZ59hmw6jXLZ4ktkJhsp8nrsZnk3X
ov1exzsvduNG/z/OzmNJTmVbw09EBN5MKcq2lTcTQmYL713C098P3YmKIoroswea7c4CMlcu8xsi
Jj8T6gFt3mUZaVlTEYQK7sp57KDGJBn9o21hoVLL9eglzG334SAHH+/voxXG4MyAtCCMkAPSvl9E
gYbMuwhSbgS8YmKxnwKLqbA5mVm2n6qiyt0etNiAU1RSKPCGB/N9bLQhFHzD9HuMgEvli6IE1R6y
5fBHHsK08tQkbeBaIZ+Ld4gfpPCs1SrCTYT22LGfRPAuUkSLcRJymw9+kSBEjyxHEB/auim+Ih6t
jEdqKXRpGcK3PxgXVeGBYVf9WWhTpPPRbRF6Y+pE9ik3zDHyMiUoXnPogZ3XNa2T/qI9TnGHlgNC
dG2nBycMtwLli6q248eMIfcWUmIlGGDdBTWF8S4vcznJT4pMgeAYhRcj9atjJvzg0Hd4l6B8G/8X
lwxkkKQOIeNE8saVsrJroCPMtnBM91XSsuswFPpKVecDQy61DItLrZSwNzEYekfXA32MPqh3aZNs
YedXDib5Ozx6JKhBOy9z6yqVtalzYEdmXVDuHTyXvCRq8y+VqqWo9KTlUQR5v2ss8Ge9KLbsileu
EroFDiwBYEwzeOL6mQurjxNooSRoaOGem8iKDnI61RtKIGur0GkBxEcew9RpEeDLTIy2MybziK0v
sKawxx6l51xstBfXl2EcMbcjYJwuU7Jm4noIQS8aw5RnbjYG2Y88LJKN6LJSoKBtRMAmoP3NMK/f
WTDr1LDzo0sZOsYTniQOqroaxlQIJnjFMG3Ns1cfi2QW/RhIO2yS6/W0YWh9JyeJzlsJG2W7TT/g
mr01a1lfxWEOijsp+3HxjcwIBayAq55+n2JGXjDKxi7AkEN9e1phcNMD/AalB5118ZEsxC0VkEiI
Fw34Crs9noH9rrAaaMuDBMh9IyjzbhZlFnJmjN+AkJJaLKvksMBQLavAzKV5Jrl1CSI7rDeFBtdi
FiwbWMCkZaBSFs9ktl1XViCQLnqgSc8cJ8uLEXd7nOwECWpLWB4RJd8pitgyzVxJIZhbc9GB6jIA
JC5i1iQ5cMUSYKPKxABzLOR0F09S9w7W4Nf7b3J9pRkVDCeDUeZiFw6hrYk6y6JLYJb9t8JAMbOB
QftRAJTe+GhrBwzWJX1gchWHmdH1ho+dHtvDduKh7II5RO1cWhWLUxPb5jZsv9x/rtXF+Gb0g+dt
v8wVINzbkpbo4WXogvbJMaLQxeTBPpRjou4F72JjVrZyzubHwiF3Nq2FNXX9cNGkq+mgFUjUZPF4
IJEYzxNcUu/+U618LVYhnyV3gwm23BdRmw5iVER46dRoehFoi3sm08DHrhm2UJwrm98EY0NmyQm7
TbZMnLRRvGFGy6DF0S+xjJGVZ05dfcKnx8HqhRbnsWaTfnaqydwI+WvPCXQU0gYzJerSxVbJtUIJ
LSUNL5jg1omHKr/ywY+HuPTkUN1SU16rOcETgExhyklTc3kGpDTwc7My80uKhuFeGTXfS2SRukjB
S4feUv1TpDgfKRR1/AHxAKpos3p2l2wcxZUtC3GTXzE3OBgVLo4i8rCVX6MifUnVIjjnKOHsBFh1
/KEckrQ+3spRVr7wTCKcA9yMMVo+tioXkl5FVn4ZNCHXSItE4VdZSGrjWYo/krlE5kuThLMHBfSs
+xt55bgA8gM6AlaF8dryuqjsgcvc17NLkwHx4wP7xmuAdv6WhtJK8gc4jbwP4L81y59fH0s1m1pD
gqV5SYceU8ahhxrLfbzPG0B+VYgucVM32el/eDg6jmB+EDq9KXyDuEQPDWvAi+7LzUOm19m5HvBx
vL/K2qNRk8CCpQ0H3mf+vP+U1+BQ9TKRxvzCZMj41fSTevIVK/nmlAUC/32AlJPXDckWZn3ty80j
ZRojBuDjJQUVmArwRT/M6Yon3T6prQjRTXXYgIutBAAmPdAMmAgh4bDsj/k0vqEepZjFamUhu8B4
tG913BQ9pnkBnc37r3LlJNCQ5uTRm1bMW8mIlgytl3xOgm863cm2huaJaUv/tXGUMPcsDejkroul
TgF/OYrCON5ffw0AzA+ACMXokoJhWaPovpKwa2ymOJOAnDJ1eiK74MTqH1gMxtiAV0Y5nXrCRuji
LZP9xss2+zyFjfhZtRhs0VtuA8WV4Fr7G+9m5UtwY3OEZv+lFchVA7wcAVJ+WoCWqhzY48HSUv1E
5SNvvIaVAEgKwgT8b1S6IYRJQPhNemC43tVV6Rk4Yj62Ha4EQTOVe1LBrSC0+tqJtAQhoB8za/H6
CElGGsAuBvnROX773MSm8UruX9kHhNJH+xAJWZp2jSQS2WuQfDYvWmrWH1BbxbXd6iS08Kcs0U5g
8JGzvL8l1l471c7cDoSWpi1rK6kMh0IR7IgiNrJfEparu1RC4sMfDH1DXm9tqVnRX2e0M2cWi8tW
Uu1UkG+gT6BFfwxfdx7tuusPGs2HT29/KGZb0FBoQRKRF9FYwBjyI9VIL8mY4BsnY0PXmAjMZepo
bdQjf0vcRYnApHwGm1KE36bQsdQbYxhVGQY2fvx9yOvpXTvgTesOiZOclcHRjyYdGNPV4wztHbsw
9kNL++bNx8chsDBis2dY5g1WJVYwvYkLLbtUmjLoO5iFXeKBdZtBbaNab8mE3n5LDE1kMoi53JvJ
ftc7uki63pZD0OXWHDaLZEw/j6b5A6FX7c2X3GydMmvDMONm5LTYNT23eu7ja3dRMU9wDdmfzlWR
buFvbi85VkGHCVVLh2RlGRhpkw9ab0cMJtDf/cQ+kU8kcckvDbyd5cqh2e17GY35ja92G4mAg+HN
RuAD13fTM0q4s7GkEogSTmb6ASVgFUZz0Tybo14Fx16LFPVw/2jcXqusSDFLTx5ewA1c2SpqCjRD
jy4DBsEevYHMk0pL2Yiwa6+TXQHLYsZB3KRdmJX1acO4/tJUaXCq8WXbj1lnP0cdPlGUAu2HWc7z
7UeRsT1CuX8LP/5ZZCphRKGiTFSzUZyrOLBz9HAhCnc0CscPNcq2fwampWelq9MDIoSBW8IZzzc+
6doLJsoBRJqnOSSF1yejtPWBd8Iwh056dvRx7n0gedlqg9z2/RgawoukU4XDyk3YBt8xKk4ILKiU
pLE7jpHunCQu74+BipbfQW17WYb/HqbvAeBGHQZSTv369p0EwpBOq8pOIu5cPyiyfUGbqSHcAb8P
zrgSK96AWO5G72/thHA0wWzSv8JPYHH8O15yh+cMXVUbt5sxE91rUqvooQfBzzgF7HL/odbi2uxg
SA8Lm48bhFyOiosC7QIMtEJwk3DRcCMjxLIY2bGNjbJ2RvANVGaE3FyOLTZKn6ka288C2h2mpdc5
BhBztEhhmFhmOKsst8Fpysfu8/0nXCFp0xWBvDtzlLn2lzVvN0rlIBcU3IFRCcxqAdrshPDlxwDI
6x8ja+p2B2deORpBMjoutaLu76tpsl8qxOoY7+SB/ev+b1o7M/PHnRm4ZMXLijRDAdGuxz68NEOk
/UwCO3/V+9DaeOEr35Zrmn4XEEsg1MtaULIlmBo1owHbwOTQGpBhcTBpejJreUsy/++tdJ0V8GGR
wCMAMq5ilnR9OKiFkZxyCOxxEqU1frFZ9VhlQza6k1Y1YDSSwAh2gYWs1yHmCv0oY/wX/KxxIYU9
ojZferPsXuS2zWp88KpeO9oWW54WXTuZ7hQWuuIi4agxgxGgYg926xj7PK7K5ih1crkvG1tPaSdU
0ddWc4ZxpzU9cwBFTKC3HCUqrN0EXldzhSI1/Ub0X/mcs2QX/VKUqNSb+Rmi0+R6EggKUTgfMaE2
MeKL642ydO1rMpNEuILONgPm+Uf8U5YGWqq2SYsXJOSi1jM0lZmAOlUPRj/Ih/vbcyUGAc4FEzJ/
ytuqSQ2TcqxmzIs+yAqa8tPwMrRq+GRNk/ojl0W/sVFX15tnnezTFSGv3sqRzLe4o6UUkcQoMr+i
w5meerqXLyj42hv35trnQpeDupBa6pYlIZUOblFRiE5dLXfM5xSxh6G+ZdC69r14HrSI6bTdNrmr
YFKaAublRYxp/KB0ZukVkqrsoIaVG0X9HDkXh2+WDCcBmKXDuaGut0aBHiMuJAAcwtoYfyVoTe46
5vcn0WE8XUp2/GhpfvjaxvXg3d8pKw+JaiL11DyVp52vXq+stArDRQ1xMoc2kHFA1zN5jrK4/pbG
Uvv9/loruwSQEn0EGF+80qXKkFlrI9LKM51AHiPM6KcCG2udmXGeNFLt1rmubhRwKxtF5R7mtdIx
YQizeLpE06YcS/jsMoVSsTP7XDvOnjP7+8+19g6hE9CemDvPNw5FpmTASZyi7FI3Oh3uIIwuEXoa
O0BpW1Ida0uRQwHjJr+gV77YKOhedfhjxtkFHa7pRy+PAS5lSAR/jeDo/b7/WCvXPYIwgG4MpqVc
+Iu1eoKzHhsyhbY6YBkrhrHe+Vmjfoh8NcpdoSoFaqlFuhGL15eliYZBLxbXyzDZzezkEqe7S22L
vHM7wkrp9mFq7EOhS8auRrXsMsqDM5zuP+/au53V9OlN0rC+wcWMnJL/pxENojO9CCvgj7mmYTUr
ZPX925eam6701Wc24jKTkhJDFUlmcRW0uYHiDALzrlXq2E0PGnCH+4utBRfuG1C4YG9uVSeGVtHG
zMSPQx4M80uTCgV9W62xsGOsjXM8ldpJgT30FOexvkUKXnuntJihZ/FSdWtp9amDnB31lqzCsKG9
YGQ/7eUqqg5RZAcbZ30tuvy71BwL/rle027ATlgoTI3tLD7ksd0cBm6PP5MW4TlUhf7bR60goDUA
VHPzbyZXXC+oSU2FeTYuBJ0y/In03n9Mm2gLrMU9w59Z3A3zRcd2oTVEL24RwxBCiRgzAJryy9DQ
P+Ika0+FC1tegpfbqfIhnaLGcn1fTdodYjpGtwtR8KdchliC9UqeZztL6aTxaFa2We7GwJDf4XKj
fbGaLLBcmDVxjZ9AJgxP1tPGfB2npP6TQFGKXduunY9BYuT5yTGRmzhqdqUE+ybMi8aVEOi+pIoi
tZ6TJb68C3Mx/DHl3MaBpbDlr4qZO6oXgJJ81/eD/z7pzanZD5mal56pCgTcnTjoHyXhNO2hcmLt
q51Lovf0pAsq/Ie1KfNSxjSO1xhV37mFXEnSRcIV/FmoWmmey6ED6z5IQO53DjTXX0ZDYfnep9NG
zPDNRDmqZd1Afxwn+rQ9knO7MSqSdIfFuyXc0WgZyU/AFoVJqZY3zxCOUixaUjstyS4K8TNDcBCF
a3pLIFPyQHwWgUg+EaWs6aVxLOZSLlj/1PiN2KRACqJRwm9NXEXDOSt155j1cEbOkjo0wZ5sHjtZ
LZHxlfflNDH3chbouEjogaoR1yJ8oQstjp4n8AKph9dT8x/RQ5gYw2NXvA8kqQYXNcR5/ykeKXK8
CVva/HUqquZDGVfmE/J6QeZO5iDq19Esw9JNa3P6ahuJ82swp/HgCDys3C5C6OckKWZtHXO5ylA4
HPr+uUtyNXkamqEfXPinge1RVw6k95mRBN6U9XBHE2fQp5OMN17gBjK33h6Zfiv1lLHT6105mDgb
lvSmmlMi90qGgXdZ6V7dOtFDPg5N58IGdb6iQTbYu1bkxqfKMfAStwDr2E+qNAwXo1QGbMU5uspO
5qLBuTwsxgrZBzvTI+xNmkxxWwfmFESfcmg9bKrz6qwkIbaoJZdF5dp90P6udGT+XD/FxBm7OibO
u6YaM/mhbCfjcyf5IQAwI853aZcjqmgmzKjdEZRb8NpTTDZuZpuV9DkXtWruAujVF6lspg9ajMj9
ay6X6eSSs8U9m9IZ+7PAgvxTPzZG6+plq30pK3VSDgitmsWfTupVfEsx09hqIK3cldSF9P+Y5JF3
LCvjMhEBjD+IGEaXaa8Acf2PTuXYvzJq8w9Vo/yuRTluXCc3IX0mYCABxQVJsnOjlN4k9mBVMAiw
0xmjXTNj7cpIivejZPy8f3HdtIzo8KPWTEmKNiZrLRIQQVtfNgYru5iNmn6zhZO9C7TWBHPkxO3X
En3OY5c0BSdvFJ/B68bl/v4PuHlURk7UUbQfSVcZJS4ivIhFM6VDhW505RTvRChGHBr9gbKtTg7/
y1JoZwDt5kpZoiTiPs8DR4YI6A/wNbM8mKAnlMZBlfwtm6r5Vy8vFLI5Roco2NxyFCKc0Bssppn3
VkP1e3br+qV0TMre/kCzNi435KwZtOwqBhHaboD5qZ60nmNbTyJ2drYdGz9m+dhpY1OuXZIUvBif
ArmbwcXXd7Heltro5BRQCUz9RyfShmPPgFgcTU2QtlZOJM56nyv7QlbE1ilc2yY6TVzmbEyDbjp+
eQX4jhYRp7DBOjJr9Vp2VdY951Lbvl0NFxANuAB0eYGu3cBpcjOS23Cij6oqcP4TlRBlt+LYYEay
8U7/Ik+vNsoMXeSq5I3iW3tT16imZBZIsjLQjtN48OaG6cNYO83PSc/t/8xQ576SMztRXYzq86fE
rEP7adRLTfLaULLTgy/S6Jvs5zIj24HC9v4Ou/nm88/Dbg0mArPRmx2GZeeoY1eaXUK/zne5qnGP
NNOgeWnp/OgDS9vbtkh3vp9vEahuUk1WplIAXT5DSJHpvN5thRKFQ1B1GWWIL/aSlmf7tCz7o5FY
06MaGeNWf+Vmh80LUvHN9F2qhmUkRHq48quQBXMJfflilAXHqnwPJSXdaFL9DTTLjw6LlsKEQSQt
wfmt/5NG43ozgtC1mESqk9+76hCA2BbqYASerrU196Jf2YVLxjKzKqu8QtJ2jOvvahIX72RMnD6q
RqSP3jTCiD/1HWLZbh4ZTXjSnMr6lDWNOWAEUSbfgQuk31LVB7s0Ch5v36uFMu2HSpt+5UJC7LPs
fcANCK4qKdZ5da1+Zs93rRs3k+jf1SGdur3VQCplygbD3iXtMWmqgdL7VgWBIVzKASva4TAaOy5X
Yd+6QYH7yzNhK/lQIwPlu8poD1/ub8ybAMvXgjdIzxoFPPiR6vUrzPPQFGGOrH3Es+7NyW8/GZGU
vBVXN69CF4xxJgycm0AgWzHuV3KaXeS0VYlzkfRUZ9WWquUtBIxlmE8RvyhCbqdDURynZgqm9DJZ
fnRMU3/Yk+/Inojiju+v+LswVfWXMGojXOaM6XtYW9rLwNzau/9Wb3Kd+YcwBiTzg0QIC+r6rZqD
L9PJYu4fJfq4x4yIYC81zKZlTXiJLbEnCY4bx2EtxrAcR0HHf/SGWsdJc6YZeEIPJMj/C4ysP8dS
YFsu9aV18PVC/w4/LH7yEeXeIhSvHXr0fGZkN/gDMuDrB2ZrlRyyMr+Y3Tg81HLagzfzsUbrnX5j
Mra6FCLHtFRZ7YYDHksl5d4MXUKM2qbBKQUwVRALEMlkbyQ6K5/RlhmwospKU+4GWUIVEWgjej2X
sXGK46gn5aVMLHOvMGrYlVVYPMiWn28suvJ8NJRQhwE3yQRpmYzUWmWSmU/ZBant9ruGI+Uxqru2
cyN1sraQdcrK9UC/DKkg2uErppc0zqggejZNTdno1r2hnM26ztyiSREnjEbZBa4f7+uks/8MjAq9
MgJzl5hyc4oh0RylfDLOdMHaWa1ycv1K3lIzWsmsGffSDUKoSQZruLjAZuUgRQjuk8iwgE8h8JgR
LBGpO2DtUHzEDKj5OoEfPogEjSjUNtLxdP80r76jeUzKkZ0nTosYWdnAXWpK7cukJuaD3BmvGFSg
zDlkMKVwONnIZdaWY65DM5ix5a20YWlW+cTEKbuUtiJ9sosG4QEjQ3m07NP9ZI2t2FjwFmVDGxJ6
C2aTYJRuh5ZNX+ZOmrVgVn2zfAZHFOyztgzRXTKS+BveRMMhrdrS2mm5M37027g/w3UqNnKktY1P
yx1JPqqoW39QVUhpnemAbDKziR4y2E/o9vaV20pZtBGfV18xzlnUaeRigMeuw1WWylNlJ0N2sVOz
3VtB5BzRS0lPThlYD+1UW9/u76C1R6O3rwOMA5HCM16vp4aiHAazgw8bhM13VjKmHcrL+iej72t9
43OuPRzbh0PHxAm91cWB6TCbDrCwStBawl07UZLpqFRqdSwQJtl1lgj/h4ejysYRk5Ymu3Z++H+y
sFTJE8ufcEooOSnHyc/f944Q+whL1M9vf43/rjQ/+T8rgSpRgol06NIyZPaAhSX0vei74R+71TBd
+2LUE1gjzYRIY3nm1QYXGEehJBybsnALcHxPadPiKgX77dP/8FQzZpRuKPy2ZbIwwnvFjBd0VCzn
7SWyOOxeYRPfBmzYpI1Sd95pi5R5hmxrTA3+6p0tXmFCq0ymSxRfujDodoOtjQ9haU8bqcja25uF
NUnNjZXCb2jMSG+Bw6JTPWmf4ilM9qI1pkM5NVstnrUHosCh3KCymmeD13uiTx36SRWDuiZIUSWi
nXwBvLOFYFvJrdgIJK9cA0y7l0MQDLjNWFS4jUHYRBdVbkJXt8fmbPRmuA9t2rNR1TdHEsKtULX2
KsnQoXCAA7zlk2dmCqqASw1ZrjiCryGPJ7pQyS4VSXG4vxFXXyU3HCgRBrY31IXGFJhMhWZ6Ib2G
7Ty2aGr21ha4cfW2IZuC8UVNzHxwcZ2irx2KxppLDt/p9nETTzRK5fDDqE3xgeQyjV30kdq9lkx0
6oauwbDYKja4KbeoYe68mZUCfYGL7yZj9Tv0PCl+UrzEWzXYx6pvCnrpsX7oY6QIAJXYGaxgCaK9
W+RO3R2LIkPROElwbKXazjIXKEF3JufeanqtbTZiDr+MnsktWLvugzj3VYYAOXDph8GsGGKYlvSa
RcXPwRfyDwextu89I4eNm2NtAxAaKB6o027pvapvm5LmlOlFyL35ZLVD9AWpki1pqrWsmlse8A58
NYw8Ft8fMwo1T8osu1iRFfzKOhF8daR2dBUByR0IkXAdkWy5u68dIx5p1uSZAaHLINvqWOjYLXJO
RmbIT5kyZqXrO1aru0Cy1J/3D9LaB5wV4HAGsel3L/FJZt3Yk5yxGD8GSq0WDeURvQif/LgO9SOa
QOGzqOTBozvdbJTacwBfBPgZq0x9Ccmdjo9yHQ/DMg0Q5SQeMlDS31eK9DsRqfMHK66QGrjr641R
5sqeuVpv8TXr0Fd7Zx6Bt6nSp26utuNPZ1Jj7/4rXV0GLjQ8ElKamxyc8A+9MdQS+PuF9CRV8JUZ
4m5kMmuhCQEGhIYoLxUdsPL1y+NryswtsTHrQ7XvTwgN0UrCrt30zCg1FU8yzUhxjbwzVTes2zp3
cdmJUi/Db+zN42gEq5BvBeBL+clBWdzUspXUBD9yxqrIvmtGgouw3Zk7UKfF229rrE2wQCAm4wqy
HB3Ivl5rcYvQZNdlxee2sOla5QXswHQ0/4fMYP6ICFrOg4obAG/PcF/rUhpxNjoTH0orMV7CuPQ9
S/TW6f6WWWsHzU1BQg1NCU7+IjXABiSXzAZVNaPRO7gno9r9yZKy+FnLVfkoYsU/KGlTQeLHQ20P
hbI/q1reKS5edtrG/l2JP+wo3HpBnqFC4TjXO2ts6tKWFJJk1QyDL109KjtjKOpLmgbj/v5z318K
oNT1UgU2x/3kAJMKRz/aFV1XeYhWZc+SRuF8f6mVUA5vACVD+jDOjL+5XqrRMANu5oQ8TBQwSxb8
BBHG0dkRbXKsUEY/jeEWduI2EoBcAi7IfqWA4wa/XlOoUdXGeU0rXfg4sPmB8ZG6Ud7SBL6NoyzD
ZqQBNOfly5JNCwPLmBx6iX1vj/soiLSnZpByz5dy8zFqmi0hgbX1VKQNoQSzaenIXj+WmlSFNim0
faKwVNymVPwndQiTZ1XrTfBLGOfc/3RrrxHGJ0ANhrJzD/h6vdwUTttU8FQbv7c+dJKSPLeyUm2s
crsXMYnCeIKRpEZGsyyjIp1a3kQU4TKQ+v9CM9c/JF0onjQ52RCKu71zWYkCdGZvU90s64BEZ541
hsDnoJSUvyYH16Sd1crG0fYFQwF0S8+Gwew1sjGM3DgGa++SNWfqBxUPxhDX7xIcB2xjDVBdga3S
uRFCeYxEuYUkXdsh/6yiLr6Y7odhNqo5O9Jo5ddAHZNDGY7jwVS6bxLA5+P9DbK2HP6Ks3kBGeEN
AjLuSMxhySN1PJbtLh8kK3YxsAgeIrNrjg3/z4Z+2doXZC5KxqsAN7uZYJuNpvgDrMRLrVTCNUML
iA0aCkj9Cf+DBHabpmQff8PY3dmKY38t/66zJnpO4KLYP3PRf1PfgefvKKiyyxCPLdgQiwzKbXED
V3Y985GPZZUoRFEZJIrmd5dEdNIjqH2MrDCD/EI+Z/5AYjWpXVtkcYZQld9v7O9bZgGkXIapnFhS
ytmC4HqT2WpiDAwbIPiBBXkfJEVyGOre/4iGUf+IZ/R0AuKFiXWKpUiV2bKLZrO2C/rGfkoLK9w4
2H/39PKNAejhF1EUE40XP8eQQUNFbQ/bFkJ/7nZm5te7ONH0y5ANdu12oZFHHuaH2XiQhqIsPFug
AOpGipbaO2BNeubafm3aO8C8OE8HShtGr3FcN9au7WP8yKxsAnsVhTYdftHWqrzxCPOpXD4BdzI5
CCEB2Oh8AP7pJoWVHRaRY2YXh9pvr9NEOnQoDMEJtesn1Ufdx0kRihvLIUeDtd7Ssl05X6ifzPr8
M0D2piLBhNfBL13NL3ZfSy+D3LcHxUiNY12Mzo6e0Jbc40pyy2HWUF+kMKGTvoyQHC4pDwIMXqrY
kc8jPn27ytC+6MIpqp0xThM2SWUBAgGydv9cVUb2GR6UeOtbB6HLKZtFelDAuLlXi9zEJ55p5hkn
2a9VrWev0N/NeexqnOqyzl60qQYFJk/pjMcyzveD2k3CwnxqpghDyZ014pfDFR7MxCpEmGdHggtS
gBt7YXbUPzF6EIdMxeKU5ukW+fpv9LjaaQhmzwBaLigLKqKxqMmE7Ux2LMfO2dGRHXzUVBOSSjMk
evKgG8L5jNy0jchT2kWuWdvVa9+VsuniWh+HXoKs1wu9PFk6+c7I5HDyk+BDzuZ9lk10USe9mR7I
HtSt+uNmf/KjESVAbJnOLqJbi1qIRrUQaSHZ574Kv8QYzB11K0gODVT/Xdvo1UbWurIcebEJ4RTw
+y2nB1PAxp8NU8+oNYr3vtU0OybE+H+PgfTTruqPb90IkFEBJ9BUm4U7lxvBtgK51/F/PRdarjHQ
SvzuUevVr1Lq668ZopUnkKDtxpV6kw3hyIHvLJ6vdG51epbXEQdx86qnNnLOgI3Gs61X9k4fURcc
BsQN7z/fTUrCUrTpYNkxTARotAhufVeIwG8EW85Ex8+zUZcLTjoYkN/317n9bFAVoAnNZBBe6FIR
rjc4TfSqrHM1pLYX66l0tjrgPf4URYe2rJSNbXITtNGn4rMhqMRMmXbqYle26mBXmdrYZ6ML6ndO
UrSnCkDFKTDK4qIIp3clqyiebYHW+ahlW+3z2/iBTAfFDlp09LVvwC2Vnjry1CrWOdNk/wVph/Qb
Y8uOVY3c+I6wIZeyY1WBd/8t324clkWOi8uCBOkmWe/qFtV4OBbn0JKmYwK+eIe8qHNASzze2Dgr
HxSCJkkYzSNGH8uNE2QBqoNaL3Hs5U8AtNXzEMnWATvu3OtLkX6+/2Qry83mH8j1ABfn5C/SCNQK
s2LWRT/HZj1kLnSv5ttgJ9GzKDKE+IfxzXgo0BEw5/iIjPXnie71GRwbCHR0ApyzPeT2B6kqZTdG
8/ErsHOmO0r95/7zrWyYWXByLv0Ja+yb6+U6/P6oVRXn7M8V3QDX9nlMOuVFk6zKrR2lO0+y1h3u
L3qTSc/PiFABk56Zrb1MFaGhAE+ZaufcZroTHAOczkrXyWbYxwTKKDkj4ih9N9Jc+VFkdbvlVHwb
e1geeMas6jaHocU3RYu1G0yTUF7z0IfR1pKTz0NudK3WVuGvI8/KPc5hnHfWP+mbHWta57e2c67q
Sv9SoSF6KaLgzX1Hg83CwMcA1AK3f9lOzYJGBI4EedaKctrwUqPuuzLZyqZXzvfVKos3Zte6HtDn
R1RtdJp95ZTghn1Nduk6bF3rK68NnDB7kjuBr7MM2EHBttcDFHWtdqo8pRvVs9bZ/kbAWl2FTwPU
W6X/veR+ibB0BomMnvlsNp0VkYCVD6Y3+xbycZhWWcxxIFZwIVxvASVQlKyqEXvU4vzz1PrpMauV
aFdZ5rCRtdL85W9d53Dk6TMmA+074uISMqBm1aCKCMvkZrCtF6uogq89+hUvyiSHsdtpCRJDUR7p
wh2KDJE1cCFq+jnvDSj1ft+ZICHDEFyvPkQnBD1wXNBpSr6EUhr/SdQADghHGrjvzCRLniIT9TAv
jDv5l1yEZudC1VDfW60FSDSnrYezZNzrT6GdpaOb6fSf3YSUFhNnCX8PC9RttHPaqFcPqdJW6keS
8kx2DTR4+j3y4xaJZprJsVdUuATuMH5l1jVahflqTkkuU/NIVrqXBp2bzekU+7duJ3IJeyHgvklq
ob/aY0dt1ASTM7nhUE3jM0mu8WA0NYqRvbDlH4Vw4j9hqFnvoPgGvjdI6M27Js4n/+l1mr9PUyTn
jjnR/wWNJL/wBtMCfyl3UqLtelxfvsRSXnxv+i5zdoNhZLaX9qU/4IBphR8TG2aN10K/22u+PXQn
vxPmE47wef/OnGztQ2k4gkK88bWvcQsRg369NgN3wkTaD50mAtdEjFE6JEpUPWZiaKLdkEjJ9wjV
quiUo/0lXKtRaueAOXaY72xHqgCRRig+QIIRaI51qlG9YHKmVJ4vWrXc6WlW6eepQdkJUaf4S4E4
fIUNYwjPRYqmrnKNprVN10zCXvKglVndLi74z7Ulo3xBuVhKvMqHMeyZ5G4yX8qUaEO03MLPYw0Q
ioHRqD1YmSXqJ0nNxuZdE2jyf3kxKdouqZBecPuqmqpX1U+SY2wWWGwENK4kF8BL/avkY/e7YUr8
eFc1OcQR3RbFu8kSg+UasVPVJ0lVqz/IEaThuWZJvocKo8Y1Ijt2Xs24VOWXvjfpz1CdNI8EXHQU
gMOVQLKs1PqBQ0qYwJTqs/i9D7m02BCsuD2F86h/ZiISlm9lMXwbYJSOkvKZ29341gd++5mrpffu
3583q0A+BHmFwRL58y1cpwwniUk4lmnYAyXPMSpS363IcDZS2dVVCGCkc8x5QPhfR6+sTyTfkszk
0hN/gcvU3QVIT3p647MQI+kvMHAHDcToc5HvmFGlyHDyosvYBsODojX+3jDzeqOuXrvAbG5jSkXy
0xtyz8jlJTB3QRymGyIPUtTE+L6LvdoftpyG1paibUC/ZlZ6Y0p+/dpwNkR+NEqRhJ8kTJQo2MCW
RMmR4rHZoLqvLEVmCgecBtfKeENWm2Iw4ko6+3Gr7eKqzg5lZQaPWts7W4Cj+Wsv7hfISlgGcCVj
eLq8X1rDxEwOJDjGGHq3N0c52RuFkf6QsiB9HDBDrDcS/ZvtR8pEy5pvxYoMphaZaQpfWC363D9P
ViP+j7Pz2o0cy9b0qzTqnj305uB0X5AMJ6VMKiLtDZFGSe89n34+qmq6FYyAOFkooFAJVWpz+7XX
+o2bYlPhlhxMa2nLq83MpaFZxv9SwasBYp3gGUuYRgDqJmVrOVaFhbuJQoit97L6Q+uqeK+PqeKm
up/fduX4nc2ZuP6kZ/u+kFunqfJuZVtcictJXiNTx5MDJMIyeqSwhI/N5JuHWi/wL/CtAHh/KW4a
w8y/qqOu7Qhj1wA2V9YTjQIMn71zL+mxHkf4lIDGPrSkml0PAZFtN/lgA1rBWDkoL5cTmey5GkIu
fVYwn6flVXQ8TibaglohHyTfT1o78Acv/FiJ8Kf7LKjDb3nvrQlDXPaO5URpnoIBNVcSfOdN+hmE
3KHupEM49KZbIZ658WRA71FWrh3QoNqX24VGeFHxz9zJCxBJgabzaJYUliK1M8sNttH6VhZ9T3ea
AOUGexwK41ec4ci+jZMmMm1RTQ1zq+ReETlI+hsfZGp6vksGMPTcofchlgIYGrhncyO3Y0WuSzdo
8TLHjjaXH0I49gPmyjlhHhrBarwV6l57tCpch3dJNjZfE3Dbz1IUpx81a/TlnUWK3jqIPpYC7xSO
LNVJqUhzoVqD/FNvKq3eYqPRfzZQCBz3BdJAxsYjHfglwwEohLyc1NO2UZJkO0l9R0mwyjXjMFPH
i61kRaPp6h2KILdCWxOq+CjuqK6mJqHliELfolaBFYy3CfIBvLBEiPg1hTmcY5WRlpEtwyDQ3NAU
GtmuVKs61jWsZ0INE0wDCn+G5OReS4YBbXjFQAK8qwJbGJrcswVLH2VbTfxY+jKkuZ6DhK8T2Cqx
En3Xwir0HKKA+IdPSUzdZqFlfRYKEyKL5WfJbS1ZXrWriHRyJ1H1Oti2kO6/x6nkJdtWG5onKS7a
CPODMB/sDGZaYudKq7zrp6mfbpXCCvw7KxbMzvEAdX3W+lAnmA0MNKhTK55uA3HsE9dE06VxOrHC
wFxtvfxngyktnn45OoGuFHqxAFlbKd6ZVhJ3Diozo2pHg688T0mafo2bRrnFYCXvN3LiD7VtGJFf
7qO4Fvc4b4qN3VopQJA+E37KOvqHplRpX8feEvZxJyff26ouP1cZFg0QIJ4Q0MlbL1T3iadYxzFW
xmhT+3kbbubTEPqynkaZHUxR98ykl3eR0k7SI0r/ur4x5a5N3mOBhZNpBwWycktZGE9dOEA5SpOu
2wnRGCob1UsbxBmK0HpA60koIaH3IYUUfWo2qSlHwSFrFS93CHmKr0kCM9pWw0prtrU1ifHe0D31
OR8Kq3R5OgpA2wIiHzdpJ2isQ6x521L0i8yRG7UN3axufZaAKAzVaPfSUD95cPlnA/BcKd+JPq8H
u8lqzXB70VNiG89BmOfDJDR7vUsma099AvXGARfYh1IIVHaD3j9NuWfd1bkqHseAAue+8JsktNNO
Tz5QiEtGZlP1q03ZmKa/qw2l/gq3BXZXAaex++bLUy+5qVVKPD/iUSt3QQg7IA3rKranpswDJ5DM
onfNokv3QygVlcshLD81UqBN95Yw1F+qXLe+G5gSCLdYwovNbRD4vDEEP8xv+0APzI3fRD2Yn0FJ
JBtGRPNQxUoCoREuubAbBWS1IBl71gec14b+iKYUQylHrHD2J4f8Q04I0RxRBA3r95Oc1b7TJjxw
b5gVGVz91HzykCvTdmo2Facir8rJfTsavLj2iGxnSBH1OjA4F9GgmSLXDc2Mqn8ZOgOcRxRZW3WT
hBUE/anWN13+2ySauUlOE+DGs1bXkmFm5BQIATKAtU/7ftuEeGUUdRW4JCmqgzEZodup0bjyXr+I
OuZGgRjOqp1U95ZBYlbkL8rUMAOH2vvYyrH6nsfdmhDZxY330srs0Qtegxzf4sbrJCXE39iHNzGU
qUNFVHLg4ZdPrZqvqX7NUe1ZePjSFFnWWfgLmafFfc5zh2Q4Wso3XCtdaPdtgeNJFYNfRGnBsxvM
gQA45ck2VkL/899YNC91K4rjpEAWbechuby6BUeFg5bh1EVjkGRXh01iNCgrDGEsOFwE4te3W70y
uAAYKVNSMyHpskRvpWmA6EY/S2EUofkuwSnbLg0h+ooK6lpW/1pTFEqYQDyJmMxF+g3+b5MN8+BO
kxo73YjctqSkmdviS/G7WUtywUihIoJAzHlZd1JMr1aHBKcLOZMeQiLf2wr1hZWg+yL4IzgC0zNv
Ogu9z8s3H8DkbFZvQ3QNtpYvRt3G1CjIhGWm2hZP+ZW3xOUAkmUWZ/0DyumkZBdviV4MsJtvoOn7
ESuiEUTlFvXVyfGhO68M4JW+zW9lBo/Q9lJS2eg8AVosJnepX6b7Ms7iTZU0za7MxcJBoWS1eKtc
7Dz6xsHFC5rHJpjl87AWiIWmN2Ef36hNmIxuicCjgF21krxPhWiqnmUpJjYKFLmnNhsH42M2YP3U
BaMk2eMYoX+jsbj2rTFbNb+9RS5POY5wGFvszVkdeXkoeGqQdoGKn7CQmDVuVpL3vvba9unvtAJM
ngmm+rYU9bGUinRIbJL5bOXCFRDbvidi6X6+3crlEmJjzOCtWS+M+tPikNEa2G7cHig91IGHdaLn
2wh7B6emHaoV7P+1pjBJ5CAlr49216IpL8a0IIY/ceM1cnQ3Don23kunfrCbeOjDla1xOUezVyo5
HsrMoFCXKBOosIrl98idynosOr0ShFtFqtb4KVe6xP0zS59xEyE+vEiKjHo85aTyI2x1ha9xnaXu
IKTyASHSfmU1XLaEPekMi6QGi9zCMrPftaXWFhmycaqWT++8cvyZGCOu7aHy227Z84qD5jvf39Sw
liV6NeqnGp3SGL12mMRdRoYWQptgy0Gxho25qCrPTdEZknHAki9AKQ3ALhFNaG7XHJFGv62MLxa0
022C1OanPNf1D3S5OxShDwNXAIu28lq/ZKPMHwBqkVwdVW18fM8Pma4ztDwvuIHGxiiHXZqFumUr
pWgVG6PwMs9WKNYZ7yssF5/NppBit7EoOeDv6aFTkMQmwjZNoBu2Lwnab5O7+TgKLIB2OAAunTBQ
vLKUWiNRqfqRdFNMurojKy/sclw+V060a/Ep6RGZyixKbCzo83FA3mkkrGMisN+F4JtKyb2e6bHd
9+BA7MCjFJDX0xou49r0gxoFfjIXTS8oxg2WAWiuo52PWbq2QWuBk7wv9Z3Ce3zXUJr7gPD15MR9
sJOCNe+mywuNkA6bEVJkYI0vDnFD6TH+K4hzSkHLP2CcJtg+epa2lypxbGOhI65kNa+NMZBmCF5g
UMj/zaPxKjWEeaHoCQ0kh0HTvI9d4AsOtjmeHTd9etcW0TTnPYqVgPzy2KCX/2mUgO68URj6HJFR
SIiFXvlOQyT8ti9nOnm5Ko9+5cQF9wBGcj54IRIv1hBA4LI1offedINMMoTc7oPoxWuXyPxblgH5
bKgxK3bOYprztL4aRSVoIUt7dIgqmfyE2226rTstcxDQUiU7H1J9FwX9Z0Gq1+oGV1YrYkWAbbgl
wclePKhK4JTlOPo3ZSx3333krybaqySK+zKgXRvhMKt8X2SG8UMZM7G6Rcc0WkMHXxlkGXoKufHZ
gfZC4ULqlBL+dOZjBK6PgDcDf6sK+Rr58Uor8FFmdBEHkHQRVzZTPhDpkuuPkCm4tfoh0BwjKsy1
1Xm1HdKIiAdZs2HAYskAyxgaHYE7KNOhhKdu4j8k0AJX9sCVJQPqEWcicvz6XJM5XzKSGetynwrC
QW7TzKFQa+HtLU3kjEr53iwi2QkQln/0gY/9fsTD61B/od2Ax1he2rIWiF2IwvFN6Hvo1WmCt0Ge
3XRbfwpWTpcrQ0lKls2OAgn2rkvsia90vczhjW8u6gWPVW9I32DIRSutXDnDyGLwiTT1wtA+H8op
LMNWaD3/JjcxldxIpS8/a7FuIfkzJJW5hbVSDIfc562z8ra6cpD9ScmizgVOaglAS7Kuyk0ZqEbT
ky2zgrhyw3Eq3CETgsNvh8TEwSaHC+KygIgWR0wv1WECmA0t+SLE85T3QwZQ0Q+3mBzJf6NbXAhz
UQ3s10U+Pe5i9M49w0fS0G+xV0kCfT9CRKWsHGb9mlXTtUGk6MJzCiAyzPd5Eb06PPtKsyohrMOb
uORyNxBpcvvS01wzFNYKPdfW4/woBbBnELEuczSmLDVmIk+8hTPPvyO9OO4Epf/19kxdYquxgQfN
TMQCsobi0aJDuVVpvU7UdsPrqNhESly9RzYK//WqVzZD1JQutV6sSCNB33hhryHPOf42GoZvmNUR
EHVDg4fT+XxQg9BoI9EjMu/FtDwkSintlB5J9dKvx5XVcm1Q2d2zIJ/EBXCxMoXQEqMMRdU4CZq9
OUTjbojNcIVaenVUISMDIaOWhYTLokckFKmAQiO4EQtJdoNcNrb5lE62ARfeacU2cXtUxZwcJRq7
Gtv0fempv81gmkcVSgiIe7TbLvCQ4Th2iS8WIXzaPN+GJEBAXea9DfIlWRnVa7uCdzxnJ6R40NeL
/R5ghV20dYWp++DjGdaOhl0NQ/V1rFcRDlebguoNbo631UX0UhpKoGoQzW9g3kcbGWk0VxlCyNCh
8tvYVSRWQFqyOUgeQFBZ5E9mhTHFSqQUon1bHQHOGB9RJ0ExwdIDfeVxOo/QIiib4RQ0Rw0dMY3F
DSuwuw01Q9dFSJpuK4pia08zD1uuImEnZoX5/e19f2UYaY/mXoBoF9teFNrIl0WEc9piSgMUiOXm
ncJz7BHMlve7q2OmLJDMQ5YeZCUl3fPtnVvZIGmIDRw0L282Up/J4MZly7Zy/bfz2iBrSMNQpGZt
sPDnlNir43mu5odeUisHKdM87py+TQAdt/q4iVsq8yth0cVhMrfGpTPD/ueActExP+LpGQmmjNUq
MSx6mfrdBLDrdyMGWpkDEwQ3DYlM1hxRvOpTRFK9TEpfPASyGN5VWlAjqJXq7+AETi5hF2LTVHW+
vb0+rnUNJCzlD6IFgpVFoyC2PCThRfEArjC9hTQB9NZq16xXLoIhusYBNSuvWWQPltNlRk0sq5Mh
HUh2mQ9yVinv0rKpH4kV1FNZWqJnjwFxqf125641C10cKDErhN22YLU0ftqEU9iKB0kpxPdCGInb
LtHCbaenoupIMRkTG/Xbrlxp9/JaoLMzDH5mls7ByrwrX00lC0lWO9JhB6IHI7axPZVSiiHm9Anx
z6a3S+ILz61F0I9FOEz7RmrS1I0zLJE3bw/Bxf6fvwRdJ9TioTMp6mJ+hUbQJiCo6oEQMN56SGoe
ZBHIg1TWa5mRK00B0oQzRUuzwPCiqcxomhBNafWglsW9F5rNfSw1Iuq7wppp4eWihWpAkYKiC89M
ltb58Ep1g0ka4LsDwg76HLho3uRoeSqt7Mhr7ZCFRaeKbnHYLE4ZeQiSMJ3M6aANUf5ubJrMHTtZ
dN+eootHF1EfRcdZHZnUFdyb896Qes0AV6riAbVvgxr1gDnvdhijSN6aOPp0jta00Xdq/fm463BD
XducygVShQ9ACZ9JA0OG/MjiAwY5UltfH6VDo0pdY9cZ9BhniLMqt3WpSQr0QMce0VldkJ+g71m6
LcN7+iFovvXZ0gvlh0hW+rM3vxTtyhPS+xazUBjNAeVwG5cE6Wus9HL3TZba+smqEuTHxZZ000HJ
ecYqVhZ9iwNT+1LIYVC6ia8LtWPURvu10iIAFVjoClS0h0Fwi1HvfptOQu/hvnFhzfQ3Vs358GsR
+nUxCYSD4rcBmpDD4IoCGacq0UYHGZh2//Z0L7cJQMqZ3sfaxYYV16v556/OhjpV5MzUAd60XVB9
IMyZHFVICkdIg2LtebZsC9VZjnaS7ZQtUPmU5wX+qq0QrIg5KtXAORQRadSeVN8nSPXL91OMiAk4
t6G5VfMRzC0YguALVy78Pa2z1AdwUea7YTKU1I6EGerbKJ0uOxGSEPnnSPVG475MxNSpAEJ+Q3DW
Cn9WWmK9E/umFgfbLANdR3Gl10o3RbMxdjUZM8qHOhiwpOyros0dkDOp6PiJ7vn7jJjiyzRauFsV
eZg02yERzcaRi7IaXKGGkukIIxJXoFCSuAYsXJX+vh3E4ZMmgN52jFSng00K9AJQel9kj33f11vg
Ot14D/YESxBInYG1V3v0rB9LmTqgHfpdbDjQltXiQB0y9Hd529T6PsGADYMB1HjMD29P/ryVXod/
TAj3ArBQDi5sQ41FJEFUmQjsi/YQmoV5kASxDcjhem1y20WD2e2rtJA/W3kw+OPv3kk0jZQRdyHh
Ba+EJU9E97gpBEHvDgpQp9gxgyKcgfG5/xUlPqNzglAehRu9kdT0IDWC9JHdCnomTSZjzdTvyigQ
uLHVoP8BSzAWzwhegX0TNVl3qJF2cMHXR3YkRfoPS406Ry9SgOogU1YO8wuxFQYAdUOQO1RlyaQt
VQB5escyLO/20Ncew6AnuvUggVAqXRFZ+tSJ1CEig09uHfmlwadIUfplo7tCVNTBJpT8aA1Re7k9
kdHgfgG9S1DEv8+3Z5CBO+pjbzyoiNk8+K0QgRpHcnsq67V8xvIqQ+mJ0Z4XAHp3lyn1hIOCymY/
HVpoEXu1AStR6EigvL28r7UC3wVUC8wa9O4Wr5s0tiZPkDv8ipM2dQOcT3ZSlagr4fhFeDV3huOJ
dgC/87xf7CLNSEIYeBzZIUoNTgoH5QYsZr0xylZy5TgNToNCZBeWt1Ai9Hspy9bcjS5X8AyCJuE7
5ywtPNjPZy7HpRX82SgeADt6+7Cuw31pNMAXDM84xEo1OrkOMuvt0b2owc39nr1FeWHw2ucVed6q
0tVAfnEeOQACkAJb9gxAY1i8lGAUs0E8dEVcqu8Q8SG4lRH0sTtVLG8RBggaG4xQeBMYvmCgCtcL
a3nwl9Tw+cnGt1FpoF7NXXNxrSW+FeHV1UyHRErk2zwi2WSz+MvvBoWp0e7iLh12QYFxAcg/dTTt
UrOm7CB2lRo44uBhBysoML5e1Azwa8ZOR95XDdGGAwQ0AIktFDrM/4Z3iuMFvf5JUWoE8SpknSW3
lcv6Ua/1dnDEOMi/hGlVF84AmxnHKTVNv/Xs/ochDTDn8eZwxq6aEkaR6Iv9r84LQ/gvjYF8odb4
KDUnnRI8qqmffhHbpog2b8/jMuCbp3EmksIKxLwNiejzaVT1wguRtpkOlSZ596KWGe/SyB8iR51i
62empO2vsvXaaoumg356u+0rpyAAKSpr5KtQ7bqInUExyTX7ZzrAkQjzjTHK2i/MKDvFVvHQGmwN
3tJDGbW4wSNM1UEZI4j4lDSohgCIaypt5V6a9+pi3SBaBkramgMi3mrng6FpvhBXZSMeOLB7YVP6
Iy4wJRoMG4y2DHBjQVx7jjSqRuqOKtAxuxcF5dvbo3LlIEZPkACcwwvu7fJqwAkt872x6g8gGqOD
V4vjRhRi70ggWKwckVdODkQLiMdmjb8Zq3beX7X2PIL9aYBVO1oPZROnWCOXhdP7hXiTcfK7aRwl
fw7y//kx/I//nD/+OZ71v/+XP//Ii7EK2WmLP/77oXuumrZ6/sfdt6L+BwfCz29NmGf/O/+S//yl
81/x77vwR5XX+a9m+X+d/SVa+utL3G/Nt7M/bLImbMb37XM1Pj3XbdK8NMA3z//n/+8P//H88ltO
Y/H8rz9+5ADD5t8GpjX7468fHX7+6w+i91eTPv/+v354/y3l790/9/9wviXPP/MsZHX8+Sv/8/ee
v9XN/Cvkf8JCmolb1DJ4C7Ez++eXn2jmP6mAU32DdwV8xeQnWV41wb/+ECTznwqJOlKVQPPmWivh
TE2gOP9Mlv8J4wg5BSqDXLugMP/4fyNwNmv/ncV/ZG36mIdZU//rj/Nlyi6B2EliaAbp8KYnXjtf
O7lpNL7qF95TWnzvI1cXPwX5SpR0vjz/aoJ+8sX4zAGkOW9CQEV8DNTBe1JgaUbFZ6ymNqr1Dfe+
pluTgV6cRX82NmsV8Bwi+URofN4Yp2APxU0SnvrRDpzx3io3Q7kzJRubiVTdZzt57a17rXszcwBk
FdOLmuB5i2KEGhI2A8JT+yv/mn9Qj4FvrzZynuP9s1vkAImxZ3Av9pznjWhFhGoxeUlq7iaXLTeQ
XzmqFs1S7Cun55X+IMM+4954v2sUO86b8pAC9nm0eU+NyP2pfiiSzzqUSJky46wD+WrD/LUcXy+/
8+jupV+cW9CDcMeCqbeM7oxqIHwum/AYmN1Grx6Uak1Jf7nA59iBHCEpM57I7KXF6usbOMoDb69j
gR+1Kd+LeNQLbb95ux/n9y+aA4tW5kF99SpWS9nsRn/yj1638QQ81D55D/q2QxLKWDMzWg7Z3BQX
KUVgdi7ayIsOSTWlStPyg2NddNhAx9tSk+O1cHi53l4aQUKSej3lEqKv8/4MvaJkUZEGx+qnGeP+
4ozFtsoOw/f8IH8PSjvIHeIn+VMf2CJvb2v79nBebR54N2KH8/W55LjLBaaIjZwHxy75MKrlkTfl
PpfiH3255iC2CPz/nDlKDP9panFg1E0I76cvgyMqKlNgG0/iFoLGVn433KUrpb2rM/eqqcXM1VWn
GWlIUxJvxYokjQ8R6e2BW25e5g0uNnhd3hAz2WExb6LeSq2VVPRG9G1zhJseBpvITJFsk/ZBtnb2
XW6ueX54+nLQovCpLl5Nda0pxajI/nEI5E1scbjiNPl7KqLzDJFtkqAPzrchZyz35Ou91QaTYYkI
HhzzIP4lyPtJw8G6XxM7uJwctC7QGkePhaorANnzViIzg+wQyMGxbLTopEokgALDE4KVCbraDIE6
EQHQx4vLEM5VpRSmFhzNNLTHCTEkycjX5MauTQu4xTm0IB+oL/OPNRJuXaf7nKp9tWmTe3LOj10Q
7d5ea1e6gvYRcDOFRzNxyOKiSMtJnwiww6OUOFIXSw4EtzVKi3x5EoD5etXIYlp4URWDZdKIe/dw
UvYySP5P3YPiqo6///70ODmjK7q5W9yot1Br86N8O9rv/0Y/ibRIrwIwIPY6XxlxpedBINThUUFB
BLh0fu9na1Dmq2P5qo3Fvg0wnrE8jHePgZrszXHYVP0KhWCthUV6YYxGAbP3Ijz20B03gda6TVX9
nnDMy1ZVOQqIV3mKcNItTri+7vLeTNvwmKHcHAFdDrKVVPf1bvy3hcVF21A1SYexowUOuFr0sbRd
GaiXEPG/z8fLTiwyTobRWlGP5cWx2sq7YavvJje0T6ljuuGzh1zgU/jh8Yex69370R6/U8XwnpA0
WwFHX+3nDLGkzgjIhiD/7NDTgr5rKnEKj23cHvwpdn2y6H9jXf+3iZeb8VXM4odlLgThGB6hT5rh
rs6E7dsNyJdR0QzYRASQtcDx/SJA+qoFinZG5PUKm/d74ra7dF9s611+F99p997J2Pz4crM3XOZR
f0ru4q28z7fVLtiM9s+3v+PqWL76jMWqDFL4OSGSJ0dTP2btHMZq7tstLJjZf62ZV00sliUey1NP
GS08jo63827G5zrelLozwUPaGI5uj262STbFLmkpyeJca+cP/nbN0fNqP9FsQgLvJXJb9HNqIgEW
uhYefb3c9W2ZfhPk0nt+u6vzL7nYHbCdyPQAxb3g2DdFS1Vd1MMjMieeEjmJcDu2ioPy3t9Znq8a
WgRmUiZYfd4xpCbGFLNdNAn0lSauLtAZMY0531wuNRaHIiK3yaRwMx7vvsNn3Eq30id/sLu9sSnd
yVGc1MV+2DE37a3vJg5e9/b7fh/ciLf7v3HHENCThkWega9ZdBb1HWICUDtHNa/vlSi9hwa4eXvi
XjJO5zMHZpvMtsmgUrB4GYxXu1GHfD1FRlwf/awznutJ6I5ShMYsVHOl7h1N7YcvHX5mv4qhTz6P
k9Z8q2H6fijULrrTlUF+Cn0cCCpl9GfkGa6adh513g9zKCl14HmeAqUC9XfXepH4a/Cl8ceMioCo
XiTBXS9qXkvEIykTck+cC2gTdTCFE7lWT0kp57GdJEL2Xs+wqpjBtOjvVJNikTIc8tKOk8KM7VIc
1cGxLCQXbCuUsnuvGnADb5RJfZrKNLgza0GX7GkwBxCIjRajMpRURmPLPXZvdljJCLWocVBi8tIO
GqlA1ZtgK2tS/nk0xSHnPzHqsiM8d/FWH2rz19uTcPncYMsgv8GRTkZEgax4fq53NRK7A067JxDk
ENHLEuWzFrqULZSWcAcHhzJp6Qm3pJWnu1rhi4o6tT69/RXzaXS2EmZ+JMCqGVMFtGIJ408ztcjQ
duiOsubdj8VTrmq/LDS1+uCeG+l3bzKJ/L0GjANbKSKCJRYBScw46AdfpDHRNqTGFqrnt7vzgqY7
6w+WMLNwEWQ6EqGM7vmgioUq+2muhiczUVglePgUX3SzV37mo9fUjqlm4pOgVEJna4NSSciAacZN
FQXRrzSM/cfWKgnsZABFlY1/a1J9aP2ujpxwUI2PXuPx3kWoMv/pmXL6KAxD8atpdfGnXE/t1zGV
e8v2vE4J7UYb6sFJW7MoN+LUZviqRlr8pJeWVtpSrkijXUuDf+trcvrejK3hgxmYCtrLuNFnthYo
GfJjoJwzu4qL7M6vMsyIklSKQc6GPMbtljBRXDkDFxLbXF2cf7DAWIoUcOe84vngGUJZB03ZhSfB
LMY70SxUW5Taymn9BJGusE+ar7pRCzcmRUyn8Xzlyc/8H35f9psAndXd23Mpnyfv//ycGdDF8wgc
Dkq8i88pwIqVZR6fYjEutmUq+e7geeZeGMVikzeSfysbSuyAFlKOSHUZdjsq+QdFjErJHtS23tSl
2d2DhRpuvLoQnQly4BGLu2BrmXFGMrA3jh6yG0I/5neKJ7dbcSghvY3aeMO5mLt13053XWJYbtCr
na2igrR2Es8vo/P1CnqSnCEyIrw0eaqf97FvRL+yGkk8WQauIIAZ1eZXZ3Z+DFBBkm/DXFC/pEU3
HSBNCr2dJ436vkdBg2K+2GQPPk/uU2aO1bdWn8ZHxOuCj9xu0qkeC7AVoy/pozPmffEIBIy7eSQw
UTqn6HLpNEZ9+V6DvZ4jNd7Gdzo4stCeSs9D283yzWecPIbPQVVXhk0SJnzu8sAvHN0MWtEJhLJM
HuDFdqUTisKQ2OwB/7nwcuuTEKOVFtQt0HaY1zLcxdSIP8tdWP4YBwEFO6koxI9ob4tHRPGaOzlu
W9XudEtwvSQGMLi2rudn2dkgc9IapI6wkwQgAVblfJBHQw9Lr+utU1tbvuU2epTXd7XlFVQCsQQ6
tYgQh24Z1EVkTy1ZQqcta1PdTX0Vt443eu3Ht5f2RXhGYZEqHZweEnhUNhcxIvCYwmvVLj7VaMzs
ua40t4Gv9Ph2Ky+o+7N+o+E2E6SoH5DKuHiDib4UChrShicPIVJgga3+zouEzi18cR9z1aAYs0lH
X995cthwbTfDQ596mRPWSCyC3tAeMf9bS+hd6TversZcjIPCznv+fDJgwgVaqvTZKetNc1s1ubaZ
ZlD7232/jOeomqD7zElGaoVrZ/FUT2MUI3WpyE8JxdrbQBe9e4T09b05P9qLMT42eZm+k3xD3fSJ
wLwLyMikuAY7rTrEm7FFNgh368wZ0MWyMTRO9xKlQXdK4yezlpG87Id0r+uetm/rLNh3QlfcNlpZ
OiY6Oc6EycKGSCN0UGBcQwzPkcHZvM5948aWSGO/wBTPh9A3fa006jI/9QimubM3mlOrIgnmWAtW
DuGLM5imGDxSeqwiahqLM7iZWKZqOeUnU2+iW8uL9I1RQNwaIoWkdpIZTtol8cmSPMspqB0e3p7G
i8UyN28BjJ4pVTN+8Lynup7k3qg3xYnAFJUNfaCiHYTtSlnqhZS1HFDKG3NkglXLBdOoKEKxLqym
PBVTGzh9E1ihHU/NtAFhG+zkFPUhKu3ik596Oje8dIdhFM4Ykirs5SQZb6DtpnaBS+INpWwZGYTQ
+BUKVuTEE1KRGVF0wO2dhg7mK/J2KLLBfXucLsI4XtYsdHJ8ksHKWgKtBQGUZxZ25cka2smRtEq1
SST4jlZrxwYYti0LzcqgXbzoX5qEcT83C9tgMTWB4gXc21N5igVNseVQ8vZmMymbXhoYIwGUN+cr
z904kZzf7ywgM5T5gVSShls8bkFtdLJfTtXJQjYLE43G9Ox6mpKNWmGYEYtqe4Si9nscSaIR+gsR
n9rUrB5NwH6+FEW8ecVaUqpTVOdoqw/ofKkoNa2cW5dbexaMpkBKe0Sx+uLYklpfbQoW1wnERuRi
Vvu9aeb7CCDXby8ZoOP0CZwR+8tYqtq0PrbHeqApJz9ja1lWhFhaVU/IOKW6A1NcdjXcblYWzQJk
NI8iS5REENVvCRrCcqEi9NuKep8LpyhEjE0VtEONVqptebWrN/1NY5m3UtCeKrncNp5Z2kOnPTUe
snFeHKzEXpdnC69rkuLyvHWIMuXzCa2UWg0VfRBOQUNhS4qMX0PY5iujfJEjgYlDkRmYKhgx8u/z
R7x6aSeKmNZNEPkfKqO0Nqgatzb29KGr5Ga66SLPXzmvL2N4Yp0XSADvOiByS2qhiZ2uIGqNcapD
/WteKjvfQwEsUoP3uAhpMBlrsk5Zj516Fkt2oMnbOF7jjF12etZKMAHpzzwdpLbPO01aiicnEOwT
ftmak8njdDMSnlAVAGQe5Ya4cktclPp5sWDCRtWdGx+i41JkJM24vrgtzVMQiqMENFCWv2RgKR5r
GVk5u6Kk86SOk4UDpDLgPS3IeR9sYa+rPxvu/d9Op3Irgx0EQwjcHUrPIrxLSxjnhlZYJ30ILVBg
guBMifTr7VNQm9fn+aVFMRuKMek3KsDczeejPFZilYSemn4IvaLjxd6lrCvIMPuiwkjN0ZKuOYhj
IKm7Rm3VHn1kY4xthE5zaqkhitlVanbfxQLkvqMGgIJdE/hy4hShTK2Lp+uDmOTaltdy/HlKDVQh
tbYgxx1IoKpsX/fMRx5n2SeM0tGOoTZSWS4a4bU7akP8GPEoeZCnrBLdJhlbHsBCiL8gli61ncSe
8JEntJw5UVhbX0IVSqo9c5YzJ9eA6LpCXApPajXJH3JrSskxWRkizijjZHyZV7S+m4kRCpJ1FCqj
XcSW9TDKZTQ47EFBd4Iif0rEUvz59pBfWWcwQiD7gHtHp+RCkiUApF53ZVN88C2t3cIsKhxr+r/c
Xcty40h2/RXuZibCdAPEg+SmIwSQot5SiaKquzYMUEQBIN6PBAE6HOGNP8Jrr2bhnZfe1Z/4S3wS
FKqZIJtUCemqno6JmO4qqW8mbt68eZ/nSsCoRgu/pMuroa8rcy+86K9WV0pe5ufWKnJn8Tw7ldaj
N4g9e9oWjSuOPCUdWdk0ouPI70ditJoJfc+6LlULuJqympxSJnveKdKG8LzROI9iHZxH46UVlFQQ
E6Blz9ZWf3URO8LgGkB+PmI3KxdRwjkGGwDKDzjdXftRJADRhqClo+NM31cmAzw2qKZBaRIQkgYN
ZRLOPVXehKozEwA2eotkdjFbo4vyzg+HT1JZJKdwgQ+sh5j5EFVQeKjgozXsmgi9LG64KZyZ74rd
Ude28osNkIm1go5IUiz7VDauKjtpnCVyO3CEoCppGVdDW8DFB/iig7PEyI/sokyzXCepbI2BMKvq
gCWOESoFtpaCRketwEC683A+kNCWlAOFdIAS3QKjGabrIksvbcuyRys4DSfyYPumHuKDwLTF6GDU
G+2xJJD7NkFkbDUDzufwVkmGKKfC8jpMPfkiczeFXuQkngXOybD8ATlHlpUO2IWzjMq5pgDGSryS
MDxqhpCVfbGGkXmOyOKphP+BR3NQtUeiWhaKFA45q0pVWygAo6uimKCPMJYqZBjbscJoQQWhgolF
HOk8yvt09rWa3JQKZtIq1qo/CmxBGq1RuXFC4umBNwUCQMKCgvA/7UBtKPZYLOKkGwTuzPGH94Vb
flYH4RPaWH6d91d3aZgvjl+wfZMTdiAmgqFnBCHtveQ9UDnKvhOG7my9UaJrtWspj93B5heEMMUT
H7bvTKL8Ea4r+oBRvobHmmVzZs0V3097wQyTRT+5lpA9DNd9724FcCMd+C3rsTiX1pd+JqaA5nXU
E/bege+Ex4BYAJpD0BLRxJsfkEHouMh0zgC6KVz5CUKAkaDG476vnKo9RDfC3hmi9URCSB2lKqgX
6DeMSzXqoSsfUL+zCFc0ugD8iDQSBrGsSeEqBQIoAIAjPQyk9aeNUkrCZN5FSFKLySo0gtBbkWvA
MXr+ZI0RFv4o2kS+q/UA6jkVgZH+UIrdjTVWpU3vXFIB0w3va508rXvdcJyj50cadzHD+U51cBKj
XqIKhpiv5c8rD7GKXIwS+UpFM5pRuPMs0jDcCD4tGpzKTAv6JJjjLsMiGFnJwPl1CFA1MkFBvzxb
wysGLjmRkQwhjvxQANV1galMQ0cH2PZq7KsSUM0zr7++kaIA+LowNMrHuY3f03K4+I9oxJOePLgZ
RBt683iWWkKpYZSjNLJpHduVEAVAfVLwaWiNkZWcaJISZaqer73+NA2V+BaDppTBub1K0VhbkN5c
ulVjIFRqCkIQF2WEY9BoigGRK+RNMIaL9IAckodPYdydf4YD7K4RxydCX4Nxkf+yEQlyThvF9cYk
JALgrdx+4etOgNmMYwElM2stEmhpgUA2tjBxxWgNgMUws4mOCn8YNJustGFghuv+ZNhFsgmngPTA
SnTLzT16oLq/xoNMwORQtD0SFBDF0lBDogm41etw1UOmRZFiZYR8m93TYDHKwgghKHcMJKro40aZ
q71xmcPB1Aucm/rQjUPkS6J0hTl3wVDAXJLBMHKDUSqh036E+Zteoc3zJPgITZ2F6FgovL42yMVu
Ng4Rixpo2Tour+eBNVwAEri/mOeyfwsQJVsAIQD/jpWuFcSasPY3suYGvbkzIrLiXDpD0kWZKTpv
Z3gjekBG9gYh/LV+Lt1h3qwYaH0vhG8KwQh+9TZkdZ6FiFYLRZGOoQKUKwtAJ0+boZjpluIUo95G
VjDO0p5vylFvXdzh8gnRvZq6iaSh2VlGR0CIyd9AukscdHMW3rSH+TLZKFA31pW9CfxblDqVxgoh
VMwC3xT+4GKlkI2gpd2+tNIsUornqRj45kDx5wBdRnz9KRnOhzjGgWV/yHDxfiXuvP9rBIysh25W
eiYhnneToOUfZcKWHF4XQtwbYtR5ai3QRW59RMqyqwI3ORAeNihqDjX048xkQKBPRC8OvVEioZRP
h9/lP/dDmVzHamlPBnGEefMyRhgPEJsQHB8DR6LyOSzhzYNF7kbVE1tGI5bVC9SrEuN6beCOF8nH
VRrFj6HbEz7FaTJM8PY7yWOcJJhdlaC90cL8w1y5xWybJNNXg419HqFzNhivMnmclJk7K9EbfheJ
zrqroe0gi+4dcSOuNAWlZVhBXTufgu5Avbc2gbUAyh7B3e+qGDrruQ496OF9jv7RX+bIhicweboi
ghDdTfEJWVT47JtBEWlr1ZIw2cJDhxtCWZgRi5nQLoY0W0VYLuPBMLvOi1XvYpACLm5Qxrbupq41
WueOcOOuBXVpJ4MAeN8hkT4K0mZ9j+OA5FkIuinjoosuJC20QunZwc/S0VAIhwMdw+fJ06aAmf8E
8EpxrafZcLMsRFe8J8DHWlq9YdjVPDWKppi42n8S5ulm0VcKGRk3YGDq6Ab0JqXVt8aWLAUI0QJw
7nOuqFrqd+9yOphS8MsLV56nSxV5i5Hsu8gCohrgIxBV1ViHYPdCTcoG0m3XgmeD+vF5fOW7cibA
vQPmu5YNxDLUCiuX0FY6KIXPvTyeP8BaW0+tebd89sW4vBoGsNa17nquwpxEfA5hJDsuzRUQzMC+
mMhzsBxaPwp7RVdHo08PRzb3gEtihXEsaL2BsrJG8gayBx3n9CwNenL1IcC8OHTGrkJxhLMLBhq6
4+WPiahgPvhxU2HfEByiLQ6PKMJuVUdC4wFfoXMzdst4Nsdc+SsLszD1cDDwRji6ubbyusMRWefl
BbGUU1Z5FY1hjaIhOnjgsyNDib6mZolSUqiSa5UemQG5NF/pczy7F7aMmWSA5FDWI/S+DnyEZjMP
gAh0vqoWYZTxGl1f6Pf0gjS9T+eYud2TVz0PXeMINQlAKzDw1qWXZT/t5+fBWrRkDbHVJJx4vpLd
D6Gm+yMwhKCsYJ04M8/KglIHPgnkT+w7noagt2dP7EGhdiHfqefqvQJRZC2bi9YHghbQ/ETkc78g
DVxHeBoeEQp64YA2fAVZdlc9DKRKZr1eNNfIqlQ/rDPZ8AFSe6cMMb8D/dOBLsWBM1lJ62yU+H6h
r30Ms4I9gnug9jEYIc6kG3md4/n0Su8iSvtDDX0EvTv0wOSTCAW4k5ysgK4ibwaXWWFFj4jbWFcy
4ssn7MF9i4zGatBviKNFA1YTiXGFV64oh0oyyzHQRnPLcKg7dpfoxFe/bSYfjTvuLrVn5A57oYCa
zX4yK4ltjSVAUI2Gm80pSJADHwQcF3RMABaDNo82DNxCkG0gDirBbN6NjHU+JPfWYBDrEmA1Px+/
iZRS4zqgQAhdDEpVqDxsCEKEsnhiOWo4S7KirxUI76K3TvYm37wKLFjqEMGYRcy34Yk489UgVnMr
mtkFnrjMm8N2UsVvbWMA4LiKUYmAq8dsYtRzNoIZpdCdI1udx88uXgo9JLKjRxkKMI5/S+XE7bIM
K4BZwIwE2AYdb9Vg2SbMlKzszfPnUPs0ijXARWqh3tcj7bM9DvSTxRRNWWgu1+CdqkbOvMCklWdB
V7SeDlNNd8bdMXQ51lqNrwTNOT/+hc3IBV0RAX2UYQNuirYvs9oZhgDqaoDW+qxGw/tMgmUuRauF
5xKzm4YnQq5N+Wuu1fBv5quhl6LjP3/O/RtZeXFWT8e/pcrJN09r92MaYZieuEYUsQD7rodarA21
bETG+ehyIeueNtBE/dHWJ1Bto965rbkjQTvRoNEMCcB7o/AB6IOj/ASeakNa0AoSqkFPKmZuHAii
PndDTGIRygFawiO3l15hTAtKyqJglQljN3SADC67GMyHsiLBk8fwGZR7T0g3wfg4XxqztNFfgX1B
v8AWRqIS3RDNiAjarYEAH5ezue8UvxAxI5qrwJXtd22038fyXA9Caf7YDx0JWZxhdpmFvTmGJKTr
+zKIMOId06fu4zj/sBZT7yYrk2xUYrjJyJFd9/H4XhsyUm1VwrhiZJgwwhZlOKw8YsxeBqtOLWbD
Tb87ImWM6pICruXxVRpSj6sMTGA8InDq0e2nDhuSmMoYQ+nnpD8rYWt/cPyuAPT0lOgu0l8Xc3Ud
bfXIa4/pw1YGG+2tjT/+fB+ZwTRLTDNDu2uze5XpeP2H6nEdQPP+VHeQ7ve4GiQhTG8r/f3X3lZV
/WdcFkTqEKUHbhrFpHrtbaU/oeCTyBLjEcGL9Vtvq/DPmG6BXuUh/gu0l0F1QUTq5lb8kD7aaMMB
cDzSSbS9rd4bc0qHu1v36rJpJAabwBOAKnoKQ8tKI54ez0b0Z/6A1LI86tnIC6XpoowTDJ8a9C4A
34GpPYpLS1IxrdM1k2781BU2+Sjro2Q78+EsdIv+szgAPoBTXDohcXUBiKE6yV+6m96iYu03Sdnv
yg4jYUdlka73tf362zqpX7d6sJV6ex/AeOC2eMuq09ox051G7JO/UJ/kPoGd5ml0zKNFmPlV2qa9
Jf5b2/bPTNd2dR13fkjb1nf+yPxuuvfLr19dbet1rd2/Yj6V2Vj9k/ovLxwzMZIXu6x+UDLd4meJ
RXcUGMxtwnNN/zYrD7aif72Xxwij/s/J2QZ0mrNpTTYxYIDXdGhbO3XP2lKlPDZrMpQoBfxsTRTh
Tn/BsoC2CbalO34hxjJMakJ0uzSA3JbseWIGL3ZnQhyDlQZa1NKauOG5nhEsO5cp/UdaU6Sbp8W0
belPSNnYtUjL7NqSnZIEV8NnRAPIL+0JPxiJYRGjrClRPmA2ZP3H91+7B7P5MOIda8uGWUKamwXE
Q3u6z2ZgbojpGTUpygZgNtV//D02HFKDX9E49tU4C8jx7T9/5V91RrAQ/oyvQJDhgcicF+Yk0GH/
xz0J+JWAEsOMPOD9ArwcvZ39P+PB+GaCUwk6U8MPmcOhUce291ozE58sGbK0Brot2Sl9+MLgkK6n
AZW25PXwJUw7f702Tc8JrL8dWkaGZd92mTuKemMmAWCEEvokHlqHFkK1XUdHPvsgbQ7fcA5cvXqH
1VPLg6a5hDmZmcvONMM/0k74uVO5B4GJYcW7q1U+WUsz8tUqoV7WPn0O3H+lP6UwRvSwqY1yVmvD
zk3TVuHxRE+I4e+yiUb/2grRhWkktXFVfcPtyygMDK/+O8bgQji4/YrXSCUtAKxVU6peRwmhsbaf
otuJk2a+kb5eipridgEOOz8BkNVSYO8cwpqLFOeiLU+ejYAYGakJVayg9btt6d4djqO0ZQEQyD6Z
BjX06y1WO6Z1+W13/OBkL4aDi3rAkUDIjcMCRkSMDpUReEKBySg01AnxWMAz2JOkcKht+YJHKrUN
zzvIF5rNarvA1ABUW+fC9MzA+KfOWfpiYsofHnmqMJ/ojYWRsjQ6OglshmcItrZf/Cl04SUwXAOM
Kw+6gcXuliLhtWXVE8kNr7FZDpL5EcfrpBXDz0lGWCcd5XLtN75nZKL5vz1V3XOiyET3XH1pa5JU
KSjI5KKVBdNjETVHdS9q/+of/573hyAawn3HYk8o79yxT25RJ5V07glqu2EvHrogWBQroxoQIwcx
dQydbCc/+we6oIDpF/+Mro63MBqIlRxE+ixAqCxh7jgHG/iMpBmcglpSq9eNw9OgmZ7lEMY4pLmD
tvpIC1MwtlIcF2ayMa0wbwR8aXFH61WgoRPCGJq0jb41WeJZ1AGrKVFe04a3tnRHZuAbiVsTomRp
h1tbspcJ2MDaPSoHgRunUJ8sE2ijRdvd6hvzxW6Q5cDbcydoMoGHWj83ktA8pL95RGTPEyN4MWuW
UnGg7R1tGTxxFonhIbhWk6KEKXhpa8JAGg5Ss6wpVXQ5+MMThISMgCXLgw9IULPcpXOV2zJBT0J4
oIxqqMBa29K9IDALE4YJQMRov9/Llz3lgHIEDnQzw2N3S2s12nLhykwaAobZCRzIwlG4NUqTxbTm
8QLdGFkj41hBErflw42DQvqmaYKyz/asmHphbrgNAZY58PjGgV7P4KFlpsPyWeag3m9IYfqLkCRW
zQKqfUTaLdaW17ehtwRPakIVXR5B1lsEw15CliyHK3JLdTtDlY7OasuEO5PGIukLylhTwGrnQDtM
1o20I4+nGfHZhtWD/rz2u31ADJ5YBpPvRz9ke8KPIV459uIBVKQ9XXqjzSZhWtDXViamldZENpoR
YkzW40A6QminJkNvHKa91H98vw8+RQxkgaB0TakizCW7tEYCgt0vDydpunayzfbWsVvmIG0zNwGL
GeMSMyLrZd7P49c4xzXCGsuQdRspGl1bmXuGcUVzjzoKgWpq1THSRuS2xKGR8UCZVsIKNA+vZmom
jbIbVNu13zEizmaV7DIY6cOYLR6FTVW6EYbRy4HBHYDk5vBYXWPASc5wGyE3zFPgYNh++Xeq/g+5
ZrQ4mOKHYmQ06sBRdHl6uR8XWkNHzZ+yuuOzZeO1oyH6+hbQa8zhEp9BYy4MZ8US5mBiniV+8xnl
8CZpRmB5xtJM7V0+8HBqblF+hnASQ5bHhm3SPDQOD76WkMB0dvcqcdirbsAnWLI2FZ0I0/ahmCYO
zcO7jJ3N43lDIRibQ+HhG12ESDFc0/+bnj3WH09vGxCm6j++/8G/RDR7rwwC0CBcKLNHh2mD7ale
GRGrGtAf0Z7qdZlY5aapzkQeCcHtK4xJgY3EL4+0YFVjAtnYo81BMK6NDUYH77OEw72+McK0PrNK
kGnbRNtLDTvHCPeuCI/qaNiVFkrPGW0hUkS59lv2lk5usrxQObx1CCIYZaN0qgLqarvjOzNquM60
a7ItVVq6jDjmIWMPuHI86Lt7pgqaeTgQRpE/MtFwxJgzBOZee9pTuGAGZiayPh7t+2zL7ifbcJqx
FfR1cyBsrABA0lQZPYpe23rPhrNm9T5gJDmQJYlLzcK9PfPQSLPNwjzADh5BzWfHzNBFUDNg60Jz
ELp7JKHDvHOZoRku6vzUGWdoqc/I683cXQ7DdOkM3bbn+rrgNWpPUttJsGT9r86hRfsyj2joNEK1
qVce0jcA4eJh+9w6yyVc+zFGY9Y8omckA4D32ClBi7ypE+qVa1PbcUNaJfVT5+u/bovYdhdFfwEG
YXBwyatXxcABJY73v//2H6lrlEZnkpQGirR+6lwYC0RA61Nj9CHg1VSJR3fHk+OHSfcGY0UZrYiR
8JjNJdUf/X5jeGrCKXBrcU9/GjlGCCxsfNUHOvOVjXQALBEI/O0XHYXuMgQDnwwXbqTjM3YGBc0H
dkT7Va4NgvJapjgB/UyAKedTgNj1nO4L8v7dNCX1Zrc+SrUGhzQDwtXWAcocdNCNEWUodDxA/OTD
9eMCS1tVUvdj6rRTlcr9N3aP7u7/9T/f/asxLdute1+Zteqf1H95rHZOM2warGb4y+HYMIqzURzE
455M4PagDSFxIma/Agcn8xL1IAxRCvjY9gG9TBPDZGWXR64Fe43rzVX3mEdC5CpMlg0W8IhzX5O1
4TDvrEjnSLfl7I2J6sHGnGwez+g98oT17irWUgTptpv9gJndTKxQ5NEDMjXI0umcJUYz+cGj3WNa
NmrwMKCsPSNeE1h0z52x79C2IsYWAV5l+0U+wgLpIPTLPKdAqW5P+VcT7khNhkpHBZLfVjruwg6E
7i9pp+n2IX9SL/Z+q2lCM/WdKVks4Ueht5C5ipjMwkMtP5Fgccheh3UB6BUehQFnC9K5JSljfb1S
58Cjf3kcT8ePz+PRv3ao8NC+sD35xxgQ1ItLmDgx6GHMlwz0/lOHc+ix/j5ty33Ey+vH/73Wxx8Q
u8Kz0B3LyAAHdXFG44cM0ZMHe7ojQQuzFCERhiyFfWmrKzSEQ1gNdNIKfsNmEU8Ilk69O6rYeERY
dNtY7tLkUQHxaEZk4TkvNC+PoqkOcIotxvHjUU03Mv3wBW8Tljm9HgcJRCbNTELWmDmtXU6fq46u
7IQN5isc4qo6hBhFzp2zz9tW9ZpHu2fN47XVjcjsPJvJkgknUNzJtrdotHJQzsj2sqoc3pGxVUbM
+0rHb7TdLCZvGgj0OeD4fofi6cal02IyThzgiTGqikf5zDiznTBi1TWPiMwTrv0EuWeWMo9W0AmC
ZIxypch7bY9vglIMhrenC2JOH9m+IIg8qhn1L/+dmZ3lXy7z0GFTGxiE0J4V12ZQMqyg5TetGXzj
LJpWAcYKc6BrYpiWzTwuqJ7iQNdZNLjAA73iFnFey0hfGn4mj2cExfthxsZ0MZSvPSNoxHrNWB2A
leRCtkGUwy2+xUP60iwo5yC8t2jIRxCPMF6wqHJ4pbeUm0XPIo9n7jbcUP0bN4APePS93Tkw8WsZ
qOIvPJ6Miir7XogUJrK1bq8QA7qak6Zss7oI7MDW1B+//J0EaLmvKVXs4NFG9QjPpIkCxMGMnZrl
i216XiOkI3DwULalNFuDc5cdwMet//j+CAnySmaj5wBzCTnQBQxjYnRuTJRw1dSqoBGPSqsp0nmN
qheMH6+XacEM4EMxEofpW+2pPmFsQk2lYoHE4YGefvnPsPMU+l/+XrU6PyRf/it4cSKW1zwQahDe
chr1Oihsrr/n/bx+MoJNU0FjvFt7wjNr74LzqMzUUI+BEsrOuZGyp8mjkPLO8J2GTY+B2e15MUYc
BninTk2pEj8eD+ynPR8EUND1Ku8Xik+OvzAWa1aKeSQhtjp0une/eXSZaSgOeYIxx6S6ECxtz46z
RcmWLvdRsYTSzyEdwotgLPp/T16YHxeHlTBcQnhTJBa53ADmyB4oMHzB36yUn8MX0whO/M5LSBCf
KR9NC7bDj0IZrkJD9enTK0cj0g2L6PWT31hV8xWkjfUgKT5nO7pNzX7AKf22nY5JErKvEADY9oOf
30Z0W6h8toWHrL94+5QC+7z+i1rtfBvtCt1kz5pAXVBL1r5abft73oJrtzq2e3oTWJP+EEJoqzUe
kLa1mjAcKi35kav5esCaB5rR0YAk/Lo31YxBZoyGIAKXfiD3MIRRhpYD1Jl0NK371oU0dDAjrj2t
oBxrsakuqIDquiHmE2IeI+ZdDodHQ7hvXe4WQZQIVXA+e1RIpmFMM4YIYVgxyt8UdV+Ed5XYG5l4
a1h2Yi6Yr8LIFfq/AQav0AHqx4t/3/pVOgBqFgsIIHDjDrZuYxAPIK7ARQm9tZg/MTwaL9ku++Ne
KQgz+P/nyxfqiLyyfi4P43oCaJM9uBsePeq3ZuE0Qkw8cN63QH4P1Bk1K0fplkZuPDau0DsN/Xw6
Kv1a3bGvWzDqvr6U9Qu1c73feLu/pp323xPMox7smRc7K3zzva53SxUjIuu4zEexbX/0Be4f0HJt
r/OuOqKHhtrF3b8aw8TYKT783R9xxGLfnvL3/a6t0FclFPUX1xs4WlQJqOoN68LxuAEhOiE6j03U
dg6Uxx4Ax728OWaCjg426UG3mAsC9OPMRKyKMdv3jfad2/pGfYDOyyW1muotbu8qB5fzDgyupjUw
lI8qmDdu+QEPEltBjsFR9Sq/pxkPXa0jd5Hjhfuq+WqRf28p0e4nnNYl77xzZwlZMEK25xV9u4zB
6XQwCaN6NjUjWTTB80+d3ek3E9VHxPHY28GjjYzuFteZvR0cIvE0+46ScYgxQ5pHcahulKiDPFRH
yKMpS29IB49U4yj0EVlkh2jwiAHWdIOv9Ue1oFElx6MHFUZs0zbmUaYJZb+EaUnY8AePZNgFisiZ
GK7Io6XoCnLcOD/MiquZ/Xsa+fStBjo3jTk3M6Q8qq8ojk5KE0tZvc3q4Tvqrb/1eQLGZBZSA4MN
7/MoQ956IddOlm0Rre/M3GE1CI+Gxe0qN+SFDTdgOGPNrPefKUDPA2dpLKvH4ClcIDRUE6Un0OOB
aPiEDMuWPzrkElNPDqDe93gUzWwZ9ewAAhUo7xTLh1ZTbrXCXsM0j/oUjZY5pHbn2Uks56CSR311
zc/3H9JsenSFk8bW6autAVmwURzV42En67BlgZFQs6ASKR61D1ODtYowvrVe4/1sRvt71hkTuCPN
2pUej7qKrXTChMnsL3/3TL+sd0y5gunW9R9bfsCtgRXYhg4klnjUbG4/YPsKdP66hRr+W71r+hES
woInXZVds3n86m9/H8ufutp/SmQsiCxKl9nXgQdcI9Izn0Ovnuu0e9Iq4OIQPhpi4LEoDzD34HRR
6Y8790PJje/r/B369p3hrsxm6jvxpp+/BjLo5TuUWWEIU73yR+zVnZghXk/GyeWBwPJI0kbuqcfD
uH768j+oFynZMNhpKP9DEvB9tN6hrM33lYtD3/4m6T4V9dmR/v6BRN+f8CsPZBj/YF954rC3CohO
GDfgrGcHlN3p36i/+ACJHYl4LU/4mqiulmLHRrM1DbXdBZuEFq3suJc7C9UEKnOnqoOhqfDXj975
vRrBgBXh9/zCzidtU5q/5d4PfNLBiop/gC+jhTTHjuo1C9cACa4/jPxWG7RDZofbu8f2m2B8r2Oj
icI3fBybYnzXt/0mId/p22ju+dinsdnqf5RvovVtRz+rtoW3HxShGd3cKozvxHY61eUY29k5MO9i
+3e/JhQV6Ng3jUySpS/2Lp7A//uHnTrO1/zxi4fJpT//HwAAAP//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clusteredColumn" uniqueId="{2F81D788-4E98-4901-BA3A-2BF9343EFB28}">
          <cx:dataId val="0"/>
          <cx:layoutPr>
            <cx:binning intervalClosed="r">
              <cx:binSize val="2"/>
            </cx:binning>
          </cx:layoutPr>
        </cx:series>
      </cx:plotAreaRegion>
      <cx:axis id="0">
        <cx:catScaling gapWidth="0"/>
        <cx:tick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65000"/>
                  <a:lumOff val="35000"/>
                </a:sysClr>
              </a:solidFill>
              <a:latin typeface="Calibri" panose="020F0502020204030204"/>
            </a:endParaRPr>
          </a:p>
        </cx:txPr>
      </cx:axis>
      <cx:axis id="1" hidden="1">
        <cx:valScaling/>
        <cx:tickLabels/>
      </cx:axis>
    </cx:plotArea>
  </cx:chart>
  <cx:spPr>
    <a:ln>
      <a:noFill/>
    </a:ln>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2.png"/><Relationship Id="rId5" Type="http://schemas.openxmlformats.org/officeDocument/2006/relationships/chart" Target="../charts/chart12.xml"/><Relationship Id="rId4"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0</xdr:row>
      <xdr:rowOff>219075</xdr:rowOff>
    </xdr:from>
    <xdr:to>
      <xdr:col>4</xdr:col>
      <xdr:colOff>609600</xdr:colOff>
      <xdr:row>3</xdr:row>
      <xdr:rowOff>0</xdr:rowOff>
    </xdr:to>
    <xdr:pic>
      <xdr:nvPicPr>
        <xdr:cNvPr id="2" name="Picture 4">
          <a:extLst>
            <a:ext uri="{FF2B5EF4-FFF2-40B4-BE49-F238E27FC236}">
              <a16:creationId xmlns:a16="http://schemas.microsoft.com/office/drawing/2014/main" id="{54DB6D73-9FE9-4881-9421-5720ECAC4C0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1936" b="30645"/>
        <a:stretch/>
      </xdr:blipFill>
      <xdr:spPr>
        <a:xfrm>
          <a:off x="1066800" y="219075"/>
          <a:ext cx="1581150" cy="571500"/>
        </a:xfrm>
        <a:prstGeom prst="rect">
          <a:avLst/>
        </a:prstGeom>
      </xdr:spPr>
    </xdr:pic>
    <xdr:clientData/>
  </xdr:twoCellAnchor>
  <xdr:twoCellAnchor>
    <xdr:from>
      <xdr:col>34</xdr:col>
      <xdr:colOff>347382</xdr:colOff>
      <xdr:row>25</xdr:row>
      <xdr:rowOff>36634</xdr:rowOff>
    </xdr:from>
    <xdr:to>
      <xdr:col>38</xdr:col>
      <xdr:colOff>158750</xdr:colOff>
      <xdr:row>36</xdr:row>
      <xdr:rowOff>145676</xdr:rowOff>
    </xdr:to>
    <xdr:graphicFrame macro="">
      <xdr:nvGraphicFramePr>
        <xdr:cNvPr id="5" name="Chart 5">
          <a:extLst>
            <a:ext uri="{FF2B5EF4-FFF2-40B4-BE49-F238E27FC236}">
              <a16:creationId xmlns:a16="http://schemas.microsoft.com/office/drawing/2014/main" id="{4883C9AD-DCD9-4A8B-880E-8B0A37AB913E}"/>
            </a:ext>
            <a:ext uri="{147F2762-F138-4A5C-976F-8EAC2B608ADB}">
              <a16:predDERef xmlns:a16="http://schemas.microsoft.com/office/drawing/2014/main" pred="{54DB6D73-9FE9-4881-9421-5720ECAC4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45</xdr:row>
      <xdr:rowOff>85725</xdr:rowOff>
    </xdr:from>
    <xdr:to>
      <xdr:col>5</xdr:col>
      <xdr:colOff>38402</xdr:colOff>
      <xdr:row>56</xdr:row>
      <xdr:rowOff>59851</xdr:rowOff>
    </xdr:to>
    <xdr:graphicFrame macro="">
      <xdr:nvGraphicFramePr>
        <xdr:cNvPr id="10" name="Chart 9">
          <a:extLst>
            <a:ext uri="{FF2B5EF4-FFF2-40B4-BE49-F238E27FC236}">
              <a16:creationId xmlns:a16="http://schemas.microsoft.com/office/drawing/2014/main" id="{F4642457-7651-4A77-B2D6-7C3D2C57EB49}"/>
            </a:ext>
            <a:ext uri="{147F2762-F138-4A5C-976F-8EAC2B608ADB}">
              <a16:predDERef xmlns:a16="http://schemas.microsoft.com/office/drawing/2014/main" pred="{4883C9AD-DCD9-4A8B-880E-8B0A37AB9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45</xdr:row>
      <xdr:rowOff>66675</xdr:rowOff>
    </xdr:from>
    <xdr:to>
      <xdr:col>8</xdr:col>
      <xdr:colOff>668618</xdr:colOff>
      <xdr:row>56</xdr:row>
      <xdr:rowOff>109042</xdr:rowOff>
    </xdr:to>
    <xdr:graphicFrame macro="">
      <xdr:nvGraphicFramePr>
        <xdr:cNvPr id="11" name="Chart 10">
          <a:extLst>
            <a:ext uri="{FF2B5EF4-FFF2-40B4-BE49-F238E27FC236}">
              <a16:creationId xmlns:a16="http://schemas.microsoft.com/office/drawing/2014/main" id="{5FD0E85C-31FF-44A0-AE27-6F64F0D40182}"/>
            </a:ext>
            <a:ext uri="{147F2762-F138-4A5C-976F-8EAC2B608ADB}">
              <a16:predDERef xmlns:a16="http://schemas.microsoft.com/office/drawing/2014/main" pred="{F4642457-7651-4A77-B2D6-7C3D2C57E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179293</xdr:colOff>
      <xdr:row>58</xdr:row>
      <xdr:rowOff>33617</xdr:rowOff>
    </xdr:from>
    <xdr:to>
      <xdr:col>9</xdr:col>
      <xdr:colOff>11205</xdr:colOff>
      <xdr:row>76</xdr:row>
      <xdr:rowOff>168088</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9525</xdr:colOff>
      <xdr:row>25</xdr:row>
      <xdr:rowOff>9524</xdr:rowOff>
    </xdr:from>
    <xdr:to>
      <xdr:col>11</xdr:col>
      <xdr:colOff>190500</xdr:colOff>
      <xdr:row>30</xdr:row>
      <xdr:rowOff>57149</xdr:rowOff>
    </xdr:to>
    <xdr:graphicFrame macro="">
      <xdr:nvGraphicFramePr>
        <xdr:cNvPr id="4" name="Chart 1">
          <a:extLst>
            <a:ext uri="{FF2B5EF4-FFF2-40B4-BE49-F238E27FC236}">
              <a16:creationId xmlns:a16="http://schemas.microsoft.com/office/drawing/2014/main" id="{E0074C46-4840-49BD-9389-4223A615C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952500</xdr:colOff>
      <xdr:row>25</xdr:row>
      <xdr:rowOff>19050</xdr:rowOff>
    </xdr:from>
    <xdr:to>
      <xdr:col>13</xdr:col>
      <xdr:colOff>866775</xdr:colOff>
      <xdr:row>30</xdr:row>
      <xdr:rowOff>66675</xdr:rowOff>
    </xdr:to>
    <xdr:graphicFrame macro="">
      <xdr:nvGraphicFramePr>
        <xdr:cNvPr id="5" name="Chart 2">
          <a:extLst>
            <a:ext uri="{FF2B5EF4-FFF2-40B4-BE49-F238E27FC236}">
              <a16:creationId xmlns:a16="http://schemas.microsoft.com/office/drawing/2014/main" id="{D1AAE182-763F-462A-9659-6C77C4F765F1}"/>
            </a:ext>
            <a:ext uri="{147F2762-F138-4A5C-976F-8EAC2B608ADB}">
              <a16:predDERef xmlns:a16="http://schemas.microsoft.com/office/drawing/2014/main" pred="{E0074C46-4840-49BD-9389-4223A615C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88142</xdr:colOff>
      <xdr:row>2</xdr:row>
      <xdr:rowOff>135341</xdr:rowOff>
    </xdr:from>
    <xdr:to>
      <xdr:col>21</xdr:col>
      <xdr:colOff>938893</xdr:colOff>
      <xdr:row>30</xdr:row>
      <xdr:rowOff>54429</xdr:rowOff>
    </xdr:to>
    <mc:AlternateContent xmlns:mc="http://schemas.openxmlformats.org/markup-compatibility/2006">
      <mc:Choice xmlns:cx4="http://schemas.microsoft.com/office/drawing/2016/5/10/chartex" xmlns="" Requires="cx4">
        <xdr:graphicFrame macro="">
          <xdr:nvGraphicFramePr>
            <xdr:cNvPr id="3" name="Chart 2">
              <a:extLst>
                <a:ext uri="{FF2B5EF4-FFF2-40B4-BE49-F238E27FC236}">
                  <a16:creationId xmlns:a16="http://schemas.microsoft.com/office/drawing/2014/main" id="{3F00C8F1-C250-85E1-C086-1D729CDCF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2" name="Rectangle 1">
              <a:extLst>
                <a:ext uri="{FF2B5EF4-FFF2-40B4-BE49-F238E27FC236}">
                  <a16:creationId xmlns:a16="http://schemas.microsoft.com/office/drawing/2014/main" id="{00000000-0008-0000-0100-000002000000}"/>
                </a:ext>
              </a:extLst>
            </xdr:cNvPr>
            <xdr:cNvSpPr>
              <a:spLocks noTextEdit="1"/>
            </xdr:cNvSpPr>
          </xdr:nvSpPr>
          <xdr:spPr>
            <a:xfrm>
              <a:off x="13682222" y="562061"/>
              <a:ext cx="7571591" cy="4978768"/>
            </a:xfrm>
            <a:prstGeom prst="rect">
              <a:avLst/>
            </a:prstGeom>
            <a:solidFill>
              <a:prstClr val="white"/>
            </a:solidFill>
            <a:ln w="1">
              <a:solidFill>
                <a:prstClr val="green"/>
              </a:solidFill>
            </a:ln>
          </xdr:spPr>
          <xdr:txBody>
            <a:bodyPr vertOverflow="clip" horzOverflow="clip"/>
            <a:lstStyle/>
            <a:p>
              <a:r>
                <a:rPr lang="pt-PT" sz="1100"/>
                <a:t>Este gráfico não está disponível na sua versão do Excel.
Editar esta forma ou guardar este livro num formato de ficheiro diferente irá indisponibilizar o gráfico de forma permanente.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208189</xdr:colOff>
      <xdr:row>43</xdr:row>
      <xdr:rowOff>126546</xdr:rowOff>
    </xdr:from>
    <xdr:to>
      <xdr:col>10</xdr:col>
      <xdr:colOff>884464</xdr:colOff>
      <xdr:row>73</xdr:row>
      <xdr:rowOff>40821</xdr:rowOff>
    </xdr:to>
    <xdr:graphicFrame macro="">
      <xdr:nvGraphicFramePr>
        <xdr:cNvPr id="2" name="Chart 1">
          <a:extLst>
            <a:ext uri="{FF2B5EF4-FFF2-40B4-BE49-F238E27FC236}">
              <a16:creationId xmlns:a16="http://schemas.microsoft.com/office/drawing/2014/main" id="{2B970C78-FE9E-D18A-443E-F057966A6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493486</xdr:colOff>
      <xdr:row>27</xdr:row>
      <xdr:rowOff>11794</xdr:rowOff>
    </xdr:from>
    <xdr:to>
      <xdr:col>15</xdr:col>
      <xdr:colOff>54429</xdr:colOff>
      <xdr:row>39</xdr:row>
      <xdr:rowOff>81644</xdr:rowOff>
    </xdr:to>
    <xdr:graphicFrame macro="">
      <xdr:nvGraphicFramePr>
        <xdr:cNvPr id="3" name="Chart 2">
          <a:extLst>
            <a:ext uri="{FF2B5EF4-FFF2-40B4-BE49-F238E27FC236}">
              <a16:creationId xmlns:a16="http://schemas.microsoft.com/office/drawing/2014/main" id="{7E1C6EAB-A86E-10DF-7988-04E61C398746}"/>
            </a:ext>
            <a:ext uri="{147F2762-F138-4A5C-976F-8EAC2B608ADB}">
              <a16:predDERef xmlns:a16="http://schemas.microsoft.com/office/drawing/2014/main" pred="{2B970C78-FE9E-D18A-443E-F057966A6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7</xdr:col>
      <xdr:colOff>0</xdr:colOff>
      <xdr:row>18</xdr:row>
      <xdr:rowOff>0</xdr:rowOff>
    </xdr:from>
    <xdr:ext cx="304800" cy="308437"/>
    <xdr:sp macro="" textlink="">
      <xdr:nvSpPr>
        <xdr:cNvPr id="2" name="AutoShape 231" descr="Resultado de imagen para beer consumption trend">
          <a:extLst>
            <a:ext uri="{FF2B5EF4-FFF2-40B4-BE49-F238E27FC236}">
              <a16:creationId xmlns:a16="http://schemas.microsoft.com/office/drawing/2014/main" id="{D8C9DF03-DA08-4863-A26C-FDC75B601502}"/>
            </a:ext>
          </a:extLst>
        </xdr:cNvPr>
        <xdr:cNvSpPr>
          <a:spLocks noChangeAspect="1" noChangeArrowheads="1"/>
        </xdr:cNvSpPr>
      </xdr:nvSpPr>
      <xdr:spPr bwMode="auto">
        <a:xfrm>
          <a:off x="13296900" y="136874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8437"/>
    <xdr:sp macro="" textlink="">
      <xdr:nvSpPr>
        <xdr:cNvPr id="3" name="AutoShape 232" descr="Resultado de imagen para beer consumption trend">
          <a:extLst>
            <a:ext uri="{FF2B5EF4-FFF2-40B4-BE49-F238E27FC236}">
              <a16:creationId xmlns:a16="http://schemas.microsoft.com/office/drawing/2014/main" id="{FF7AFE3D-6EE3-477E-BF50-626D16901589}"/>
            </a:ext>
            <a:ext uri="{147F2762-F138-4A5C-976F-8EAC2B608ADB}">
              <a16:predDERef xmlns:a16="http://schemas.microsoft.com/office/drawing/2014/main" pred="{D8C9DF03-DA08-4863-A26C-FDC75B601502}"/>
            </a:ext>
          </a:extLst>
        </xdr:cNvPr>
        <xdr:cNvSpPr>
          <a:spLocks noChangeAspect="1" noChangeArrowheads="1"/>
        </xdr:cNvSpPr>
      </xdr:nvSpPr>
      <xdr:spPr bwMode="auto">
        <a:xfrm>
          <a:off x="13296900" y="115347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304800" cy="306171"/>
    <xdr:sp macro="" textlink="">
      <xdr:nvSpPr>
        <xdr:cNvPr id="4" name="AutoShape 233" descr="Resultado de imagen para beer consumption trend">
          <a:extLst>
            <a:ext uri="{FF2B5EF4-FFF2-40B4-BE49-F238E27FC236}">
              <a16:creationId xmlns:a16="http://schemas.microsoft.com/office/drawing/2014/main" id="{95C6B25A-8596-4ABD-AC75-60E41803D40C}"/>
            </a:ext>
            <a:ext uri="{147F2762-F138-4A5C-976F-8EAC2B608ADB}">
              <a16:predDERef xmlns:a16="http://schemas.microsoft.com/office/drawing/2014/main" pred="{FF7AFE3D-6EE3-477E-BF50-626D16901589}"/>
            </a:ext>
          </a:extLst>
        </xdr:cNvPr>
        <xdr:cNvSpPr>
          <a:spLocks noChangeAspect="1" noChangeArrowheads="1"/>
        </xdr:cNvSpPr>
      </xdr:nvSpPr>
      <xdr:spPr bwMode="auto">
        <a:xfrm>
          <a:off x="11153775" y="16716375"/>
          <a:ext cx="304800" cy="3061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5262"/>
    <xdr:sp macro="" textlink="">
      <xdr:nvSpPr>
        <xdr:cNvPr id="5" name="AutoShape 231" descr="Resultado de imagen para beer consumption trend">
          <a:extLst>
            <a:ext uri="{FF2B5EF4-FFF2-40B4-BE49-F238E27FC236}">
              <a16:creationId xmlns:a16="http://schemas.microsoft.com/office/drawing/2014/main" id="{27CB644A-C72E-410A-A774-B414C3629665}"/>
            </a:ext>
            <a:ext uri="{147F2762-F138-4A5C-976F-8EAC2B608ADB}">
              <a16:predDERef xmlns:a16="http://schemas.microsoft.com/office/drawing/2014/main" pred="{95C6B25A-8596-4ABD-AC75-60E41803D40C}"/>
            </a:ext>
          </a:extLst>
        </xdr:cNvPr>
        <xdr:cNvSpPr>
          <a:spLocks noChangeAspect="1" noChangeArrowheads="1"/>
        </xdr:cNvSpPr>
      </xdr:nvSpPr>
      <xdr:spPr bwMode="auto">
        <a:xfrm>
          <a:off x="13296900" y="136874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9071"/>
    <xdr:sp macro="" textlink="">
      <xdr:nvSpPr>
        <xdr:cNvPr id="6" name="AutoShape 232" descr="Resultado de imagen para beer consumption trend">
          <a:extLst>
            <a:ext uri="{FF2B5EF4-FFF2-40B4-BE49-F238E27FC236}">
              <a16:creationId xmlns:a16="http://schemas.microsoft.com/office/drawing/2014/main" id="{915E61C7-2171-488F-8F0A-761586D1E368}"/>
            </a:ext>
            <a:ext uri="{147F2762-F138-4A5C-976F-8EAC2B608ADB}">
              <a16:predDERef xmlns:a16="http://schemas.microsoft.com/office/drawing/2014/main" pred="{27CB644A-C72E-410A-A774-B414C3629665}"/>
            </a:ext>
          </a:extLst>
        </xdr:cNvPr>
        <xdr:cNvSpPr>
          <a:spLocks noChangeAspect="1" noChangeArrowheads="1"/>
        </xdr:cNvSpPr>
      </xdr:nvSpPr>
      <xdr:spPr bwMode="auto">
        <a:xfrm>
          <a:off x="13296900" y="115347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304800" cy="301207"/>
    <xdr:sp macro="" textlink="">
      <xdr:nvSpPr>
        <xdr:cNvPr id="7" name="AutoShape 233" descr="Resultado de imagen para beer consumption trend">
          <a:extLst>
            <a:ext uri="{FF2B5EF4-FFF2-40B4-BE49-F238E27FC236}">
              <a16:creationId xmlns:a16="http://schemas.microsoft.com/office/drawing/2014/main" id="{C8C94D2A-7BA8-439B-9B5E-C6AF4CDB3023}"/>
            </a:ext>
            <a:ext uri="{147F2762-F138-4A5C-976F-8EAC2B608ADB}">
              <a16:predDERef xmlns:a16="http://schemas.microsoft.com/office/drawing/2014/main" pred="{915E61C7-2171-488F-8F0A-761586D1E368}"/>
            </a:ext>
          </a:extLst>
        </xdr:cNvPr>
        <xdr:cNvSpPr>
          <a:spLocks noChangeAspect="1" noChangeArrowheads="1"/>
        </xdr:cNvSpPr>
      </xdr:nvSpPr>
      <xdr:spPr bwMode="auto">
        <a:xfrm>
          <a:off x="11153775" y="16716375"/>
          <a:ext cx="304800" cy="3012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0</xdr:colOff>
      <xdr:row>0</xdr:row>
      <xdr:rowOff>0</xdr:rowOff>
    </xdr:from>
    <xdr:to>
      <xdr:col>1</xdr:col>
      <xdr:colOff>304800</xdr:colOff>
      <xdr:row>1</xdr:row>
      <xdr:rowOff>152400</xdr:rowOff>
    </xdr:to>
    <xdr:sp macro="" textlink="">
      <xdr:nvSpPr>
        <xdr:cNvPr id="9" name="AutoShape 1" descr="Pilgrim's Pride Logo Vector Logo - Download Free SVG Icon | Worldvectorlogo">
          <a:extLst>
            <a:ext uri="{FF2B5EF4-FFF2-40B4-BE49-F238E27FC236}">
              <a16:creationId xmlns:a16="http://schemas.microsoft.com/office/drawing/2014/main" id="{FC049891-2D85-48FA-BFED-467BB4923281}"/>
            </a:ext>
            <a:ext uri="{147F2762-F138-4A5C-976F-8EAC2B608ADB}">
              <a16:predDERef xmlns:a16="http://schemas.microsoft.com/office/drawing/2014/main" pred="{C8C94D2A-7BA8-439B-9B5E-C6AF4CDB3023}"/>
            </a:ext>
          </a:extLst>
        </xdr:cNvPr>
        <xdr:cNvSpPr>
          <a:spLocks noChangeAspect="1" noChangeArrowheads="1"/>
        </xdr:cNvSpPr>
      </xdr:nvSpPr>
      <xdr:spPr bwMode="auto">
        <a:xfrm>
          <a:off x="28575" y="340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24</xdr:col>
      <xdr:colOff>0</xdr:colOff>
      <xdr:row>0</xdr:row>
      <xdr:rowOff>0</xdr:rowOff>
    </xdr:from>
    <xdr:to>
      <xdr:col>24</xdr:col>
      <xdr:colOff>304800</xdr:colOff>
      <xdr:row>1</xdr:row>
      <xdr:rowOff>152400</xdr:rowOff>
    </xdr:to>
    <xdr:sp macro="" textlink="">
      <xdr:nvSpPr>
        <xdr:cNvPr id="10" name="AutoShape 2" descr="Pilgrim's Pride Logo Vector Logo - Download Free SVG Icon | Worldvectorlogo">
          <a:extLst>
            <a:ext uri="{FF2B5EF4-FFF2-40B4-BE49-F238E27FC236}">
              <a16:creationId xmlns:a16="http://schemas.microsoft.com/office/drawing/2014/main" id="{1DBF6760-6CA6-42F1-A073-22F220F23BDF}"/>
            </a:ext>
            <a:ext uri="{147F2762-F138-4A5C-976F-8EAC2B608ADB}">
              <a16:predDERef xmlns:a16="http://schemas.microsoft.com/office/drawing/2014/main" pred="{FC049891-2D85-48FA-BFED-467BB4923281}"/>
            </a:ext>
          </a:extLst>
        </xdr:cNvPr>
        <xdr:cNvSpPr>
          <a:spLocks noChangeAspect="1" noChangeArrowheads="1"/>
        </xdr:cNvSpPr>
      </xdr:nvSpPr>
      <xdr:spPr bwMode="auto">
        <a:xfrm>
          <a:off x="32432625" y="4867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152400</xdr:rowOff>
    </xdr:to>
    <xdr:sp macro="" textlink="">
      <xdr:nvSpPr>
        <xdr:cNvPr id="11" name="AutoShape 1" descr="Pilgrim's Pride Logo Vector Logo - Download Free SVG Icon | Worldvectorlogo">
          <a:extLst>
            <a:ext uri="{FF2B5EF4-FFF2-40B4-BE49-F238E27FC236}">
              <a16:creationId xmlns:a16="http://schemas.microsoft.com/office/drawing/2014/main" id="{767F86A5-0936-4013-AEE3-9110DC0FC3C6}"/>
            </a:ext>
            <a:ext uri="{147F2762-F138-4A5C-976F-8EAC2B608ADB}">
              <a16:predDERef xmlns:a16="http://schemas.microsoft.com/office/drawing/2014/main" pred="{1DBF6760-6CA6-42F1-A073-22F220F23BDF}"/>
            </a:ext>
          </a:extLst>
        </xdr:cNvPr>
        <xdr:cNvSpPr>
          <a:spLocks noChangeAspect="1" noChangeArrowheads="1"/>
        </xdr:cNvSpPr>
      </xdr:nvSpPr>
      <xdr:spPr bwMode="auto">
        <a:xfrm>
          <a:off x="28575" y="340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8437"/>
    <xdr:sp macro="" textlink="">
      <xdr:nvSpPr>
        <xdr:cNvPr id="12" name="AutoShape 231" descr="Resultado de imagen para beer consumption trend">
          <a:extLst>
            <a:ext uri="{FF2B5EF4-FFF2-40B4-BE49-F238E27FC236}">
              <a16:creationId xmlns:a16="http://schemas.microsoft.com/office/drawing/2014/main" id="{B1E619D7-412F-414B-A5D4-9A0E21BBA939}"/>
            </a:ext>
            <a:ext uri="{147F2762-F138-4A5C-976F-8EAC2B608ADB}">
              <a16:predDERef xmlns:a16="http://schemas.microsoft.com/office/drawing/2014/main" pred="{767F86A5-0936-4013-AEE3-9110DC0FC3C6}"/>
            </a:ext>
          </a:extLst>
        </xdr:cNvPr>
        <xdr:cNvSpPr>
          <a:spLocks noChangeAspect="1" noChangeArrowheads="1"/>
        </xdr:cNvSpPr>
      </xdr:nvSpPr>
      <xdr:spPr bwMode="auto">
        <a:xfrm>
          <a:off x="1111567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8437"/>
    <xdr:sp macro="" textlink="">
      <xdr:nvSpPr>
        <xdr:cNvPr id="13" name="AutoShape 232" descr="Resultado de imagen para beer consumption trend">
          <a:extLst>
            <a:ext uri="{FF2B5EF4-FFF2-40B4-BE49-F238E27FC236}">
              <a16:creationId xmlns:a16="http://schemas.microsoft.com/office/drawing/2014/main" id="{0B74D170-E6E8-470A-9801-3D68BC0CB5AF}"/>
            </a:ext>
            <a:ext uri="{147F2762-F138-4A5C-976F-8EAC2B608ADB}">
              <a16:predDERef xmlns:a16="http://schemas.microsoft.com/office/drawing/2014/main" pred="{B1E619D7-412F-414B-A5D4-9A0E21BBA939}"/>
            </a:ext>
          </a:extLst>
        </xdr:cNvPr>
        <xdr:cNvSpPr>
          <a:spLocks noChangeAspect="1" noChangeArrowheads="1"/>
        </xdr:cNvSpPr>
      </xdr:nvSpPr>
      <xdr:spPr bwMode="auto">
        <a:xfrm>
          <a:off x="1111567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5262"/>
    <xdr:sp macro="" textlink="">
      <xdr:nvSpPr>
        <xdr:cNvPr id="14" name="AutoShape 231" descr="Resultado de imagen para beer consumption trend">
          <a:extLst>
            <a:ext uri="{FF2B5EF4-FFF2-40B4-BE49-F238E27FC236}">
              <a16:creationId xmlns:a16="http://schemas.microsoft.com/office/drawing/2014/main" id="{FD744A21-B4FB-4607-A092-536B05DFCD96}"/>
            </a:ext>
            <a:ext uri="{147F2762-F138-4A5C-976F-8EAC2B608ADB}">
              <a16:predDERef xmlns:a16="http://schemas.microsoft.com/office/drawing/2014/main" pred="{0B74D170-E6E8-470A-9801-3D68BC0CB5AF}"/>
            </a:ext>
          </a:extLst>
        </xdr:cNvPr>
        <xdr:cNvSpPr>
          <a:spLocks noChangeAspect="1" noChangeArrowheads="1"/>
        </xdr:cNvSpPr>
      </xdr:nvSpPr>
      <xdr:spPr bwMode="auto">
        <a:xfrm>
          <a:off x="11115675"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7C8EDBC0-F902-4BA6-98B9-9EA1A713070C}"/>
            </a:ext>
            <a:ext uri="{147F2762-F138-4A5C-976F-8EAC2B608ADB}">
              <a16:predDERef xmlns:a16="http://schemas.microsoft.com/office/drawing/2014/main" pred="{FD744A21-B4FB-4607-A092-536B05DFCD96}"/>
            </a:ext>
          </a:extLst>
        </xdr:cNvPr>
        <xdr:cNvSpPr>
          <a:spLocks noChangeAspect="1" noChangeArrowheads="1"/>
        </xdr:cNvSpPr>
      </xdr:nvSpPr>
      <xdr:spPr bwMode="auto">
        <a:xfrm>
          <a:off x="11115675"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8437"/>
    <xdr:sp macro="" textlink="">
      <xdr:nvSpPr>
        <xdr:cNvPr id="16" name="AutoShape 231" descr="Resultado de imagen para beer consumption trend">
          <a:extLst>
            <a:ext uri="{FF2B5EF4-FFF2-40B4-BE49-F238E27FC236}">
              <a16:creationId xmlns:a16="http://schemas.microsoft.com/office/drawing/2014/main" id="{3E764D9C-5554-40B8-BB30-00320572AF54}"/>
            </a:ext>
            <a:ext uri="{147F2762-F138-4A5C-976F-8EAC2B608ADB}">
              <a16:predDERef xmlns:a16="http://schemas.microsoft.com/office/drawing/2014/main" pred="{7C8EDBC0-F902-4BA6-98B9-9EA1A713070C}"/>
            </a:ext>
          </a:extLst>
        </xdr:cNvPr>
        <xdr:cNvSpPr>
          <a:spLocks noChangeAspect="1" noChangeArrowheads="1"/>
        </xdr:cNvSpPr>
      </xdr:nvSpPr>
      <xdr:spPr bwMode="auto">
        <a:xfrm>
          <a:off x="15068550"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8437"/>
    <xdr:sp macro="" textlink="">
      <xdr:nvSpPr>
        <xdr:cNvPr id="17" name="AutoShape 232" descr="Resultado de imagen para beer consumption trend">
          <a:extLst>
            <a:ext uri="{FF2B5EF4-FFF2-40B4-BE49-F238E27FC236}">
              <a16:creationId xmlns:a16="http://schemas.microsoft.com/office/drawing/2014/main" id="{88156D4E-2C43-49C6-87C0-841E57088092}"/>
            </a:ext>
            <a:ext uri="{147F2762-F138-4A5C-976F-8EAC2B608ADB}">
              <a16:predDERef xmlns:a16="http://schemas.microsoft.com/office/drawing/2014/main" pred="{3E764D9C-5554-40B8-BB30-00320572AF54}"/>
            </a:ext>
          </a:extLst>
        </xdr:cNvPr>
        <xdr:cNvSpPr>
          <a:spLocks noChangeAspect="1" noChangeArrowheads="1"/>
        </xdr:cNvSpPr>
      </xdr:nvSpPr>
      <xdr:spPr bwMode="auto">
        <a:xfrm>
          <a:off x="15068550"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5262"/>
    <xdr:sp macro="" textlink="">
      <xdr:nvSpPr>
        <xdr:cNvPr id="18" name="AutoShape 231" descr="Resultado de imagen para beer consumption trend">
          <a:extLst>
            <a:ext uri="{FF2B5EF4-FFF2-40B4-BE49-F238E27FC236}">
              <a16:creationId xmlns:a16="http://schemas.microsoft.com/office/drawing/2014/main" id="{35CC89AD-BD6E-4996-8A2A-B74F4FC8B037}"/>
            </a:ext>
            <a:ext uri="{147F2762-F138-4A5C-976F-8EAC2B608ADB}">
              <a16:predDERef xmlns:a16="http://schemas.microsoft.com/office/drawing/2014/main" pred="{88156D4E-2C43-49C6-87C0-841E57088092}"/>
            </a:ext>
          </a:extLst>
        </xdr:cNvPr>
        <xdr:cNvSpPr>
          <a:spLocks noChangeAspect="1" noChangeArrowheads="1"/>
        </xdr:cNvSpPr>
      </xdr:nvSpPr>
      <xdr:spPr bwMode="auto">
        <a:xfrm>
          <a:off x="15068550"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9071"/>
    <xdr:sp macro="" textlink="">
      <xdr:nvSpPr>
        <xdr:cNvPr id="19" name="AutoShape 232" descr="Resultado de imagen para beer consumption trend">
          <a:extLst>
            <a:ext uri="{FF2B5EF4-FFF2-40B4-BE49-F238E27FC236}">
              <a16:creationId xmlns:a16="http://schemas.microsoft.com/office/drawing/2014/main" id="{225EEE83-9DC8-4E68-BCE0-8915C5FDC753}"/>
            </a:ext>
            <a:ext uri="{147F2762-F138-4A5C-976F-8EAC2B608ADB}">
              <a16:predDERef xmlns:a16="http://schemas.microsoft.com/office/drawing/2014/main" pred="{35CC89AD-BD6E-4996-8A2A-B74F4FC8B037}"/>
            </a:ext>
          </a:extLst>
        </xdr:cNvPr>
        <xdr:cNvSpPr>
          <a:spLocks noChangeAspect="1" noChangeArrowheads="1"/>
        </xdr:cNvSpPr>
      </xdr:nvSpPr>
      <xdr:spPr bwMode="auto">
        <a:xfrm>
          <a:off x="15068550"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20" name="AutoShape 231" descr="Resultado de imagen para beer consumption trend">
          <a:extLst>
            <a:ext uri="{FF2B5EF4-FFF2-40B4-BE49-F238E27FC236}">
              <a16:creationId xmlns:a16="http://schemas.microsoft.com/office/drawing/2014/main" id="{33BD7492-7FD0-49C7-B9B6-8D6416AF52EB}"/>
            </a:ext>
            <a:ext uri="{147F2762-F138-4A5C-976F-8EAC2B608ADB}">
              <a16:predDERef xmlns:a16="http://schemas.microsoft.com/office/drawing/2014/main" pred="{225EEE83-9DC8-4E68-BCE0-8915C5FDC753}"/>
            </a:ext>
          </a:extLst>
        </xdr:cNvPr>
        <xdr:cNvSpPr>
          <a:spLocks noChangeAspect="1" noChangeArrowheads="1"/>
        </xdr:cNvSpPr>
      </xdr:nvSpPr>
      <xdr:spPr bwMode="auto">
        <a:xfrm>
          <a:off x="1902142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21" name="AutoShape 232" descr="Resultado de imagen para beer consumption trend">
          <a:extLst>
            <a:ext uri="{FF2B5EF4-FFF2-40B4-BE49-F238E27FC236}">
              <a16:creationId xmlns:a16="http://schemas.microsoft.com/office/drawing/2014/main" id="{092A7679-008F-44AA-B377-CFF8F78C52CC}"/>
            </a:ext>
            <a:ext uri="{147F2762-F138-4A5C-976F-8EAC2B608ADB}">
              <a16:predDERef xmlns:a16="http://schemas.microsoft.com/office/drawing/2014/main" pred="{33BD7492-7FD0-49C7-B9B6-8D6416AF52EB}"/>
            </a:ext>
          </a:extLst>
        </xdr:cNvPr>
        <xdr:cNvSpPr>
          <a:spLocks noChangeAspect="1" noChangeArrowheads="1"/>
        </xdr:cNvSpPr>
      </xdr:nvSpPr>
      <xdr:spPr bwMode="auto">
        <a:xfrm>
          <a:off x="1902142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5262"/>
    <xdr:sp macro="" textlink="">
      <xdr:nvSpPr>
        <xdr:cNvPr id="22" name="AutoShape 231" descr="Resultado de imagen para beer consumption trend">
          <a:extLst>
            <a:ext uri="{FF2B5EF4-FFF2-40B4-BE49-F238E27FC236}">
              <a16:creationId xmlns:a16="http://schemas.microsoft.com/office/drawing/2014/main" id="{F9BFD5E4-6430-4A57-BA5C-452AA1185D6E}"/>
            </a:ext>
            <a:ext uri="{147F2762-F138-4A5C-976F-8EAC2B608ADB}">
              <a16:predDERef xmlns:a16="http://schemas.microsoft.com/office/drawing/2014/main" pred="{092A7679-008F-44AA-B377-CFF8F78C52CC}"/>
            </a:ext>
          </a:extLst>
        </xdr:cNvPr>
        <xdr:cNvSpPr>
          <a:spLocks noChangeAspect="1" noChangeArrowheads="1"/>
        </xdr:cNvSpPr>
      </xdr:nvSpPr>
      <xdr:spPr bwMode="auto">
        <a:xfrm>
          <a:off x="19021425"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9071"/>
    <xdr:sp macro="" textlink="">
      <xdr:nvSpPr>
        <xdr:cNvPr id="23" name="AutoShape 232" descr="Resultado de imagen para beer consumption trend">
          <a:extLst>
            <a:ext uri="{FF2B5EF4-FFF2-40B4-BE49-F238E27FC236}">
              <a16:creationId xmlns:a16="http://schemas.microsoft.com/office/drawing/2014/main" id="{1CFF9D02-18D2-4666-9D9F-EDBD513B56AD}"/>
            </a:ext>
            <a:ext uri="{147F2762-F138-4A5C-976F-8EAC2B608ADB}">
              <a16:predDERef xmlns:a16="http://schemas.microsoft.com/office/drawing/2014/main" pred="{F9BFD5E4-6430-4A57-BA5C-452AA1185D6E}"/>
            </a:ext>
          </a:extLst>
        </xdr:cNvPr>
        <xdr:cNvSpPr>
          <a:spLocks noChangeAspect="1" noChangeArrowheads="1"/>
        </xdr:cNvSpPr>
      </xdr:nvSpPr>
      <xdr:spPr bwMode="auto">
        <a:xfrm>
          <a:off x="19021425"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8437"/>
    <xdr:sp macro="" textlink="">
      <xdr:nvSpPr>
        <xdr:cNvPr id="27" name="AutoShape 231" descr="Resultado de imagen para beer consumption trend">
          <a:extLst>
            <a:ext uri="{FF2B5EF4-FFF2-40B4-BE49-F238E27FC236}">
              <a16:creationId xmlns:a16="http://schemas.microsoft.com/office/drawing/2014/main" id="{D574E466-EF19-4AAA-B0F9-215A47A140FB}"/>
            </a:ext>
            <a:ext uri="{147F2762-F138-4A5C-976F-8EAC2B608ADB}">
              <a16:predDERef xmlns:a16="http://schemas.microsoft.com/office/drawing/2014/main" pred="{48860EEF-0E46-8F71-3C77-95DD878ADDC4}"/>
            </a:ext>
          </a:extLst>
        </xdr:cNvPr>
        <xdr:cNvSpPr>
          <a:spLocks noChangeAspect="1" noChangeArrowheads="1"/>
        </xdr:cNvSpPr>
      </xdr:nvSpPr>
      <xdr:spPr bwMode="auto">
        <a:xfrm>
          <a:off x="89916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8437"/>
    <xdr:sp macro="" textlink="">
      <xdr:nvSpPr>
        <xdr:cNvPr id="28" name="AutoShape 232" descr="Resultado de imagen para beer consumption trend">
          <a:extLst>
            <a:ext uri="{FF2B5EF4-FFF2-40B4-BE49-F238E27FC236}">
              <a16:creationId xmlns:a16="http://schemas.microsoft.com/office/drawing/2014/main" id="{E6AF3547-11DC-4531-8A3C-049B26E53090}"/>
            </a:ext>
            <a:ext uri="{147F2762-F138-4A5C-976F-8EAC2B608ADB}">
              <a16:predDERef xmlns:a16="http://schemas.microsoft.com/office/drawing/2014/main" pred="{D574E466-EF19-4AAA-B0F9-215A47A140FB}"/>
            </a:ext>
          </a:extLst>
        </xdr:cNvPr>
        <xdr:cNvSpPr>
          <a:spLocks noChangeAspect="1" noChangeArrowheads="1"/>
        </xdr:cNvSpPr>
      </xdr:nvSpPr>
      <xdr:spPr bwMode="auto">
        <a:xfrm>
          <a:off x="89916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5262"/>
    <xdr:sp macro="" textlink="">
      <xdr:nvSpPr>
        <xdr:cNvPr id="29" name="AutoShape 231" descr="Resultado de imagen para beer consumption trend">
          <a:extLst>
            <a:ext uri="{FF2B5EF4-FFF2-40B4-BE49-F238E27FC236}">
              <a16:creationId xmlns:a16="http://schemas.microsoft.com/office/drawing/2014/main" id="{D98E2B33-DA07-4B0E-B215-B8E03DF546B7}"/>
            </a:ext>
            <a:ext uri="{147F2762-F138-4A5C-976F-8EAC2B608ADB}">
              <a16:predDERef xmlns:a16="http://schemas.microsoft.com/office/drawing/2014/main" pred="{E6AF3547-11DC-4531-8A3C-049B26E53090}"/>
            </a:ext>
          </a:extLst>
        </xdr:cNvPr>
        <xdr:cNvSpPr>
          <a:spLocks noChangeAspect="1" noChangeArrowheads="1"/>
        </xdr:cNvSpPr>
      </xdr:nvSpPr>
      <xdr:spPr bwMode="auto">
        <a:xfrm>
          <a:off x="899160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9071"/>
    <xdr:sp macro="" textlink="">
      <xdr:nvSpPr>
        <xdr:cNvPr id="30" name="AutoShape 232" descr="Resultado de imagen para beer consumption trend">
          <a:extLst>
            <a:ext uri="{FF2B5EF4-FFF2-40B4-BE49-F238E27FC236}">
              <a16:creationId xmlns:a16="http://schemas.microsoft.com/office/drawing/2014/main" id="{67998A09-ACB4-41BD-AA83-86AB4AA6D8CB}"/>
            </a:ext>
            <a:ext uri="{147F2762-F138-4A5C-976F-8EAC2B608ADB}">
              <a16:predDERef xmlns:a16="http://schemas.microsoft.com/office/drawing/2014/main" pred="{D98E2B33-DA07-4B0E-B215-B8E03DF546B7}"/>
            </a:ext>
          </a:extLst>
        </xdr:cNvPr>
        <xdr:cNvSpPr>
          <a:spLocks noChangeAspect="1" noChangeArrowheads="1"/>
        </xdr:cNvSpPr>
      </xdr:nvSpPr>
      <xdr:spPr bwMode="auto">
        <a:xfrm>
          <a:off x="899160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8437"/>
    <xdr:sp macro="" textlink="">
      <xdr:nvSpPr>
        <xdr:cNvPr id="31" name="AutoShape 231" descr="Resultado de imagen para beer consumption trend">
          <a:extLst>
            <a:ext uri="{FF2B5EF4-FFF2-40B4-BE49-F238E27FC236}">
              <a16:creationId xmlns:a16="http://schemas.microsoft.com/office/drawing/2014/main" id="{2D7D8238-3BCF-4653-ACA9-5C09A0A3A469}"/>
            </a:ext>
            <a:ext uri="{147F2762-F138-4A5C-976F-8EAC2B608ADB}">
              <a16:predDERef xmlns:a16="http://schemas.microsoft.com/office/drawing/2014/main" pred="{67998A09-ACB4-41BD-AA83-86AB4AA6D8CB}"/>
            </a:ext>
          </a:extLst>
        </xdr:cNvPr>
        <xdr:cNvSpPr>
          <a:spLocks noChangeAspect="1" noChangeArrowheads="1"/>
        </xdr:cNvSpPr>
      </xdr:nvSpPr>
      <xdr:spPr bwMode="auto">
        <a:xfrm>
          <a:off x="1198245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8437"/>
    <xdr:sp macro="" textlink="">
      <xdr:nvSpPr>
        <xdr:cNvPr id="32" name="AutoShape 232" descr="Resultado de imagen para beer consumption trend">
          <a:extLst>
            <a:ext uri="{FF2B5EF4-FFF2-40B4-BE49-F238E27FC236}">
              <a16:creationId xmlns:a16="http://schemas.microsoft.com/office/drawing/2014/main" id="{5BED5983-2082-4FB4-9D13-5C051C89595A}"/>
            </a:ext>
            <a:ext uri="{147F2762-F138-4A5C-976F-8EAC2B608ADB}">
              <a16:predDERef xmlns:a16="http://schemas.microsoft.com/office/drawing/2014/main" pred="{2D7D8238-3BCF-4653-ACA9-5C09A0A3A469}"/>
            </a:ext>
          </a:extLst>
        </xdr:cNvPr>
        <xdr:cNvSpPr>
          <a:spLocks noChangeAspect="1" noChangeArrowheads="1"/>
        </xdr:cNvSpPr>
      </xdr:nvSpPr>
      <xdr:spPr bwMode="auto">
        <a:xfrm>
          <a:off x="1198245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5262"/>
    <xdr:sp macro="" textlink="">
      <xdr:nvSpPr>
        <xdr:cNvPr id="33" name="AutoShape 231" descr="Resultado de imagen para beer consumption trend">
          <a:extLst>
            <a:ext uri="{FF2B5EF4-FFF2-40B4-BE49-F238E27FC236}">
              <a16:creationId xmlns:a16="http://schemas.microsoft.com/office/drawing/2014/main" id="{68FB8A10-3B5A-4E91-B2E4-951DFB442228}"/>
            </a:ext>
            <a:ext uri="{147F2762-F138-4A5C-976F-8EAC2B608ADB}">
              <a16:predDERef xmlns:a16="http://schemas.microsoft.com/office/drawing/2014/main" pred="{5BED5983-2082-4FB4-9D13-5C051C89595A}"/>
            </a:ext>
          </a:extLst>
        </xdr:cNvPr>
        <xdr:cNvSpPr>
          <a:spLocks noChangeAspect="1" noChangeArrowheads="1"/>
        </xdr:cNvSpPr>
      </xdr:nvSpPr>
      <xdr:spPr bwMode="auto">
        <a:xfrm>
          <a:off x="1198245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9071"/>
    <xdr:sp macro="" textlink="">
      <xdr:nvSpPr>
        <xdr:cNvPr id="34" name="AutoShape 232" descr="Resultado de imagen para beer consumption trend">
          <a:extLst>
            <a:ext uri="{FF2B5EF4-FFF2-40B4-BE49-F238E27FC236}">
              <a16:creationId xmlns:a16="http://schemas.microsoft.com/office/drawing/2014/main" id="{AB4894ED-05C5-425B-BD0C-FE1769D4B92B}"/>
            </a:ext>
            <a:ext uri="{147F2762-F138-4A5C-976F-8EAC2B608ADB}">
              <a16:predDERef xmlns:a16="http://schemas.microsoft.com/office/drawing/2014/main" pred="{68FB8A10-3B5A-4E91-B2E4-951DFB442228}"/>
            </a:ext>
          </a:extLst>
        </xdr:cNvPr>
        <xdr:cNvSpPr>
          <a:spLocks noChangeAspect="1" noChangeArrowheads="1"/>
        </xdr:cNvSpPr>
      </xdr:nvSpPr>
      <xdr:spPr bwMode="auto">
        <a:xfrm>
          <a:off x="1198245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1" name="AutoShape 231" descr="Resultado de imagen para beer consumption trend">
          <a:extLst>
            <a:ext uri="{FF2B5EF4-FFF2-40B4-BE49-F238E27FC236}">
              <a16:creationId xmlns:a16="http://schemas.microsoft.com/office/drawing/2014/main" id="{AA6CF309-B24C-4FAC-A31B-A185A0BA276A}"/>
            </a:ext>
            <a:ext uri="{147F2762-F138-4A5C-976F-8EAC2B608ADB}">
              <a16:predDERef xmlns:a16="http://schemas.microsoft.com/office/drawing/2014/main" pred="{AB4894ED-05C5-425B-BD0C-FE1769D4B92B}"/>
            </a:ext>
          </a:extLst>
        </xdr:cNvPr>
        <xdr:cNvSpPr>
          <a:spLocks noChangeAspect="1" noChangeArrowheads="1"/>
        </xdr:cNvSpPr>
      </xdr:nvSpPr>
      <xdr:spPr bwMode="auto">
        <a:xfrm>
          <a:off x="149733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2" name="AutoShape 232" descr="Resultado de imagen para beer consumption trend">
          <a:extLst>
            <a:ext uri="{FF2B5EF4-FFF2-40B4-BE49-F238E27FC236}">
              <a16:creationId xmlns:a16="http://schemas.microsoft.com/office/drawing/2014/main" id="{79BB585B-1768-4866-97DF-520A84C990C0}"/>
            </a:ext>
            <a:ext uri="{147F2762-F138-4A5C-976F-8EAC2B608ADB}">
              <a16:predDERef xmlns:a16="http://schemas.microsoft.com/office/drawing/2014/main" pred="{AA6CF309-B24C-4FAC-A31B-A185A0BA276A}"/>
            </a:ext>
          </a:extLst>
        </xdr:cNvPr>
        <xdr:cNvSpPr>
          <a:spLocks noChangeAspect="1" noChangeArrowheads="1"/>
        </xdr:cNvSpPr>
      </xdr:nvSpPr>
      <xdr:spPr bwMode="auto">
        <a:xfrm>
          <a:off x="149733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5262"/>
    <xdr:sp macro="" textlink="">
      <xdr:nvSpPr>
        <xdr:cNvPr id="53" name="AutoShape 231" descr="Resultado de imagen para beer consumption trend">
          <a:extLst>
            <a:ext uri="{FF2B5EF4-FFF2-40B4-BE49-F238E27FC236}">
              <a16:creationId xmlns:a16="http://schemas.microsoft.com/office/drawing/2014/main" id="{A76D0278-CA0F-4F58-A7E7-4A2D0CB819BA}"/>
            </a:ext>
            <a:ext uri="{147F2762-F138-4A5C-976F-8EAC2B608ADB}">
              <a16:predDERef xmlns:a16="http://schemas.microsoft.com/office/drawing/2014/main" pred="{79BB585B-1768-4866-97DF-520A84C990C0}"/>
            </a:ext>
          </a:extLst>
        </xdr:cNvPr>
        <xdr:cNvSpPr>
          <a:spLocks noChangeAspect="1" noChangeArrowheads="1"/>
        </xdr:cNvSpPr>
      </xdr:nvSpPr>
      <xdr:spPr bwMode="auto">
        <a:xfrm>
          <a:off x="1497330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9071"/>
    <xdr:sp macro="" textlink="">
      <xdr:nvSpPr>
        <xdr:cNvPr id="54" name="AutoShape 232" descr="Resultado de imagen para beer consumption trend">
          <a:extLst>
            <a:ext uri="{FF2B5EF4-FFF2-40B4-BE49-F238E27FC236}">
              <a16:creationId xmlns:a16="http://schemas.microsoft.com/office/drawing/2014/main" id="{C5812F1C-0B96-452B-B188-F1BD0DD60FAF}"/>
            </a:ext>
            <a:ext uri="{147F2762-F138-4A5C-976F-8EAC2B608ADB}">
              <a16:predDERef xmlns:a16="http://schemas.microsoft.com/office/drawing/2014/main" pred="{A76D0278-CA0F-4F58-A7E7-4A2D0CB819BA}"/>
            </a:ext>
          </a:extLst>
        </xdr:cNvPr>
        <xdr:cNvSpPr>
          <a:spLocks noChangeAspect="1" noChangeArrowheads="1"/>
        </xdr:cNvSpPr>
      </xdr:nvSpPr>
      <xdr:spPr bwMode="auto">
        <a:xfrm>
          <a:off x="1497330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5" name="AutoShape 231" descr="Resultado de imagen para beer consumption trend">
          <a:extLst>
            <a:ext uri="{FF2B5EF4-FFF2-40B4-BE49-F238E27FC236}">
              <a16:creationId xmlns:a16="http://schemas.microsoft.com/office/drawing/2014/main" id="{3B3BB98E-453E-42AE-91A1-6910D265F1C1}"/>
            </a:ext>
            <a:ext uri="{147F2762-F138-4A5C-976F-8EAC2B608ADB}">
              <a16:predDERef xmlns:a16="http://schemas.microsoft.com/office/drawing/2014/main" pred="{C5812F1C-0B96-452B-B188-F1BD0DD60FAF}"/>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6" name="AutoShape 232" descr="Resultado de imagen para beer consumption trend">
          <a:extLst>
            <a:ext uri="{FF2B5EF4-FFF2-40B4-BE49-F238E27FC236}">
              <a16:creationId xmlns:a16="http://schemas.microsoft.com/office/drawing/2014/main" id="{B762A3DC-990B-40CD-ACCD-B6E84F39EDEF}"/>
            </a:ext>
            <a:ext uri="{147F2762-F138-4A5C-976F-8EAC2B608ADB}">
              <a16:predDERef xmlns:a16="http://schemas.microsoft.com/office/drawing/2014/main" pred="{3B3BB98E-453E-42AE-91A1-6910D265F1C1}"/>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5262"/>
    <xdr:sp macro="" textlink="">
      <xdr:nvSpPr>
        <xdr:cNvPr id="57" name="AutoShape 231" descr="Resultado de imagen para beer consumption trend">
          <a:extLst>
            <a:ext uri="{FF2B5EF4-FFF2-40B4-BE49-F238E27FC236}">
              <a16:creationId xmlns:a16="http://schemas.microsoft.com/office/drawing/2014/main" id="{1FC50CEC-9BA5-4DB9-A053-050227108D4C}"/>
            </a:ext>
            <a:ext uri="{147F2762-F138-4A5C-976F-8EAC2B608ADB}">
              <a16:predDERef xmlns:a16="http://schemas.microsoft.com/office/drawing/2014/main" pred="{B762A3DC-990B-40CD-ACCD-B6E84F39EDEF}"/>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9071"/>
    <xdr:sp macro="" textlink="">
      <xdr:nvSpPr>
        <xdr:cNvPr id="58" name="AutoShape 232" descr="Resultado de imagen para beer consumption trend">
          <a:extLst>
            <a:ext uri="{FF2B5EF4-FFF2-40B4-BE49-F238E27FC236}">
              <a16:creationId xmlns:a16="http://schemas.microsoft.com/office/drawing/2014/main" id="{73A174AE-F196-43B6-B33F-AE251C210FFE}"/>
            </a:ext>
            <a:ext uri="{147F2762-F138-4A5C-976F-8EAC2B608ADB}">
              <a16:predDERef xmlns:a16="http://schemas.microsoft.com/office/drawing/2014/main" pred="{1FC50CEC-9BA5-4DB9-A053-050227108D4C}"/>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59" name="AutoShape 231" descr="Resultado de imagen para beer consumption trend">
          <a:extLst>
            <a:ext uri="{FF2B5EF4-FFF2-40B4-BE49-F238E27FC236}">
              <a16:creationId xmlns:a16="http://schemas.microsoft.com/office/drawing/2014/main" id="{02A20EF7-E9F4-4648-A9DC-B9D147176B04}"/>
            </a:ext>
            <a:ext uri="{147F2762-F138-4A5C-976F-8EAC2B608ADB}">
              <a16:predDERef xmlns:a16="http://schemas.microsoft.com/office/drawing/2014/main" pred="{73A174AE-F196-43B6-B33F-AE251C210FFE}"/>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60" name="AutoShape 232" descr="Resultado de imagen para beer consumption trend">
          <a:extLst>
            <a:ext uri="{FF2B5EF4-FFF2-40B4-BE49-F238E27FC236}">
              <a16:creationId xmlns:a16="http://schemas.microsoft.com/office/drawing/2014/main" id="{3ED10B6F-8A0C-44B8-9978-680E6F17FB65}"/>
            </a:ext>
            <a:ext uri="{147F2762-F138-4A5C-976F-8EAC2B608ADB}">
              <a16:predDERef xmlns:a16="http://schemas.microsoft.com/office/drawing/2014/main" pred="{02A20EF7-E9F4-4648-A9DC-B9D147176B04}"/>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5262"/>
    <xdr:sp macro="" textlink="">
      <xdr:nvSpPr>
        <xdr:cNvPr id="61" name="AutoShape 231" descr="Resultado de imagen para beer consumption trend">
          <a:extLst>
            <a:ext uri="{FF2B5EF4-FFF2-40B4-BE49-F238E27FC236}">
              <a16:creationId xmlns:a16="http://schemas.microsoft.com/office/drawing/2014/main" id="{F004E243-F461-4E6E-8A12-4265190758FB}"/>
            </a:ext>
            <a:ext uri="{147F2762-F138-4A5C-976F-8EAC2B608ADB}">
              <a16:predDERef xmlns:a16="http://schemas.microsoft.com/office/drawing/2014/main" pred="{3ED10B6F-8A0C-44B8-9978-680E6F17FB65}"/>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9071"/>
    <xdr:sp macro="" textlink="">
      <xdr:nvSpPr>
        <xdr:cNvPr id="62" name="AutoShape 232" descr="Resultado de imagen para beer consumption trend">
          <a:extLst>
            <a:ext uri="{FF2B5EF4-FFF2-40B4-BE49-F238E27FC236}">
              <a16:creationId xmlns:a16="http://schemas.microsoft.com/office/drawing/2014/main" id="{FBF804EE-814A-4039-9909-23C5879F4D2C}"/>
            </a:ext>
            <a:ext uri="{147F2762-F138-4A5C-976F-8EAC2B608ADB}">
              <a16:predDERef xmlns:a16="http://schemas.microsoft.com/office/drawing/2014/main" pred="{F004E243-F461-4E6E-8A12-4265190758FB}"/>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8437"/>
    <xdr:sp macro="" textlink="">
      <xdr:nvSpPr>
        <xdr:cNvPr id="63" name="AutoShape 231" descr="Resultado de imagen para beer consumption trend">
          <a:extLst>
            <a:ext uri="{FF2B5EF4-FFF2-40B4-BE49-F238E27FC236}">
              <a16:creationId xmlns:a16="http://schemas.microsoft.com/office/drawing/2014/main" id="{999F8A09-15A0-4B22-876B-694CC2485B79}"/>
            </a:ext>
            <a:ext uri="{147F2762-F138-4A5C-976F-8EAC2B608ADB}">
              <a16:predDERef xmlns:a16="http://schemas.microsoft.com/office/drawing/2014/main" pred="{FBF804EE-814A-4039-9909-23C5879F4D2C}"/>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8437"/>
    <xdr:sp macro="" textlink="">
      <xdr:nvSpPr>
        <xdr:cNvPr id="64" name="AutoShape 232" descr="Resultado de imagen para beer consumption trend">
          <a:extLst>
            <a:ext uri="{FF2B5EF4-FFF2-40B4-BE49-F238E27FC236}">
              <a16:creationId xmlns:a16="http://schemas.microsoft.com/office/drawing/2014/main" id="{B3A80241-FC17-469E-9232-FCF5FFCFDE57}"/>
            </a:ext>
            <a:ext uri="{147F2762-F138-4A5C-976F-8EAC2B608ADB}">
              <a16:predDERef xmlns:a16="http://schemas.microsoft.com/office/drawing/2014/main" pred="{999F8A09-15A0-4B22-876B-694CC2485B79}"/>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5262"/>
    <xdr:sp macro="" textlink="">
      <xdr:nvSpPr>
        <xdr:cNvPr id="65" name="AutoShape 231" descr="Resultado de imagen para beer consumption trend">
          <a:extLst>
            <a:ext uri="{FF2B5EF4-FFF2-40B4-BE49-F238E27FC236}">
              <a16:creationId xmlns:a16="http://schemas.microsoft.com/office/drawing/2014/main" id="{47BB418A-1085-4AE3-A2A4-C05210E1DB8B}"/>
            </a:ext>
            <a:ext uri="{147F2762-F138-4A5C-976F-8EAC2B608ADB}">
              <a16:predDERef xmlns:a16="http://schemas.microsoft.com/office/drawing/2014/main" pred="{B3A80241-FC17-469E-9232-FCF5FFCFDE57}"/>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9071"/>
    <xdr:sp macro="" textlink="">
      <xdr:nvSpPr>
        <xdr:cNvPr id="66" name="AutoShape 232" descr="Resultado de imagen para beer consumption trend">
          <a:extLst>
            <a:ext uri="{FF2B5EF4-FFF2-40B4-BE49-F238E27FC236}">
              <a16:creationId xmlns:a16="http://schemas.microsoft.com/office/drawing/2014/main" id="{450A0AAB-9C64-4D39-B37C-8A369C4F973A}"/>
            </a:ext>
            <a:ext uri="{147F2762-F138-4A5C-976F-8EAC2B608ADB}">
              <a16:predDERef xmlns:a16="http://schemas.microsoft.com/office/drawing/2014/main" pred="{47BB418A-1085-4AE3-A2A4-C05210E1DB8B}"/>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28</xdr:col>
      <xdr:colOff>447646</xdr:colOff>
      <xdr:row>96</xdr:row>
      <xdr:rowOff>0</xdr:rowOff>
    </xdr:from>
    <xdr:to>
      <xdr:col>31</xdr:col>
      <xdr:colOff>624117</xdr:colOff>
      <xdr:row>101</xdr:row>
      <xdr:rowOff>117205</xdr:rowOff>
    </xdr:to>
    <xdr:pic>
      <xdr:nvPicPr>
        <xdr:cNvPr id="2" name="Imagem 1">
          <a:extLst>
            <a:ext uri="{FF2B5EF4-FFF2-40B4-BE49-F238E27FC236}">
              <a16:creationId xmlns:a16="http://schemas.microsoft.com/office/drawing/2014/main" id="{86171600-BFAA-486F-896C-DEB4EC8527AC}"/>
            </a:ext>
          </a:extLst>
        </xdr:cNvPr>
        <xdr:cNvPicPr>
          <a:picLocks noChangeAspect="1"/>
        </xdr:cNvPicPr>
      </xdr:nvPicPr>
      <xdr:blipFill>
        <a:blip xmlns:r="http://schemas.openxmlformats.org/officeDocument/2006/relationships" r:embed="rId1"/>
        <a:stretch>
          <a:fillRect/>
        </a:stretch>
      </xdr:blipFill>
      <xdr:spPr>
        <a:xfrm>
          <a:off x="25974646" y="17078325"/>
          <a:ext cx="1881446" cy="925469"/>
        </a:xfrm>
        <a:prstGeom prst="rect">
          <a:avLst/>
        </a:prstGeom>
      </xdr:spPr>
    </xdr:pic>
    <xdr:clientData/>
  </xdr:twoCellAnchor>
  <xdr:twoCellAnchor>
    <xdr:from>
      <xdr:col>4</xdr:col>
      <xdr:colOff>95250</xdr:colOff>
      <xdr:row>16</xdr:row>
      <xdr:rowOff>27214</xdr:rowOff>
    </xdr:from>
    <xdr:to>
      <xdr:col>11</xdr:col>
      <xdr:colOff>854981</xdr:colOff>
      <xdr:row>30</xdr:row>
      <xdr:rowOff>95892</xdr:rowOff>
    </xdr:to>
    <xdr:graphicFrame macro="">
      <xdr:nvGraphicFramePr>
        <xdr:cNvPr id="9" name="Gráfico 2">
          <a:extLst>
            <a:ext uri="{FF2B5EF4-FFF2-40B4-BE49-F238E27FC236}">
              <a16:creationId xmlns:a16="http://schemas.microsoft.com/office/drawing/2014/main" id="{813747F1-65E3-4D83-8C5A-286DA008C844}"/>
            </a:ext>
            <a:ext uri="{147F2762-F138-4A5C-976F-8EAC2B608ADB}">
              <a16:predDERef xmlns:a16="http://schemas.microsoft.com/office/drawing/2014/main" pred="{86171600-BFAA-486F-896C-DEB4EC852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16</xdr:row>
      <xdr:rowOff>40822</xdr:rowOff>
    </xdr:from>
    <xdr:to>
      <xdr:col>15</xdr:col>
      <xdr:colOff>750206</xdr:colOff>
      <xdr:row>30</xdr:row>
      <xdr:rowOff>109500</xdr:rowOff>
    </xdr:to>
    <xdr:graphicFrame macro="">
      <xdr:nvGraphicFramePr>
        <xdr:cNvPr id="10" name="Gráfico 2">
          <a:extLst>
            <a:ext uri="{FF2B5EF4-FFF2-40B4-BE49-F238E27FC236}">
              <a16:creationId xmlns:a16="http://schemas.microsoft.com/office/drawing/2014/main" id="{C7A6B119-2FBF-41F9-87EE-A53D83641B6A}"/>
            </a:ext>
            <a:ext uri="{147F2762-F138-4A5C-976F-8EAC2B608ADB}">
              <a16:predDERef xmlns:a16="http://schemas.microsoft.com/office/drawing/2014/main" pred="{813747F1-65E3-4D83-8C5A-286DA008C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707570</xdr:colOff>
      <xdr:row>16</xdr:row>
      <xdr:rowOff>81643</xdr:rowOff>
    </xdr:from>
    <xdr:to>
      <xdr:col>18</xdr:col>
      <xdr:colOff>616584</xdr:colOff>
      <xdr:row>30</xdr:row>
      <xdr:rowOff>150321</xdr:rowOff>
    </xdr:to>
    <xdr:graphicFrame macro="">
      <xdr:nvGraphicFramePr>
        <xdr:cNvPr id="11" name="Gráfico 2">
          <a:extLst>
            <a:ext uri="{FF2B5EF4-FFF2-40B4-BE49-F238E27FC236}">
              <a16:creationId xmlns:a16="http://schemas.microsoft.com/office/drawing/2014/main" id="{6A195EDE-DF04-4F4F-8F8A-ABD766638B49}"/>
            </a:ext>
            <a:ext uri="{147F2762-F138-4A5C-976F-8EAC2B608ADB}">
              <a16:predDERef xmlns:a16="http://schemas.microsoft.com/office/drawing/2014/main" pred="{C7A6B119-2FBF-41F9-87EE-A53D83641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68036</xdr:colOff>
      <xdr:row>16</xdr:row>
      <xdr:rowOff>81643</xdr:rowOff>
    </xdr:from>
    <xdr:to>
      <xdr:col>21</xdr:col>
      <xdr:colOff>814580</xdr:colOff>
      <xdr:row>30</xdr:row>
      <xdr:rowOff>150321</xdr:rowOff>
    </xdr:to>
    <xdr:graphicFrame macro="">
      <xdr:nvGraphicFramePr>
        <xdr:cNvPr id="12" name="Gráfico 5">
          <a:extLst>
            <a:ext uri="{FF2B5EF4-FFF2-40B4-BE49-F238E27FC236}">
              <a16:creationId xmlns:a16="http://schemas.microsoft.com/office/drawing/2014/main" id="{F3638278-5944-4261-813D-C5BE2FF7B09C}"/>
            </a:ext>
            <a:ext uri="{147F2762-F138-4A5C-976F-8EAC2B608ADB}">
              <a16:predDERef xmlns:a16="http://schemas.microsoft.com/office/drawing/2014/main" pred="{6A195EDE-DF04-4F4F-8F8A-ABD766638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301423</xdr:colOff>
      <xdr:row>6</xdr:row>
      <xdr:rowOff>2530</xdr:rowOff>
    </xdr:from>
    <xdr:to>
      <xdr:col>22</xdr:col>
      <xdr:colOff>602848</xdr:colOff>
      <xdr:row>29</xdr:row>
      <xdr:rowOff>156739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F0695A3-3E01-4CD9-A375-1D96DB0C52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Raul Vasconcelos da Silva" id="{8FC7388A-B149-40B4-B48E-70DCA56CA41C}" userId="S::raul.vasconcelos@aln.iseg.ulisboa.pt::f4a05a0d-064a-4000-bf4d-254a683f4a3f"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6">
  <a r="1">
    <v t="i">0</v>
  </a>
  <a r="1">
    <v>7.5321999999999996</v>
  </a>
  <a r="1">
    <v>8.6357999999999997</v>
  </a>
  <a r="1">
    <v>60.3</v>
  </a>
  <a r="1">
    <v>5.7805999999999997</v>
  </a>
  <a r="1">
    <v>45.739199999999997</v>
  </a>
  <a r="1">
    <v>34.965000000000003</v>
  </a>
  <a r="1">
    <v>34.972000000000001</v>
  </a>
  <a r="1">
    <v>16.7422</v>
  </a>
  <a r="1">
    <v>27.734200000000001</v>
  </a>
  <a r="1">
    <v>27.844200000000001</v>
  </a>
  <a r="1">
    <v>13.690200000000001</v>
  </a>
  <a r="1">
    <v>13.8538</v>
  </a>
  <a r="1">
    <v>28.099</v>
  </a>
  <a r="1">
    <v>9.5969999999999995</v>
  </a>
  <a r="1">
    <v>9.7988</v>
  </a>
</arrayData>
</file>

<file path=xl/richData/rdrichvalue.xml><?xml version="1.0" encoding="utf-8"?>
<rvData xmlns="http://schemas.microsoft.com/office/spreadsheetml/2017/richdata" count="19">
  <rv s="0">
    <v>12</v>
    <v>Name</v>
    <v>0</v>
  </rv>
  <rv s="0">
    <v>12</v>
    <v>Price</v>
    <v>0</v>
  </rv>
  <rv s="0">
    <v>12</v>
    <v>Market cap</v>
    <v>0</v>
  </rv>
  <rv s="1">
    <v>12</v>
    <v>1</v>
  </rv>
  <rv s="2">
    <v>0</v>
    <v>CMG</v>
    <v>Daily</v>
    <v>42733</v>
    <v>42733</v>
    <v>0</v>
    <v>1</v>
    <v>636185664000000000,638774272562631813,0</v>
    <v>0</v>
    <v>a1pxbh</v>
    <v>XNYS:CMG</v>
    <v>1</v>
  </rv>
  <rv s="2">
    <v>0</v>
    <v>CMG</v>
    <v>Daily</v>
    <v>43465</v>
    <v>43465</v>
    <v>0</v>
    <v>1</v>
    <v>636818112000000000,638778576283228362,0</v>
    <v>0</v>
    <v>a1pxbh</v>
    <v>XNYS:CMG</v>
    <v>2</v>
  </rv>
  <rv s="2">
    <v>0</v>
    <v>CMG</v>
    <v>Daily</v>
    <v>45657</v>
    <v>45657</v>
    <v>0</v>
    <v>1</v>
    <v>638712000000000000,638778576283280515,0</v>
    <v>0</v>
    <v>a1pxbh</v>
    <v>XNYS:CMG</v>
    <v>3</v>
  </rv>
  <rv s="2">
    <v>0</v>
    <v>CMG</v>
    <v>Daily</v>
    <v>43098</v>
    <v>43098</v>
    <v>0</v>
    <v>1</v>
    <v>636501024000000000,638780830444378323,0</v>
    <v>0</v>
    <v>a1pxbh</v>
    <v>XNYS:CMG</v>
    <v>4</v>
  </rv>
  <rv s="2">
    <v>0</v>
    <v>CMG</v>
    <v>Daily</v>
    <v>45289</v>
    <v>45289</v>
    <v>0</v>
    <v>1</v>
    <v>638394048000000000,638780830444836321,0</v>
    <v>0</v>
    <v>a1pxbh</v>
    <v>XNYS:CMG</v>
    <v>5</v>
  </rv>
  <rv s="2">
    <v>0</v>
    <v>CMG</v>
    <v>Daily</v>
    <v>44561</v>
    <v>44561</v>
    <v>0</v>
    <v>1</v>
    <v>637765056000000000,638780830444994946,0</v>
    <v>0</v>
    <v>a1pxbh</v>
    <v>XNYS:CMG</v>
    <v>6</v>
  </rv>
  <rv s="2">
    <v>0</v>
    <v>CMG</v>
    <v>Daily</v>
    <v>44559</v>
    <v>44559</v>
    <v>0</v>
    <v>1</v>
    <v>637763328000000000,638780830443760373,0</v>
    <v>0</v>
    <v>a1pxbh</v>
    <v>XNYS:CMG</v>
    <v>7</v>
  </rv>
  <rv s="2">
    <v>0</v>
    <v>CMG</v>
    <v>Daily</v>
    <v>43830</v>
    <v>43830</v>
    <v>0</v>
    <v>1</v>
    <v>637133472000000000,638780830445851744,0</v>
    <v>0</v>
    <v>a1pxbh</v>
    <v>XNYS:CMG</v>
    <v>8</v>
  </rv>
  <rv s="2">
    <v>0</v>
    <v>CMG</v>
    <v>Daily</v>
    <v>44196</v>
    <v>44196</v>
    <v>0</v>
    <v>1</v>
    <v>637449696000000000,638780830446962068,0</v>
    <v>0</v>
    <v>a1pxbh</v>
    <v>XNYS:CMG</v>
    <v>9</v>
  </rv>
  <rv s="2">
    <v>0</v>
    <v>CMG</v>
    <v>Daily</v>
    <v>44194</v>
    <v>44194</v>
    <v>0</v>
    <v>1</v>
    <v>637447968000000000,638780830447703620,0</v>
    <v>0</v>
    <v>a1pxbh</v>
    <v>XNYS:CMG</v>
    <v>10</v>
  </rv>
  <rv s="2">
    <v>0</v>
    <v>CMG</v>
    <v>Daily</v>
    <v>42004</v>
    <v>42004</v>
    <v>0</v>
    <v>1</v>
    <v>635555808000000000,638781092273112818,0</v>
    <v>0</v>
    <v>a1pxbh</v>
    <v>XNYS:CMG</v>
    <v>11</v>
  </rv>
  <rv s="2">
    <v>0</v>
    <v>CMG</v>
    <v>Daily</v>
    <v>42002</v>
    <v>42002</v>
    <v>0</v>
    <v>1</v>
    <v>635554080000000000,638781112046504754,0</v>
    <v>0</v>
    <v>a1pxbh</v>
    <v>XNYS:CMG</v>
    <v>12</v>
  </rv>
  <rv s="2">
    <v>0</v>
    <v>CMG</v>
    <v>Daily</v>
    <v>44924</v>
    <v>44924</v>
    <v>0</v>
    <v>1</v>
    <v>638078688000000000,638781112056565092,0</v>
    <v>0</v>
    <v>a1pxbh</v>
    <v>XNYS:CMG</v>
    <v>13</v>
  </rv>
  <rv s="2">
    <v>0</v>
    <v>CMG</v>
    <v>Daily</v>
    <v>42369</v>
    <v>42369</v>
    <v>0</v>
    <v>1</v>
    <v>635871168000000000,638790981755594339,0</v>
    <v>0</v>
    <v>a1pxbh</v>
    <v>XNYS:CMG</v>
    <v>14</v>
  </rv>
  <rv s="2">
    <v>0</v>
    <v>CMG</v>
    <v>Daily</v>
    <v>42367</v>
    <v>42367</v>
    <v>0</v>
    <v>1</v>
    <v>635869440000000000,638790981755614251,0</v>
    <v>0</v>
    <v>a1pxbh</v>
    <v>XNYS:CMG</v>
    <v>15</v>
  </rv>
</rvData>
</file>

<file path=xl/richData/rdrichvaluestructure.xml><?xml version="1.0" encoding="utf-8"?>
<rvStructures xmlns="http://schemas.microsoft.com/office/spreadsheetml/2017/richdata" count="3">
  <s t="_error">
    <k n="errorType" t="i"/>
    <k n="field" t="s"/>
    <k n="subType" t="i"/>
  </s>
  <s t="_error">
    <k n="errorType" t="i"/>
    <k n="propagated" t="b"/>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Data count="1">
    <spb s="0">
      <v>1</v>
      <v>2</v>
    </spb>
  </spbData>
</supportingPropertyBags>
</file>

<file path=xl/richData/rdsupportingpropertybagstructure.xml><?xml version="1.0" encoding="utf-8"?>
<spbStructures xmlns="http://schemas.microsoft.com/office/spreadsheetml/2017/richdata2" count="1">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0" formatCode="General"/>
    </x:dxf>
    <x:dxf>
      <x:numFmt numFmtId="19" formatCode="m/d/yyyy"/>
    </x:dxf>
  </dxfs>
  <richProperties>
    <rPr n="NumberFormat" t="s"/>
  </richProperties>
  <richStyles>
    <rSty dxfid="1"/>
    <rSty dxfid="0">
      <rpv i="0">_([$$-en-US]* #,##0.00_);_([$$-en-US]* (#,##0.00);_([$$-en-US]* "-"??_);_(@_)</rpv>
    </rSty>
  </richStyles>
</richStyleSheet>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801414"/>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23" dT="2025-02-26T18:55:21.53" personId="{8FC7388A-B149-40B4-B48E-70DCA56CA41C}" id="{CB5C8E83-E3D0-4441-B6E0-D862C650B5F5}">
    <text>Chipotle does not have any Intangibles in its Balance Sheet, except for Goodwill. Hence Depreciation and Amortization are forecasted only as % of PP&amp;E.</text>
  </threadedComment>
  <threadedComment ref="B136" dT="2025-02-26T18:54:39.98" personId="{8FC7388A-B149-40B4-B48E-70DCA56CA41C}" id="{CE396053-595E-4126-9C71-0875E5897884}">
    <text xml:space="preserve">Forecasted based on net number of stores opening </text>
  </threadedComment>
  <threadedComment ref="B153" dT="2025-02-26T17:14:37.81" personId="{8FC7388A-B149-40B4-B48E-70DCA56CA41C}" id="{E2CDF95A-7B2F-4661-BCB3-C007122C6CFD}">
    <text>Payment for Right of Use Assets are recognized as occupancy costs under SG&amp;A expenses.</text>
  </threadedComment>
  <threadedComment ref="B156" dT="2025-02-26T17:14:37.81" personId="{8FC7388A-B149-40B4-B48E-70DCA56CA41C}" id="{CD092673-94DE-4108-B6AF-FC73424C056A}">
    <text>Payment for Right of Use Assets are recognized as occupancy costs under SG&amp;A expenses.</text>
  </threadedComment>
  <threadedComment ref="B158" dT="2025-02-26T17:14:37.81" personId="{8FC7388A-B149-40B4-B48E-70DCA56CA41C}" id="{62E50C66-BA1C-4031-B660-F25771E0B7AB}">
    <text>Payment for Right of Use Assets are recognized as occupancy costs under SG&amp;A expenses.</text>
  </threadedComment>
  <threadedComment ref="B165" dT="2025-02-26T17:14:37.81" personId="{8FC7388A-B149-40B4-B48E-70DCA56CA41C}" id="{9EF6C6D7-5E70-49FE-A672-ED08A0372EC5}">
    <text>Payment for Right of Use Assets are recognized as occupancy costs under SG&amp;A expenses.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B1314"/>
  </sheetPr>
  <dimension ref="A1:AK1048575"/>
  <sheetViews>
    <sheetView showGridLines="0" tabSelected="1" topLeftCell="A19" zoomScale="85" zoomScaleNormal="85" workbookViewId="0">
      <selection activeCell="Y53" sqref="Y53"/>
    </sheetView>
  </sheetViews>
  <sheetFormatPr defaultColWidth="15.625" defaultRowHeight="14.25" x14ac:dyDescent="0.2"/>
  <cols>
    <col min="1" max="1" width="11.625" style="582" customWidth="1"/>
    <col min="2" max="2" width="0.75" style="580" customWidth="1"/>
    <col min="3" max="3" width="2.5" style="578" customWidth="1"/>
    <col min="4" max="4" width="11.875" style="578" customWidth="1"/>
    <col min="5" max="5" width="13.375" style="578" customWidth="1"/>
    <col min="6" max="9" width="12.625" style="578" customWidth="1"/>
    <col min="10" max="10" width="4" style="578" customWidth="1"/>
    <col min="11" max="12" width="12.625" style="578" customWidth="1"/>
    <col min="13" max="13" width="3.625" style="578" customWidth="1"/>
    <col min="14" max="18" width="12.625" style="578" customWidth="1"/>
    <col min="19" max="19" width="3.875" style="637" customWidth="1"/>
    <col min="20" max="20" width="4" style="578" customWidth="1"/>
    <col min="21" max="21" width="27.25" style="578" customWidth="1"/>
    <col min="22" max="22" width="9.875" style="578" customWidth="1"/>
    <col min="23" max="25" width="15.625" style="578"/>
    <col min="26" max="26" width="21.5" style="578" bestFit="1" customWidth="1"/>
    <col min="27" max="27" width="15.625" style="578"/>
    <col min="28" max="28" width="19.125" style="578" bestFit="1" customWidth="1"/>
    <col min="29" max="29" width="20.375" style="578" bestFit="1" customWidth="1"/>
    <col min="30" max="30" width="29.75" style="578" bestFit="1" customWidth="1"/>
    <col min="31" max="31" width="21.875" style="578" bestFit="1" customWidth="1"/>
    <col min="32" max="32" width="20.625" style="578" customWidth="1"/>
    <col min="33" max="33" width="28.25" style="578" bestFit="1" customWidth="1"/>
    <col min="34" max="34" width="35.375" style="578" bestFit="1" customWidth="1"/>
    <col min="35" max="35" width="25.375" style="578" customWidth="1"/>
    <col min="36" max="36" width="32" style="578" bestFit="1" customWidth="1"/>
    <col min="37" max="37" width="26.375" style="578" bestFit="1" customWidth="1"/>
    <col min="38" max="16384" width="15.625" style="578"/>
  </cols>
  <sheetData>
    <row r="1" spans="1:22" ht="24.75" customHeight="1" x14ac:dyDescent="0.2">
      <c r="A1" s="713"/>
      <c r="B1" s="714"/>
      <c r="C1" s="464"/>
      <c r="D1" s="464"/>
      <c r="E1" s="464"/>
      <c r="F1" s="464"/>
      <c r="G1" s="464"/>
      <c r="H1" s="464"/>
      <c r="I1" s="464"/>
      <c r="J1" s="464"/>
      <c r="K1" s="464"/>
      <c r="L1" s="464"/>
      <c r="M1" s="464"/>
      <c r="N1" s="464"/>
      <c r="O1" s="464"/>
      <c r="P1" s="464"/>
      <c r="Q1" s="464"/>
      <c r="R1" s="464"/>
      <c r="S1" s="464"/>
      <c r="T1" s="464"/>
      <c r="U1" s="464"/>
      <c r="V1" s="464"/>
    </row>
    <row r="2" spans="1:22" ht="24" customHeight="1" x14ac:dyDescent="0.3">
      <c r="A2" s="713"/>
      <c r="B2" s="714"/>
      <c r="C2" s="464"/>
      <c r="D2" s="464"/>
      <c r="E2" s="747" t="s">
        <v>0</v>
      </c>
      <c r="F2" s="464"/>
      <c r="G2" s="464"/>
      <c r="H2" s="464"/>
      <c r="I2" s="464"/>
      <c r="J2" s="464"/>
      <c r="K2" s="464"/>
      <c r="L2" s="464"/>
      <c r="M2" s="464"/>
      <c r="N2" s="464"/>
      <c r="O2" s="464"/>
      <c r="P2" s="464"/>
      <c r="Q2" s="464"/>
      <c r="R2" s="464"/>
      <c r="S2" s="464"/>
      <c r="T2" s="464"/>
      <c r="U2" s="657" t="s">
        <v>1</v>
      </c>
      <c r="V2" s="464"/>
    </row>
    <row r="3" spans="1:22" x14ac:dyDescent="0.2">
      <c r="A3" s="713"/>
      <c r="B3" s="714"/>
      <c r="C3" s="464"/>
      <c r="D3" s="464"/>
      <c r="E3" s="464"/>
      <c r="F3" s="464"/>
      <c r="G3" s="464"/>
      <c r="H3" s="464"/>
      <c r="I3" s="464"/>
      <c r="J3" s="464"/>
      <c r="K3" s="464"/>
      <c r="L3" s="464"/>
      <c r="M3" s="464"/>
      <c r="N3" s="464"/>
      <c r="O3" s="464"/>
      <c r="P3" s="464"/>
      <c r="Q3" s="464"/>
      <c r="R3" s="464"/>
      <c r="S3" s="464"/>
      <c r="T3" s="464"/>
      <c r="U3" s="643" t="s">
        <v>2</v>
      </c>
      <c r="V3" s="464"/>
    </row>
    <row r="4" spans="1:22" x14ac:dyDescent="0.2">
      <c r="A4" s="713"/>
      <c r="B4" s="714"/>
      <c r="C4" s="464"/>
      <c r="D4" s="464"/>
      <c r="E4" s="464"/>
      <c r="F4" s="464"/>
      <c r="G4" s="464"/>
      <c r="H4" s="464"/>
      <c r="I4" s="464"/>
      <c r="J4" s="464"/>
      <c r="K4" s="464"/>
      <c r="L4" s="464"/>
      <c r="M4" s="464"/>
      <c r="N4" s="464"/>
      <c r="O4" s="464"/>
      <c r="P4" s="464"/>
      <c r="Q4" s="464"/>
      <c r="R4" s="464"/>
      <c r="S4" s="464"/>
      <c r="T4" s="464"/>
      <c r="U4" s="643"/>
      <c r="V4" s="464"/>
    </row>
    <row r="5" spans="1:22" x14ac:dyDescent="0.2">
      <c r="A5" s="713"/>
      <c r="B5" s="714"/>
      <c r="C5" s="464"/>
      <c r="D5" s="464"/>
      <c r="E5" s="464"/>
      <c r="F5" s="464"/>
      <c r="G5" s="464"/>
      <c r="H5" s="464"/>
      <c r="I5"/>
      <c r="J5" s="464"/>
      <c r="K5" s="464"/>
      <c r="L5" s="464"/>
      <c r="M5" s="464"/>
      <c r="N5" s="464"/>
      <c r="O5" s="464"/>
      <c r="P5" s="464"/>
      <c r="Q5" s="464"/>
      <c r="R5" s="464"/>
      <c r="S5" s="464"/>
      <c r="T5" s="464"/>
      <c r="U5" s="464"/>
      <c r="V5" s="464"/>
    </row>
    <row r="6" spans="1:22" s="579" customFormat="1" ht="15.95" customHeight="1" x14ac:dyDescent="0.3">
      <c r="A6" s="583"/>
      <c r="B6" s="584"/>
      <c r="D6" s="586" t="str">
        <f>DCF!R4&amp;" "&amp;"Equity"</f>
        <v xml:space="preserve"> Equity</v>
      </c>
      <c r="S6" s="715"/>
      <c r="U6" s="642"/>
    </row>
    <row r="7" spans="1:22" ht="3.75" customHeight="1" x14ac:dyDescent="0.25">
      <c r="A7" s="713"/>
      <c r="B7" s="714"/>
      <c r="C7" s="464"/>
      <c r="D7" s="464"/>
      <c r="E7" s="464"/>
      <c r="F7" s="464"/>
      <c r="G7" s="464"/>
      <c r="H7" s="464"/>
      <c r="I7" s="464"/>
      <c r="J7" s="464"/>
      <c r="K7" s="464"/>
      <c r="L7" s="464"/>
      <c r="M7" s="464"/>
      <c r="N7" s="464"/>
      <c r="O7" s="464"/>
      <c r="P7" s="464"/>
      <c r="Q7" s="464"/>
      <c r="R7" s="464"/>
      <c r="S7" s="715"/>
      <c r="T7" s="464"/>
      <c r="U7" s="579"/>
      <c r="V7" s="464"/>
    </row>
    <row r="8" spans="1:22" ht="14.25" customHeight="1" x14ac:dyDescent="0.25">
      <c r="A8" s="713"/>
      <c r="B8" s="714"/>
      <c r="C8" s="464"/>
      <c r="D8" s="792"/>
      <c r="E8" s="792"/>
      <c r="F8" s="792"/>
      <c r="G8" s="792"/>
      <c r="H8" s="792"/>
      <c r="I8" s="792"/>
      <c r="J8" s="792"/>
      <c r="K8" s="792"/>
      <c r="L8" s="792"/>
      <c r="M8" s="792"/>
      <c r="N8" s="792"/>
      <c r="O8" s="792"/>
      <c r="P8" s="792"/>
      <c r="Q8" s="792"/>
      <c r="R8" s="792"/>
      <c r="S8" s="716"/>
      <c r="T8" s="464"/>
      <c r="U8" s="717" t="e">
        <f>+_xll.BDP(D6, "PRIMARY_EXCHANGE_NAME"): _xll.BDP(D6, "TICKER_AND_EXCH_CODE")</f>
        <v>#VALUE!</v>
      </c>
      <c r="V8" s="464"/>
    </row>
    <row r="9" spans="1:22" ht="14.25" customHeight="1" x14ac:dyDescent="0.2">
      <c r="A9" s="713"/>
      <c r="B9" s="714"/>
      <c r="C9" s="464"/>
      <c r="D9" s="792"/>
      <c r="E9" s="792"/>
      <c r="F9" s="792"/>
      <c r="G9" s="792"/>
      <c r="H9" s="792"/>
      <c r="I9" s="792"/>
      <c r="J9" s="792"/>
      <c r="K9" s="792"/>
      <c r="L9" s="792"/>
      <c r="M9" s="792"/>
      <c r="N9" s="792"/>
      <c r="O9" s="792"/>
      <c r="P9" s="792"/>
      <c r="Q9" s="792"/>
      <c r="R9" s="792"/>
      <c r="S9" s="716"/>
      <c r="T9" s="464"/>
      <c r="U9" s="585" t="e" cm="1">
        <f t="array" aca="1" ref="U9" ca="1">+"Price (7 Mar 25): $"&amp;_FV(DCF!$R$4,"Price")</f>
        <v>#NAME?</v>
      </c>
      <c r="V9" s="464"/>
    </row>
    <row r="10" spans="1:22" ht="20.100000000000001" customHeight="1" x14ac:dyDescent="0.25">
      <c r="A10" s="713"/>
      <c r="B10" s="714"/>
      <c r="C10" s="464"/>
      <c r="D10" s="586" t="s">
        <v>3</v>
      </c>
      <c r="E10" s="718"/>
      <c r="F10" s="718"/>
      <c r="G10" s="718"/>
      <c r="H10" s="718"/>
      <c r="I10" s="718"/>
      <c r="J10" s="718"/>
      <c r="K10" s="718"/>
      <c r="L10" s="718"/>
      <c r="M10" s="718"/>
      <c r="N10" s="718"/>
      <c r="O10" s="718"/>
      <c r="P10" s="718"/>
      <c r="Q10" s="718"/>
      <c r="R10" s="718"/>
      <c r="S10" s="719"/>
      <c r="T10" s="464"/>
      <c r="U10" s="1" t="e">
        <f ca="1">"Price Target: $" &amp; ROUND(IF(Summary!G25="FCFF",DCF!Q208,IF(Summary!G25="FCFE",DCF!Q251,IF(Summary!G25="Tax Shield",DCF!Q224,DCF!Q267))),2) &amp;" "&amp;IF(Summary!G25="FCFF","(FCFF)",IF(Summary!G25="FCFE","(FCFE)",IF(Summary!G25="Tax Shield","(APV)","(DDM)")))</f>
        <v>#VALUE!</v>
      </c>
      <c r="V10" s="464"/>
    </row>
    <row r="11" spans="1:22" ht="14.25" customHeight="1" x14ac:dyDescent="0.2">
      <c r="A11" s="713"/>
      <c r="B11" s="714"/>
      <c r="C11" s="464"/>
      <c r="D11" s="792"/>
      <c r="E11" s="792"/>
      <c r="F11" s="792"/>
      <c r="G11" s="792"/>
      <c r="H11" s="792"/>
      <c r="I11" s="792"/>
      <c r="J11" s="792"/>
      <c r="K11" s="792"/>
      <c r="L11" s="792"/>
      <c r="M11" s="792"/>
      <c r="N11" s="792"/>
      <c r="O11" s="792"/>
      <c r="P11" s="792"/>
      <c r="Q11" s="792"/>
      <c r="R11" s="792"/>
      <c r="S11" s="716"/>
      <c r="T11" s="464"/>
      <c r="U11" s="585" t="e">
        <f ca="1">+"Upside (Downside): "&amp;ROUND((DCF!$Q$211*100),2)&amp;"%"</f>
        <v>#VALUE!</v>
      </c>
      <c r="V11" s="464"/>
    </row>
    <row r="12" spans="1:22" ht="3.75" customHeight="1" x14ac:dyDescent="0.2">
      <c r="A12" s="713"/>
      <c r="B12" s="714"/>
      <c r="C12" s="464"/>
      <c r="D12" s="792"/>
      <c r="E12" s="792"/>
      <c r="F12" s="792"/>
      <c r="G12" s="792"/>
      <c r="H12" s="792"/>
      <c r="I12" s="792"/>
      <c r="J12" s="792"/>
      <c r="K12" s="792"/>
      <c r="L12" s="792"/>
      <c r="M12" s="792"/>
      <c r="N12" s="792"/>
      <c r="O12" s="792"/>
      <c r="P12" s="792"/>
      <c r="Q12" s="792"/>
      <c r="R12" s="792"/>
      <c r="S12" s="716"/>
      <c r="T12" s="464"/>
      <c r="U12" s="464"/>
      <c r="V12" s="464"/>
    </row>
    <row r="13" spans="1:22" ht="17.25" customHeight="1" x14ac:dyDescent="0.2">
      <c r="A13" s="713"/>
      <c r="B13" s="714"/>
      <c r="C13" s="464"/>
      <c r="D13" s="792"/>
      <c r="E13" s="792"/>
      <c r="F13" s="792"/>
      <c r="G13" s="792"/>
      <c r="H13" s="792"/>
      <c r="I13" s="792"/>
      <c r="J13" s="792"/>
      <c r="K13" s="792"/>
      <c r="L13" s="792"/>
      <c r="M13" s="792"/>
      <c r="N13" s="792"/>
      <c r="O13" s="792"/>
      <c r="P13" s="792"/>
      <c r="Q13" s="792"/>
      <c r="R13" s="792"/>
      <c r="S13" s="716"/>
      <c r="T13" s="464"/>
      <c r="U13" s="464"/>
      <c r="V13" s="464"/>
    </row>
    <row r="14" spans="1:22" ht="15" customHeight="1" x14ac:dyDescent="0.2">
      <c r="A14" s="713"/>
      <c r="B14" s="714"/>
      <c r="C14" s="464"/>
      <c r="D14" s="792"/>
      <c r="E14" s="792"/>
      <c r="F14" s="792"/>
      <c r="G14" s="792"/>
      <c r="H14" s="792"/>
      <c r="I14" s="792"/>
      <c r="J14" s="792"/>
      <c r="K14" s="792"/>
      <c r="L14" s="792"/>
      <c r="M14" s="792"/>
      <c r="N14" s="792"/>
      <c r="O14" s="792"/>
      <c r="P14" s="792"/>
      <c r="Q14" s="792"/>
      <c r="R14" s="792"/>
      <c r="S14" s="716"/>
      <c r="T14" s="464"/>
      <c r="U14" s="720" t="str">
        <f>+_xll.BDP(D6,"COUNTRY")&amp;" "&amp; _xll.BDP(D6, "GICS_INDUSTRY_GROUP_NAME")</f>
        <v>#N/A Invalid Security #N/A Invalid Security</v>
      </c>
      <c r="V14" s="714"/>
    </row>
    <row r="15" spans="1:22" ht="15" customHeight="1" x14ac:dyDescent="0.2">
      <c r="A15" s="713"/>
      <c r="B15" s="714"/>
      <c r="C15" s="464"/>
      <c r="D15" s="792"/>
      <c r="E15" s="792"/>
      <c r="F15" s="792"/>
      <c r="G15" s="792"/>
      <c r="H15" s="792"/>
      <c r="I15" s="792"/>
      <c r="J15" s="792"/>
      <c r="K15" s="792"/>
      <c r="L15" s="792"/>
      <c r="M15" s="792"/>
      <c r="N15" s="792"/>
      <c r="O15" s="792"/>
      <c r="P15" s="792"/>
      <c r="Q15" s="792"/>
      <c r="R15" s="792"/>
      <c r="S15" s="716"/>
      <c r="T15" s="464"/>
      <c r="U15" s="720" t="str">
        <f>+_xll.BDP(D6, "BICS_LEVEL_4_SUB_INDUSTRY_NAME")</f>
        <v>#N/A Requesting Data...</v>
      </c>
      <c r="V15" s="714"/>
    </row>
    <row r="16" spans="1:22" ht="3.75" customHeight="1" x14ac:dyDescent="0.25">
      <c r="A16" s="713"/>
      <c r="B16" s="714"/>
      <c r="C16" s="464"/>
      <c r="D16" s="464"/>
      <c r="E16" s="1"/>
      <c r="F16" s="464"/>
      <c r="G16" s="464"/>
      <c r="H16" s="464"/>
      <c r="I16" s="464"/>
      <c r="J16" s="464"/>
      <c r="K16" s="464"/>
      <c r="L16" s="464"/>
      <c r="M16" s="464"/>
      <c r="N16" s="464"/>
      <c r="O16" s="464"/>
      <c r="P16" s="464"/>
      <c r="Q16" s="464"/>
      <c r="R16" s="464"/>
      <c r="S16" s="715"/>
      <c r="T16" s="464"/>
      <c r="U16" s="721"/>
      <c r="V16" s="464"/>
    </row>
    <row r="17" spans="4:37" ht="14.25" customHeight="1" x14ac:dyDescent="0.25">
      <c r="D17" s="2" t="s">
        <v>4</v>
      </c>
      <c r="E17" s="3"/>
      <c r="F17" s="4">
        <v>2023</v>
      </c>
      <c r="G17" s="9">
        <f>+F17+1</f>
        <v>2024</v>
      </c>
      <c r="H17" s="5">
        <f>+G17+1</f>
        <v>2025</v>
      </c>
      <c r="I17" s="5">
        <f>+H17+1</f>
        <v>2026</v>
      </c>
      <c r="J17" s="464"/>
      <c r="K17" s="7" t="s">
        <v>5</v>
      </c>
      <c r="L17" s="4"/>
      <c r="M17" s="4"/>
      <c r="N17" s="4">
        <v>2022</v>
      </c>
      <c r="O17" s="4">
        <f>+N17+1</f>
        <v>2023</v>
      </c>
      <c r="P17" s="366">
        <f>+O17+1</f>
        <v>2024</v>
      </c>
      <c r="Q17" s="5">
        <f>+P17+1</f>
        <v>2025</v>
      </c>
      <c r="R17" s="5">
        <f>+Q17+1</f>
        <v>2026</v>
      </c>
      <c r="S17" s="638"/>
      <c r="T17" s="464"/>
      <c r="U17" s="722" t="s">
        <v>6</v>
      </c>
      <c r="V17" s="464"/>
    </row>
    <row r="18" spans="4:37" ht="15" x14ac:dyDescent="0.2">
      <c r="D18" s="10"/>
      <c r="E18" s="11"/>
      <c r="F18" s="12"/>
      <c r="G18" s="13"/>
      <c r="H18" s="14"/>
      <c r="I18" s="14"/>
      <c r="J18" s="464"/>
      <c r="K18" s="15" t="s">
        <v>7</v>
      </c>
      <c r="L18"/>
      <c r="M18"/>
      <c r="N18" s="391" t="str">
        <f ca="1">IFERROR(_xlfn.XLOOKUP($K18,Multiples!$B:$B,Multiples!N:N),"")</f>
        <v/>
      </c>
      <c r="O18" s="391" t="str">
        <f ca="1">IFERROR(_xlfn.XLOOKUP($K18,Multiples!$B:$B,Multiples!O:O),"")</f>
        <v/>
      </c>
      <c r="P18" s="367" t="str">
        <f ca="1">IFERROR(_xlfn.XLOOKUP($K18,Multiples!$B:$B,Multiples!P:P),"")</f>
        <v/>
      </c>
      <c r="Q18" s="374" t="str">
        <f ca="1">IFERROR(_xlfn.XLOOKUP($K18,Multiples!$B:$B,Multiples!Q:Q),"")</f>
        <v/>
      </c>
      <c r="R18" s="374" t="str">
        <f ca="1">IFERROR(_xlfn.XLOOKUP($K18,Multiples!$B:$B,Multiples!R:R),"")</f>
        <v/>
      </c>
      <c r="S18" s="639"/>
      <c r="T18" s="464"/>
      <c r="U18" s="771" t="s">
        <v>8</v>
      </c>
      <c r="V18" s="464"/>
      <c r="AA18" s="578" t="s">
        <v>518</v>
      </c>
      <c r="AB18" s="578" t="s">
        <v>520</v>
      </c>
      <c r="AC18" s="578" t="s">
        <v>521</v>
      </c>
      <c r="AD18" s="578" t="s">
        <v>522</v>
      </c>
      <c r="AE18" s="578" t="s">
        <v>523</v>
      </c>
      <c r="AF18" s="578" t="s">
        <v>524</v>
      </c>
      <c r="AG18" s="578" t="s">
        <v>525</v>
      </c>
      <c r="AH18" s="818" t="s">
        <v>526</v>
      </c>
      <c r="AI18" s="818" t="s">
        <v>527</v>
      </c>
      <c r="AJ18" s="578" t="s">
        <v>528</v>
      </c>
      <c r="AK18" s="578" t="s">
        <v>529</v>
      </c>
    </row>
    <row r="19" spans="4:37" ht="15" x14ac:dyDescent="0.2">
      <c r="D19" s="10"/>
      <c r="E19" s="11"/>
      <c r="F19" s="12"/>
      <c r="G19" s="13"/>
      <c r="H19" s="14"/>
      <c r="I19" s="14"/>
      <c r="J19" s="464"/>
      <c r="K19" s="18" t="s">
        <v>9</v>
      </c>
      <c r="L19"/>
      <c r="M19"/>
      <c r="N19" s="391" t="str">
        <f ca="1">IFERROR(_xlfn.XLOOKUP($K19,Multiples!$B:$B,Multiples!N:N),"")</f>
        <v/>
      </c>
      <c r="O19" s="391" t="str">
        <f ca="1">IFERROR(_xlfn.XLOOKUP($K19,Multiples!$B:$B,Multiples!O:O),"")</f>
        <v/>
      </c>
      <c r="P19" s="367" t="str">
        <f ca="1">IFERROR(_xlfn.XLOOKUP($K19,Multiples!$B:$B,Multiples!P:P),"")</f>
        <v/>
      </c>
      <c r="Q19" s="374" t="str">
        <f ca="1">IFERROR(_xlfn.XLOOKUP($K19,Multiples!$B:$B,Multiples!Q:Q),"")</f>
        <v/>
      </c>
      <c r="R19" s="374" t="str">
        <f ca="1">IFERROR(_xlfn.XLOOKUP($K19,Multiples!$B:$B,Multiples!R:R),"")</f>
        <v/>
      </c>
      <c r="S19" s="639"/>
      <c r="T19" s="464"/>
      <c r="U19" s="625" t="s">
        <v>10</v>
      </c>
      <c r="V19" s="464"/>
      <c r="Z19" s="578" t="s">
        <v>519</v>
      </c>
      <c r="AA19" s="578" t="str">
        <f>_xll.BDP($Z$19, $AA$18)</f>
        <v>US</v>
      </c>
      <c r="AB19" s="578" t="str">
        <f>_xll.BDP($Z$19, $AB$18)</f>
        <v>Technology</v>
      </c>
      <c r="AC19" s="578" t="str">
        <f>_xll.BDP($Z$19, $AC$18)</f>
        <v>Information Technology</v>
      </c>
      <c r="AD19" s="578" t="str">
        <f>_xll.BDP($Z$19, $AD$18)</f>
        <v>Technology Hardware &amp; Equipmen</v>
      </c>
      <c r="AE19" s="578" t="str">
        <f>_xll.BDP($Z$19, $AE$18)</f>
        <v>Computers</v>
      </c>
      <c r="AF19" s="578">
        <f>_xll.BDP($Z$19, $AF$18)</f>
        <v>45202030</v>
      </c>
      <c r="AG19" s="578" t="str">
        <f>_xll.BDP($Z$19, $AG$18)</f>
        <v>Technology Hardware, Storage &amp;</v>
      </c>
      <c r="AH19" s="578" t="str">
        <f>_xll.BDP($Z$19, $AH$18)</f>
        <v>Communications Equipment</v>
      </c>
      <c r="AI19" s="578" t="str">
        <f>_xll.BDP($Z$19, $AI$18)</f>
        <v>AAPL US</v>
      </c>
      <c r="AJ19" s="578" t="str">
        <f>_xll.BDP($Z$19, $AJ$18)</f>
        <v>AAPL US</v>
      </c>
      <c r="AK19" s="578" t="str">
        <f>_xll.BDP($Z$19, $AK$18)</f>
        <v>NASDAQ GS</v>
      </c>
    </row>
    <row r="20" spans="4:37" ht="14.25" customHeight="1" x14ac:dyDescent="0.25">
      <c r="D20" s="10"/>
      <c r="E20" s="11"/>
      <c r="F20" s="19"/>
      <c r="G20" s="20"/>
      <c r="H20" s="21"/>
      <c r="I20" s="21"/>
      <c r="J20" s="464"/>
      <c r="K20" s="22" t="s">
        <v>11</v>
      </c>
      <c r="L20"/>
      <c r="M20"/>
      <c r="N20" s="391" t="str">
        <f ca="1">IFERROR(_xlfn.XLOOKUP($K20,Multiples!$B:$B,Multiples!N:N),"")</f>
        <v/>
      </c>
      <c r="O20" s="391" t="str">
        <f ca="1">IFERROR(_xlfn.XLOOKUP($K20,Multiples!$B:$B,Multiples!O:O),"")</f>
        <v/>
      </c>
      <c r="P20" s="367" t="str">
        <f ca="1">IFERROR(_xlfn.XLOOKUP($K20,Multiples!$B:$B,Multiples!P:P),"")</f>
        <v/>
      </c>
      <c r="Q20" s="374" t="str">
        <f ca="1">IFERROR(_xlfn.XLOOKUP($K20,Multiples!$B:$B,Multiples!Q:Q),"")</f>
        <v/>
      </c>
      <c r="R20" s="374" t="str">
        <f ca="1">IFERROR(_xlfn.XLOOKUP($K20,Multiples!$B:$B,Multiples!R:R),"")</f>
        <v/>
      </c>
      <c r="S20" s="639"/>
      <c r="T20" s="464"/>
      <c r="U20" s="23" t="s">
        <v>12</v>
      </c>
      <c r="V20" s="464"/>
    </row>
    <row r="21" spans="4:37" ht="15" x14ac:dyDescent="0.2">
      <c r="D21" s="10"/>
      <c r="E21" s="11"/>
      <c r="F21" s="577"/>
      <c r="G21" s="576"/>
      <c r="H21" s="575"/>
      <c r="I21" s="575"/>
      <c r="J21" s="464"/>
      <c r="K21" s="22" t="s">
        <v>13</v>
      </c>
      <c r="L21"/>
      <c r="M21"/>
      <c r="N21" s="391" t="str">
        <f ca="1">IFERROR(_xlfn.XLOOKUP($K21,Multiples!$B:$B,Multiples!N:N),"")</f>
        <v/>
      </c>
      <c r="O21" s="391" t="str">
        <f ca="1">IFERROR(_xlfn.XLOOKUP($K21,Multiples!$B:$B,Multiples!O:O),"")</f>
        <v/>
      </c>
      <c r="P21" s="367" t="str">
        <f ca="1">IFERROR(_xlfn.XLOOKUP($K21,Multiples!$B:$B,Multiples!P:P),"")</f>
        <v/>
      </c>
      <c r="Q21" s="374" t="str">
        <f ca="1">IFERROR(_xlfn.XLOOKUP($K21,Multiples!$B:$B,Multiples!Q:Q),"")</f>
        <v/>
      </c>
      <c r="R21" s="374" t="str">
        <f ca="1">IFERROR(_xlfn.XLOOKUP($K21,Multiples!$B:$B,Multiples!R:R),"")</f>
        <v/>
      </c>
      <c r="S21" s="639"/>
      <c r="T21" s="464"/>
      <c r="U21" s="771" t="s">
        <v>14</v>
      </c>
      <c r="V21" s="464"/>
    </row>
    <row r="22" spans="4:37" ht="15" x14ac:dyDescent="0.2">
      <c r="D22" s="10"/>
      <c r="E22" s="11"/>
      <c r="F22" s="12"/>
      <c r="G22" s="13"/>
      <c r="H22" s="14"/>
      <c r="I22" s="14"/>
      <c r="J22" s="464"/>
      <c r="K22" s="18" t="s">
        <v>15</v>
      </c>
      <c r="L22"/>
      <c r="M22"/>
      <c r="N22" s="391" t="str">
        <f ca="1">IFERROR(_xlfn.XLOOKUP($K22,Multiples!$B:$B,Multiples!N:N),"")</f>
        <v/>
      </c>
      <c r="O22" s="391" t="str">
        <f ca="1">IFERROR(_xlfn.XLOOKUP($K22,Multiples!$B:$B,Multiples!O:O),"")</f>
        <v/>
      </c>
      <c r="P22" s="367" t="str">
        <f ca="1">IFERROR(_xlfn.XLOOKUP($K22,Multiples!$B:$B,Multiples!P:P),"")</f>
        <v/>
      </c>
      <c r="Q22" s="374" t="str">
        <f ca="1">IFERROR(_xlfn.XLOOKUP($K22,Multiples!$B:$B,Multiples!Q:Q),"")</f>
        <v/>
      </c>
      <c r="R22" s="374" t="str">
        <f ca="1">IFERROR(_xlfn.XLOOKUP($K22,Multiples!$B:$B,Multiples!R:R),"")</f>
        <v/>
      </c>
      <c r="S22" s="639"/>
      <c r="T22" s="464"/>
      <c r="U22" s="625" t="s">
        <v>10</v>
      </c>
      <c r="V22" s="464"/>
    </row>
    <row r="23" spans="4:37" ht="14.25" customHeight="1" x14ac:dyDescent="0.25">
      <c r="D23" s="10"/>
      <c r="E23" s="11"/>
      <c r="F23" s="12"/>
      <c r="G23" s="13"/>
      <c r="H23" s="14"/>
      <c r="I23" s="14"/>
      <c r="J23" s="464"/>
      <c r="K23" s="22" t="s">
        <v>16</v>
      </c>
      <c r="L23"/>
      <c r="M23"/>
      <c r="N23" s="391" t="str">
        <f ca="1">IFERROR(_xlfn.XLOOKUP($K23,Multiples!$B:$B,Multiples!N:N),"")</f>
        <v/>
      </c>
      <c r="O23" s="391" t="str">
        <f ca="1">IFERROR(_xlfn.XLOOKUP($K23,Multiples!$B:$B,Multiples!O:O),"")</f>
        <v/>
      </c>
      <c r="P23" s="367" t="str">
        <f ca="1">IFERROR(_xlfn.XLOOKUP($K23,Multiples!$B:$B,Multiples!P:P),"")</f>
        <v/>
      </c>
      <c r="Q23" s="374" t="str">
        <f ca="1">IFERROR(_xlfn.XLOOKUP($K23,Multiples!$B:$B,Multiples!Q:Q),"")</f>
        <v/>
      </c>
      <c r="R23" s="374" t="str">
        <f ca="1">IFERROR(_xlfn.XLOOKUP($K23,Multiples!$B:$B,Multiples!R:R),"")</f>
        <v/>
      </c>
      <c r="S23" s="639"/>
      <c r="T23" s="464"/>
      <c r="U23" s="23" t="s">
        <v>17</v>
      </c>
      <c r="V23" s="464"/>
    </row>
    <row r="24" spans="4:37" ht="15" x14ac:dyDescent="0.2">
      <c r="D24"/>
      <c r="E24"/>
      <c r="F24"/>
      <c r="G24"/>
      <c r="H24"/>
      <c r="I24"/>
      <c r="J24"/>
      <c r="K24" s="22"/>
      <c r="L24"/>
      <c r="M24"/>
      <c r="N24"/>
      <c r="O24"/>
      <c r="P24"/>
      <c r="Q24"/>
      <c r="R24"/>
      <c r="S24" s="640"/>
      <c r="T24" s="464"/>
      <c r="U24" s="771" t="s">
        <v>18</v>
      </c>
      <c r="V24" s="464"/>
    </row>
    <row r="25" spans="4:37" ht="14.25" customHeight="1" x14ac:dyDescent="0.25">
      <c r="D25" s="28" t="s">
        <v>19</v>
      </c>
      <c r="E25" s="587" t="s">
        <v>20</v>
      </c>
      <c r="F25" s="588" t="s">
        <v>21</v>
      </c>
      <c r="G25" s="588" t="s">
        <v>22</v>
      </c>
      <c r="H25" s="588" t="str">
        <f>+IF(Summary!$G$25="FCFF",DCF!AB6,IF(Summary!$G$25="FCFE",DCF!AC6,DCF!AD6))</f>
        <v>NOPAT</v>
      </c>
      <c r="I25" s="589" t="s">
        <v>23</v>
      </c>
      <c r="J25" s="464"/>
      <c r="K25" s="7" t="s">
        <v>24</v>
      </c>
      <c r="L25" s="4"/>
      <c r="M25" s="4"/>
      <c r="N25" s="4">
        <v>2022</v>
      </c>
      <c r="O25" s="4">
        <f>+N25+1</f>
        <v>2023</v>
      </c>
      <c r="P25" s="366">
        <f>+O25+1</f>
        <v>2024</v>
      </c>
      <c r="Q25" s="5">
        <f>+P25+1</f>
        <v>2025</v>
      </c>
      <c r="R25" s="5">
        <f>+Q25+1</f>
        <v>2026</v>
      </c>
      <c r="S25" s="638"/>
      <c r="T25" s="464"/>
      <c r="U25" s="625" t="s">
        <v>10</v>
      </c>
      <c r="V25" s="464"/>
    </row>
    <row r="26" spans="4:37" ht="15.75" x14ac:dyDescent="0.25">
      <c r="D26" s="29">
        <v>2022</v>
      </c>
      <c r="E26" s="590" t="e">
        <f ca="1">+DCF!E30</f>
        <v>#NAME?</v>
      </c>
      <c r="F26" s="591" t="str">
        <f ca="1">+DCF!E60</f>
        <v/>
      </c>
      <c r="G26" s="592" t="str">
        <f ca="1">+INDEX(DCF!X7:AA7,MATCH(Summary!$G$25,{"FCFF","FCFE","Tax Shield","Total Payout"},0))</f>
        <v/>
      </c>
      <c r="H26" s="592" t="str">
        <f ca="1">+IF(Summary!$G$25="FCFF",DCF!AB7,IF(Summary!$G$25="FCFE",DCF!AC7,DCF!AD7))</f>
        <v/>
      </c>
      <c r="I26" s="593" t="e">
        <f ca="1">+DCF!E134</f>
        <v>#NAME?</v>
      </c>
      <c r="J26" s="464"/>
      <c r="K26" s="22" t="s">
        <v>25</v>
      </c>
      <c r="L26"/>
      <c r="M26"/>
      <c r="N26" s="391" t="str">
        <f ca="1">IFERROR(_xlfn.XLOOKUP($K26,Multiples!$B:$B,Multiples!N:N),"")</f>
        <v/>
      </c>
      <c r="O26" s="391" t="str">
        <f ca="1">IFERROR(_xlfn.XLOOKUP($K26,Multiples!$B:$B,Multiples!O:O),"")</f>
        <v/>
      </c>
      <c r="P26" s="367" t="str">
        <f ca="1">IFERROR(_xlfn.XLOOKUP($K26,Multiples!$B:$B,Multiples!P:P),"")</f>
        <v/>
      </c>
      <c r="Q26" s="374" t="str">
        <f ca="1">IFERROR(_xlfn.XLOOKUP($K26,Multiples!$B:$B,Multiples!Q:Q),"")</f>
        <v/>
      </c>
      <c r="R26" s="374" t="str">
        <f ca="1">IFERROR(_xlfn.XLOOKUP($K26,Multiples!$B:$B,Multiples!R:R),"")</f>
        <v/>
      </c>
      <c r="S26" s="639"/>
      <c r="T26" s="464"/>
      <c r="U26" s="23" t="s">
        <v>26</v>
      </c>
      <c r="V26" s="464"/>
    </row>
    <row r="27" spans="4:37" ht="14.25" customHeight="1" x14ac:dyDescent="0.2">
      <c r="D27" s="29">
        <f t="shared" ref="D27:D33" si="0">+D26+1</f>
        <v>2023</v>
      </c>
      <c r="E27" s="594" t="e">
        <f ca="1">+DCF!F30</f>
        <v>#NAME?</v>
      </c>
      <c r="F27" s="595" t="str">
        <f ca="1">+DCF!F60</f>
        <v/>
      </c>
      <c r="G27" s="596" t="str">
        <f ca="1">+INDEX(DCF!X8:AA8,MATCH(Summary!$G$25,{"FCFF","FCFE","Tax Shield","Total Payout"},0))</f>
        <v/>
      </c>
      <c r="H27" s="597" t="str">
        <f ca="1">+IF(Summary!$G$25="FCFF",DCF!AB8,IF(Summary!$G$25="FCFE",DCF!AC8,DCF!AD8))</f>
        <v/>
      </c>
      <c r="I27" s="593" t="e">
        <f ca="1">+DCF!F134</f>
        <v>#NAME?</v>
      </c>
      <c r="J27" s="464"/>
      <c r="K27" s="22" t="s">
        <v>27</v>
      </c>
      <c r="L27"/>
      <c r="M27"/>
      <c r="N27" s="391" t="str">
        <f ca="1">IFERROR(_xlfn.XLOOKUP($K27,Multiples!$B:$B,Multiples!N:N),"")</f>
        <v/>
      </c>
      <c r="O27" s="391" t="str">
        <f ca="1">IFERROR(_xlfn.XLOOKUP($K27,Multiples!$B:$B,Multiples!O:O),"")</f>
        <v/>
      </c>
      <c r="P27" s="367" t="str">
        <f ca="1">IFERROR(_xlfn.XLOOKUP($K27,Multiples!$B:$B,Multiples!P:P),"")</f>
        <v/>
      </c>
      <c r="Q27" s="374" t="str">
        <f ca="1">IFERROR(_xlfn.XLOOKUP($K27,Multiples!$B:$B,Multiples!Q:Q),"")</f>
        <v/>
      </c>
      <c r="R27" s="374" t="str">
        <f ca="1">IFERROR(_xlfn.XLOOKUP($K27,Multiples!$B:$B,Multiples!R:R),"")</f>
        <v/>
      </c>
      <c r="S27" s="639"/>
      <c r="T27" s="464"/>
      <c r="U27" s="771" t="s">
        <v>28</v>
      </c>
      <c r="V27" s="464"/>
    </row>
    <row r="28" spans="4:37" ht="15" x14ac:dyDescent="0.2">
      <c r="D28" s="415">
        <f t="shared" si="0"/>
        <v>2024</v>
      </c>
      <c r="E28" s="598" t="e">
        <f ca="1">+DCF!G30</f>
        <v>#NAME?</v>
      </c>
      <c r="F28" s="599" t="str">
        <f ca="1">+DCF!G60</f>
        <v/>
      </c>
      <c r="G28" s="600" t="str">
        <f ca="1">+INDEX(DCF!X9:AA9,MATCH(Summary!$G$25,{"FCFF","FCFE","Tax Shield","Total Payout"},0))</f>
        <v/>
      </c>
      <c r="H28" s="601" t="str">
        <f ca="1">+IF(Summary!$G$25="FCFF",DCF!AB9,IF(Summary!$G$25="FCFE",DCF!AC9,DCF!AD9))</f>
        <v/>
      </c>
      <c r="I28" s="627" t="e">
        <f ca="1">+DCF!G134</f>
        <v>#NAME?</v>
      </c>
      <c r="J28" s="464"/>
      <c r="K28" s="132" t="s">
        <v>29</v>
      </c>
      <c r="L28"/>
      <c r="M28"/>
      <c r="N28" s="391" t="str">
        <f ca="1">IFERROR(_xlfn.XLOOKUP($K28,Multiples!$B:$B,Multiples!N:N),"")</f>
        <v/>
      </c>
      <c r="O28" s="391" t="str">
        <f ca="1">IFERROR(_xlfn.XLOOKUP($K28,Multiples!$B:$B,Multiples!O:O),"")</f>
        <v/>
      </c>
      <c r="P28" s="367" t="str">
        <f ca="1">IFERROR(_xlfn.XLOOKUP($K28,Multiples!$B:$B,Multiples!P:P),"")</f>
        <v/>
      </c>
      <c r="Q28" s="374" t="str">
        <f ca="1">IFERROR(_xlfn.XLOOKUP($K28,Multiples!$B:$B,Multiples!Q:Q),"")</f>
        <v/>
      </c>
      <c r="R28" s="374" t="str">
        <f ca="1">IFERROR(_xlfn.XLOOKUP($K28,Multiples!$B:$B,Multiples!R:R),"")</f>
        <v/>
      </c>
      <c r="S28" s="639"/>
      <c r="T28" s="464"/>
      <c r="U28" s="625" t="s">
        <v>10</v>
      </c>
      <c r="V28" s="723"/>
    </row>
    <row r="29" spans="4:37" ht="15" x14ac:dyDescent="0.2">
      <c r="D29" s="30">
        <f t="shared" si="0"/>
        <v>2025</v>
      </c>
      <c r="E29" s="602">
        <f>+DCF!H30</f>
        <v>0</v>
      </c>
      <c r="F29" s="603" t="str">
        <f ca="1">+DCF!H60</f>
        <v/>
      </c>
      <c r="G29" s="604" t="str">
        <f ca="1">+INDEX(DCF!X10:AA10,MATCH(Summary!$G$25,{"FCFF","FCFE","Tax Shield","Total Payout"},0))</f>
        <v/>
      </c>
      <c r="H29" s="602" t="str">
        <f ca="1">+IF(Summary!$G$25="FCFF",DCF!AB10,IF(Summary!$G$25="FCFE",DCF!AC10,DCF!AD10))</f>
        <v/>
      </c>
      <c r="I29" s="754" t="str">
        <f ca="1">+DCF!H134</f>
        <v/>
      </c>
      <c r="J29" s="464"/>
      <c r="K29" s="31" t="s">
        <v>30</v>
      </c>
      <c r="L29"/>
      <c r="M29"/>
      <c r="N29" s="391" t="str">
        <f ca="1">IFERROR(_xlfn.XLOOKUP($K29,Multiples!$B:$B,Multiples!N:N),"")</f>
        <v/>
      </c>
      <c r="O29" s="391" t="str">
        <f ca="1">IFERROR(_xlfn.XLOOKUP($K29,Multiples!$B:$B,Multiples!O:O),"")</f>
        <v/>
      </c>
      <c r="P29" s="367" t="str">
        <f ca="1">IFERROR(_xlfn.XLOOKUP($K29,Multiples!$B:$B,Multiples!P:P),"")</f>
        <v/>
      </c>
      <c r="Q29" s="374" t="str">
        <f ca="1">IFERROR(_xlfn.XLOOKUP($K29,Multiples!$B:$B,Multiples!Q:Q),"")</f>
        <v/>
      </c>
      <c r="R29" s="374" t="str">
        <f ca="1">IFERROR(_xlfn.XLOOKUP($K29,Multiples!$B:$B,Multiples!R:R),"")</f>
        <v/>
      </c>
      <c r="S29" s="639"/>
      <c r="T29" s="464"/>
      <c r="U29" s="464"/>
      <c r="V29" s="464"/>
    </row>
    <row r="30" spans="4:37" ht="15" x14ac:dyDescent="0.2">
      <c r="D30" s="30">
        <f t="shared" si="0"/>
        <v>2026</v>
      </c>
      <c r="E30" s="602">
        <f>+DCF!I30</f>
        <v>0</v>
      </c>
      <c r="F30" s="603" t="str">
        <f ca="1">+DCF!I60</f>
        <v/>
      </c>
      <c r="G30" s="604" t="str">
        <f ca="1">+INDEX(DCF!X11:AA11,MATCH(Summary!$G$25,{"FCFF","FCFE","Tax Shield","Total Payout"},0))</f>
        <v/>
      </c>
      <c r="H30" s="602" t="str">
        <f ca="1">+IF(Summary!$G$25="FCFF",DCF!AB11,IF(Summary!$G$25="FCFE",DCF!AC11,DCF!AD11))</f>
        <v/>
      </c>
      <c r="I30" s="754" t="str">
        <f ca="1">+DCF!I134</f>
        <v/>
      </c>
      <c r="J30" s="464"/>
      <c r="K30" s="18" t="s">
        <v>21</v>
      </c>
      <c r="L30"/>
      <c r="M30"/>
      <c r="N30" s="391" t="str">
        <f ca="1">IFERROR(_xlfn.XLOOKUP($K30,Multiples!$B:$B,Multiples!N:N),"")</f>
        <v/>
      </c>
      <c r="O30" s="391" t="str">
        <f ca="1">IFERROR(_xlfn.XLOOKUP($K30,Multiples!$B:$B,Multiples!O:O),"")</f>
        <v/>
      </c>
      <c r="P30" s="367" t="str">
        <f ca="1">IFERROR(_xlfn.XLOOKUP($K30,Multiples!$B:$B,Multiples!P:P),"")</f>
        <v/>
      </c>
      <c r="Q30" s="374" t="str">
        <f ca="1">IFERROR(_xlfn.XLOOKUP($K30,Multiples!$B:$B,Multiples!Q:Q),"")</f>
        <v/>
      </c>
      <c r="R30" s="374" t="str">
        <f ca="1">IFERROR(_xlfn.XLOOKUP($K30,Multiples!$B:$B,Multiples!R:R),"")</f>
        <v/>
      </c>
      <c r="S30" s="639"/>
      <c r="T30" s="464"/>
      <c r="U30" s="746" t="s">
        <v>31</v>
      </c>
      <c r="V30" s="714"/>
    </row>
    <row r="31" spans="4:37" ht="14.25" customHeight="1" x14ac:dyDescent="0.2">
      <c r="D31" s="30">
        <f t="shared" si="0"/>
        <v>2027</v>
      </c>
      <c r="E31" s="602">
        <f>+DCF!J30</f>
        <v>0</v>
      </c>
      <c r="F31" s="603" t="str">
        <f ca="1">+DCF!J60</f>
        <v/>
      </c>
      <c r="G31" s="604" t="str">
        <f ca="1">+INDEX(DCF!X12:AA12,MATCH(Summary!$G$25,{"FCFF","FCFE","Tax Shield","Total Payout"},0))</f>
        <v/>
      </c>
      <c r="H31" s="602" t="str">
        <f ca="1">+IF(Summary!$G$25="FCFF",DCF!AB12,IF(Summary!$G$25="FCFE",DCF!AC12,DCF!AD12))</f>
        <v/>
      </c>
      <c r="I31" s="754" t="str">
        <f ca="1">+DCF!J134</f>
        <v/>
      </c>
      <c r="J31" s="464"/>
      <c r="K31" s="18" t="s">
        <v>32</v>
      </c>
      <c r="L31"/>
      <c r="M31"/>
      <c r="N31" s="391" t="str">
        <f ca="1">IFERROR(_xlfn.XLOOKUP($K31,Multiples!$B:$B,Multiples!N:N),"")</f>
        <v/>
      </c>
      <c r="O31" s="391" t="str">
        <f ca="1">IFERROR(_xlfn.XLOOKUP($K31,Multiples!$B:$B,Multiples!O:O),"")</f>
        <v/>
      </c>
      <c r="P31" s="367" t="str">
        <f ca="1">IFERROR(_xlfn.XLOOKUP($K31,Multiples!$B:$B,Multiples!P:P),"")</f>
        <v/>
      </c>
      <c r="Q31" s="374" t="str">
        <f ca="1">IFERROR(_xlfn.XLOOKUP($K31,Multiples!$B:$B,Multiples!Q:Q),"")</f>
        <v/>
      </c>
      <c r="R31" s="374" t="str">
        <f ca="1">IFERROR(_xlfn.XLOOKUP($K31,Multiples!$B:$B,Multiples!R:R),"")</f>
        <v/>
      </c>
      <c r="S31" s="639"/>
      <c r="T31" s="464"/>
      <c r="U31" s="25" t="s">
        <v>33</v>
      </c>
      <c r="V31" s="34" t="str">
        <f>+_xll.BDP(D6,"EQY_BETA")</f>
        <v>#N/A Invalid Security</v>
      </c>
    </row>
    <row r="32" spans="4:37" ht="14.25" customHeight="1" x14ac:dyDescent="0.2">
      <c r="D32" s="30">
        <f t="shared" si="0"/>
        <v>2028</v>
      </c>
      <c r="E32" s="602">
        <f>+DCF!K30</f>
        <v>0</v>
      </c>
      <c r="F32" s="603" t="str">
        <f ca="1">+DCF!K60</f>
        <v/>
      </c>
      <c r="G32" s="604" t="str">
        <f ca="1">+INDEX(DCF!X13:AA13,MATCH(Summary!$G$25,{"FCFF","FCFE","Tax Shield","Total Payout"},0))</f>
        <v/>
      </c>
      <c r="H32" s="602" t="str">
        <f ca="1">+IF(Summary!$G$25="FCFF",DCF!AB13,IF(Summary!$G$25="FCFE",DCF!AC13,DCF!AD13))</f>
        <v/>
      </c>
      <c r="I32" s="754" t="str">
        <f ca="1">+DCF!K134</f>
        <v/>
      </c>
      <c r="J32" s="464"/>
      <c r="K32" s="18" t="s">
        <v>34</v>
      </c>
      <c r="L32"/>
      <c r="M32"/>
      <c r="N32" s="391" t="str">
        <f ca="1">IFERROR(_xlfn.XLOOKUP($K32,Multiples!$B:$B,Multiples!N:N),"")</f>
        <v/>
      </c>
      <c r="O32" s="391" t="str">
        <f ca="1">IFERROR(_xlfn.XLOOKUP($K32,Multiples!$B:$B,Multiples!O:O),"")</f>
        <v/>
      </c>
      <c r="P32" s="367" t="str">
        <f ca="1">IFERROR(_xlfn.XLOOKUP($K32,Multiples!$B:$B,Multiples!P:P),"")</f>
        <v/>
      </c>
      <c r="Q32" s="374" t="str">
        <f ca="1">IFERROR(_xlfn.XLOOKUP($K32,Multiples!$B:$B,Multiples!Q:Q),"")</f>
        <v/>
      </c>
      <c r="R32" s="374" t="str">
        <f ca="1">IFERROR(_xlfn.XLOOKUP($K32,Multiples!$B:$B,Multiples!R:R),"")</f>
        <v/>
      </c>
      <c r="S32" s="639"/>
      <c r="T32" s="464"/>
      <c r="U32" s="35" t="s">
        <v>35</v>
      </c>
      <c r="V32" s="32" t="e">
        <f>+Peers!D73</f>
        <v>#VALUE!</v>
      </c>
    </row>
    <row r="33" spans="4:29" ht="14.25" customHeight="1" x14ac:dyDescent="0.2">
      <c r="D33" s="30">
        <f t="shared" si="0"/>
        <v>2029</v>
      </c>
      <c r="E33" s="602">
        <f>+DCF!L30</f>
        <v>0</v>
      </c>
      <c r="F33" s="603" t="str">
        <f ca="1">+DCF!L60</f>
        <v/>
      </c>
      <c r="G33" s="604" t="str">
        <f ca="1">+INDEX(DCF!X14:AA14,MATCH(Summary!$G$25,{"FCFF","FCFE","Tax Shield","Total Payout"},0))</f>
        <v/>
      </c>
      <c r="H33" s="602" t="str">
        <f ca="1">+IF(Summary!$G$25="FCFF",DCF!AB14,IF(Summary!$G$25="FCFE",DCF!AC14,DCF!AD14))</f>
        <v/>
      </c>
      <c r="I33" s="754" t="str">
        <f ca="1">+DCF!L134</f>
        <v/>
      </c>
      <c r="J33" s="464"/>
      <c r="K33" s="18" t="s">
        <v>36</v>
      </c>
      <c r="L33"/>
      <c r="M33"/>
      <c r="N33" s="391" t="str">
        <f ca="1">IFERROR(_xlfn.XLOOKUP($K33,Multiples!$B:$B,Multiples!N:N),"")</f>
        <v/>
      </c>
      <c r="O33" s="391" t="str">
        <f ca="1">IFERROR(_xlfn.XLOOKUP($K33,Multiples!$B:$B,Multiples!O:O),"")</f>
        <v/>
      </c>
      <c r="P33" s="367" t="str">
        <f ca="1">IFERROR(_xlfn.XLOOKUP($K33,Multiples!$B:$B,Multiples!P:P),"")</f>
        <v/>
      </c>
      <c r="Q33" s="374" t="str">
        <f ca="1">IFERROR(_xlfn.XLOOKUP($K33,Multiples!$B:$B,Multiples!Q:Q),"")</f>
        <v/>
      </c>
      <c r="R33" s="374" t="str">
        <f ca="1">IFERROR(_xlfn.XLOOKUP($K33,Multiples!$B:$B,Multiples!R:R),"")</f>
        <v/>
      </c>
      <c r="S33" s="639"/>
      <c r="T33" s="464"/>
      <c r="U33" s="25" t="s">
        <v>37</v>
      </c>
      <c r="V33" s="32" t="e">
        <f>+Peers!D76</f>
        <v>#VALUE!</v>
      </c>
      <c r="W33" s="464"/>
      <c r="X33" s="464"/>
      <c r="Y33" s="464"/>
      <c r="Z33" s="464"/>
      <c r="AA33" s="464"/>
      <c r="AB33" s="464"/>
      <c r="AC33" s="464"/>
    </row>
    <row r="34" spans="4:29" ht="14.25" customHeight="1" x14ac:dyDescent="0.2">
      <c r="D34" s="464"/>
      <c r="E34" s="464"/>
      <c r="F34" s="464"/>
      <c r="G34" s="464"/>
      <c r="H34" s="464"/>
      <c r="I34" s="464"/>
      <c r="J34" s="464"/>
      <c r="K34" s="464"/>
      <c r="L34" s="464"/>
      <c r="M34" s="464"/>
      <c r="N34" s="464"/>
      <c r="O34" s="464"/>
      <c r="P34" s="464"/>
      <c r="Q34" s="464"/>
      <c r="R34" s="464"/>
      <c r="S34" s="715"/>
      <c r="T34" s="464"/>
      <c r="U34" s="25" t="s">
        <v>38</v>
      </c>
      <c r="V34" s="32" t="e">
        <f>+Peers!D77</f>
        <v>#VALUE!</v>
      </c>
      <c r="W34" s="464"/>
      <c r="X34" s="464"/>
      <c r="Y34" s="464"/>
      <c r="Z34" s="464"/>
      <c r="AA34" s="464"/>
      <c r="AB34" s="464"/>
      <c r="AC34" s="464"/>
    </row>
    <row r="35" spans="4:29" ht="14.25" customHeight="1" x14ac:dyDescent="0.25">
      <c r="D35" s="7" t="s">
        <v>39</v>
      </c>
      <c r="E35" s="4"/>
      <c r="F35" s="4"/>
      <c r="G35" s="4"/>
      <c r="H35" s="4"/>
      <c r="I35" s="4"/>
      <c r="J35" s="464"/>
      <c r="K35" s="7" t="s">
        <v>40</v>
      </c>
      <c r="L35" s="4"/>
      <c r="M35" s="4"/>
      <c r="N35" s="4">
        <v>2022</v>
      </c>
      <c r="O35" s="4">
        <f>+N35+1</f>
        <v>2023</v>
      </c>
      <c r="P35" s="366">
        <f>+O35+1</f>
        <v>2024</v>
      </c>
      <c r="Q35" s="5">
        <f>+P35+1</f>
        <v>2025</v>
      </c>
      <c r="R35" s="5">
        <f>+Q35+1</f>
        <v>2026</v>
      </c>
      <c r="S35" s="638"/>
      <c r="T35" s="464"/>
      <c r="U35" s="36" t="s">
        <v>41</v>
      </c>
      <c r="V35" s="610" t="e">
        <f>+Peers!D78</f>
        <v>#VALUE!</v>
      </c>
      <c r="W35" s="464"/>
      <c r="X35" s="464"/>
      <c r="Y35" s="464"/>
      <c r="Z35" s="464"/>
      <c r="AA35" s="464"/>
      <c r="AB35" s="464"/>
      <c r="AC35" s="464"/>
    </row>
    <row r="36" spans="4:29" ht="14.25" customHeight="1" x14ac:dyDescent="0.25">
      <c r="D36" s="606" t="s">
        <v>42</v>
      </c>
      <c r="E36" s="606"/>
      <c r="F36" s="607"/>
      <c r="G36" s="606" t="s">
        <v>43</v>
      </c>
      <c r="H36" s="606"/>
      <c r="I36" s="606"/>
      <c r="J36" s="464"/>
      <c r="K36" s="33" t="s">
        <v>44</v>
      </c>
      <c r="L36"/>
      <c r="M36"/>
      <c r="N36" s="391" t="str">
        <f ca="1">IFERROR(_xlfn.XLOOKUP($K36,Multiples!$B:$B,Multiples!N:N),"")</f>
        <v/>
      </c>
      <c r="O36" s="391" t="str">
        <f ca="1">IFERROR(_xlfn.XLOOKUP($K36,Multiples!$B:$B,Multiples!O:O),"")</f>
        <v/>
      </c>
      <c r="P36" s="367" t="str">
        <f ca="1">IFERROR(_xlfn.XLOOKUP($K36,Multiples!$B:$B,Multiples!P:P),"")</f>
        <v/>
      </c>
      <c r="Q36" s="374" t="str">
        <f ca="1">IFERROR(_xlfn.XLOOKUP($K36,Multiples!$B:$B,Multiples!Q:Q),"")</f>
        <v/>
      </c>
      <c r="R36" s="374" t="str">
        <f ca="1">IFERROR(_xlfn.XLOOKUP($K36,Multiples!$B:$B,Multiples!R:R),"")</f>
        <v/>
      </c>
      <c r="S36" s="639"/>
      <c r="T36" s="464"/>
      <c r="U36" s="464"/>
      <c r="V36" s="464"/>
      <c r="W36" s="611">
        <v>120.87</v>
      </c>
      <c r="X36" s="464"/>
      <c r="Y36" s="464"/>
      <c r="Z36" s="464"/>
      <c r="AA36" s="464"/>
      <c r="AB36" s="464"/>
      <c r="AC36" s="464"/>
    </row>
    <row r="37" spans="4:29" ht="15.75" customHeight="1" x14ac:dyDescent="0.2">
      <c r="D37" s="786"/>
      <c r="E37" s="786"/>
      <c r="F37" s="787"/>
      <c r="G37" s="790"/>
      <c r="H37" s="786"/>
      <c r="I37" s="786"/>
      <c r="J37" s="464"/>
      <c r="K37" s="18" t="s">
        <v>45</v>
      </c>
      <c r="L37"/>
      <c r="M37"/>
      <c r="N37" s="391" t="str">
        <f ca="1">IFERROR(_xlfn.XLOOKUP($K37,Multiples!$B:$B,Multiples!N:N),"")</f>
        <v/>
      </c>
      <c r="O37" s="391" t="str">
        <f ca="1">IFERROR(_xlfn.XLOOKUP($K37,Multiples!$B:$B,Multiples!O:O),"")</f>
        <v/>
      </c>
      <c r="P37" s="367" t="str">
        <f ca="1">IFERROR(_xlfn.XLOOKUP($K37,Multiples!$B:$B,Multiples!P:P),"")</f>
        <v/>
      </c>
      <c r="Q37" s="374" t="str">
        <f ca="1">IFERROR(_xlfn.XLOOKUP($K37,Multiples!$B:$B,Multiples!Q:Q),"")</f>
        <v/>
      </c>
      <c r="R37" s="374" t="str">
        <f ca="1">IFERROR(_xlfn.XLOOKUP($K37,Multiples!$B:$B,Multiples!R:R),"")</f>
        <v/>
      </c>
      <c r="S37" s="639"/>
      <c r="T37" s="464"/>
      <c r="U37" s="746" t="s">
        <v>46</v>
      </c>
      <c r="V37" s="714"/>
      <c r="W37" s="611">
        <v>113.63</v>
      </c>
      <c r="X37" s="464"/>
      <c r="Y37" s="464"/>
      <c r="Z37" s="464"/>
      <c r="AA37" s="464"/>
      <c r="AB37" s="464"/>
      <c r="AC37" s="464"/>
    </row>
    <row r="38" spans="4:29" ht="15.75" customHeight="1" x14ac:dyDescent="0.2">
      <c r="D38" s="788"/>
      <c r="E38" s="788"/>
      <c r="F38" s="789"/>
      <c r="G38" s="791"/>
      <c r="H38" s="788"/>
      <c r="I38" s="788"/>
      <c r="J38" s="464"/>
      <c r="K38" s="18" t="s">
        <v>47</v>
      </c>
      <c r="L38"/>
      <c r="M38"/>
      <c r="N38" s="391" t="str">
        <f ca="1">IFERROR(_xlfn.XLOOKUP($K38,Multiples!$B:$B,Multiples!N:N),"")</f>
        <v/>
      </c>
      <c r="O38" s="391" t="str">
        <f ca="1">IFERROR(_xlfn.XLOOKUP($K38,Multiples!$B:$B,Multiples!O:O),"")</f>
        <v/>
      </c>
      <c r="P38" s="367" t="str">
        <f ca="1">IFERROR(_xlfn.XLOOKUP($K38,Multiples!$B:$B,Multiples!P:P),"")</f>
        <v/>
      </c>
      <c r="Q38" s="374" t="str">
        <f ca="1">IFERROR(_xlfn.XLOOKUP($K38,Multiples!$B:$B,Multiples!Q:Q),"")</f>
        <v/>
      </c>
      <c r="R38" s="374" t="str">
        <f ca="1">IFERROR(_xlfn.XLOOKUP($K38,Multiples!$B:$B,Multiples!R:R),"")</f>
        <v/>
      </c>
      <c r="S38" s="639"/>
      <c r="T38" s="464"/>
      <c r="U38" s="795"/>
      <c r="V38" s="795"/>
      <c r="W38" s="611"/>
      <c r="X38" s="464"/>
      <c r="Y38" s="464"/>
      <c r="Z38" s="464"/>
      <c r="AA38" s="464"/>
      <c r="AB38" s="464"/>
      <c r="AC38" s="464"/>
    </row>
    <row r="39" spans="4:29" ht="15.75" customHeight="1" x14ac:dyDescent="0.2">
      <c r="D39" s="788"/>
      <c r="E39" s="788"/>
      <c r="F39" s="789"/>
      <c r="G39" s="791"/>
      <c r="H39" s="788"/>
      <c r="I39" s="788"/>
      <c r="J39" s="464"/>
      <c r="K39"/>
      <c r="L39"/>
      <c r="M39"/>
      <c r="N39"/>
      <c r="O39"/>
      <c r="P39"/>
      <c r="Q39"/>
      <c r="R39"/>
      <c r="S39" s="640"/>
      <c r="T39" s="464"/>
      <c r="U39" s="795"/>
      <c r="V39" s="795"/>
      <c r="W39" s="611"/>
      <c r="X39" s="464"/>
      <c r="Y39" s="464"/>
      <c r="Z39" s="464"/>
      <c r="AA39" s="464"/>
      <c r="AB39" s="464"/>
      <c r="AC39" s="464"/>
    </row>
    <row r="40" spans="4:29" ht="14.25" customHeight="1" x14ac:dyDescent="0.25">
      <c r="D40" s="606" t="s">
        <v>48</v>
      </c>
      <c r="E40" s="606"/>
      <c r="F40" s="607"/>
      <c r="G40" s="606" t="s">
        <v>49</v>
      </c>
      <c r="H40" s="606"/>
      <c r="I40" s="606"/>
      <c r="J40" s="464"/>
      <c r="K40" s="7" t="s">
        <v>50</v>
      </c>
      <c r="L40" s="4"/>
      <c r="M40" s="4"/>
      <c r="N40" s="4">
        <v>2022</v>
      </c>
      <c r="O40" s="4">
        <f>+N40+1</f>
        <v>2023</v>
      </c>
      <c r="P40" s="366">
        <f>+O40+1</f>
        <v>2024</v>
      </c>
      <c r="Q40" s="5">
        <f>+P40+1</f>
        <v>2025</v>
      </c>
      <c r="R40" s="5">
        <f>+Q40+1</f>
        <v>2026</v>
      </c>
      <c r="S40" s="638"/>
      <c r="T40" s="464"/>
      <c r="U40" s="795"/>
      <c r="V40" s="795"/>
      <c r="W40" s="611"/>
      <c r="X40" s="464"/>
      <c r="Y40" s="464"/>
      <c r="Z40" s="464"/>
      <c r="AA40" s="464"/>
      <c r="AB40" s="464"/>
      <c r="AC40" s="464"/>
    </row>
    <row r="41" spans="4:29" ht="14.25" customHeight="1" x14ac:dyDescent="0.2">
      <c r="D41" s="786"/>
      <c r="E41" s="786"/>
      <c r="F41" s="787"/>
      <c r="G41" s="790"/>
      <c r="H41" s="786"/>
      <c r="I41" s="786"/>
      <c r="J41" s="464"/>
      <c r="K41" s="22" t="s">
        <v>51</v>
      </c>
      <c r="L41"/>
      <c r="M41"/>
      <c r="N41" s="391" t="str">
        <f ca="1">IFERROR(_xlfn.XLOOKUP($K41,Multiples!$B:$B,Multiples!N:N),"")</f>
        <v/>
      </c>
      <c r="O41" s="391" t="str">
        <f ca="1">IFERROR(_xlfn.XLOOKUP($K41,Multiples!$B:$B,Multiples!O:O),"")</f>
        <v/>
      </c>
      <c r="P41" s="367" t="str">
        <f ca="1">IFERROR(_xlfn.XLOOKUP($K41,Multiples!$B:$B,Multiples!P:P),"")</f>
        <v/>
      </c>
      <c r="Q41" s="374" t="str">
        <f ca="1">IFERROR(_xlfn.XLOOKUP($K41,Multiples!$B:$B,Multiples!Q:Q),"")</f>
        <v/>
      </c>
      <c r="R41" s="374" t="str">
        <f ca="1">IFERROR(_xlfn.XLOOKUP($K41,Multiples!$B:$B,Multiples!R:R),"")</f>
        <v/>
      </c>
      <c r="S41" s="639"/>
      <c r="T41" s="464"/>
      <c r="U41" s="795"/>
      <c r="V41" s="795"/>
      <c r="W41" s="611"/>
      <c r="X41" s="464"/>
      <c r="Y41" s="464"/>
      <c r="Z41" s="464"/>
      <c r="AA41" s="464"/>
      <c r="AB41" s="464"/>
      <c r="AC41" s="464"/>
    </row>
    <row r="42" spans="4:29" ht="15.75" customHeight="1" x14ac:dyDescent="0.2">
      <c r="D42" s="788"/>
      <c r="E42" s="788"/>
      <c r="F42" s="789"/>
      <c r="G42" s="791"/>
      <c r="H42" s="788"/>
      <c r="I42" s="788"/>
      <c r="J42" s="464"/>
      <c r="K42" s="18" t="s">
        <v>52</v>
      </c>
      <c r="L42"/>
      <c r="M42"/>
      <c r="N42" s="391" t="str">
        <f ca="1">IFERROR(_xlfn.XLOOKUP($K42,Multiples!$B:$B,Multiples!N:N),"")</f>
        <v/>
      </c>
      <c r="O42" s="391" t="str">
        <f ca="1">IFERROR(_xlfn.XLOOKUP($K42,Multiples!$B:$B,Multiples!O:O),"")</f>
        <v/>
      </c>
      <c r="P42" s="367" t="str">
        <f ca="1">IFERROR(_xlfn.XLOOKUP($K42,Multiples!$B:$B,Multiples!P:P),"")</f>
        <v/>
      </c>
      <c r="Q42" s="374" t="str">
        <f ca="1">IFERROR(_xlfn.XLOOKUP($K42,Multiples!$B:$B,Multiples!Q:Q),"")</f>
        <v/>
      </c>
      <c r="R42" s="374" t="str">
        <f ca="1">IFERROR(_xlfn.XLOOKUP($K42,Multiples!$B:$B,Multiples!R:R),"")</f>
        <v/>
      </c>
      <c r="S42" s="639"/>
      <c r="T42" s="464"/>
      <c r="U42" s="795"/>
      <c r="V42" s="795"/>
      <c r="W42" s="611"/>
      <c r="X42" s="724"/>
      <c r="Y42" s="464"/>
      <c r="Z42" s="464"/>
      <c r="AA42" s="464"/>
      <c r="AB42" s="464"/>
      <c r="AC42" s="464"/>
    </row>
    <row r="43" spans="4:29" ht="15.75" customHeight="1" x14ac:dyDescent="0.2">
      <c r="D43" s="788"/>
      <c r="E43" s="788"/>
      <c r="F43" s="789"/>
      <c r="G43" s="791"/>
      <c r="H43" s="788"/>
      <c r="I43" s="788"/>
      <c r="J43" s="464"/>
      <c r="K43" s="33" t="s">
        <v>53</v>
      </c>
      <c r="L43"/>
      <c r="M43"/>
      <c r="N43" s="391" t="str">
        <f ca="1">IFERROR(_xlfn.XLOOKUP($K43,Multiples!$B:$B,Multiples!N:N),"")</f>
        <v/>
      </c>
      <c r="O43" s="391" t="str">
        <f ca="1">IFERROR(_xlfn.XLOOKUP($K43,Multiples!$B:$B,Multiples!O:O),"")</f>
        <v/>
      </c>
      <c r="P43" s="367" t="str">
        <f ca="1">IFERROR(_xlfn.XLOOKUP($K43,Multiples!$B:$B,Multiples!P:P),"")</f>
        <v/>
      </c>
      <c r="Q43" s="374" t="str">
        <f ca="1">IFERROR(_xlfn.XLOOKUP($K43,Multiples!$B:$B,Multiples!Q:Q),"")</f>
        <v/>
      </c>
      <c r="R43" s="374" t="str">
        <f ca="1">IFERROR(_xlfn.XLOOKUP($K43,Multiples!$B:$B,Multiples!R:R),"")</f>
        <v/>
      </c>
      <c r="S43" s="639"/>
      <c r="T43" s="464"/>
      <c r="U43" s="795"/>
      <c r="V43" s="795"/>
      <c r="W43" s="611"/>
      <c r="X43" s="464"/>
      <c r="Y43" s="464"/>
      <c r="Z43" s="464"/>
      <c r="AA43" s="464"/>
      <c r="AB43" s="464"/>
      <c r="AC43" s="464"/>
    </row>
    <row r="44" spans="4:29" ht="15.75" customHeight="1" x14ac:dyDescent="0.2">
      <c r="D44" s="464"/>
      <c r="E44" s="725"/>
      <c r="F44" s="464"/>
      <c r="G44" s="726"/>
      <c r="H44" s="464"/>
      <c r="I44" s="464"/>
      <c r="J44" s="464"/>
      <c r="K44"/>
      <c r="L44"/>
      <c r="M44"/>
      <c r="N44"/>
      <c r="O44"/>
      <c r="P44"/>
      <c r="Q44"/>
      <c r="R44"/>
      <c r="S44" s="640"/>
      <c r="T44" s="464"/>
      <c r="U44" s="795"/>
      <c r="V44" s="795"/>
      <c r="W44" s="611"/>
      <c r="X44" s="464"/>
      <c r="Y44" s="464"/>
      <c r="Z44" s="464"/>
      <c r="AA44" s="464"/>
      <c r="AB44" s="464"/>
      <c r="AC44" s="464"/>
    </row>
    <row r="45" spans="4:29" ht="14.25" customHeight="1" x14ac:dyDescent="0.25">
      <c r="D45" s="608" t="s">
        <v>54</v>
      </c>
      <c r="E45" s="4"/>
      <c r="F45" s="4"/>
      <c r="G45" s="4" t="s">
        <v>55</v>
      </c>
      <c r="H45" s="4"/>
      <c r="I45" s="4"/>
      <c r="J45" s="464"/>
      <c r="K45" s="7" t="s">
        <v>56</v>
      </c>
      <c r="L45" s="4"/>
      <c r="M45" s="4"/>
      <c r="N45" s="4">
        <v>2022</v>
      </c>
      <c r="O45" s="4">
        <f>+N45+1</f>
        <v>2023</v>
      </c>
      <c r="P45" s="366">
        <f>+O45+1</f>
        <v>2024</v>
      </c>
      <c r="Q45" s="5">
        <f>+P45+1</f>
        <v>2025</v>
      </c>
      <c r="R45" s="5">
        <f>+Q45+1</f>
        <v>2026</v>
      </c>
      <c r="S45" s="638"/>
      <c r="T45" s="464"/>
      <c r="U45" s="795"/>
      <c r="V45" s="795"/>
      <c r="W45" s="611"/>
      <c r="X45" s="464"/>
      <c r="Y45" s="464"/>
      <c r="Z45" s="464"/>
      <c r="AA45" s="464"/>
      <c r="AB45" s="464"/>
      <c r="AC45" s="464"/>
    </row>
    <row r="46" spans="4:29" ht="14.25" customHeight="1" x14ac:dyDescent="0.2">
      <c r="D46" s="464"/>
      <c r="E46" s="727"/>
      <c r="F46" s="464"/>
      <c r="G46" s="726"/>
      <c r="H46" s="464"/>
      <c r="I46" s="464"/>
      <c r="J46" s="464"/>
      <c r="K46" s="18" t="s">
        <v>57</v>
      </c>
      <c r="L46"/>
      <c r="M46"/>
      <c r="N46" s="391" t="str">
        <f ca="1">IFERROR(_xlfn.XLOOKUP($K46,Multiples!$B:$B,Multiples!N:N),"")</f>
        <v/>
      </c>
      <c r="O46" s="391" t="str">
        <f ca="1">IFERROR(_xlfn.XLOOKUP($K46,Multiples!$B:$B,Multiples!O:O),"")</f>
        <v/>
      </c>
      <c r="P46" s="367" t="str">
        <f ca="1">IFERROR(_xlfn.XLOOKUP($K46,Multiples!$B:$B,Multiples!P:P),"")</f>
        <v/>
      </c>
      <c r="Q46" s="374" t="str">
        <f ca="1">IFERROR(_xlfn.XLOOKUP($K46,Multiples!$B:$B,Multiples!Q:Q),"")</f>
        <v/>
      </c>
      <c r="R46" s="374" t="str">
        <f ca="1">IFERROR(_xlfn.XLOOKUP($K46,Multiples!$B:$B,Multiples!R:R),"")</f>
        <v/>
      </c>
      <c r="S46" s="639"/>
      <c r="T46" s="464"/>
      <c r="U46" s="795"/>
      <c r="V46" s="795"/>
      <c r="W46" s="464"/>
      <c r="X46" s="464"/>
      <c r="Y46"/>
      <c r="Z46" s="464"/>
      <c r="AA46" s="464"/>
      <c r="AB46" s="464"/>
      <c r="AC46"/>
    </row>
    <row r="47" spans="4:29" ht="15" customHeight="1" x14ac:dyDescent="0.2">
      <c r="D47" s="464"/>
      <c r="E47" s="727"/>
      <c r="F47" s="464"/>
      <c r="G47" s="726"/>
      <c r="H47" s="464"/>
      <c r="I47" s="464"/>
      <c r="J47" s="464"/>
      <c r="K47" s="261" t="s">
        <v>58</v>
      </c>
      <c r="L47" s="464"/>
      <c r="M47" s="464"/>
      <c r="N47" s="391" t="str">
        <f ca="1">IFERROR(_xlfn.XLOOKUP($K47,Multiples!$B:$B,Multiples!N:N),"")</f>
        <v/>
      </c>
      <c r="O47" s="391" t="str">
        <f ca="1">IFERROR(_xlfn.XLOOKUP($K47,Multiples!$B:$B,Multiples!O:O),"")</f>
        <v/>
      </c>
      <c r="P47" s="367" t="str">
        <f ca="1">IFERROR(_xlfn.XLOOKUP($K47,Multiples!$B:$B,Multiples!P:P),"")</f>
        <v/>
      </c>
      <c r="Q47" s="374" t="str">
        <f ca="1">IFERROR(_xlfn.XLOOKUP($K47,Multiples!$B:$B,Multiples!Q:Q),"")</f>
        <v/>
      </c>
      <c r="R47" s="374" t="str">
        <f ca="1">IFERROR(_xlfn.XLOOKUP($K47,Multiples!$B:$B,Multiples!R:R),"")</f>
        <v/>
      </c>
      <c r="S47" s="639"/>
      <c r="T47" s="464"/>
      <c r="U47" s="36"/>
      <c r="V47" s="624"/>
      <c r="W47" s="609"/>
      <c r="X47" s="609"/>
      <c r="Y47" s="609"/>
      <c r="Z47" s="609"/>
      <c r="AA47" s="609"/>
      <c r="AB47" s="609"/>
      <c r="AC47"/>
    </row>
    <row r="48" spans="4:29" ht="14.25" customHeight="1" x14ac:dyDescent="0.2">
      <c r="D48" s="464"/>
      <c r="E48" s="727"/>
      <c r="F48" s="464"/>
      <c r="G48" s="726"/>
      <c r="H48" s="464"/>
      <c r="I48" s="464"/>
      <c r="J48" s="464"/>
      <c r="K48" s="22" t="s">
        <v>59</v>
      </c>
      <c r="L48"/>
      <c r="M48"/>
      <c r="N48" s="391" t="str">
        <f ca="1">IFERROR(_xlfn.XLOOKUP($K48,Multiples!$B:$B,Multiples!N:N),"")</f>
        <v/>
      </c>
      <c r="O48" s="391" t="str">
        <f ca="1">IFERROR(_xlfn.XLOOKUP($K48,Multiples!$B:$B,Multiples!O:O),"")</f>
        <v/>
      </c>
      <c r="P48" s="367" t="str">
        <f ca="1">IFERROR(_xlfn.XLOOKUP($K48,Multiples!$B:$B,Multiples!P:P),"")</f>
        <v/>
      </c>
      <c r="Q48" s="374" t="str">
        <f ca="1">IFERROR(_xlfn.XLOOKUP($K48,Multiples!$B:$B,Multiples!Q:Q),"")</f>
        <v/>
      </c>
      <c r="R48" s="374" t="str">
        <f ca="1">IFERROR(_xlfn.XLOOKUP($K48,Multiples!$B:$B,Multiples!R:R),"")</f>
        <v/>
      </c>
      <c r="S48" s="639"/>
      <c r="T48" s="464"/>
      <c r="U48" s="464"/>
      <c r="V48" s="464"/>
      <c r="W48" s="609"/>
      <c r="X48" s="609"/>
      <c r="Y48" s="609"/>
      <c r="Z48" s="609"/>
      <c r="AA48" s="609"/>
      <c r="AB48" s="609"/>
      <c r="AC48"/>
    </row>
    <row r="49" spans="4:33" ht="14.25" customHeight="1" x14ac:dyDescent="0.2">
      <c r="D49" s="464"/>
      <c r="E49" s="464"/>
      <c r="F49" s="464"/>
      <c r="G49" s="464"/>
      <c r="H49" s="464"/>
      <c r="I49" s="464"/>
      <c r="J49" s="464"/>
      <c r="K49" s="18" t="s">
        <v>60</v>
      </c>
      <c r="L49"/>
      <c r="M49"/>
      <c r="N49" s="391" t="str">
        <f ca="1">IFERROR(_xlfn.XLOOKUP($K49,Multiples!$B:$B,Multiples!N:N),"")</f>
        <v/>
      </c>
      <c r="O49" s="391" t="str">
        <f ca="1">IFERROR(_xlfn.XLOOKUP($K49,Multiples!$B:$B,Multiples!O:O),"")</f>
        <v/>
      </c>
      <c r="P49" s="367" t="str">
        <f ca="1">IFERROR(_xlfn.XLOOKUP($K49,Multiples!$B:$B,Multiples!P:P),"")</f>
        <v/>
      </c>
      <c r="Q49" s="374" t="str">
        <f ca="1">IFERROR(_xlfn.XLOOKUP($K49,Multiples!$B:$B,Multiples!Q:Q),"")</f>
        <v/>
      </c>
      <c r="R49" s="374" t="str">
        <f ca="1">IFERROR(_xlfn.XLOOKUP($K49,Multiples!$B:$B,Multiples!R:R),"")</f>
        <v/>
      </c>
      <c r="S49" s="639"/>
      <c r="T49" s="464"/>
      <c r="U49" s="746" t="s">
        <v>61</v>
      </c>
      <c r="V49" s="714"/>
      <c r="W49" s="609"/>
      <c r="X49" s="609"/>
      <c r="Y49" s="609"/>
      <c r="Z49" s="609"/>
      <c r="AA49" s="609"/>
      <c r="AB49" s="609"/>
      <c r="AC49"/>
      <c r="AD49" s="464"/>
      <c r="AE49" s="464"/>
      <c r="AF49" s="464"/>
      <c r="AG49" s="464"/>
    </row>
    <row r="50" spans="4:33" ht="14.25" customHeight="1" x14ac:dyDescent="0.2">
      <c r="D50" s="464"/>
      <c r="E50" s="464"/>
      <c r="F50" s="464"/>
      <c r="G50" s="464"/>
      <c r="H50" s="464"/>
      <c r="I50" s="464"/>
      <c r="J50" s="464"/>
      <c r="K50" s="18" t="s">
        <v>62</v>
      </c>
      <c r="L50" s="464"/>
      <c r="M50" s="464"/>
      <c r="N50" s="391" t="str">
        <f ca="1">IFERROR(_xlfn.XLOOKUP($K50,Multiples!$B:$B,Multiples!N:N),"")</f>
        <v/>
      </c>
      <c r="O50" s="391" t="str">
        <f ca="1">IFERROR(_xlfn.XLOOKUP($K50,Multiples!$B:$B,Multiples!O:O),"")</f>
        <v/>
      </c>
      <c r="P50" s="367" t="str">
        <f ca="1">IFERROR(_xlfn.XLOOKUP($K50,Multiples!$B:$B,Multiples!P:P),"")</f>
        <v/>
      </c>
      <c r="Q50" s="374" t="str">
        <f ca="1">IFERROR(_xlfn.XLOOKUP($K50,Multiples!$B:$B,Multiples!Q:Q),"")</f>
        <v/>
      </c>
      <c r="R50" s="374" t="str">
        <f ca="1">IFERROR(_xlfn.XLOOKUP($K50,Multiples!$B:$B,Multiples!R:R),"")</f>
        <v/>
      </c>
      <c r="S50" s="639"/>
      <c r="T50" s="464"/>
      <c r="U50" s="784"/>
      <c r="V50" s="784"/>
      <c r="W50" s="609"/>
      <c r="X50" s="609"/>
      <c r="Y50" s="609"/>
      <c r="Z50" s="609"/>
      <c r="AA50" s="609"/>
      <c r="AB50" s="609"/>
      <c r="AC50"/>
      <c r="AD50" s="464"/>
      <c r="AE50" s="464"/>
      <c r="AF50" s="464"/>
      <c r="AG50" s="464"/>
    </row>
    <row r="51" spans="4:33" ht="14.25" customHeight="1" x14ac:dyDescent="0.2">
      <c r="D51" s="464"/>
      <c r="E51" s="464"/>
      <c r="F51" s="464"/>
      <c r="G51" s="464"/>
      <c r="H51" s="464"/>
      <c r="I51" s="581"/>
      <c r="J51" s="464"/>
      <c r="K51" t="s">
        <v>63</v>
      </c>
      <c r="L51"/>
      <c r="M51"/>
      <c r="N51" s="391" t="str">
        <f ca="1">IFERROR(_xlfn.XLOOKUP($K50,Multiples!$B:$B,Multiples!N:N),"")</f>
        <v/>
      </c>
      <c r="O51" s="391" t="str">
        <f ca="1">IFERROR(_xlfn.XLOOKUP($K50,Multiples!$B:$B,Multiples!O:O),"")</f>
        <v/>
      </c>
      <c r="P51" s="367" t="str">
        <f ca="1">IFERROR(_xlfn.XLOOKUP($K50,Multiples!$B:$B,Multiples!P:P),"")</f>
        <v/>
      </c>
      <c r="Q51" s="374" t="str">
        <f ca="1">IFERROR(_xlfn.XLOOKUP($K50,Multiples!$B:$B,Multiples!Q:Q),"")</f>
        <v/>
      </c>
      <c r="R51" s="374" t="str">
        <f ca="1">IFERROR(_xlfn.XLOOKUP($K50,Multiples!$B:$B,Multiples!R:R),"")</f>
        <v/>
      </c>
      <c r="S51" s="639"/>
      <c r="T51" s="464"/>
      <c r="U51" s="784"/>
      <c r="V51" s="784"/>
      <c r="W51" s="609"/>
      <c r="X51" s="609"/>
      <c r="Y51" s="609"/>
      <c r="Z51" s="609"/>
      <c r="AA51" s="609"/>
      <c r="AB51" s="609"/>
      <c r="AC51"/>
      <c r="AD51" s="464"/>
      <c r="AE51" s="464"/>
      <c r="AF51" s="464"/>
      <c r="AG51" s="464"/>
    </row>
    <row r="52" spans="4:33" ht="15" x14ac:dyDescent="0.25">
      <c r="D52" s="464"/>
      <c r="E52" s="464"/>
      <c r="F52" s="464"/>
      <c r="G52" s="464"/>
      <c r="H52" s="464"/>
      <c r="I52" s="1"/>
      <c r="J52" s="464"/>
      <c r="K52" s="464"/>
      <c r="L52" s="464"/>
      <c r="M52" s="464"/>
      <c r="N52" s="464"/>
      <c r="O52" s="464"/>
      <c r="P52" s="464"/>
      <c r="Q52" s="464"/>
      <c r="R52" s="464"/>
      <c r="S52" s="715"/>
      <c r="T52" s="464"/>
      <c r="U52" s="784"/>
      <c r="V52" s="784"/>
      <c r="W52" s="609"/>
      <c r="X52" s="609"/>
      <c r="Y52" s="609"/>
      <c r="Z52" s="609"/>
      <c r="AA52" s="609"/>
      <c r="AB52" s="609"/>
      <c r="AC52"/>
      <c r="AD52" s="464"/>
      <c r="AE52" s="464"/>
      <c r="AF52" s="464"/>
      <c r="AG52" s="464"/>
    </row>
    <row r="53" spans="4:33" ht="15.75" x14ac:dyDescent="0.25">
      <c r="D53" s="464"/>
      <c r="E53" s="464"/>
      <c r="F53" s="464"/>
      <c r="G53" s="464"/>
      <c r="H53" s="464"/>
      <c r="I53" s="727"/>
      <c r="J53" s="464"/>
      <c r="K53" s="7" t="s">
        <v>64</v>
      </c>
      <c r="L53" s="4"/>
      <c r="M53" s="4"/>
      <c r="N53" s="4">
        <v>2022</v>
      </c>
      <c r="O53" s="4">
        <f>+N53+1</f>
        <v>2023</v>
      </c>
      <c r="P53" s="366">
        <f>+O53+1</f>
        <v>2024</v>
      </c>
      <c r="Q53" s="5">
        <f>+P53+1</f>
        <v>2025</v>
      </c>
      <c r="R53" s="5">
        <f>+Q53+1</f>
        <v>2026</v>
      </c>
      <c r="S53" s="638"/>
      <c r="T53" s="728"/>
      <c r="U53" s="784"/>
      <c r="V53" s="784"/>
      <c r="W53" s="464"/>
      <c r="X53" s="464"/>
      <c r="Y53"/>
      <c r="Z53" s="464"/>
      <c r="AA53" s="464"/>
      <c r="AB53" s="464"/>
      <c r="AC53"/>
      <c r="AD53" s="464"/>
      <c r="AE53" s="464"/>
      <c r="AF53" s="464"/>
      <c r="AG53" s="464"/>
    </row>
    <row r="54" spans="4:33" ht="15.75" x14ac:dyDescent="0.25">
      <c r="D54" s="464"/>
      <c r="E54" s="464"/>
      <c r="F54" s="464"/>
      <c r="G54" s="464"/>
      <c r="H54" s="464"/>
      <c r="I54" s="729"/>
      <c r="J54" s="730"/>
      <c r="K54" s="22" t="s">
        <v>65</v>
      </c>
      <c r="L54"/>
      <c r="M54"/>
      <c r="N54" s="391" t="str">
        <f ca="1">IFERROR(_xlfn.XLOOKUP($K54,Multiples!$B:$B,Multiples!N:N),"")</f>
        <v/>
      </c>
      <c r="O54" s="391" t="str">
        <f ca="1">IFERROR(_xlfn.XLOOKUP($K54,Multiples!$B:$B,Multiples!O:O),"")</f>
        <v/>
      </c>
      <c r="P54" s="367" t="str">
        <f ca="1">IFERROR(_xlfn.XLOOKUP($K54,Multiples!$B:$B,Multiples!P:P),"")</f>
        <v/>
      </c>
      <c r="Q54" s="374" t="str">
        <f ca="1">IFERROR(_xlfn.XLOOKUP($K54,Multiples!$B:$B,Multiples!Q:Q),"")</f>
        <v/>
      </c>
      <c r="R54" s="374" t="str">
        <f ca="1">IFERROR(_xlfn.XLOOKUP($K54,Multiples!$B:$B,Multiples!R:R),"")</f>
        <v/>
      </c>
      <c r="S54" s="639"/>
      <c r="T54" s="731"/>
      <c r="U54" s="784"/>
      <c r="V54" s="784"/>
      <c r="W54" s="464"/>
      <c r="X54" s="464"/>
      <c r="Y54"/>
      <c r="Z54" s="464"/>
      <c r="AA54" s="464"/>
      <c r="AB54" s="464"/>
      <c r="AC54"/>
      <c r="AD54" s="464"/>
      <c r="AE54" s="464"/>
      <c r="AF54" s="464"/>
      <c r="AG54" s="464"/>
    </row>
    <row r="55" spans="4:33" ht="15" x14ac:dyDescent="0.2">
      <c r="D55" s="464"/>
      <c r="E55" s="464"/>
      <c r="F55" s="464"/>
      <c r="G55" s="464"/>
      <c r="H55" s="464"/>
      <c r="I55" s="732"/>
      <c r="J55" s="464"/>
      <c r="K55" s="18" t="s">
        <v>66</v>
      </c>
      <c r="L55" s="464"/>
      <c r="M55" s="464"/>
      <c r="N55" s="391" t="str">
        <f ca="1">IFERROR(_xlfn.XLOOKUP($K55,Multiples!$B:$B,Multiples!N:N),"")</f>
        <v/>
      </c>
      <c r="O55" s="391" t="str">
        <f ca="1">IFERROR(_xlfn.XLOOKUP($K55,Multiples!$B:$B,Multiples!O:O),"")</f>
        <v/>
      </c>
      <c r="P55" s="367" t="str">
        <f ca="1">IFERROR(_xlfn.XLOOKUP($K55,Multiples!$B:$B,Multiples!P:P),"")</f>
        <v/>
      </c>
      <c r="Q55" s="374" t="str">
        <f ca="1">IFERROR(_xlfn.XLOOKUP($K55,Multiples!$B:$B,Multiples!Q:Q),"")</f>
        <v/>
      </c>
      <c r="R55" s="374" t="str">
        <f ca="1">IFERROR(_xlfn.XLOOKUP($K55,Multiples!$B:$B,Multiples!R:R),"")</f>
        <v/>
      </c>
      <c r="S55" s="639"/>
      <c r="T55" s="464"/>
      <c r="U55" s="784"/>
      <c r="V55" s="784"/>
      <c r="W55" s="464"/>
      <c r="X55" s="464"/>
      <c r="Y55"/>
      <c r="Z55" s="464"/>
      <c r="AA55" s="464"/>
      <c r="AB55" s="464"/>
      <c r="AC55"/>
      <c r="AD55" s="464"/>
      <c r="AE55" s="464"/>
      <c r="AF55" s="464"/>
      <c r="AG55" s="158"/>
    </row>
    <row r="56" spans="4:33" ht="15" customHeight="1" x14ac:dyDescent="0.2">
      <c r="D56" s="464"/>
      <c r="E56" s="464"/>
      <c r="F56" s="464"/>
      <c r="G56" s="464"/>
      <c r="H56" s="464"/>
      <c r="I56" s="732"/>
      <c r="J56" s="464"/>
      <c r="K56" s="18" t="s">
        <v>67</v>
      </c>
      <c r="L56"/>
      <c r="M56"/>
      <c r="N56" s="391" t="str">
        <f ca="1">IFERROR(_xlfn.XLOOKUP($K56,Multiples!$B:$B,Multiples!N:N),"")</f>
        <v/>
      </c>
      <c r="O56" s="391" t="str">
        <f ca="1">IFERROR(_xlfn.XLOOKUP($K56,Multiples!$B:$B,Multiples!O:O),"")</f>
        <v/>
      </c>
      <c r="P56" s="367" t="str">
        <f ca="1">IFERROR(_xlfn.XLOOKUP($K56,Multiples!$B:$B,Multiples!P:P),"")</f>
        <v/>
      </c>
      <c r="Q56" s="374" t="str">
        <f ca="1">IFERROR(_xlfn.XLOOKUP($K56,Multiples!$B:$B,Multiples!Q:Q),"")</f>
        <v/>
      </c>
      <c r="R56" s="374" t="str">
        <f ca="1">IFERROR(_xlfn.XLOOKUP($K56,Multiples!$B:$B,Multiples!R:R),"")</f>
        <v/>
      </c>
      <c r="S56" s="639"/>
      <c r="T56" s="464"/>
      <c r="U56" s="784"/>
      <c r="V56" s="784"/>
      <c r="W56" s="464"/>
      <c r="X56" s="464"/>
      <c r="Y56" s="464"/>
      <c r="Z56" s="464"/>
      <c r="AA56" s="464"/>
      <c r="AB56" s="464"/>
      <c r="AC56" s="464"/>
      <c r="AD56" s="464"/>
      <c r="AE56" s="464"/>
      <c r="AF56" s="464"/>
      <c r="AG56" s="733"/>
    </row>
    <row r="57" spans="4:33" ht="14.25" customHeight="1" x14ac:dyDescent="0.2">
      <c r="D57" s="464"/>
      <c r="E57" s="464"/>
      <c r="F57" s="464"/>
      <c r="G57" s="464"/>
      <c r="H57" s="464"/>
      <c r="I57" s="732"/>
      <c r="J57" s="464"/>
      <c r="K57" s="464"/>
      <c r="L57" s="464"/>
      <c r="M57" s="464"/>
      <c r="N57" s="464"/>
      <c r="O57" s="464"/>
      <c r="P57" s="464"/>
      <c r="Q57" s="464"/>
      <c r="R57" s="464"/>
      <c r="S57" s="715"/>
      <c r="T57" s="464"/>
      <c r="U57" s="784"/>
      <c r="V57" s="784"/>
      <c r="W57" s="464"/>
      <c r="X57" s="464"/>
      <c r="Y57" s="464"/>
      <c r="Z57" s="464"/>
      <c r="AA57" s="464"/>
      <c r="AB57" s="464"/>
      <c r="AC57" s="464"/>
      <c r="AD57" s="464"/>
      <c r="AE57" s="464"/>
      <c r="AF57" s="464"/>
      <c r="AG57" s="464"/>
    </row>
    <row r="58" spans="4:33" ht="14.25" customHeight="1" x14ac:dyDescent="0.25">
      <c r="D58" s="608" t="s">
        <v>68</v>
      </c>
      <c r="E58" s="4"/>
      <c r="F58" s="4"/>
      <c r="G58" s="4"/>
      <c r="H58" s="4"/>
      <c r="I58" s="4"/>
      <c r="J58" s="464"/>
      <c r="K58" s="608" t="s">
        <v>69</v>
      </c>
      <c r="L58" s="4"/>
      <c r="M58" s="4"/>
      <c r="N58" s="4"/>
      <c r="O58" s="4"/>
      <c r="P58" s="4"/>
      <c r="Q58" s="4"/>
      <c r="R58" s="4"/>
      <c r="S58" s="641"/>
      <c r="T58" s="464"/>
      <c r="U58" s="785"/>
      <c r="V58" s="785"/>
      <c r="W58" s="464"/>
      <c r="X58" s="464"/>
      <c r="Y58" s="464"/>
      <c r="Z58" s="464"/>
      <c r="AA58" s="464"/>
      <c r="AB58" s="464"/>
      <c r="AC58" s="464"/>
      <c r="AD58" s="464"/>
      <c r="AE58" s="464"/>
      <c r="AF58" s="464"/>
      <c r="AG58" s="464"/>
    </row>
    <row r="59" spans="4:33" ht="14.25" customHeight="1" x14ac:dyDescent="0.2">
      <c r="D59" s="464"/>
      <c r="E59" s="464"/>
      <c r="F59" s="464"/>
      <c r="G59" s="464"/>
      <c r="H59" s="464"/>
      <c r="I59" s="732"/>
      <c r="J59" s="464"/>
      <c r="K59" s="464"/>
      <c r="L59" s="464"/>
      <c r="M59" s="464"/>
      <c r="N59" s="464"/>
      <c r="O59" s="464"/>
      <c r="P59" s="464"/>
      <c r="Q59" s="464"/>
      <c r="R59" s="464"/>
      <c r="S59" s="715"/>
      <c r="T59" s="464"/>
      <c r="U59" s="464"/>
      <c r="V59" s="464"/>
      <c r="W59" s="464"/>
      <c r="X59" s="464"/>
      <c r="Y59" s="464"/>
      <c r="Z59" s="464"/>
      <c r="AA59" s="464"/>
      <c r="AB59" s="464"/>
      <c r="AC59" s="464"/>
      <c r="AD59" s="464"/>
      <c r="AE59" s="464"/>
      <c r="AF59" s="464"/>
      <c r="AG59" s="464"/>
    </row>
    <row r="60" spans="4:33" ht="14.25" customHeight="1" thickBot="1" x14ac:dyDescent="0.25">
      <c r="D60" s="464"/>
      <c r="E60" s="464"/>
      <c r="F60" s="464"/>
      <c r="G60" s="464"/>
      <c r="H60" s="464"/>
      <c r="I60" s="732"/>
      <c r="J60" s="464"/>
      <c r="K60" s="464"/>
      <c r="L60" s="464"/>
      <c r="M60" s="464"/>
      <c r="N60" s="464"/>
      <c r="O60" s="464"/>
      <c r="P60" s="464"/>
      <c r="Q60" s="464"/>
      <c r="R60" s="464"/>
      <c r="S60" s="715"/>
      <c r="T60" s="464"/>
      <c r="U60" s="720" t="s">
        <v>70</v>
      </c>
      <c r="V60" s="714"/>
      <c r="W60" s="464"/>
      <c r="X60" s="464"/>
      <c r="Y60" s="464"/>
      <c r="Z60" s="464"/>
      <c r="AA60" s="464"/>
      <c r="AB60" s="464"/>
      <c r="AC60" s="464"/>
      <c r="AD60" s="464"/>
      <c r="AE60" s="464"/>
      <c r="AF60" s="464"/>
      <c r="AG60" s="464"/>
    </row>
    <row r="61" spans="4:33" ht="14.25" customHeight="1" thickTop="1" x14ac:dyDescent="0.25">
      <c r="D61" s="464"/>
      <c r="E61" s="464"/>
      <c r="F61" s="464"/>
      <c r="G61" s="464"/>
      <c r="H61" s="464"/>
      <c r="I61" s="732"/>
      <c r="J61" s="464"/>
      <c r="K61" s="464"/>
      <c r="L61" s="464"/>
      <c r="M61" s="464"/>
      <c r="N61" s="464"/>
      <c r="O61" s="464"/>
      <c r="P61" s="464"/>
      <c r="Q61" s="464"/>
      <c r="R61" s="464"/>
      <c r="S61" s="715"/>
      <c r="T61" s="464"/>
      <c r="U61" s="47" t="s">
        <v>71</v>
      </c>
      <c r="V61" s="736">
        <f>ESG!C14</f>
        <v>0</v>
      </c>
      <c r="W61" s="464"/>
      <c r="X61" s="464"/>
      <c r="Y61" s="464"/>
      <c r="Z61" s="464"/>
      <c r="AA61" s="464"/>
      <c r="AB61" s="464"/>
      <c r="AC61" s="464"/>
      <c r="AD61" s="464"/>
      <c r="AE61" s="464"/>
      <c r="AF61" s="464"/>
      <c r="AG61" s="464"/>
    </row>
    <row r="62" spans="4:33" ht="14.25" customHeight="1" x14ac:dyDescent="0.2">
      <c r="D62" s="464"/>
      <c r="E62" s="464"/>
      <c r="F62" s="464"/>
      <c r="G62" s="464"/>
      <c r="H62" s="464"/>
      <c r="I62" s="732"/>
      <c r="J62" s="464"/>
      <c r="K62" s="464"/>
      <c r="L62" s="464"/>
      <c r="M62" s="464"/>
      <c r="N62" s="464"/>
      <c r="O62" s="464"/>
      <c r="P62" s="464"/>
      <c r="Q62" s="464"/>
      <c r="R62" s="464"/>
      <c r="S62" s="715"/>
      <c r="T62" s="464"/>
      <c r="U62" s="25" t="s">
        <v>72</v>
      </c>
      <c r="V62" s="735">
        <f>ESG!C15</f>
        <v>0</v>
      </c>
      <c r="W62" s="464"/>
      <c r="X62" s="464"/>
      <c r="Y62" s="464"/>
      <c r="Z62" s="464"/>
      <c r="AA62" s="464"/>
      <c r="AB62" s="464"/>
      <c r="AC62" s="464"/>
      <c r="AD62" s="464"/>
      <c r="AE62" s="464"/>
      <c r="AF62" s="464"/>
      <c r="AG62" s="464"/>
    </row>
    <row r="63" spans="4:33" x14ac:dyDescent="0.2">
      <c r="D63" s="464"/>
      <c r="E63" s="464"/>
      <c r="F63" s="464"/>
      <c r="G63" s="464"/>
      <c r="H63" s="464"/>
      <c r="I63" s="464"/>
      <c r="J63" s="464"/>
      <c r="K63" s="464"/>
      <c r="L63" s="464"/>
      <c r="M63" s="464"/>
      <c r="N63" s="464"/>
      <c r="O63" s="464"/>
      <c r="P63" s="464"/>
      <c r="Q63" s="464"/>
      <c r="R63" s="464"/>
      <c r="S63" s="715"/>
      <c r="T63" s="464"/>
      <c r="U63" s="25" t="s">
        <v>73</v>
      </c>
      <c r="V63" s="735">
        <f>ESG!C16</f>
        <v>0</v>
      </c>
      <c r="W63" s="464"/>
      <c r="X63" s="464"/>
      <c r="Y63" s="464"/>
      <c r="Z63" s="464"/>
      <c r="AA63" s="464"/>
      <c r="AB63" s="464"/>
      <c r="AC63" s="464"/>
      <c r="AD63" s="464"/>
      <c r="AE63" s="464"/>
      <c r="AF63" s="464"/>
      <c r="AG63" s="464"/>
    </row>
    <row r="64" spans="4:33" x14ac:dyDescent="0.2">
      <c r="D64" s="464"/>
      <c r="E64" s="464"/>
      <c r="F64" s="464"/>
      <c r="G64" s="464"/>
      <c r="H64" s="464"/>
      <c r="I64" s="464"/>
      <c r="J64" s="464"/>
      <c r="K64" s="464"/>
      <c r="L64" s="464"/>
      <c r="M64" s="464"/>
      <c r="N64" s="464"/>
      <c r="O64" s="464"/>
      <c r="P64" s="464"/>
      <c r="Q64" s="464"/>
      <c r="R64" s="464"/>
      <c r="S64" s="715"/>
      <c r="T64" s="464"/>
      <c r="U64" s="25" t="s">
        <v>74</v>
      </c>
      <c r="V64" s="735">
        <f>ESG!C17</f>
        <v>0</v>
      </c>
      <c r="W64" s="464"/>
      <c r="X64" s="464"/>
      <c r="Y64" s="464"/>
      <c r="Z64" s="464"/>
      <c r="AA64" s="464"/>
      <c r="AB64" s="464"/>
      <c r="AC64" s="464"/>
      <c r="AD64" s="464"/>
      <c r="AE64" s="464"/>
      <c r="AF64" s="464"/>
      <c r="AG64" s="464"/>
    </row>
    <row r="65" spans="4:22" ht="15" x14ac:dyDescent="0.25">
      <c r="D65" s="464"/>
      <c r="E65" s="464"/>
      <c r="F65" s="464"/>
      <c r="G65" s="464"/>
      <c r="H65" s="464"/>
      <c r="I65" s="464"/>
      <c r="J65" s="464"/>
      <c r="K65" s="464"/>
      <c r="L65" s="464"/>
      <c r="M65" s="464"/>
      <c r="N65" s="464"/>
      <c r="O65" s="464"/>
      <c r="P65" s="464"/>
      <c r="Q65" s="464"/>
      <c r="R65" s="464"/>
      <c r="S65" s="715"/>
      <c r="T65" s="464"/>
      <c r="U65" s="23" t="s">
        <v>75</v>
      </c>
      <c r="V65" s="737">
        <f>ESG!C18</f>
        <v>0</v>
      </c>
    </row>
    <row r="66" spans="4:22" x14ac:dyDescent="0.2">
      <c r="D66" s="464"/>
      <c r="E66" s="464"/>
      <c r="F66" s="464"/>
      <c r="G66" s="464"/>
      <c r="H66" s="464"/>
      <c r="I66" s="464"/>
      <c r="J66" s="464"/>
      <c r="K66" s="464"/>
      <c r="L66" s="464"/>
      <c r="M66" s="464"/>
      <c r="N66" s="464"/>
      <c r="O66" s="464"/>
      <c r="P66" s="464"/>
      <c r="Q66" s="464"/>
      <c r="R66" s="464"/>
      <c r="S66" s="715"/>
      <c r="T66" s="464"/>
      <c r="U66" s="25" t="s">
        <v>76</v>
      </c>
      <c r="V66" s="44">
        <f>ESG!C19</f>
        <v>0</v>
      </c>
    </row>
    <row r="67" spans="4:22" x14ac:dyDescent="0.2">
      <c r="D67" s="464"/>
      <c r="E67" s="464"/>
      <c r="F67" s="464"/>
      <c r="G67" s="464"/>
      <c r="H67" s="464"/>
      <c r="I67" s="464"/>
      <c r="J67" s="464"/>
      <c r="K67" s="464"/>
      <c r="L67" s="464"/>
      <c r="M67" s="464"/>
      <c r="N67" s="464"/>
      <c r="O67" s="464"/>
      <c r="P67" s="464"/>
      <c r="Q67" s="464"/>
      <c r="R67" s="464"/>
      <c r="S67" s="715"/>
      <c r="T67" s="464"/>
      <c r="U67" s="25" t="s">
        <v>77</v>
      </c>
      <c r="V67" s="44">
        <f>ESG!C20</f>
        <v>0</v>
      </c>
    </row>
    <row r="68" spans="4:22" x14ac:dyDescent="0.2">
      <c r="D68" s="464"/>
      <c r="E68" s="464"/>
      <c r="F68" s="464"/>
      <c r="G68" s="464"/>
      <c r="H68" s="464"/>
      <c r="I68" s="464"/>
      <c r="J68" s="464"/>
      <c r="K68" s="464"/>
      <c r="L68" s="464"/>
      <c r="M68" s="464"/>
      <c r="N68" s="464"/>
      <c r="O68" s="464"/>
      <c r="P68" s="464"/>
      <c r="Q68" s="464"/>
      <c r="R68" s="464"/>
      <c r="S68" s="715"/>
      <c r="T68" s="464"/>
      <c r="U68" s="25" t="s">
        <v>78</v>
      </c>
      <c r="V68" s="44">
        <f>ESG!C21</f>
        <v>0</v>
      </c>
    </row>
    <row r="69" spans="4:22" ht="15" x14ac:dyDescent="0.25">
      <c r="D69" s="464"/>
      <c r="E69" s="464"/>
      <c r="F69" s="464"/>
      <c r="G69" s="464"/>
      <c r="H69" s="464"/>
      <c r="I69" s="464"/>
      <c r="J69" s="464"/>
      <c r="K69" s="464"/>
      <c r="L69" s="464"/>
      <c r="M69" s="464"/>
      <c r="N69" s="464"/>
      <c r="O69" s="464"/>
      <c r="P69" s="464"/>
      <c r="Q69" s="464"/>
      <c r="R69" s="464"/>
      <c r="S69" s="715"/>
      <c r="T69" s="464"/>
      <c r="U69" s="23" t="s">
        <v>79</v>
      </c>
      <c r="V69" s="49">
        <f>ESG!C22</f>
        <v>0</v>
      </c>
    </row>
    <row r="70" spans="4:22" ht="15" x14ac:dyDescent="0.25">
      <c r="D70" s="464"/>
      <c r="E70" s="464"/>
      <c r="F70" s="464"/>
      <c r="G70" s="464"/>
      <c r="H70" s="464"/>
      <c r="I70" s="464"/>
      <c r="J70" s="464"/>
      <c r="K70" s="464"/>
      <c r="L70" s="464"/>
      <c r="M70" s="464"/>
      <c r="N70" s="464"/>
      <c r="O70" s="464"/>
      <c r="P70" s="464"/>
      <c r="Q70" s="464"/>
      <c r="R70" s="464"/>
      <c r="S70" s="715"/>
      <c r="T70" s="464"/>
      <c r="U70" s="23" t="s">
        <v>80</v>
      </c>
      <c r="V70" s="50">
        <f>ESG!C23</f>
        <v>0</v>
      </c>
    </row>
    <row r="71" spans="4:22" x14ac:dyDescent="0.2">
      <c r="D71" s="464"/>
      <c r="E71" s="464"/>
      <c r="F71" s="464"/>
      <c r="G71" s="464"/>
      <c r="H71" s="464"/>
      <c r="I71" s="464"/>
      <c r="J71" s="464"/>
      <c r="K71" s="464"/>
      <c r="L71" s="464"/>
      <c r="M71" s="464"/>
      <c r="N71" s="464"/>
      <c r="O71" s="464"/>
      <c r="P71" s="464"/>
      <c r="Q71" s="464"/>
      <c r="R71" s="464"/>
      <c r="S71" s="715"/>
      <c r="T71" s="464"/>
      <c r="U71" s="25" t="s">
        <v>81</v>
      </c>
      <c r="V71" s="44">
        <f>ESG!C24</f>
        <v>0</v>
      </c>
    </row>
    <row r="72" spans="4:22" x14ac:dyDescent="0.2">
      <c r="D72" s="464"/>
      <c r="E72" s="464"/>
      <c r="F72" s="464"/>
      <c r="G72" s="464"/>
      <c r="H72" s="464"/>
      <c r="I72" s="464"/>
      <c r="J72" s="464"/>
      <c r="K72" s="464"/>
      <c r="L72" s="464"/>
      <c r="M72" s="464"/>
      <c r="N72" s="464"/>
      <c r="O72" s="464"/>
      <c r="P72" s="464"/>
      <c r="Q72" s="464"/>
      <c r="R72" s="464"/>
      <c r="S72" s="715"/>
      <c r="T72" s="464"/>
      <c r="U72" s="25" t="s">
        <v>82</v>
      </c>
      <c r="V72" s="43">
        <f>ESG!C25</f>
        <v>0</v>
      </c>
    </row>
    <row r="73" spans="4:22" ht="15" x14ac:dyDescent="0.25">
      <c r="D73" s="464"/>
      <c r="E73" s="464"/>
      <c r="F73" s="464"/>
      <c r="G73" s="464"/>
      <c r="H73" s="464"/>
      <c r="I73" s="464"/>
      <c r="J73" s="464"/>
      <c r="K73" s="464"/>
      <c r="L73" s="464"/>
      <c r="M73" s="464"/>
      <c r="N73" s="464"/>
      <c r="O73" s="464"/>
      <c r="P73" s="464"/>
      <c r="Q73" s="464"/>
      <c r="R73" s="464"/>
      <c r="S73" s="715"/>
      <c r="T73" s="464"/>
      <c r="U73" s="23" t="s">
        <v>83</v>
      </c>
      <c r="V73" s="51">
        <f>ESG!C26</f>
        <v>0</v>
      </c>
    </row>
    <row r="75" spans="4:22" ht="14.25" customHeight="1" x14ac:dyDescent="0.2">
      <c r="D75" s="464"/>
      <c r="E75" s="464"/>
      <c r="F75" s="464"/>
      <c r="G75" s="464"/>
      <c r="H75" s="464"/>
      <c r="I75" s="464"/>
      <c r="J75" s="464"/>
      <c r="K75" s="464"/>
      <c r="L75" s="464"/>
      <c r="M75" s="464"/>
      <c r="N75" s="464"/>
      <c r="O75" s="464"/>
      <c r="P75" s="464"/>
      <c r="Q75" s="464"/>
      <c r="R75" s="464"/>
      <c r="S75" s="715"/>
      <c r="T75" s="464"/>
      <c r="U75" s="783" t="s">
        <v>84</v>
      </c>
      <c r="V75" s="783"/>
    </row>
    <row r="76" spans="4:22" ht="15" customHeight="1" x14ac:dyDescent="0.2">
      <c r="D76" s="464"/>
      <c r="E76" s="464"/>
      <c r="F76" s="464"/>
      <c r="G76" s="464"/>
      <c r="H76" s="464"/>
      <c r="I76" s="464"/>
      <c r="J76" s="464"/>
      <c r="K76" s="464"/>
      <c r="L76" s="464"/>
      <c r="M76" s="464"/>
      <c r="N76" s="464"/>
      <c r="O76" s="464"/>
      <c r="P76" s="464"/>
      <c r="Q76" s="464"/>
      <c r="R76" s="464"/>
      <c r="S76" s="715"/>
      <c r="T76" s="464"/>
      <c r="U76" s="783"/>
      <c r="V76" s="783"/>
    </row>
    <row r="77" spans="4:22" ht="15" customHeight="1" x14ac:dyDescent="0.2">
      <c r="D77" s="464"/>
      <c r="E77" s="464"/>
      <c r="F77" s="464"/>
      <c r="G77" s="464"/>
      <c r="H77" s="464"/>
      <c r="I77" s="464"/>
      <c r="J77" s="464"/>
      <c r="K77" s="464"/>
      <c r="L77" s="464"/>
      <c r="M77" s="464"/>
      <c r="N77" s="464"/>
      <c r="O77" s="464"/>
      <c r="P77" s="464"/>
      <c r="Q77" s="464"/>
      <c r="R77" s="464"/>
      <c r="S77" s="715"/>
      <c r="T77" s="464"/>
      <c r="U77" s="783"/>
      <c r="V77" s="783"/>
    </row>
    <row r="78" spans="4:22" ht="15" customHeight="1" x14ac:dyDescent="0.2">
      <c r="D78" s="464"/>
      <c r="E78" s="464"/>
      <c r="F78" s="464"/>
      <c r="G78" s="464"/>
      <c r="H78" s="464"/>
      <c r="I78" s="464"/>
      <c r="J78" s="464"/>
      <c r="K78" s="464"/>
      <c r="L78" s="464"/>
      <c r="M78" s="464"/>
      <c r="N78" s="464"/>
      <c r="O78" s="464"/>
      <c r="P78" s="464"/>
      <c r="Q78" s="464"/>
      <c r="R78" s="464"/>
      <c r="S78" s="715"/>
      <c r="T78" s="464"/>
      <c r="U78" s="783"/>
      <c r="V78" s="783"/>
    </row>
    <row r="79" spans="4:22" ht="15" customHeight="1" x14ac:dyDescent="0.2">
      <c r="D79" s="464"/>
      <c r="E79" s="464"/>
      <c r="F79" s="464"/>
      <c r="G79" s="464"/>
      <c r="H79" s="464"/>
      <c r="I79" s="464"/>
      <c r="J79" s="464"/>
      <c r="K79" s="464"/>
      <c r="L79" s="464"/>
      <c r="M79" s="464"/>
      <c r="N79" s="464"/>
      <c r="O79" s="464"/>
      <c r="P79" s="464"/>
      <c r="Q79" s="464"/>
      <c r="R79" s="464"/>
      <c r="S79" s="715"/>
      <c r="T79" s="464"/>
      <c r="U79" s="783"/>
      <c r="V79" s="783"/>
    </row>
    <row r="80" spans="4:22" ht="14.25" customHeight="1" x14ac:dyDescent="0.25">
      <c r="D80" s="749" t="s">
        <v>85</v>
      </c>
      <c r="E80" s="70"/>
      <c r="F80" s="69"/>
      <c r="G80" s="69"/>
      <c r="H80" s="69"/>
      <c r="I80" s="69"/>
      <c r="J80" s="69"/>
      <c r="K80" s="69"/>
      <c r="L80" s="69"/>
      <c r="M80" s="69"/>
      <c r="N80" s="69"/>
      <c r="O80" s="69"/>
      <c r="P80" s="69"/>
      <c r="Q80" s="69"/>
      <c r="R80" s="69"/>
      <c r="S80" s="715"/>
      <c r="T80" s="464"/>
      <c r="U80" s="783"/>
      <c r="V80" s="783"/>
    </row>
    <row r="81" spans="1:33" ht="15" customHeight="1" x14ac:dyDescent="0.2">
      <c r="A81" s="713"/>
      <c r="B81" s="714"/>
      <c r="C81" s="464"/>
      <c r="D81" s="793"/>
      <c r="E81" s="793"/>
      <c r="F81" s="793"/>
      <c r="G81" s="793"/>
      <c r="H81" s="793"/>
      <c r="I81" s="793"/>
      <c r="J81" s="793"/>
      <c r="K81" s="793"/>
      <c r="L81" s="793"/>
      <c r="M81" s="793"/>
      <c r="N81" s="793"/>
      <c r="O81" s="793"/>
      <c r="P81" s="793"/>
      <c r="Q81" s="793"/>
      <c r="R81" s="793"/>
      <c r="S81" s="715"/>
      <c r="T81" s="464"/>
      <c r="U81" s="783"/>
      <c r="V81" s="783"/>
      <c r="W81" s="464"/>
      <c r="X81" s="464"/>
      <c r="Y81" s="464"/>
      <c r="Z81" s="464"/>
      <c r="AA81" s="464"/>
      <c r="AB81" s="464"/>
      <c r="AC81" s="464"/>
      <c r="AD81" s="464"/>
      <c r="AE81" s="464"/>
      <c r="AF81" s="464"/>
      <c r="AG81" s="464"/>
    </row>
    <row r="82" spans="1:33" ht="15" customHeight="1" x14ac:dyDescent="0.2">
      <c r="A82" s="713"/>
      <c r="B82" s="714"/>
      <c r="C82" s="464"/>
      <c r="D82" s="793"/>
      <c r="E82" s="793"/>
      <c r="F82" s="793"/>
      <c r="G82" s="793"/>
      <c r="H82" s="793"/>
      <c r="I82" s="793"/>
      <c r="J82" s="793"/>
      <c r="K82" s="793"/>
      <c r="L82" s="793"/>
      <c r="M82" s="793"/>
      <c r="N82" s="793"/>
      <c r="O82" s="793"/>
      <c r="P82" s="793"/>
      <c r="Q82" s="793"/>
      <c r="R82" s="793"/>
      <c r="S82" s="715"/>
      <c r="T82" s="464"/>
      <c r="U82" s="783"/>
      <c r="V82" s="783"/>
      <c r="W82" s="464"/>
      <c r="X82" s="464"/>
      <c r="Y82" s="464"/>
      <c r="Z82" s="464"/>
      <c r="AA82" s="464"/>
      <c r="AB82" s="464"/>
      <c r="AC82" s="464"/>
      <c r="AD82" s="464"/>
      <c r="AE82" s="464"/>
      <c r="AF82" s="464"/>
      <c r="AG82" s="464"/>
    </row>
    <row r="83" spans="1:33" ht="15" customHeight="1" x14ac:dyDescent="0.2">
      <c r="A83" s="713"/>
      <c r="B83" s="714"/>
      <c r="C83" s="464"/>
      <c r="D83" s="793"/>
      <c r="E83" s="793"/>
      <c r="F83" s="793"/>
      <c r="G83" s="793"/>
      <c r="H83" s="793"/>
      <c r="I83" s="793"/>
      <c r="J83" s="793"/>
      <c r="K83" s="793"/>
      <c r="L83" s="793"/>
      <c r="M83" s="793"/>
      <c r="N83" s="793"/>
      <c r="O83" s="793"/>
      <c r="P83" s="793"/>
      <c r="Q83" s="793"/>
      <c r="R83" s="793"/>
      <c r="S83" s="715"/>
      <c r="T83" s="464"/>
      <c r="U83" s="783"/>
      <c r="V83" s="783"/>
      <c r="W83" s="464"/>
      <c r="X83" s="464"/>
      <c r="Y83" s="464"/>
      <c r="Z83" s="464"/>
      <c r="AA83" s="464"/>
      <c r="AB83" s="464"/>
      <c r="AC83" s="464"/>
      <c r="AD83" s="464"/>
      <c r="AE83" s="464"/>
      <c r="AF83" s="464"/>
      <c r="AG83" s="464"/>
    </row>
    <row r="84" spans="1:33" ht="15" customHeight="1" x14ac:dyDescent="0.2">
      <c r="A84" s="713"/>
      <c r="B84" s="714"/>
      <c r="C84" s="464"/>
      <c r="D84" s="793"/>
      <c r="E84" s="793"/>
      <c r="F84" s="793"/>
      <c r="G84" s="793"/>
      <c r="H84" s="793"/>
      <c r="I84" s="793"/>
      <c r="J84" s="793"/>
      <c r="K84" s="793"/>
      <c r="L84" s="793"/>
      <c r="M84" s="793"/>
      <c r="N84" s="793"/>
      <c r="O84" s="793"/>
      <c r="P84" s="793"/>
      <c r="Q84" s="793"/>
      <c r="R84" s="793"/>
      <c r="S84" s="715"/>
      <c r="T84" s="464"/>
      <c r="U84" s="783"/>
      <c r="V84" s="783"/>
      <c r="W84" s="464"/>
      <c r="X84" s="464"/>
      <c r="Y84" s="464"/>
      <c r="Z84" s="464"/>
      <c r="AA84" s="464"/>
      <c r="AB84" s="464"/>
      <c r="AC84" s="464"/>
      <c r="AD84" s="464"/>
      <c r="AE84" s="464"/>
      <c r="AF84" s="464"/>
      <c r="AG84" s="464"/>
    </row>
    <row r="85" spans="1:33" ht="15" customHeight="1" x14ac:dyDescent="0.2">
      <c r="A85" s="713"/>
      <c r="B85" s="714"/>
      <c r="C85" s="464"/>
      <c r="D85" s="793"/>
      <c r="E85" s="793"/>
      <c r="F85" s="793"/>
      <c r="G85" s="793"/>
      <c r="H85" s="793"/>
      <c r="I85" s="793"/>
      <c r="J85" s="793"/>
      <c r="K85" s="793"/>
      <c r="L85" s="793"/>
      <c r="M85" s="793"/>
      <c r="N85" s="793"/>
      <c r="O85" s="793"/>
      <c r="P85" s="793"/>
      <c r="Q85" s="793"/>
      <c r="R85" s="793"/>
      <c r="S85" s="715"/>
      <c r="T85" s="464"/>
      <c r="U85" s="783"/>
      <c r="V85" s="783"/>
      <c r="W85" s="464"/>
      <c r="X85" s="464"/>
      <c r="Y85" s="464"/>
      <c r="Z85" s="464"/>
      <c r="AA85" s="464"/>
      <c r="AB85" s="464"/>
      <c r="AC85" s="464"/>
      <c r="AD85" s="464"/>
      <c r="AE85" s="464"/>
      <c r="AF85" s="464"/>
      <c r="AG85" s="464"/>
    </row>
    <row r="86" spans="1:33" ht="15" customHeight="1" x14ac:dyDescent="0.2">
      <c r="A86" s="713"/>
      <c r="B86" s="714"/>
      <c r="C86" s="464"/>
      <c r="D86" s="794"/>
      <c r="E86" s="794"/>
      <c r="F86" s="794"/>
      <c r="G86" s="794"/>
      <c r="H86" s="794"/>
      <c r="I86" s="794"/>
      <c r="J86" s="794"/>
      <c r="K86" s="794"/>
      <c r="L86" s="794"/>
      <c r="M86" s="794"/>
      <c r="N86" s="794"/>
      <c r="O86" s="794"/>
      <c r="P86" s="794"/>
      <c r="Q86" s="794"/>
      <c r="R86" s="794"/>
      <c r="S86" s="715"/>
      <c r="T86" s="464"/>
      <c r="U86" s="783"/>
      <c r="V86" s="783"/>
      <c r="W86" s="464"/>
      <c r="X86" s="464"/>
      <c r="Y86" s="464"/>
      <c r="Z86" s="464"/>
      <c r="AA86" s="464"/>
      <c r="AB86" s="464"/>
      <c r="AC86" s="464"/>
      <c r="AD86" s="464"/>
      <c r="AE86" s="464"/>
      <c r="AF86" s="464"/>
      <c r="AG86" s="464"/>
    </row>
    <row r="87" spans="1:33" ht="15" customHeight="1" x14ac:dyDescent="0.2">
      <c r="A87" s="713"/>
      <c r="B87" s="714"/>
      <c r="C87" s="464"/>
      <c r="D87" s="794"/>
      <c r="E87" s="794"/>
      <c r="F87" s="794"/>
      <c r="G87" s="794"/>
      <c r="H87" s="794"/>
      <c r="I87" s="794"/>
      <c r="J87" s="794"/>
      <c r="K87" s="794"/>
      <c r="L87" s="794"/>
      <c r="M87" s="794"/>
      <c r="N87" s="794"/>
      <c r="O87" s="794"/>
      <c r="P87" s="794"/>
      <c r="Q87" s="794"/>
      <c r="R87" s="794"/>
      <c r="S87" s="715"/>
      <c r="T87" s="464"/>
      <c r="U87" s="783"/>
      <c r="V87" s="783"/>
      <c r="W87" s="464"/>
      <c r="X87" s="464"/>
      <c r="Y87" s="464"/>
      <c r="Z87" s="464"/>
      <c r="AA87" s="464"/>
      <c r="AB87" s="464"/>
      <c r="AC87" s="464"/>
      <c r="AD87" s="464"/>
      <c r="AE87" s="464"/>
      <c r="AF87" s="464"/>
      <c r="AG87" s="464"/>
    </row>
    <row r="88" spans="1:33" ht="15" customHeight="1" x14ac:dyDescent="0.2">
      <c r="A88" s="713"/>
      <c r="B88" s="714"/>
      <c r="C88" s="464"/>
      <c r="D88" s="464"/>
      <c r="E88" s="464"/>
      <c r="F88" s="464"/>
      <c r="G88" s="464"/>
      <c r="H88" s="464"/>
      <c r="I88" s="464"/>
      <c r="J88" s="464"/>
      <c r="K88" s="464"/>
      <c r="L88" s="464"/>
      <c r="M88" s="464"/>
      <c r="N88" s="464"/>
      <c r="O88" s="464"/>
      <c r="P88" s="464"/>
      <c r="Q88" s="464"/>
      <c r="R88" s="464"/>
      <c r="S88" s="715"/>
      <c r="T88" s="464"/>
      <c r="U88" s="783"/>
      <c r="V88" s="783"/>
      <c r="W88" s="464"/>
      <c r="X88" s="464"/>
      <c r="Y88" s="464"/>
      <c r="Z88" s="464"/>
      <c r="AA88" s="464"/>
      <c r="AB88" s="464"/>
      <c r="AC88" s="464"/>
      <c r="AD88" s="464"/>
      <c r="AE88" s="464"/>
      <c r="AF88" s="464"/>
      <c r="AG88" s="464"/>
    </row>
    <row r="89" spans="1:33" x14ac:dyDescent="0.2">
      <c r="A89" s="713"/>
      <c r="B89" s="714"/>
      <c r="C89" s="464"/>
      <c r="D89" s="464"/>
      <c r="E89" s="464"/>
      <c r="F89" s="464"/>
      <c r="G89" s="464"/>
      <c r="H89" s="464"/>
      <c r="I89" s="464"/>
      <c r="J89" s="464"/>
      <c r="K89" s="464"/>
      <c r="L89" s="464"/>
      <c r="M89" s="464"/>
      <c r="N89" s="464"/>
      <c r="O89" s="464"/>
      <c r="P89" s="464"/>
      <c r="Q89" s="464"/>
      <c r="R89" s="464"/>
      <c r="S89" s="715"/>
      <c r="T89" s="464"/>
      <c r="U89" s="783"/>
      <c r="V89" s="783"/>
      <c r="W89" s="464"/>
      <c r="X89" s="464"/>
      <c r="Y89" s="464"/>
      <c r="Z89" s="464"/>
      <c r="AA89" s="464"/>
      <c r="AB89" s="464"/>
      <c r="AC89" s="464"/>
      <c r="AD89" s="464"/>
      <c r="AE89" s="464"/>
      <c r="AF89" s="464"/>
      <c r="AG89" s="464"/>
    </row>
    <row r="90" spans="1:33" x14ac:dyDescent="0.2">
      <c r="A90" s="713"/>
      <c r="B90" s="714"/>
      <c r="C90" s="464"/>
      <c r="D90" s="464"/>
      <c r="E90" s="464"/>
      <c r="F90" s="464"/>
      <c r="G90" s="464"/>
      <c r="H90" s="464"/>
      <c r="I90" s="464"/>
      <c r="J90" s="464"/>
      <c r="K90" s="464"/>
      <c r="L90" s="464"/>
      <c r="M90" s="464"/>
      <c r="N90" s="464"/>
      <c r="O90" s="464"/>
      <c r="P90" s="464"/>
      <c r="Q90" s="464"/>
      <c r="R90" s="464"/>
      <c r="S90" s="715"/>
      <c r="T90" s="464"/>
      <c r="U90" s="783"/>
      <c r="V90" s="783"/>
      <c r="W90" s="464"/>
      <c r="X90" s="464"/>
      <c r="Y90" s="464"/>
      <c r="Z90" s="464"/>
      <c r="AA90" s="464"/>
      <c r="AB90" s="464"/>
      <c r="AC90" s="464"/>
      <c r="AD90" s="464"/>
      <c r="AE90" s="464"/>
      <c r="AF90" s="464"/>
      <c r="AG90" s="464"/>
    </row>
    <row r="91" spans="1:33" x14ac:dyDescent="0.2">
      <c r="A91" s="713"/>
      <c r="B91" s="714"/>
      <c r="C91" s="464"/>
      <c r="D91" s="464"/>
      <c r="E91" s="464"/>
      <c r="F91" s="464"/>
      <c r="G91" s="464"/>
      <c r="H91" s="464"/>
      <c r="I91" s="464"/>
      <c r="J91" s="464"/>
      <c r="K91" s="464"/>
      <c r="L91" s="464"/>
      <c r="M91" s="464"/>
      <c r="N91" s="464"/>
      <c r="O91" s="464"/>
      <c r="P91" s="464"/>
      <c r="Q91" s="464"/>
      <c r="R91" s="464"/>
      <c r="S91" s="715"/>
      <c r="T91" s="464"/>
      <c r="U91" s="783"/>
      <c r="V91" s="783"/>
      <c r="W91" s="464"/>
      <c r="X91" s="464"/>
      <c r="Y91" s="464"/>
      <c r="Z91" s="464"/>
      <c r="AA91" s="464"/>
      <c r="AB91" s="464"/>
      <c r="AC91" s="464"/>
      <c r="AD91" s="464"/>
      <c r="AE91" s="464"/>
      <c r="AF91" s="464"/>
      <c r="AG91" s="464"/>
    </row>
    <row r="92" spans="1:33" x14ac:dyDescent="0.2">
      <c r="A92" s="713"/>
      <c r="B92" s="714"/>
      <c r="C92" s="464"/>
      <c r="D92" s="464"/>
      <c r="E92" s="464"/>
      <c r="F92" s="464"/>
      <c r="G92" s="464"/>
      <c r="H92" s="464"/>
      <c r="I92" s="464"/>
      <c r="J92" s="464"/>
      <c r="K92" s="464"/>
      <c r="L92" s="464"/>
      <c r="M92" s="464"/>
      <c r="N92" s="464"/>
      <c r="O92" s="464"/>
      <c r="P92" s="464"/>
      <c r="Q92" s="464"/>
      <c r="R92" s="464"/>
      <c r="S92" s="715"/>
      <c r="T92" s="464"/>
      <c r="U92" s="783"/>
      <c r="V92" s="783"/>
      <c r="W92" s="464"/>
      <c r="X92" s="464"/>
      <c r="Y92" s="464"/>
      <c r="Z92" s="464"/>
      <c r="AA92" s="464"/>
      <c r="AB92" s="464"/>
      <c r="AC92" s="464"/>
      <c r="AD92" s="464"/>
      <c r="AE92" s="464"/>
      <c r="AF92" s="464"/>
      <c r="AG92" s="464"/>
    </row>
    <row r="93" spans="1:33" x14ac:dyDescent="0.2">
      <c r="A93" s="713"/>
      <c r="B93" s="714"/>
      <c r="C93" s="464"/>
      <c r="D93" s="464"/>
      <c r="E93" s="464"/>
      <c r="F93" s="464"/>
      <c r="G93" s="464"/>
      <c r="H93" s="464"/>
      <c r="I93" s="464"/>
      <c r="J93" s="464"/>
      <c r="K93" s="464"/>
      <c r="L93" s="464"/>
      <c r="M93" s="464"/>
      <c r="N93" s="464"/>
      <c r="O93" s="464"/>
      <c r="P93" s="464"/>
      <c r="Q93" s="464"/>
      <c r="R93" s="464"/>
      <c r="S93" s="715"/>
      <c r="T93" s="464"/>
      <c r="U93" s="783"/>
      <c r="V93" s="783"/>
      <c r="W93" s="464"/>
      <c r="X93" s="464"/>
      <c r="Y93" s="464"/>
      <c r="Z93" s="464"/>
      <c r="AA93" s="464"/>
      <c r="AB93" s="464"/>
      <c r="AC93" s="464"/>
      <c r="AD93" s="464"/>
      <c r="AE93" s="464"/>
      <c r="AF93" s="464"/>
      <c r="AG93" s="464"/>
    </row>
    <row r="94" spans="1:33" x14ac:dyDescent="0.2">
      <c r="A94" s="713"/>
      <c r="B94" s="714"/>
      <c r="C94" s="464"/>
      <c r="D94" s="464"/>
      <c r="E94" s="464"/>
      <c r="F94" s="464"/>
      <c r="G94" s="464"/>
      <c r="H94" s="464"/>
      <c r="I94" s="464"/>
      <c r="J94" s="464"/>
      <c r="K94" s="464"/>
      <c r="L94" s="464"/>
      <c r="M94" s="464"/>
      <c r="N94" s="464"/>
      <c r="O94" s="464"/>
      <c r="P94" s="464"/>
      <c r="Q94" s="464"/>
      <c r="R94" s="464"/>
      <c r="S94" s="715"/>
      <c r="T94" s="464"/>
      <c r="U94" s="783"/>
      <c r="V94" s="783"/>
      <c r="W94" s="464"/>
      <c r="X94" s="464"/>
      <c r="Y94" s="464"/>
      <c r="Z94" s="464"/>
      <c r="AA94" s="464"/>
      <c r="AB94" s="464"/>
      <c r="AC94" s="464"/>
      <c r="AD94" s="464"/>
      <c r="AE94" s="464"/>
      <c r="AF94" s="464"/>
      <c r="AG94" s="464"/>
    </row>
    <row r="95" spans="1:33" x14ac:dyDescent="0.2">
      <c r="A95" s="713"/>
      <c r="B95" s="714"/>
      <c r="C95" s="464"/>
      <c r="D95" s="464"/>
      <c r="E95" s="464"/>
      <c r="F95" s="464"/>
      <c r="G95" s="464"/>
      <c r="H95" s="464"/>
      <c r="I95" s="464"/>
      <c r="J95" s="464"/>
      <c r="K95" s="464"/>
      <c r="L95" s="464"/>
      <c r="M95" s="464"/>
      <c r="N95" s="464"/>
      <c r="O95" s="464"/>
      <c r="P95" s="464"/>
      <c r="Q95" s="464"/>
      <c r="R95" s="464"/>
      <c r="S95" s="715"/>
      <c r="T95" s="464"/>
      <c r="U95" s="783"/>
      <c r="V95" s="783"/>
      <c r="W95" s="464"/>
      <c r="X95" s="464"/>
      <c r="Y95" s="464"/>
      <c r="Z95" s="464"/>
      <c r="AA95" s="464"/>
      <c r="AB95" s="464"/>
      <c r="AC95" s="464"/>
      <c r="AD95" s="464"/>
      <c r="AE95" s="464"/>
      <c r="AF95" s="464"/>
      <c r="AG95" s="464"/>
    </row>
    <row r="96" spans="1:33" x14ac:dyDescent="0.2">
      <c r="A96" s="713"/>
      <c r="B96" s="714"/>
      <c r="C96" s="464"/>
      <c r="D96" s="464"/>
      <c r="E96" s="464"/>
      <c r="F96" s="464"/>
      <c r="G96" s="464"/>
      <c r="H96" s="464"/>
      <c r="I96" s="464"/>
      <c r="J96" s="464"/>
      <c r="K96" s="464"/>
      <c r="L96" s="464"/>
      <c r="M96" s="464"/>
      <c r="N96" s="464"/>
      <c r="O96" s="464"/>
      <c r="P96" s="464"/>
      <c r="Q96" s="464"/>
      <c r="R96" s="464"/>
      <c r="S96" s="715"/>
      <c r="T96" s="464"/>
      <c r="U96" s="783"/>
      <c r="V96" s="783"/>
      <c r="W96" s="464"/>
      <c r="X96" s="464"/>
      <c r="Y96" s="464"/>
      <c r="Z96" s="464"/>
      <c r="AA96" s="464"/>
      <c r="AB96" s="464"/>
      <c r="AC96" s="464"/>
      <c r="AD96" s="464"/>
      <c r="AE96" s="464"/>
      <c r="AF96" s="464"/>
      <c r="AG96" s="464"/>
    </row>
    <row r="97" spans="21:22" x14ac:dyDescent="0.2">
      <c r="U97" s="783"/>
      <c r="V97" s="783"/>
    </row>
    <row r="98" spans="21:22" x14ac:dyDescent="0.2">
      <c r="U98" s="783"/>
      <c r="V98" s="783"/>
    </row>
    <row r="1048575" spans="1:33" x14ac:dyDescent="0.2">
      <c r="A1048575" s="713"/>
      <c r="B1048575" s="714"/>
      <c r="C1048575" s="464"/>
      <c r="D1048575" s="760"/>
      <c r="E1048575" s="760"/>
      <c r="F1048575" s="760"/>
      <c r="G1048575" s="760"/>
      <c r="H1048575" s="760"/>
      <c r="I1048575" s="760"/>
      <c r="J1048575" s="760"/>
      <c r="K1048575" s="760"/>
      <c r="L1048575" s="760"/>
      <c r="M1048575" s="760"/>
      <c r="N1048575" s="760"/>
      <c r="O1048575" s="760"/>
      <c r="P1048575" s="760"/>
      <c r="Q1048575" s="760"/>
      <c r="R1048575" s="760"/>
      <c r="S1048575" s="715"/>
      <c r="T1048575" s="464"/>
      <c r="U1048575" s="464"/>
      <c r="V1048575" s="464"/>
      <c r="W1048575" s="464"/>
      <c r="X1048575" s="464"/>
      <c r="Y1048575" s="464"/>
      <c r="Z1048575" s="464"/>
      <c r="AA1048575" s="464"/>
      <c r="AB1048575" s="464"/>
      <c r="AC1048575" s="464"/>
      <c r="AD1048575" s="464"/>
      <c r="AE1048575" s="464"/>
      <c r="AF1048575" s="464"/>
      <c r="AG1048575" s="464"/>
    </row>
  </sheetData>
  <dataConsolidate/>
  <mergeCells count="16">
    <mergeCell ref="U75:V98"/>
    <mergeCell ref="U50:V58"/>
    <mergeCell ref="D41:F43"/>
    <mergeCell ref="G41:I43"/>
    <mergeCell ref="D8:R9"/>
    <mergeCell ref="D11:R15"/>
    <mergeCell ref="D37:F39"/>
    <mergeCell ref="G37:I39"/>
    <mergeCell ref="D85:R85"/>
    <mergeCell ref="D86:R86"/>
    <mergeCell ref="D87:R87"/>
    <mergeCell ref="D81:R81"/>
    <mergeCell ref="D82:R82"/>
    <mergeCell ref="D83:R83"/>
    <mergeCell ref="D84:R84"/>
    <mergeCell ref="U38:V46"/>
  </mergeCells>
  <conditionalFormatting sqref="E26:E33">
    <cfRule type="dataBar" priority="78">
      <dataBar>
        <cfvo type="min"/>
        <cfvo type="max"/>
        <color rgb="FF63C384"/>
      </dataBar>
      <extLst>
        <ext xmlns:x14="http://schemas.microsoft.com/office/spreadsheetml/2009/9/main" uri="{B025F937-C7B1-47D3-B67F-A62EFF666E3E}">
          <x14:id>{6034C8ED-898D-4A6B-9795-FAAD4BA0B7C6}</x14:id>
        </ext>
      </extLst>
    </cfRule>
  </conditionalFormatting>
  <conditionalFormatting sqref="F26">
    <cfRule type="dataBar" priority="87">
      <dataBar>
        <cfvo type="min"/>
        <cfvo type="max"/>
        <color rgb="FF63C384"/>
      </dataBar>
      <extLst>
        <ext xmlns:x14="http://schemas.microsoft.com/office/spreadsheetml/2009/9/main" uri="{B025F937-C7B1-47D3-B67F-A62EFF666E3E}">
          <x14:id>{5C1B9785-691E-492F-86A6-D7F00A0F45D6}</x14:id>
        </ext>
      </extLst>
    </cfRule>
  </conditionalFormatting>
  <conditionalFormatting sqref="F26:F33">
    <cfRule type="dataBar" priority="79">
      <dataBar>
        <cfvo type="min"/>
        <cfvo type="max"/>
        <color rgb="FF638EC6"/>
      </dataBar>
      <extLst>
        <ext xmlns:x14="http://schemas.microsoft.com/office/spreadsheetml/2009/9/main" uri="{B025F937-C7B1-47D3-B67F-A62EFF666E3E}">
          <x14:id>{F2A4872A-9911-4779-9E97-55F97D88D42B}</x14:id>
        </ext>
      </extLst>
    </cfRule>
  </conditionalFormatting>
  <conditionalFormatting sqref="F27">
    <cfRule type="dataBar" priority="86">
      <dataBar>
        <cfvo type="min"/>
        <cfvo type="max"/>
        <color rgb="FF63C384"/>
      </dataBar>
      <extLst>
        <ext xmlns:x14="http://schemas.microsoft.com/office/spreadsheetml/2009/9/main" uri="{B025F937-C7B1-47D3-B67F-A62EFF666E3E}">
          <x14:id>{698A8913-4860-4E6B-89DE-351099BE7444}</x14:id>
        </ext>
      </extLst>
    </cfRule>
  </conditionalFormatting>
  <conditionalFormatting sqref="F28">
    <cfRule type="dataBar" priority="85">
      <dataBar>
        <cfvo type="min"/>
        <cfvo type="max"/>
        <color rgb="FF63C384"/>
      </dataBar>
      <extLst>
        <ext xmlns:x14="http://schemas.microsoft.com/office/spreadsheetml/2009/9/main" uri="{B025F937-C7B1-47D3-B67F-A62EFF666E3E}">
          <x14:id>{CD4F52E4-75BF-4044-903E-27BCE1DEBDD0}</x14:id>
        </ext>
      </extLst>
    </cfRule>
  </conditionalFormatting>
  <conditionalFormatting sqref="F29">
    <cfRule type="dataBar" priority="84">
      <dataBar>
        <cfvo type="min"/>
        <cfvo type="max"/>
        <color rgb="FF63C384"/>
      </dataBar>
      <extLst>
        <ext xmlns:x14="http://schemas.microsoft.com/office/spreadsheetml/2009/9/main" uri="{B025F937-C7B1-47D3-B67F-A62EFF666E3E}">
          <x14:id>{5D7253A4-1DD1-496F-9A17-1808714854B2}</x14:id>
        </ext>
      </extLst>
    </cfRule>
  </conditionalFormatting>
  <conditionalFormatting sqref="F30">
    <cfRule type="dataBar" priority="83">
      <dataBar>
        <cfvo type="min"/>
        <cfvo type="max"/>
        <color rgb="FF63C384"/>
      </dataBar>
      <extLst>
        <ext xmlns:x14="http://schemas.microsoft.com/office/spreadsheetml/2009/9/main" uri="{B025F937-C7B1-47D3-B67F-A62EFF666E3E}">
          <x14:id>{7A209642-74F3-42D0-8EC8-402BBDCBCD84}</x14:id>
        </ext>
      </extLst>
    </cfRule>
  </conditionalFormatting>
  <conditionalFormatting sqref="F31">
    <cfRule type="dataBar" priority="82">
      <dataBar>
        <cfvo type="min"/>
        <cfvo type="max"/>
        <color rgb="FF63C384"/>
      </dataBar>
      <extLst>
        <ext xmlns:x14="http://schemas.microsoft.com/office/spreadsheetml/2009/9/main" uri="{B025F937-C7B1-47D3-B67F-A62EFF666E3E}">
          <x14:id>{5395343B-6F95-4DBC-A7D5-46BCF270AEE2}</x14:id>
        </ext>
      </extLst>
    </cfRule>
  </conditionalFormatting>
  <conditionalFormatting sqref="F32">
    <cfRule type="dataBar" priority="81">
      <dataBar>
        <cfvo type="min"/>
        <cfvo type="max"/>
        <color rgb="FF63C384"/>
      </dataBar>
      <extLst>
        <ext xmlns:x14="http://schemas.microsoft.com/office/spreadsheetml/2009/9/main" uri="{B025F937-C7B1-47D3-B67F-A62EFF666E3E}">
          <x14:id>{331607CE-926B-492F-83A0-EEEBC8F23CB9}</x14:id>
        </ext>
      </extLst>
    </cfRule>
  </conditionalFormatting>
  <conditionalFormatting sqref="F33">
    <cfRule type="dataBar" priority="80">
      <dataBar>
        <cfvo type="min"/>
        <cfvo type="max"/>
        <color rgb="FF63C384"/>
      </dataBar>
      <extLst>
        <ext xmlns:x14="http://schemas.microsoft.com/office/spreadsheetml/2009/9/main" uri="{B025F937-C7B1-47D3-B67F-A62EFF666E3E}">
          <x14:id>{B3BE3EFD-9295-49D0-80FA-AA2A09587925}</x14:id>
        </ext>
      </extLst>
    </cfRule>
  </conditionalFormatting>
  <conditionalFormatting sqref="G26">
    <cfRule type="dataBar" priority="46">
      <dataBar>
        <cfvo type="min"/>
        <cfvo type="max"/>
        <color rgb="FF638EC6"/>
      </dataBar>
      <extLst>
        <ext xmlns:x14="http://schemas.microsoft.com/office/spreadsheetml/2009/9/main" uri="{B025F937-C7B1-47D3-B67F-A62EFF666E3E}">
          <x14:id>{C695950A-A57C-4000-82FA-EEEC979F92EE}</x14:id>
        </ext>
      </extLst>
    </cfRule>
    <cfRule type="dataBar" priority="47">
      <dataBar>
        <cfvo type="min"/>
        <cfvo type="max"/>
        <color rgb="FF63C384"/>
      </dataBar>
      <extLst>
        <ext xmlns:x14="http://schemas.microsoft.com/office/spreadsheetml/2009/9/main" uri="{B025F937-C7B1-47D3-B67F-A62EFF666E3E}">
          <x14:id>{DC21537E-450A-4B7D-B57A-602AB269E3A7}</x14:id>
        </ext>
      </extLst>
    </cfRule>
  </conditionalFormatting>
  <conditionalFormatting sqref="G26:G33">
    <cfRule type="dataBar" priority="18">
      <dataBar>
        <cfvo type="min"/>
        <cfvo type="max"/>
        <color rgb="FF63C384"/>
      </dataBar>
      <extLst>
        <ext xmlns:x14="http://schemas.microsoft.com/office/spreadsheetml/2009/9/main" uri="{B025F937-C7B1-47D3-B67F-A62EFF666E3E}">
          <x14:id>{469A3700-94FB-4A26-89CA-0DEB48A710E1}</x14:id>
        </ext>
      </extLst>
    </cfRule>
    <cfRule type="dataBar" priority="31">
      <dataBar>
        <cfvo type="min"/>
        <cfvo type="max"/>
        <color rgb="FFFF555A"/>
      </dataBar>
      <extLst>
        <ext xmlns:x14="http://schemas.microsoft.com/office/spreadsheetml/2009/9/main" uri="{B025F937-C7B1-47D3-B67F-A62EFF666E3E}">
          <x14:id>{BD160036-CACD-4A1C-B17D-8DC22AA977F1}</x14:id>
        </ext>
      </extLst>
    </cfRule>
  </conditionalFormatting>
  <conditionalFormatting sqref="G27">
    <cfRule type="dataBar" priority="29">
      <dataBar>
        <cfvo type="min"/>
        <cfvo type="max"/>
        <color rgb="FF638EC6"/>
      </dataBar>
      <extLst>
        <ext xmlns:x14="http://schemas.microsoft.com/office/spreadsheetml/2009/9/main" uri="{B025F937-C7B1-47D3-B67F-A62EFF666E3E}">
          <x14:id>{C09674FF-A7BB-4895-BD55-F0D68FE13326}</x14:id>
        </ext>
      </extLst>
    </cfRule>
    <cfRule type="dataBar" priority="30">
      <dataBar>
        <cfvo type="min"/>
        <cfvo type="max"/>
        <color rgb="FF63C384"/>
      </dataBar>
      <extLst>
        <ext xmlns:x14="http://schemas.microsoft.com/office/spreadsheetml/2009/9/main" uri="{B025F937-C7B1-47D3-B67F-A62EFF666E3E}">
          <x14:id>{29F200BB-F60A-473B-88DC-B2D1E5801962}</x14:id>
        </ext>
      </extLst>
    </cfRule>
    <cfRule type="dataBar" priority="44">
      <dataBar>
        <cfvo type="min"/>
        <cfvo type="max"/>
        <color rgb="FF638EC6"/>
      </dataBar>
      <extLst>
        <ext xmlns:x14="http://schemas.microsoft.com/office/spreadsheetml/2009/9/main" uri="{B025F937-C7B1-47D3-B67F-A62EFF666E3E}">
          <x14:id>{ACDAEC63-EC7C-4930-B523-BD3737F80DBA}</x14:id>
        </ext>
      </extLst>
    </cfRule>
    <cfRule type="dataBar" priority="45">
      <dataBar>
        <cfvo type="min"/>
        <cfvo type="max"/>
        <color rgb="FF63C384"/>
      </dataBar>
      <extLst>
        <ext xmlns:x14="http://schemas.microsoft.com/office/spreadsheetml/2009/9/main" uri="{B025F937-C7B1-47D3-B67F-A62EFF666E3E}">
          <x14:id>{EDD674A5-5F26-4D7C-BB8C-9EB544E0C1EA}</x14:id>
        </ext>
      </extLst>
    </cfRule>
  </conditionalFormatting>
  <conditionalFormatting sqref="G28">
    <cfRule type="dataBar" priority="27">
      <dataBar>
        <cfvo type="min"/>
        <cfvo type="max"/>
        <color rgb="FF638EC6"/>
      </dataBar>
      <extLst>
        <ext xmlns:x14="http://schemas.microsoft.com/office/spreadsheetml/2009/9/main" uri="{B025F937-C7B1-47D3-B67F-A62EFF666E3E}">
          <x14:id>{90A849CA-1BBD-4A6B-B32C-EF0B82FA4DF0}</x14:id>
        </ext>
      </extLst>
    </cfRule>
    <cfRule type="dataBar" priority="28">
      <dataBar>
        <cfvo type="min"/>
        <cfvo type="max"/>
        <color rgb="FF63C384"/>
      </dataBar>
      <extLst>
        <ext xmlns:x14="http://schemas.microsoft.com/office/spreadsheetml/2009/9/main" uri="{B025F937-C7B1-47D3-B67F-A62EFF666E3E}">
          <x14:id>{248F9205-0A71-4DDD-9B75-2F0220EB6FCE}</x14:id>
        </ext>
      </extLst>
    </cfRule>
    <cfRule type="dataBar" priority="42">
      <dataBar>
        <cfvo type="min"/>
        <cfvo type="max"/>
        <color rgb="FF638EC6"/>
      </dataBar>
      <extLst>
        <ext xmlns:x14="http://schemas.microsoft.com/office/spreadsheetml/2009/9/main" uri="{B025F937-C7B1-47D3-B67F-A62EFF666E3E}">
          <x14:id>{9E51552C-D55A-4DE8-B38D-5F54A7BF7D7E}</x14:id>
        </ext>
      </extLst>
    </cfRule>
    <cfRule type="dataBar" priority="43">
      <dataBar>
        <cfvo type="min"/>
        <cfvo type="max"/>
        <color rgb="FF63C384"/>
      </dataBar>
      <extLst>
        <ext xmlns:x14="http://schemas.microsoft.com/office/spreadsheetml/2009/9/main" uri="{B025F937-C7B1-47D3-B67F-A62EFF666E3E}">
          <x14:id>{9CB31363-0C52-411E-B5C4-729617AF0F42}</x14:id>
        </ext>
      </extLst>
    </cfRule>
  </conditionalFormatting>
  <conditionalFormatting sqref="G29">
    <cfRule type="dataBar" priority="40">
      <dataBar>
        <cfvo type="min"/>
        <cfvo type="max"/>
        <color rgb="FF638EC6"/>
      </dataBar>
      <extLst>
        <ext xmlns:x14="http://schemas.microsoft.com/office/spreadsheetml/2009/9/main" uri="{B025F937-C7B1-47D3-B67F-A62EFF666E3E}">
          <x14:id>{8E3BA3B1-F742-4FC4-8FB1-A0CAE20CCE57}</x14:id>
        </ext>
      </extLst>
    </cfRule>
    <cfRule type="dataBar" priority="41">
      <dataBar>
        <cfvo type="min"/>
        <cfvo type="max"/>
        <color rgb="FF63C384"/>
      </dataBar>
      <extLst>
        <ext xmlns:x14="http://schemas.microsoft.com/office/spreadsheetml/2009/9/main" uri="{B025F937-C7B1-47D3-B67F-A62EFF666E3E}">
          <x14:id>{D0D5D0DC-42F4-49CB-9DF2-D549D897E0FF}</x14:id>
        </ext>
      </extLst>
    </cfRule>
  </conditionalFormatting>
  <conditionalFormatting sqref="G30">
    <cfRule type="dataBar" priority="25">
      <dataBar>
        <cfvo type="min"/>
        <cfvo type="max"/>
        <color rgb="FF638EC6"/>
      </dataBar>
      <extLst>
        <ext xmlns:x14="http://schemas.microsoft.com/office/spreadsheetml/2009/9/main" uri="{B025F937-C7B1-47D3-B67F-A62EFF666E3E}">
          <x14:id>{2D2BBCA1-8BCA-4D14-BA9F-299A5839FFAA}</x14:id>
        </ext>
      </extLst>
    </cfRule>
    <cfRule type="dataBar" priority="26">
      <dataBar>
        <cfvo type="min"/>
        <cfvo type="max"/>
        <color rgb="FF63C384"/>
      </dataBar>
      <extLst>
        <ext xmlns:x14="http://schemas.microsoft.com/office/spreadsheetml/2009/9/main" uri="{B025F937-C7B1-47D3-B67F-A62EFF666E3E}">
          <x14:id>{2DEA7D45-6052-40F8-8FF3-D03FD6BC715F}</x14:id>
        </ext>
      </extLst>
    </cfRule>
    <cfRule type="dataBar" priority="38">
      <dataBar>
        <cfvo type="min"/>
        <cfvo type="max"/>
        <color rgb="FF638EC6"/>
      </dataBar>
      <extLst>
        <ext xmlns:x14="http://schemas.microsoft.com/office/spreadsheetml/2009/9/main" uri="{B025F937-C7B1-47D3-B67F-A62EFF666E3E}">
          <x14:id>{6214BE10-A170-484F-941E-6F5EF007B533}</x14:id>
        </ext>
      </extLst>
    </cfRule>
    <cfRule type="dataBar" priority="39">
      <dataBar>
        <cfvo type="min"/>
        <cfvo type="max"/>
        <color rgb="FF63C384"/>
      </dataBar>
      <extLst>
        <ext xmlns:x14="http://schemas.microsoft.com/office/spreadsheetml/2009/9/main" uri="{B025F937-C7B1-47D3-B67F-A62EFF666E3E}">
          <x14:id>{5199E6A7-9290-4150-80D6-2857642814AB}</x14:id>
        </ext>
      </extLst>
    </cfRule>
  </conditionalFormatting>
  <conditionalFormatting sqref="G31">
    <cfRule type="dataBar" priority="23">
      <dataBar>
        <cfvo type="min"/>
        <cfvo type="max"/>
        <color rgb="FF638EC6"/>
      </dataBar>
      <extLst>
        <ext xmlns:x14="http://schemas.microsoft.com/office/spreadsheetml/2009/9/main" uri="{B025F937-C7B1-47D3-B67F-A62EFF666E3E}">
          <x14:id>{C8253A93-34C8-47F2-9A4D-B0B179E989E5}</x14:id>
        </ext>
      </extLst>
    </cfRule>
    <cfRule type="dataBar" priority="24">
      <dataBar>
        <cfvo type="min"/>
        <cfvo type="max"/>
        <color rgb="FF63C384"/>
      </dataBar>
      <extLst>
        <ext xmlns:x14="http://schemas.microsoft.com/office/spreadsheetml/2009/9/main" uri="{B025F937-C7B1-47D3-B67F-A62EFF666E3E}">
          <x14:id>{11591B90-F748-479E-B43B-5B632A7D2078}</x14:id>
        </ext>
      </extLst>
    </cfRule>
    <cfRule type="dataBar" priority="36">
      <dataBar>
        <cfvo type="min"/>
        <cfvo type="max"/>
        <color rgb="FF638EC6"/>
      </dataBar>
      <extLst>
        <ext xmlns:x14="http://schemas.microsoft.com/office/spreadsheetml/2009/9/main" uri="{B025F937-C7B1-47D3-B67F-A62EFF666E3E}">
          <x14:id>{3BBB7504-0E23-4F4F-8D48-50EB7F1974E7}</x14:id>
        </ext>
      </extLst>
    </cfRule>
    <cfRule type="dataBar" priority="37">
      <dataBar>
        <cfvo type="min"/>
        <cfvo type="max"/>
        <color rgb="FF63C384"/>
      </dataBar>
      <extLst>
        <ext xmlns:x14="http://schemas.microsoft.com/office/spreadsheetml/2009/9/main" uri="{B025F937-C7B1-47D3-B67F-A62EFF666E3E}">
          <x14:id>{4BD9B04B-1D50-4F22-AE9A-36635C8EB195}</x14:id>
        </ext>
      </extLst>
    </cfRule>
  </conditionalFormatting>
  <conditionalFormatting sqref="G32">
    <cfRule type="dataBar" priority="21">
      <dataBar>
        <cfvo type="min"/>
        <cfvo type="max"/>
        <color rgb="FF638EC6"/>
      </dataBar>
      <extLst>
        <ext xmlns:x14="http://schemas.microsoft.com/office/spreadsheetml/2009/9/main" uri="{B025F937-C7B1-47D3-B67F-A62EFF666E3E}">
          <x14:id>{BE4A62C0-0DCE-4A50-BCFB-24698F0286BA}</x14:id>
        </ext>
      </extLst>
    </cfRule>
    <cfRule type="dataBar" priority="22">
      <dataBar>
        <cfvo type="min"/>
        <cfvo type="max"/>
        <color rgb="FF63C384"/>
      </dataBar>
      <extLst>
        <ext xmlns:x14="http://schemas.microsoft.com/office/spreadsheetml/2009/9/main" uri="{B025F937-C7B1-47D3-B67F-A62EFF666E3E}">
          <x14:id>{11CAD6A3-68E8-439C-A66F-99B0BAE55713}</x14:id>
        </ext>
      </extLst>
    </cfRule>
    <cfRule type="dataBar" priority="34">
      <dataBar>
        <cfvo type="min"/>
        <cfvo type="max"/>
        <color rgb="FF638EC6"/>
      </dataBar>
      <extLst>
        <ext xmlns:x14="http://schemas.microsoft.com/office/spreadsheetml/2009/9/main" uri="{B025F937-C7B1-47D3-B67F-A62EFF666E3E}">
          <x14:id>{F3DEFCCF-EF13-4C0A-A500-BCFAB9EBBCF7}</x14:id>
        </ext>
      </extLst>
    </cfRule>
    <cfRule type="dataBar" priority="35">
      <dataBar>
        <cfvo type="min"/>
        <cfvo type="max"/>
        <color rgb="FF63C384"/>
      </dataBar>
      <extLst>
        <ext xmlns:x14="http://schemas.microsoft.com/office/spreadsheetml/2009/9/main" uri="{B025F937-C7B1-47D3-B67F-A62EFF666E3E}">
          <x14:id>{01AD74CC-99AB-45E3-A94C-50D6EB7EE4CC}</x14:id>
        </ext>
      </extLst>
    </cfRule>
  </conditionalFormatting>
  <conditionalFormatting sqref="G33">
    <cfRule type="dataBar" priority="19">
      <dataBar>
        <cfvo type="min"/>
        <cfvo type="max"/>
        <color rgb="FF638EC6"/>
      </dataBar>
      <extLst>
        <ext xmlns:x14="http://schemas.microsoft.com/office/spreadsheetml/2009/9/main" uri="{B025F937-C7B1-47D3-B67F-A62EFF666E3E}">
          <x14:id>{6CB346AD-5C09-4119-A373-DF43861A612A}</x14:id>
        </ext>
      </extLst>
    </cfRule>
    <cfRule type="dataBar" priority="20">
      <dataBar>
        <cfvo type="min"/>
        <cfvo type="max"/>
        <color rgb="FF63C384"/>
      </dataBar>
      <extLst>
        <ext xmlns:x14="http://schemas.microsoft.com/office/spreadsheetml/2009/9/main" uri="{B025F937-C7B1-47D3-B67F-A62EFF666E3E}">
          <x14:id>{6CC95D6E-ACC5-4CC6-87D4-F0C4F48D7FC3}</x14:id>
        </ext>
      </extLst>
    </cfRule>
    <cfRule type="dataBar" priority="32">
      <dataBar>
        <cfvo type="min"/>
        <cfvo type="max"/>
        <color rgb="FF638EC6"/>
      </dataBar>
      <extLst>
        <ext xmlns:x14="http://schemas.microsoft.com/office/spreadsheetml/2009/9/main" uri="{B025F937-C7B1-47D3-B67F-A62EFF666E3E}">
          <x14:id>{E6CC772F-C8B8-454B-AC0A-4C0AFC3A51E4}</x14:id>
        </ext>
      </extLst>
    </cfRule>
    <cfRule type="dataBar" priority="33">
      <dataBar>
        <cfvo type="min"/>
        <cfvo type="max"/>
        <color rgb="FF63C384"/>
      </dataBar>
      <extLst>
        <ext xmlns:x14="http://schemas.microsoft.com/office/spreadsheetml/2009/9/main" uri="{B025F937-C7B1-47D3-B67F-A62EFF666E3E}">
          <x14:id>{035AE87E-B909-45CD-A96D-A0E8E0B284D2}</x14:id>
        </ext>
      </extLst>
    </cfRule>
  </conditionalFormatting>
  <conditionalFormatting sqref="H26">
    <cfRule type="dataBar" priority="15">
      <dataBar>
        <cfvo type="min"/>
        <cfvo type="max"/>
        <color rgb="FFFF555A"/>
      </dataBar>
      <extLst>
        <ext xmlns:x14="http://schemas.microsoft.com/office/spreadsheetml/2009/9/main" uri="{B025F937-C7B1-47D3-B67F-A62EFF666E3E}">
          <x14:id>{468844F9-F2F4-4C23-AFA9-7DE1F6CB4BB7}</x14:id>
        </ext>
      </extLst>
    </cfRule>
    <cfRule type="dataBar" priority="16">
      <dataBar>
        <cfvo type="min"/>
        <cfvo type="max"/>
        <color rgb="FF638EC6"/>
      </dataBar>
      <extLst>
        <ext xmlns:x14="http://schemas.microsoft.com/office/spreadsheetml/2009/9/main" uri="{B025F937-C7B1-47D3-B67F-A62EFF666E3E}">
          <x14:id>{8952AC92-4F6C-40AF-9634-847C6B460212}</x14:id>
        </ext>
      </extLst>
    </cfRule>
    <cfRule type="dataBar" priority="17">
      <dataBar>
        <cfvo type="min"/>
        <cfvo type="max"/>
        <color rgb="FF63C384"/>
      </dataBar>
      <extLst>
        <ext xmlns:x14="http://schemas.microsoft.com/office/spreadsheetml/2009/9/main" uri="{B025F937-C7B1-47D3-B67F-A62EFF666E3E}">
          <x14:id>{81594E5B-B329-4515-A327-1F20655C3B35}</x14:id>
        </ext>
      </extLst>
    </cfRule>
  </conditionalFormatting>
  <conditionalFormatting sqref="H26:H33">
    <cfRule type="dataBar" priority="8">
      <dataBar>
        <cfvo type="min"/>
        <cfvo type="max"/>
        <color rgb="FF63C384"/>
      </dataBar>
      <extLst>
        <ext xmlns:x14="http://schemas.microsoft.com/office/spreadsheetml/2009/9/main" uri="{B025F937-C7B1-47D3-B67F-A62EFF666E3E}">
          <x14:id>{9BB4FC6B-0919-4EC7-B8DC-107707F869D5}</x14:id>
        </ext>
      </extLst>
    </cfRule>
  </conditionalFormatting>
  <conditionalFormatting sqref="H27">
    <cfRule type="dataBar" priority="12">
      <dataBar>
        <cfvo type="min"/>
        <cfvo type="max"/>
        <color rgb="FFFF555A"/>
      </dataBar>
      <extLst>
        <ext xmlns:x14="http://schemas.microsoft.com/office/spreadsheetml/2009/9/main" uri="{B025F937-C7B1-47D3-B67F-A62EFF666E3E}">
          <x14:id>{47D2F64D-A4B2-467E-8ED7-8FCBDF84C89D}</x14:id>
        </ext>
      </extLst>
    </cfRule>
    <cfRule type="dataBar" priority="13">
      <dataBar>
        <cfvo type="min"/>
        <cfvo type="max"/>
        <color rgb="FF638EC6"/>
      </dataBar>
      <extLst>
        <ext xmlns:x14="http://schemas.microsoft.com/office/spreadsheetml/2009/9/main" uri="{B025F937-C7B1-47D3-B67F-A62EFF666E3E}">
          <x14:id>{E94D7EC1-1EF8-4A41-876B-B422735DDB39}</x14:id>
        </ext>
      </extLst>
    </cfRule>
    <cfRule type="dataBar" priority="14">
      <dataBar>
        <cfvo type="min"/>
        <cfvo type="max"/>
        <color rgb="FF63C384"/>
      </dataBar>
      <extLst>
        <ext xmlns:x14="http://schemas.microsoft.com/office/spreadsheetml/2009/9/main" uri="{B025F937-C7B1-47D3-B67F-A62EFF666E3E}">
          <x14:id>{F6C9405D-EF6D-4B47-863C-C870C4AAC5B9}</x14:id>
        </ext>
      </extLst>
    </cfRule>
  </conditionalFormatting>
  <conditionalFormatting sqref="H28">
    <cfRule type="dataBar" priority="9">
      <dataBar>
        <cfvo type="min"/>
        <cfvo type="max"/>
        <color rgb="FFFF555A"/>
      </dataBar>
      <extLst>
        <ext xmlns:x14="http://schemas.microsoft.com/office/spreadsheetml/2009/9/main" uri="{B025F937-C7B1-47D3-B67F-A62EFF666E3E}">
          <x14:id>{C15CFA0B-1D9A-4583-A96A-DDD6EABFF6C4}</x14:id>
        </ext>
      </extLst>
    </cfRule>
    <cfRule type="dataBar" priority="10">
      <dataBar>
        <cfvo type="min"/>
        <cfvo type="max"/>
        <color rgb="FF638EC6"/>
      </dataBar>
      <extLst>
        <ext xmlns:x14="http://schemas.microsoft.com/office/spreadsheetml/2009/9/main" uri="{B025F937-C7B1-47D3-B67F-A62EFF666E3E}">
          <x14:id>{DD7788C7-4F31-430B-81C8-7E922E2FA004}</x14:id>
        </ext>
      </extLst>
    </cfRule>
    <cfRule type="dataBar" priority="11">
      <dataBar>
        <cfvo type="min"/>
        <cfvo type="max"/>
        <color rgb="FF63C384"/>
      </dataBar>
      <extLst>
        <ext xmlns:x14="http://schemas.microsoft.com/office/spreadsheetml/2009/9/main" uri="{B025F937-C7B1-47D3-B67F-A62EFF666E3E}">
          <x14:id>{57B406A2-2716-482E-BC5F-2D321C480EB5}</x14:id>
        </ext>
      </extLst>
    </cfRule>
  </conditionalFormatting>
  <conditionalFormatting sqref="I26:I33">
    <cfRule type="dataBar" priority="7">
      <dataBar>
        <cfvo type="min"/>
        <cfvo type="max"/>
        <color rgb="FF63C384"/>
      </dataBar>
      <extLst>
        <ext xmlns:x14="http://schemas.microsoft.com/office/spreadsheetml/2009/9/main" uri="{B025F937-C7B1-47D3-B67F-A62EFF666E3E}">
          <x14:id>{3CCC1782-B279-42E2-AA7F-1F013A04BB37}</x14:id>
        </ext>
      </extLst>
    </cfRule>
  </conditionalFormatting>
  <conditionalFormatting sqref="U6">
    <cfRule type="beginsWith" dxfId="4" priority="1" operator="beginsWith" text="Hold">
      <formula>LEFT(U6,LEN("Hold"))="Hold"</formula>
    </cfRule>
    <cfRule type="beginsWith" dxfId="3" priority="2" operator="beginsWith" text="Buy">
      <formula>LEFT(U6,LEN("Buy"))="Buy"</formula>
    </cfRule>
    <cfRule type="beginsWith" dxfId="2" priority="3" operator="beginsWith" text="Strong Buy">
      <formula>LEFT(U6,LEN("Strong Buy"))="Strong Buy"</formula>
    </cfRule>
    <cfRule type="beginsWith" dxfId="1" priority="4" operator="beginsWith" text="Sell">
      <formula>LEFT(U6,LEN("Sell"))="Sell"</formula>
    </cfRule>
    <cfRule type="beginsWith" dxfId="0" priority="5" operator="beginsWith" text="Strong Sell">
      <formula>LEFT(U6,LEN("Strong Sell"))="Strong Sell"</formula>
    </cfRule>
  </conditionalFormatting>
  <dataValidations count="2">
    <dataValidation type="list" allowBlank="1" showInputMessage="1" showErrorMessage="1" sqref="G25">
      <formula1>"FCFF, FCFE, Total Payout, Tax Shield"</formula1>
    </dataValidation>
    <dataValidation type="list" allowBlank="1" showInputMessage="1" showErrorMessage="1" sqref="U6">
      <formula1>"Strong Buy, Buy, Hold, Sell, Strong Sell"</formula1>
    </dataValidation>
  </dataValidations>
  <pageMargins left="0.7" right="0.7" top="0.75" bottom="0.75" header="0.3" footer="0.3"/>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6034C8ED-898D-4A6B-9795-FAAD4BA0B7C6}">
            <x14:dataBar minLength="0" maxLength="100" border="1" negativeBarBorderColorSameAsPositive="0">
              <x14:cfvo type="autoMin"/>
              <x14:cfvo type="autoMax"/>
              <x14:borderColor rgb="FF63C384"/>
              <x14:negativeFillColor rgb="FFFF0000"/>
              <x14:negativeBorderColor rgb="FFFF0000"/>
              <x14:axisColor rgb="FF000000"/>
            </x14:dataBar>
          </x14:cfRule>
          <xm:sqref>E26:E33</xm:sqref>
        </x14:conditionalFormatting>
        <x14:conditionalFormatting xmlns:xm="http://schemas.microsoft.com/office/excel/2006/main">
          <x14:cfRule type="dataBar" id="{5C1B9785-691E-492F-86A6-D7F00A0F45D6}">
            <x14:dataBar minLength="0" maxLength="100" border="1" negativeBarBorderColorSameAsPositive="0">
              <x14:cfvo type="autoMin"/>
              <x14:cfvo type="autoMax"/>
              <x14:borderColor rgb="FF63C384"/>
              <x14:negativeFillColor rgb="FFFF0000"/>
              <x14:negativeBorderColor rgb="FFFF0000"/>
              <x14:axisColor rgb="FF000000"/>
            </x14:dataBar>
          </x14:cfRule>
          <xm:sqref>F26</xm:sqref>
        </x14:conditionalFormatting>
        <x14:conditionalFormatting xmlns:xm="http://schemas.microsoft.com/office/excel/2006/main">
          <x14:cfRule type="dataBar" id="{F2A4872A-9911-4779-9E97-55F97D88D42B}">
            <x14:dataBar minLength="0" maxLength="100" border="1" negativeBarBorderColorSameAsPositive="0">
              <x14:cfvo type="autoMin"/>
              <x14:cfvo type="autoMax"/>
              <x14:borderColor rgb="FF638EC6"/>
              <x14:negativeFillColor rgb="FFFF0000"/>
              <x14:negativeBorderColor rgb="FFFF0000"/>
              <x14:axisColor rgb="FF000000"/>
            </x14:dataBar>
          </x14:cfRule>
          <xm:sqref>F26:F33</xm:sqref>
        </x14:conditionalFormatting>
        <x14:conditionalFormatting xmlns:xm="http://schemas.microsoft.com/office/excel/2006/main">
          <x14:cfRule type="dataBar" id="{698A8913-4860-4E6B-89DE-351099BE7444}">
            <x14:dataBar minLength="0" maxLength="100" border="1" negativeBarBorderColorSameAsPositive="0">
              <x14:cfvo type="autoMin"/>
              <x14:cfvo type="autoMax"/>
              <x14:borderColor rgb="FF63C384"/>
              <x14:negativeFillColor rgb="FFFF0000"/>
              <x14:negativeBorderColor rgb="FFFF0000"/>
              <x14:axisColor rgb="FF000000"/>
            </x14:dataBar>
          </x14:cfRule>
          <xm:sqref>F27</xm:sqref>
        </x14:conditionalFormatting>
        <x14:conditionalFormatting xmlns:xm="http://schemas.microsoft.com/office/excel/2006/main">
          <x14:cfRule type="dataBar" id="{CD4F52E4-75BF-4044-903E-27BCE1DEBDD0}">
            <x14:dataBar minLength="0" maxLength="100" border="1" negativeBarBorderColorSameAsPositive="0">
              <x14:cfvo type="autoMin"/>
              <x14:cfvo type="autoMax"/>
              <x14:borderColor rgb="FF63C384"/>
              <x14:negativeFillColor rgb="FFFF0000"/>
              <x14:negativeBorderColor rgb="FFFF0000"/>
              <x14:axisColor rgb="FF000000"/>
            </x14:dataBar>
          </x14:cfRule>
          <xm:sqref>F28</xm:sqref>
        </x14:conditionalFormatting>
        <x14:conditionalFormatting xmlns:xm="http://schemas.microsoft.com/office/excel/2006/main">
          <x14:cfRule type="dataBar" id="{5D7253A4-1DD1-496F-9A17-1808714854B2}">
            <x14:dataBar minLength="0" maxLength="100" border="1" negativeBarBorderColorSameAsPositive="0">
              <x14:cfvo type="autoMin"/>
              <x14:cfvo type="autoMax"/>
              <x14:borderColor rgb="FF63C384"/>
              <x14:negativeFillColor rgb="FFFF0000"/>
              <x14:negativeBorderColor rgb="FFFF0000"/>
              <x14:axisColor rgb="FF000000"/>
            </x14:dataBar>
          </x14:cfRule>
          <xm:sqref>F29</xm:sqref>
        </x14:conditionalFormatting>
        <x14:conditionalFormatting xmlns:xm="http://schemas.microsoft.com/office/excel/2006/main">
          <x14:cfRule type="dataBar" id="{7A209642-74F3-42D0-8EC8-402BBDCBCD84}">
            <x14:dataBar minLength="0" maxLength="100" border="1" negativeBarBorderColorSameAsPositive="0">
              <x14:cfvo type="autoMin"/>
              <x14:cfvo type="autoMax"/>
              <x14:borderColor rgb="FF63C384"/>
              <x14:negativeFillColor rgb="FFFF0000"/>
              <x14:negativeBorderColor rgb="FFFF0000"/>
              <x14:axisColor rgb="FF000000"/>
            </x14:dataBar>
          </x14:cfRule>
          <xm:sqref>F30</xm:sqref>
        </x14:conditionalFormatting>
        <x14:conditionalFormatting xmlns:xm="http://schemas.microsoft.com/office/excel/2006/main">
          <x14:cfRule type="dataBar" id="{5395343B-6F95-4DBC-A7D5-46BCF270AEE2}">
            <x14:dataBar minLength="0" maxLength="100" border="1" negativeBarBorderColorSameAsPositive="0">
              <x14:cfvo type="autoMin"/>
              <x14:cfvo type="autoMax"/>
              <x14:borderColor rgb="FF63C384"/>
              <x14:negativeFillColor rgb="FFFF0000"/>
              <x14:negativeBorderColor rgb="FFFF0000"/>
              <x14:axisColor rgb="FF000000"/>
            </x14:dataBar>
          </x14:cfRule>
          <xm:sqref>F31</xm:sqref>
        </x14:conditionalFormatting>
        <x14:conditionalFormatting xmlns:xm="http://schemas.microsoft.com/office/excel/2006/main">
          <x14:cfRule type="dataBar" id="{331607CE-926B-492F-83A0-EEEBC8F23CB9}">
            <x14:dataBar minLength="0" maxLength="100" border="1" negativeBarBorderColorSameAsPositive="0">
              <x14:cfvo type="autoMin"/>
              <x14:cfvo type="autoMax"/>
              <x14:borderColor rgb="FF63C384"/>
              <x14:negativeFillColor rgb="FFFF0000"/>
              <x14:negativeBorderColor rgb="FFFF0000"/>
              <x14:axisColor rgb="FF000000"/>
            </x14:dataBar>
          </x14:cfRule>
          <xm:sqref>F32</xm:sqref>
        </x14:conditionalFormatting>
        <x14:conditionalFormatting xmlns:xm="http://schemas.microsoft.com/office/excel/2006/main">
          <x14:cfRule type="dataBar" id="{B3BE3EFD-9295-49D0-80FA-AA2A09587925}">
            <x14:dataBar minLength="0" maxLength="100" border="1" negativeBarBorderColorSameAsPositive="0">
              <x14:cfvo type="autoMin"/>
              <x14:cfvo type="autoMax"/>
              <x14:borderColor rgb="FF63C384"/>
              <x14:negativeFillColor rgb="FFFF0000"/>
              <x14:negativeBorderColor rgb="FFFF0000"/>
              <x14:axisColor rgb="FF000000"/>
            </x14:dataBar>
          </x14:cfRule>
          <xm:sqref>F33</xm:sqref>
        </x14:conditionalFormatting>
        <x14:conditionalFormatting xmlns:xm="http://schemas.microsoft.com/office/excel/2006/main">
          <x14:cfRule type="dataBar" id="{C695950A-A57C-4000-82FA-EEEC979F92EE}">
            <x14:dataBar minLength="0" maxLength="100" gradient="0">
              <x14:cfvo type="autoMin"/>
              <x14:cfvo type="autoMax"/>
              <x14:negativeFillColor rgb="FFFF0000"/>
              <x14:axisColor rgb="FF000000"/>
            </x14:dataBar>
          </x14:cfRule>
          <x14:cfRule type="dataBar" id="{DC21537E-450A-4B7D-B57A-602AB269E3A7}">
            <x14:dataBar minLength="0" maxLength="100" border="1" negativeBarBorderColorSameAsPositive="0">
              <x14:cfvo type="autoMin"/>
              <x14:cfvo type="autoMax"/>
              <x14:borderColor rgb="FF63C384"/>
              <x14:negativeFillColor rgb="FFFF0000"/>
              <x14:negativeBorderColor rgb="FFFF0000"/>
              <x14:axisColor rgb="FF000000"/>
            </x14:dataBar>
          </x14:cfRule>
          <xm:sqref>G26</xm:sqref>
        </x14:conditionalFormatting>
        <x14:conditionalFormatting xmlns:xm="http://schemas.microsoft.com/office/excel/2006/main">
          <x14:cfRule type="dataBar" id="{469A3700-94FB-4A26-89CA-0DEB48A710E1}">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BD160036-CACD-4A1C-B17D-8DC22AA977F1}">
            <x14:dataBar minLength="0" maxLength="100" border="1" negativeBarBorderColorSameAsPositive="0">
              <x14:cfvo type="autoMin"/>
              <x14:cfvo type="autoMax"/>
              <x14:borderColor rgb="FFFF555A"/>
              <x14:negativeFillColor rgb="FFFF0000"/>
              <x14:negativeBorderColor rgb="FFFF0000"/>
              <x14:axisColor rgb="FF000000"/>
            </x14:dataBar>
          </x14:cfRule>
          <xm:sqref>G26:G33</xm:sqref>
        </x14:conditionalFormatting>
        <x14:conditionalFormatting xmlns:xm="http://schemas.microsoft.com/office/excel/2006/main">
          <x14:cfRule type="dataBar" id="{C09674FF-A7BB-4895-BD55-F0D68FE13326}">
            <x14:dataBar minLength="0" maxLength="100" gradient="0">
              <x14:cfvo type="autoMin"/>
              <x14:cfvo type="autoMax"/>
              <x14:negativeFillColor rgb="FFFF0000"/>
              <x14:axisColor rgb="FF000000"/>
            </x14:dataBar>
          </x14:cfRule>
          <x14:cfRule type="dataBar" id="{29F200BB-F60A-473B-88DC-B2D1E5801962}">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ACDAEC63-EC7C-4930-B523-BD3737F80DBA}">
            <x14:dataBar minLength="0" maxLength="100" gradient="0">
              <x14:cfvo type="autoMin"/>
              <x14:cfvo type="autoMax"/>
              <x14:negativeFillColor rgb="FFFF0000"/>
              <x14:axisColor rgb="FF000000"/>
            </x14:dataBar>
          </x14:cfRule>
          <x14:cfRule type="dataBar" id="{EDD674A5-5F26-4D7C-BB8C-9EB544E0C1EA}">
            <x14:dataBar minLength="0" maxLength="100" border="1" negativeBarBorderColorSameAsPositive="0">
              <x14:cfvo type="autoMin"/>
              <x14:cfvo type="autoMax"/>
              <x14:borderColor rgb="FF63C384"/>
              <x14:negativeFillColor rgb="FFFF0000"/>
              <x14:negativeBorderColor rgb="FFFF0000"/>
              <x14:axisColor rgb="FF000000"/>
            </x14:dataBar>
          </x14:cfRule>
          <xm:sqref>G27</xm:sqref>
        </x14:conditionalFormatting>
        <x14:conditionalFormatting xmlns:xm="http://schemas.microsoft.com/office/excel/2006/main">
          <x14:cfRule type="dataBar" id="{90A849CA-1BBD-4A6B-B32C-EF0B82FA4DF0}">
            <x14:dataBar minLength="0" maxLength="100" gradient="0">
              <x14:cfvo type="autoMin"/>
              <x14:cfvo type="autoMax"/>
              <x14:negativeFillColor rgb="FFFF0000"/>
              <x14:axisColor rgb="FF000000"/>
            </x14:dataBar>
          </x14:cfRule>
          <x14:cfRule type="dataBar" id="{248F9205-0A71-4DDD-9B75-2F0220EB6FCE}">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9E51552C-D55A-4DE8-B38D-5F54A7BF7D7E}">
            <x14:dataBar minLength="0" maxLength="100" gradient="0">
              <x14:cfvo type="autoMin"/>
              <x14:cfvo type="autoMax"/>
              <x14:negativeFillColor rgb="FFFF0000"/>
              <x14:axisColor rgb="FF000000"/>
            </x14:dataBar>
          </x14:cfRule>
          <x14:cfRule type="dataBar" id="{9CB31363-0C52-411E-B5C4-729617AF0F42}">
            <x14:dataBar minLength="0" maxLength="100" border="1" negativeBarBorderColorSameAsPositive="0">
              <x14:cfvo type="autoMin"/>
              <x14:cfvo type="autoMax"/>
              <x14:borderColor rgb="FF63C384"/>
              <x14:negativeFillColor rgb="FFFF0000"/>
              <x14:negativeBorderColor rgb="FFFF0000"/>
              <x14:axisColor rgb="FF000000"/>
            </x14:dataBar>
          </x14:cfRule>
          <xm:sqref>G28</xm:sqref>
        </x14:conditionalFormatting>
        <x14:conditionalFormatting xmlns:xm="http://schemas.microsoft.com/office/excel/2006/main">
          <x14:cfRule type="dataBar" id="{8E3BA3B1-F742-4FC4-8FB1-A0CAE20CCE57}">
            <x14:dataBar minLength="0" maxLength="100" gradient="0">
              <x14:cfvo type="autoMin"/>
              <x14:cfvo type="autoMax"/>
              <x14:negativeFillColor rgb="FFFF0000"/>
              <x14:axisColor rgb="FF000000"/>
            </x14:dataBar>
          </x14:cfRule>
          <x14:cfRule type="dataBar" id="{D0D5D0DC-42F4-49CB-9DF2-D549D897E0FF}">
            <x14:dataBar minLength="0" maxLength="100" border="1" negativeBarBorderColorSameAsPositive="0">
              <x14:cfvo type="autoMin"/>
              <x14:cfvo type="autoMax"/>
              <x14:borderColor rgb="FF63C384"/>
              <x14:negativeFillColor rgb="FFFF0000"/>
              <x14:negativeBorderColor rgb="FFFF0000"/>
              <x14:axisColor rgb="FF000000"/>
            </x14:dataBar>
          </x14:cfRule>
          <xm:sqref>G29</xm:sqref>
        </x14:conditionalFormatting>
        <x14:conditionalFormatting xmlns:xm="http://schemas.microsoft.com/office/excel/2006/main">
          <x14:cfRule type="dataBar" id="{2D2BBCA1-8BCA-4D14-BA9F-299A5839FFAA}">
            <x14:dataBar minLength="0" maxLength="100" gradient="0">
              <x14:cfvo type="autoMin"/>
              <x14:cfvo type="autoMax"/>
              <x14:negativeFillColor rgb="FFFF0000"/>
              <x14:axisColor rgb="FF000000"/>
            </x14:dataBar>
          </x14:cfRule>
          <x14:cfRule type="dataBar" id="{2DEA7D45-6052-40F8-8FF3-D03FD6BC715F}">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6214BE10-A170-484F-941E-6F5EF007B533}">
            <x14:dataBar minLength="0" maxLength="100" gradient="0">
              <x14:cfvo type="autoMin"/>
              <x14:cfvo type="autoMax"/>
              <x14:negativeFillColor rgb="FFFF0000"/>
              <x14:axisColor rgb="FF000000"/>
            </x14:dataBar>
          </x14:cfRule>
          <x14:cfRule type="dataBar" id="{5199E6A7-9290-4150-80D6-2857642814AB}">
            <x14:dataBar minLength="0" maxLength="100" border="1" negativeBarBorderColorSameAsPositive="0">
              <x14:cfvo type="autoMin"/>
              <x14:cfvo type="autoMax"/>
              <x14:borderColor rgb="FF63C384"/>
              <x14:negativeFillColor rgb="FFFF0000"/>
              <x14:negativeBorderColor rgb="FFFF0000"/>
              <x14:axisColor rgb="FF000000"/>
            </x14:dataBar>
          </x14:cfRule>
          <xm:sqref>G30</xm:sqref>
        </x14:conditionalFormatting>
        <x14:conditionalFormatting xmlns:xm="http://schemas.microsoft.com/office/excel/2006/main">
          <x14:cfRule type="dataBar" id="{C8253A93-34C8-47F2-9A4D-B0B179E989E5}">
            <x14:dataBar minLength="0" maxLength="100" gradient="0">
              <x14:cfvo type="autoMin"/>
              <x14:cfvo type="autoMax"/>
              <x14:negativeFillColor rgb="FFFF0000"/>
              <x14:axisColor rgb="FF000000"/>
            </x14:dataBar>
          </x14:cfRule>
          <x14:cfRule type="dataBar" id="{11591B90-F748-479E-B43B-5B632A7D2078}">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3BBB7504-0E23-4F4F-8D48-50EB7F1974E7}">
            <x14:dataBar minLength="0" maxLength="100" gradient="0">
              <x14:cfvo type="autoMin"/>
              <x14:cfvo type="autoMax"/>
              <x14:negativeFillColor rgb="FFFF0000"/>
              <x14:axisColor rgb="FF000000"/>
            </x14:dataBar>
          </x14:cfRule>
          <x14:cfRule type="dataBar" id="{4BD9B04B-1D50-4F22-AE9A-36635C8EB195}">
            <x14:dataBar minLength="0" maxLength="100" border="1" negativeBarBorderColorSameAsPositive="0">
              <x14:cfvo type="autoMin"/>
              <x14:cfvo type="autoMax"/>
              <x14:borderColor rgb="FF63C384"/>
              <x14:negativeFillColor rgb="FFFF0000"/>
              <x14:negativeBorderColor rgb="FFFF0000"/>
              <x14:axisColor rgb="FF000000"/>
            </x14:dataBar>
          </x14:cfRule>
          <xm:sqref>G31</xm:sqref>
        </x14:conditionalFormatting>
        <x14:conditionalFormatting xmlns:xm="http://schemas.microsoft.com/office/excel/2006/main">
          <x14:cfRule type="dataBar" id="{BE4A62C0-0DCE-4A50-BCFB-24698F0286BA}">
            <x14:dataBar minLength="0" maxLength="100" gradient="0">
              <x14:cfvo type="autoMin"/>
              <x14:cfvo type="autoMax"/>
              <x14:negativeFillColor rgb="FFFF0000"/>
              <x14:axisColor rgb="FF000000"/>
            </x14:dataBar>
          </x14:cfRule>
          <x14:cfRule type="dataBar" id="{11CAD6A3-68E8-439C-A66F-99B0BAE55713}">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F3DEFCCF-EF13-4C0A-A500-BCFAB9EBBCF7}">
            <x14:dataBar minLength="0" maxLength="100" gradient="0">
              <x14:cfvo type="autoMin"/>
              <x14:cfvo type="autoMax"/>
              <x14:negativeFillColor rgb="FFFF0000"/>
              <x14:axisColor rgb="FF000000"/>
            </x14:dataBar>
          </x14:cfRule>
          <x14:cfRule type="dataBar" id="{01AD74CC-99AB-45E3-A94C-50D6EB7EE4CC}">
            <x14:dataBar minLength="0" maxLength="100" border="1" negativeBarBorderColorSameAsPositive="0">
              <x14:cfvo type="autoMin"/>
              <x14:cfvo type="autoMax"/>
              <x14:borderColor rgb="FF63C384"/>
              <x14:negativeFillColor rgb="FFFF0000"/>
              <x14:negativeBorderColor rgb="FFFF0000"/>
              <x14:axisColor rgb="FF000000"/>
            </x14:dataBar>
          </x14:cfRule>
          <xm:sqref>G32</xm:sqref>
        </x14:conditionalFormatting>
        <x14:conditionalFormatting xmlns:xm="http://schemas.microsoft.com/office/excel/2006/main">
          <x14:cfRule type="dataBar" id="{6CB346AD-5C09-4119-A373-DF43861A612A}">
            <x14:dataBar minLength="0" maxLength="100" gradient="0">
              <x14:cfvo type="autoMin"/>
              <x14:cfvo type="autoMax"/>
              <x14:negativeFillColor rgb="FFFF0000"/>
              <x14:axisColor rgb="FF000000"/>
            </x14:dataBar>
          </x14:cfRule>
          <x14:cfRule type="dataBar" id="{6CC95D6E-ACC5-4CC6-87D4-F0C4F48D7FC3}">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E6CC772F-C8B8-454B-AC0A-4C0AFC3A51E4}">
            <x14:dataBar minLength="0" maxLength="100" gradient="0">
              <x14:cfvo type="autoMin"/>
              <x14:cfvo type="autoMax"/>
              <x14:negativeFillColor rgb="FFFF0000"/>
              <x14:axisColor rgb="FF000000"/>
            </x14:dataBar>
          </x14:cfRule>
          <x14:cfRule type="dataBar" id="{035AE87E-B909-45CD-A96D-A0E8E0B284D2}">
            <x14:dataBar minLength="0" maxLength="100" border="1" negativeBarBorderColorSameAsPositive="0">
              <x14:cfvo type="autoMin"/>
              <x14:cfvo type="autoMax"/>
              <x14:borderColor rgb="FF63C384"/>
              <x14:negativeFillColor rgb="FFFF0000"/>
              <x14:negativeBorderColor rgb="FFFF0000"/>
              <x14:axisColor rgb="FF000000"/>
            </x14:dataBar>
          </x14:cfRule>
          <xm:sqref>G33</xm:sqref>
        </x14:conditionalFormatting>
        <x14:conditionalFormatting xmlns:xm="http://schemas.microsoft.com/office/excel/2006/main">
          <x14:cfRule type="dataBar" id="{468844F9-F2F4-4C23-AFA9-7DE1F6CB4BB7}">
            <x14:dataBar minLength="0" maxLength="100" gradient="0">
              <x14:cfvo type="autoMin"/>
              <x14:cfvo type="autoMax"/>
              <x14:negativeFillColor rgb="FFFF0000"/>
              <x14:axisColor rgb="FF000000"/>
            </x14:dataBar>
          </x14:cfRule>
          <x14:cfRule type="dataBar" id="{8952AC92-4F6C-40AF-9634-847C6B460212}">
            <x14:dataBar minLength="0" maxLength="100" gradient="0">
              <x14:cfvo type="autoMin"/>
              <x14:cfvo type="autoMax"/>
              <x14:negativeFillColor rgb="FFFF0000"/>
              <x14:axisColor rgb="FF000000"/>
            </x14:dataBar>
          </x14:cfRule>
          <x14:cfRule type="dataBar" id="{81594E5B-B329-4515-A327-1F20655C3B35}">
            <x14:dataBar minLength="0" maxLength="100" border="1" negativeBarBorderColorSameAsPositive="0">
              <x14:cfvo type="autoMin"/>
              <x14:cfvo type="autoMax"/>
              <x14:borderColor rgb="FF63C384"/>
              <x14:negativeFillColor rgb="FFFF0000"/>
              <x14:negativeBorderColor rgb="FFFF0000"/>
              <x14:axisColor rgb="FF000000"/>
            </x14:dataBar>
          </x14:cfRule>
          <xm:sqref>H26</xm:sqref>
        </x14:conditionalFormatting>
        <x14:conditionalFormatting xmlns:xm="http://schemas.microsoft.com/office/excel/2006/main">
          <x14:cfRule type="dataBar" id="{9BB4FC6B-0919-4EC7-B8DC-107707F869D5}">
            <x14:dataBar minLength="0" maxLength="100" border="1" negativeBarBorderColorSameAsPositive="0">
              <x14:cfvo type="autoMin"/>
              <x14:cfvo type="autoMax"/>
              <x14:borderColor rgb="FF63C384"/>
              <x14:negativeFillColor rgb="FFFF0000"/>
              <x14:negativeBorderColor rgb="FFFF0000"/>
              <x14:axisColor rgb="FF000000"/>
            </x14:dataBar>
          </x14:cfRule>
          <xm:sqref>H26:H33</xm:sqref>
        </x14:conditionalFormatting>
        <x14:conditionalFormatting xmlns:xm="http://schemas.microsoft.com/office/excel/2006/main">
          <x14:cfRule type="dataBar" id="{47D2F64D-A4B2-467E-8ED7-8FCBDF84C89D}">
            <x14:dataBar minLength="0" maxLength="100" gradient="0">
              <x14:cfvo type="autoMin"/>
              <x14:cfvo type="autoMax"/>
              <x14:negativeFillColor rgb="FFFF0000"/>
              <x14:axisColor rgb="FF000000"/>
            </x14:dataBar>
          </x14:cfRule>
          <x14:cfRule type="dataBar" id="{E94D7EC1-1EF8-4A41-876B-B422735DDB39}">
            <x14:dataBar minLength="0" maxLength="100" gradient="0">
              <x14:cfvo type="autoMin"/>
              <x14:cfvo type="autoMax"/>
              <x14:negativeFillColor rgb="FFFF0000"/>
              <x14:axisColor rgb="FF000000"/>
            </x14:dataBar>
          </x14:cfRule>
          <x14:cfRule type="dataBar" id="{F6C9405D-EF6D-4B47-863C-C870C4AAC5B9}">
            <x14:dataBar minLength="0" maxLength="100" border="1" negativeBarBorderColorSameAsPositive="0">
              <x14:cfvo type="autoMin"/>
              <x14:cfvo type="autoMax"/>
              <x14:borderColor rgb="FF63C384"/>
              <x14:negativeFillColor rgb="FFFF0000"/>
              <x14:negativeBorderColor rgb="FFFF0000"/>
              <x14:axisColor rgb="FF000000"/>
            </x14:dataBar>
          </x14:cfRule>
          <xm:sqref>H27</xm:sqref>
        </x14:conditionalFormatting>
        <x14:conditionalFormatting xmlns:xm="http://schemas.microsoft.com/office/excel/2006/main">
          <x14:cfRule type="dataBar" id="{C15CFA0B-1D9A-4583-A96A-DDD6EABFF6C4}">
            <x14:dataBar minLength="0" maxLength="100" gradient="0">
              <x14:cfvo type="autoMin"/>
              <x14:cfvo type="autoMax"/>
              <x14:negativeFillColor rgb="FFFF0000"/>
              <x14:axisColor rgb="FF000000"/>
            </x14:dataBar>
          </x14:cfRule>
          <x14:cfRule type="dataBar" id="{DD7788C7-4F31-430B-81C8-7E922E2FA004}">
            <x14:dataBar minLength="0" maxLength="100" gradient="0">
              <x14:cfvo type="autoMin"/>
              <x14:cfvo type="autoMax"/>
              <x14:negativeFillColor rgb="FFFF0000"/>
              <x14:axisColor rgb="FF000000"/>
            </x14:dataBar>
          </x14:cfRule>
          <x14:cfRule type="dataBar" id="{57B406A2-2716-482E-BC5F-2D321C480EB5}">
            <x14:dataBar minLength="0" maxLength="100" border="1" negativeBarBorderColorSameAsPositive="0">
              <x14:cfvo type="autoMin"/>
              <x14:cfvo type="autoMax"/>
              <x14:borderColor rgb="FF63C384"/>
              <x14:negativeFillColor rgb="FFFF0000"/>
              <x14:negativeBorderColor rgb="FFFF0000"/>
              <x14:axisColor rgb="FF000000"/>
            </x14:dataBar>
          </x14:cfRule>
          <xm:sqref>H28</xm:sqref>
        </x14:conditionalFormatting>
        <x14:conditionalFormatting xmlns:xm="http://schemas.microsoft.com/office/excel/2006/main">
          <x14:cfRule type="dataBar" id="{3CCC1782-B279-42E2-AA7F-1F013A04BB37}">
            <x14:dataBar minLength="0" maxLength="100" border="1" negativeBarBorderColorSameAsPositive="0">
              <x14:cfvo type="autoMin"/>
              <x14:cfvo type="autoMax"/>
              <x14:borderColor rgb="FF63C384"/>
              <x14:negativeFillColor rgb="FFFF0000"/>
              <x14:negativeBorderColor rgb="FFFF0000"/>
              <x14:axisColor rgb="FF000000"/>
            </x14:dataBar>
          </x14:cfRule>
          <xm:sqref>I26:I33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T52"/>
  <sheetViews>
    <sheetView showGridLines="0" zoomScale="55" zoomScaleNormal="70" workbookViewId="0">
      <selection activeCell="B27" sqref="B27:C27"/>
    </sheetView>
  </sheetViews>
  <sheetFormatPr defaultRowHeight="14.25" x14ac:dyDescent="0.2"/>
  <cols>
    <col min="1" max="1" width="2.375" customWidth="1"/>
    <col min="2" max="2" width="22" customWidth="1"/>
    <col min="4" max="4" width="13.25" customWidth="1"/>
    <col min="5" max="9" width="12.625" customWidth="1"/>
    <col min="10" max="10" width="18.625" style="6" customWidth="1"/>
    <col min="11" max="25" width="12.625" customWidth="1"/>
  </cols>
  <sheetData>
    <row r="2" spans="2:18" s="41" customFormat="1" ht="20.100000000000001" customHeight="1" x14ac:dyDescent="0.3">
      <c r="B2" s="40" t="s">
        <v>86</v>
      </c>
      <c r="J2" s="42"/>
    </row>
    <row r="4" spans="2:18" ht="15.75" x14ac:dyDescent="0.25">
      <c r="B4" s="52" t="s">
        <v>87</v>
      </c>
      <c r="C4" s="56"/>
      <c r="D4" s="52" t="s">
        <v>88</v>
      </c>
      <c r="E4" s="57">
        <v>2020</v>
      </c>
      <c r="F4" s="57">
        <f>+E4+1</f>
        <v>2021</v>
      </c>
      <c r="G4" s="57">
        <f>+F4+1</f>
        <v>2022</v>
      </c>
      <c r="H4" s="57">
        <f t="shared" ref="H4:I4" si="0">+G4+1</f>
        <v>2023</v>
      </c>
      <c r="I4" s="57">
        <f t="shared" si="0"/>
        <v>2024</v>
      </c>
      <c r="J4" s="58" t="str">
        <f>"CAGR "&amp;$G$4&amp;" - "&amp;$I$4</f>
        <v>CAGR 2022 - 2024</v>
      </c>
      <c r="K4" s="57">
        <v>2021</v>
      </c>
      <c r="L4" s="57">
        <f>+K4+1</f>
        <v>2022</v>
      </c>
      <c r="M4" s="57">
        <f>+L4+1</f>
        <v>2023</v>
      </c>
      <c r="N4" s="57">
        <f t="shared" ref="N4" si="1">+M4+1</f>
        <v>2024</v>
      </c>
    </row>
    <row r="5" spans="2:18" ht="3.95" customHeight="1" x14ac:dyDescent="0.2">
      <c r="B5" s="53"/>
      <c r="C5" s="53"/>
      <c r="D5" s="53"/>
      <c r="E5" s="53"/>
      <c r="F5" s="53"/>
      <c r="G5" s="53"/>
      <c r="H5" s="53"/>
      <c r="I5" s="53"/>
      <c r="J5" s="60"/>
      <c r="K5" s="60"/>
      <c r="L5" s="60"/>
      <c r="M5" s="60"/>
      <c r="N5" s="60"/>
    </row>
    <row r="6" spans="2:18" x14ac:dyDescent="0.2">
      <c r="D6" s="65" t="str">
        <f>IFERROR(I6/SUM($I$6:$I$12),"")</f>
        <v/>
      </c>
      <c r="E6" s="92"/>
      <c r="F6" s="92"/>
      <c r="G6" s="93"/>
      <c r="H6" s="93"/>
      <c r="I6" s="93"/>
      <c r="J6" s="64" t="str">
        <f>IFERROR((I6/G6)^(1/COUNT($G$4:$I$4))-1,"")</f>
        <v/>
      </c>
      <c r="K6" s="65" t="str">
        <f>IFERROR(F6-E6/E6,"")</f>
        <v/>
      </c>
      <c r="L6" s="65" t="str">
        <f>IFERROR(G6-F6/F6,"")</f>
        <v/>
      </c>
      <c r="M6" s="94" t="str">
        <f>IFERROR((H6-G6)/G6,"")</f>
        <v/>
      </c>
      <c r="N6" s="94" t="str">
        <f t="shared" ref="N6:N13" si="2">IFERROR((I6-H6)/H6,"")</f>
        <v/>
      </c>
    </row>
    <row r="7" spans="2:18" x14ac:dyDescent="0.2">
      <c r="D7" s="65" t="str">
        <f>IFERROR(I7/SUM($I$6:$I$12),"")</f>
        <v/>
      </c>
      <c r="E7" s="92"/>
      <c r="F7" s="92"/>
      <c r="G7" s="93"/>
      <c r="H7" s="93"/>
      <c r="I7" s="93"/>
      <c r="J7" s="64" t="str">
        <f>IFERROR((I7/G7)^(1/COUNT($G$4:$I$4))-1,"")</f>
        <v/>
      </c>
      <c r="K7" s="65" t="str">
        <f t="shared" ref="K7:M13" si="3">IFERROR(F7-E7/E7,"")</f>
        <v/>
      </c>
      <c r="L7" s="65" t="str">
        <f t="shared" si="3"/>
        <v/>
      </c>
      <c r="M7" s="94" t="str">
        <f>IFERROR((H7-G7)/G7,"")</f>
        <v/>
      </c>
      <c r="N7" s="94" t="str">
        <f t="shared" si="2"/>
        <v/>
      </c>
    </row>
    <row r="8" spans="2:18" x14ac:dyDescent="0.2">
      <c r="B8" s="87"/>
      <c r="D8" s="65" t="str">
        <f t="shared" ref="D8:D12" si="4">IFERROR(I8/SUM($I$6:$I$12),"")</f>
        <v/>
      </c>
      <c r="E8" s="95"/>
      <c r="F8" s="95"/>
      <c r="G8" s="95"/>
      <c r="H8" s="95"/>
      <c r="I8" s="95"/>
      <c r="J8" s="64" t="str">
        <f t="shared" ref="J8:J10" si="5">IFERROR((I8/E8)^(1/COUNT($E$4:$I$4))-1,"")</f>
        <v/>
      </c>
      <c r="K8" s="65" t="str">
        <f t="shared" si="3"/>
        <v/>
      </c>
      <c r="L8" s="65" t="str">
        <f t="shared" si="3"/>
        <v/>
      </c>
      <c r="M8" s="65" t="str">
        <f t="shared" si="3"/>
        <v/>
      </c>
      <c r="N8" s="94" t="str">
        <f t="shared" si="2"/>
        <v/>
      </c>
    </row>
    <row r="9" spans="2:18" x14ac:dyDescent="0.2">
      <c r="B9" s="87"/>
      <c r="D9" s="65" t="str">
        <f t="shared" si="4"/>
        <v/>
      </c>
      <c r="E9" s="95"/>
      <c r="F9" s="95"/>
      <c r="G9" s="95"/>
      <c r="H9" s="95"/>
      <c r="I9" s="95"/>
      <c r="J9" s="64" t="str">
        <f t="shared" si="5"/>
        <v/>
      </c>
      <c r="K9" s="65" t="str">
        <f t="shared" si="3"/>
        <v/>
      </c>
      <c r="L9" s="65" t="str">
        <f t="shared" si="3"/>
        <v/>
      </c>
      <c r="M9" s="65" t="str">
        <f t="shared" si="3"/>
        <v/>
      </c>
      <c r="N9" s="94" t="str">
        <f t="shared" si="2"/>
        <v/>
      </c>
    </row>
    <row r="10" spans="2:18" x14ac:dyDescent="0.2">
      <c r="B10" s="87"/>
      <c r="D10" s="65" t="str">
        <f t="shared" si="4"/>
        <v/>
      </c>
      <c r="E10" s="95"/>
      <c r="F10" s="95"/>
      <c r="G10" s="95"/>
      <c r="H10" s="95"/>
      <c r="I10" s="95"/>
      <c r="J10" s="64" t="str">
        <f t="shared" si="5"/>
        <v/>
      </c>
      <c r="K10" s="65" t="str">
        <f t="shared" si="3"/>
        <v/>
      </c>
      <c r="L10" s="65" t="str">
        <f t="shared" si="3"/>
        <v/>
      </c>
      <c r="M10" s="65" t="str">
        <f t="shared" si="3"/>
        <v/>
      </c>
      <c r="N10" s="94" t="str">
        <f t="shared" si="2"/>
        <v/>
      </c>
    </row>
    <row r="11" spans="2:18" x14ac:dyDescent="0.2">
      <c r="B11" s="87"/>
      <c r="D11" s="65" t="str">
        <f t="shared" si="4"/>
        <v/>
      </c>
      <c r="E11" s="95"/>
      <c r="F11" s="95"/>
      <c r="G11" s="95"/>
      <c r="H11" s="95"/>
      <c r="I11" s="95"/>
      <c r="J11" s="64"/>
      <c r="K11" s="65"/>
      <c r="L11" s="65"/>
      <c r="M11" s="65"/>
      <c r="N11" s="94"/>
    </row>
    <row r="12" spans="2:18" x14ac:dyDescent="0.2">
      <c r="B12" s="87"/>
      <c r="D12" s="65" t="str">
        <f t="shared" si="4"/>
        <v/>
      </c>
      <c r="E12" s="95"/>
      <c r="F12" s="95"/>
      <c r="G12" s="95"/>
      <c r="H12" s="95"/>
      <c r="I12" s="95"/>
      <c r="J12" s="64"/>
      <c r="K12" s="65"/>
      <c r="L12" s="65"/>
      <c r="M12" s="65"/>
      <c r="N12" s="94"/>
    </row>
    <row r="13" spans="2:18" ht="15" x14ac:dyDescent="0.25">
      <c r="B13" s="1" t="s">
        <v>89</v>
      </c>
      <c r="D13" s="96">
        <f>SUM(D6:D12)</f>
        <v>0</v>
      </c>
      <c r="E13" s="97">
        <f>SUM(E6:E10)</f>
        <v>0</v>
      </c>
      <c r="F13" s="97">
        <f t="shared" ref="F13:I13" si="6">SUM(F6:F10)</f>
        <v>0</v>
      </c>
      <c r="G13" s="97">
        <f t="shared" si="6"/>
        <v>0</v>
      </c>
      <c r="H13" s="97">
        <f t="shared" si="6"/>
        <v>0</v>
      </c>
      <c r="I13" s="97">
        <f t="shared" si="6"/>
        <v>0</v>
      </c>
      <c r="J13" s="67" t="str">
        <f>IFERROR((I13/G13)^(1/COUNT($G$4:$I$4))-1,"")</f>
        <v/>
      </c>
      <c r="K13" s="68" t="str">
        <f t="shared" si="3"/>
        <v/>
      </c>
      <c r="L13" s="68" t="str">
        <f t="shared" si="3"/>
        <v/>
      </c>
      <c r="M13" s="94" t="str">
        <f>IFERROR((H13-G13)/G13,"")</f>
        <v/>
      </c>
      <c r="N13" s="94" t="str">
        <f t="shared" si="2"/>
        <v/>
      </c>
    </row>
    <row r="14" spans="2:18" ht="8.1" customHeight="1" x14ac:dyDescent="0.2">
      <c r="R14" s="98"/>
    </row>
    <row r="15" spans="2:18" ht="15.75" x14ac:dyDescent="0.25">
      <c r="B15" s="52" t="s">
        <v>86</v>
      </c>
      <c r="C15" s="56"/>
      <c r="D15" s="52" t="s">
        <v>88</v>
      </c>
      <c r="E15" s="57">
        <v>2020</v>
      </c>
      <c r="F15" s="57">
        <f>+E15+1</f>
        <v>2021</v>
      </c>
      <c r="G15" s="57">
        <f>+F15+1</f>
        <v>2022</v>
      </c>
      <c r="H15" s="57">
        <f t="shared" ref="H15:I15" si="7">+G15+1</f>
        <v>2023</v>
      </c>
      <c r="I15" s="57">
        <f t="shared" si="7"/>
        <v>2024</v>
      </c>
      <c r="J15" s="58" t="str">
        <f>"CAGR "&amp;$E$4&amp;" - "&amp;$I$4</f>
        <v>CAGR 2020 - 2024</v>
      </c>
      <c r="K15" s="57">
        <v>2021</v>
      </c>
      <c r="L15" s="57">
        <f>+K15+1</f>
        <v>2022</v>
      </c>
      <c r="M15" s="57">
        <f>+L15+1</f>
        <v>2023</v>
      </c>
      <c r="N15" s="57">
        <f t="shared" ref="N15" si="8">+M15+1</f>
        <v>2024</v>
      </c>
    </row>
    <row r="16" spans="2:18" s="94" customFormat="1" ht="3.95" customHeight="1" x14ac:dyDescent="0.2">
      <c r="B16" s="53"/>
      <c r="C16" s="53"/>
      <c r="D16" s="53"/>
      <c r="E16" s="53"/>
      <c r="F16" s="53"/>
      <c r="G16" s="53"/>
      <c r="H16" s="53"/>
      <c r="I16" s="53"/>
      <c r="J16" s="60"/>
      <c r="K16" s="60"/>
      <c r="L16" s="60"/>
      <c r="M16" s="60"/>
      <c r="N16" s="60"/>
      <c r="O16" s="99"/>
    </row>
    <row r="17" spans="2:20" x14ac:dyDescent="0.2">
      <c r="D17" s="65" t="str">
        <f>IFERROR(I17/SUM($I$17:$I$21),"")</f>
        <v/>
      </c>
      <c r="E17" s="95"/>
      <c r="F17" s="95"/>
      <c r="G17" s="95"/>
      <c r="H17" s="95"/>
      <c r="I17" s="95"/>
      <c r="J17" s="64" t="str">
        <f>IFERROR((I17/E17)^(1/COUNT($E$4:$I$4))-1,"")</f>
        <v/>
      </c>
      <c r="K17" s="98" t="str">
        <f t="shared" ref="K17:N22" si="9">IFERROR((F17-E17)/E17,"")</f>
        <v/>
      </c>
      <c r="L17" s="98" t="str">
        <f t="shared" si="9"/>
        <v/>
      </c>
      <c r="M17" s="98" t="str">
        <f t="shared" si="9"/>
        <v/>
      </c>
      <c r="N17" s="98" t="str">
        <f t="shared" si="9"/>
        <v/>
      </c>
    </row>
    <row r="18" spans="2:20" x14ac:dyDescent="0.2">
      <c r="D18" s="65" t="str">
        <f t="shared" ref="D18:D21" si="10">IFERROR(I18/SUM($I$17:$I$21),"")</f>
        <v/>
      </c>
      <c r="E18" s="95"/>
      <c r="F18" s="95"/>
      <c r="G18" s="95"/>
      <c r="H18" s="95"/>
      <c r="I18" s="95"/>
      <c r="J18" s="64" t="str">
        <f t="shared" ref="J18:J22" si="11">IFERROR((I18/E18)^(1/COUNT($E$4:$I$4))-1,"")</f>
        <v/>
      </c>
      <c r="K18" s="98" t="str">
        <f t="shared" si="9"/>
        <v/>
      </c>
      <c r="L18" s="98" t="str">
        <f t="shared" si="9"/>
        <v/>
      </c>
      <c r="M18" s="98" t="str">
        <f t="shared" si="9"/>
        <v/>
      </c>
      <c r="N18" s="98" t="str">
        <f t="shared" si="9"/>
        <v/>
      </c>
    </row>
    <row r="19" spans="2:20" x14ac:dyDescent="0.2">
      <c r="D19" s="65" t="str">
        <f t="shared" si="10"/>
        <v/>
      </c>
      <c r="E19" s="95"/>
      <c r="F19" s="95"/>
      <c r="G19" s="95"/>
      <c r="H19" s="95"/>
      <c r="I19" s="95"/>
      <c r="J19" s="64" t="str">
        <f t="shared" si="11"/>
        <v/>
      </c>
      <c r="K19" s="98" t="str">
        <f t="shared" si="9"/>
        <v/>
      </c>
      <c r="L19" s="98" t="str">
        <f t="shared" si="9"/>
        <v/>
      </c>
      <c r="M19" s="98" t="str">
        <f t="shared" si="9"/>
        <v/>
      </c>
      <c r="N19" s="98" t="str">
        <f t="shared" si="9"/>
        <v/>
      </c>
    </row>
    <row r="20" spans="2:20" x14ac:dyDescent="0.2">
      <c r="B20" s="87"/>
      <c r="D20" s="65" t="str">
        <f t="shared" si="10"/>
        <v/>
      </c>
      <c r="E20" s="95"/>
      <c r="F20" s="95"/>
      <c r="G20" s="95"/>
      <c r="H20" s="95"/>
      <c r="I20" s="95"/>
      <c r="J20" s="64" t="str">
        <f t="shared" si="11"/>
        <v/>
      </c>
      <c r="K20" s="98" t="str">
        <f t="shared" si="9"/>
        <v/>
      </c>
      <c r="L20" s="98" t="str">
        <f t="shared" si="9"/>
        <v/>
      </c>
      <c r="M20" s="98" t="str">
        <f t="shared" si="9"/>
        <v/>
      </c>
      <c r="N20" s="98" t="str">
        <f t="shared" si="9"/>
        <v/>
      </c>
    </row>
    <row r="21" spans="2:20" x14ac:dyDescent="0.2">
      <c r="B21" s="87"/>
      <c r="D21" s="65" t="str">
        <f t="shared" si="10"/>
        <v/>
      </c>
      <c r="E21" s="95"/>
      <c r="F21" s="95"/>
      <c r="G21" s="95"/>
      <c r="H21" s="95"/>
      <c r="I21" s="95"/>
      <c r="J21" s="64" t="str">
        <f t="shared" si="11"/>
        <v/>
      </c>
      <c r="K21" s="98" t="str">
        <f t="shared" si="9"/>
        <v/>
      </c>
      <c r="L21" s="98" t="str">
        <f t="shared" si="9"/>
        <v/>
      </c>
      <c r="M21" s="98" t="str">
        <f t="shared" si="9"/>
        <v/>
      </c>
      <c r="N21" s="98" t="str">
        <f t="shared" si="9"/>
        <v/>
      </c>
    </row>
    <row r="22" spans="2:20" ht="15" x14ac:dyDescent="0.25">
      <c r="B22" s="1" t="s">
        <v>89</v>
      </c>
      <c r="D22" s="96">
        <f>SUM(D17:D21)</f>
        <v>0</v>
      </c>
      <c r="E22" s="97">
        <f>SUM(E17:E21)</f>
        <v>0</v>
      </c>
      <c r="F22" s="97">
        <f>SUM(F17:F21)</f>
        <v>0</v>
      </c>
      <c r="G22" s="97">
        <f t="shared" ref="G22:I22" si="12">SUM(G17:G21)</f>
        <v>0</v>
      </c>
      <c r="H22" s="97">
        <f t="shared" si="12"/>
        <v>0</v>
      </c>
      <c r="I22" s="97">
        <f t="shared" si="12"/>
        <v>0</v>
      </c>
      <c r="J22" s="67" t="str">
        <f t="shared" si="11"/>
        <v/>
      </c>
      <c r="K22" s="98" t="str">
        <f t="shared" si="9"/>
        <v/>
      </c>
      <c r="L22" s="98" t="str">
        <f t="shared" si="9"/>
        <v/>
      </c>
      <c r="M22" s="98" t="str">
        <f t="shared" si="9"/>
        <v/>
      </c>
      <c r="N22" s="98" t="str">
        <f t="shared" si="9"/>
        <v/>
      </c>
    </row>
    <row r="23" spans="2:20" ht="8.1" customHeight="1" x14ac:dyDescent="0.25">
      <c r="B23" s="1"/>
      <c r="D23" s="1"/>
      <c r="E23" s="97"/>
      <c r="F23" s="97"/>
      <c r="G23" s="97"/>
      <c r="H23" s="97"/>
      <c r="I23" s="97"/>
      <c r="J23" s="67"/>
      <c r="K23" s="1"/>
      <c r="L23" s="1"/>
      <c r="M23" s="1"/>
      <c r="N23" s="1"/>
    </row>
    <row r="24" spans="2:20" ht="15" customHeight="1" x14ac:dyDescent="0.25">
      <c r="B24" s="69" t="s">
        <v>90</v>
      </c>
      <c r="C24" s="70"/>
      <c r="D24" s="69" t="s">
        <v>91</v>
      </c>
      <c r="E24" s="70"/>
      <c r="F24" s="70"/>
      <c r="G24" s="70"/>
      <c r="H24" s="70"/>
      <c r="I24" s="70"/>
      <c r="J24" s="100" t="s">
        <v>92</v>
      </c>
      <c r="K24" s="101"/>
      <c r="L24" s="101"/>
      <c r="M24" s="101"/>
      <c r="N24" s="101"/>
    </row>
    <row r="25" spans="2:20" ht="3.95" customHeight="1" x14ac:dyDescent="0.2">
      <c r="B25" s="71"/>
      <c r="C25" s="71"/>
      <c r="D25" s="71"/>
      <c r="E25" s="71"/>
      <c r="F25" s="71"/>
      <c r="G25" s="71"/>
      <c r="H25" s="71"/>
      <c r="I25" s="71"/>
      <c r="J25" s="102"/>
      <c r="K25" s="102"/>
      <c r="L25" s="102"/>
      <c r="M25" s="102"/>
      <c r="N25" s="102"/>
    </row>
    <row r="26" spans="2:20" ht="39.950000000000003" customHeight="1" x14ac:dyDescent="0.25">
      <c r="B26" s="796"/>
      <c r="C26" s="796"/>
      <c r="D26" s="798"/>
      <c r="E26" s="798"/>
      <c r="F26" s="798"/>
      <c r="G26" s="798"/>
      <c r="H26" s="798"/>
      <c r="I26" s="798"/>
      <c r="J26" s="67"/>
      <c r="K26" s="1"/>
      <c r="L26" s="1"/>
      <c r="M26" s="1"/>
      <c r="N26" s="1"/>
    </row>
    <row r="27" spans="2:20" ht="39.950000000000003" customHeight="1" x14ac:dyDescent="0.25">
      <c r="B27" s="796"/>
      <c r="C27" s="796"/>
      <c r="D27" s="798"/>
      <c r="E27" s="798"/>
      <c r="F27" s="798"/>
      <c r="G27" s="798"/>
      <c r="H27" s="798"/>
      <c r="I27" s="798"/>
      <c r="J27" s="67"/>
      <c r="K27" s="1"/>
      <c r="L27" s="1"/>
      <c r="M27" s="1"/>
      <c r="N27" s="1"/>
    </row>
    <row r="28" spans="2:20" ht="39.950000000000003" customHeight="1" x14ac:dyDescent="0.25">
      <c r="B28" s="796"/>
      <c r="C28" s="796"/>
      <c r="D28" s="798"/>
      <c r="E28" s="798"/>
      <c r="F28" s="798"/>
      <c r="G28" s="798"/>
      <c r="H28" s="798"/>
      <c r="I28" s="798"/>
      <c r="J28" s="67"/>
      <c r="K28" s="1"/>
      <c r="L28" s="1"/>
      <c r="M28" s="1"/>
      <c r="N28" s="1"/>
    </row>
    <row r="29" spans="2:20" ht="39.950000000000003" hidden="1" customHeight="1" x14ac:dyDescent="0.25">
      <c r="B29" s="796" t="str">
        <f>IF(B20=0,"",B20)</f>
        <v/>
      </c>
      <c r="C29" s="796"/>
      <c r="D29" s="798"/>
      <c r="E29" s="798"/>
      <c r="F29" s="798"/>
      <c r="G29" s="798"/>
      <c r="H29" s="798"/>
      <c r="I29" s="798"/>
      <c r="J29" s="67"/>
      <c r="K29" s="1"/>
      <c r="L29" s="1"/>
      <c r="M29" s="1"/>
      <c r="N29" s="1"/>
    </row>
    <row r="30" spans="2:20" ht="39.950000000000003" hidden="1" customHeight="1" x14ac:dyDescent="0.25">
      <c r="B30" s="796" t="str">
        <f>IF(B21=0,"",B21)</f>
        <v/>
      </c>
      <c r="C30" s="796"/>
      <c r="D30" s="798"/>
      <c r="E30" s="798"/>
      <c r="F30" s="798"/>
      <c r="G30" s="798"/>
      <c r="H30" s="798"/>
      <c r="I30" s="798"/>
      <c r="J30" s="67"/>
      <c r="K30" s="1"/>
      <c r="L30" s="1"/>
      <c r="M30" s="1"/>
      <c r="N30" s="1"/>
    </row>
    <row r="31" spans="2:20" ht="8.1" customHeight="1" x14ac:dyDescent="0.2">
      <c r="E31" s="73"/>
      <c r="F31" s="73"/>
      <c r="G31" s="73"/>
      <c r="H31" s="73"/>
      <c r="I31" s="73"/>
      <c r="J31" s="103"/>
    </row>
    <row r="32" spans="2:20" ht="15.75" x14ac:dyDescent="0.25">
      <c r="B32" s="52" t="s">
        <v>93</v>
      </c>
      <c r="C32" s="56"/>
      <c r="D32" s="52" t="s">
        <v>88</v>
      </c>
      <c r="E32" s="57">
        <v>2020</v>
      </c>
      <c r="F32" s="57">
        <f>+E32+1</f>
        <v>2021</v>
      </c>
      <c r="G32" s="57">
        <f>+F32+1</f>
        <v>2022</v>
      </c>
      <c r="H32" s="57">
        <f t="shared" ref="H32:I32" si="13">+G32+1</f>
        <v>2023</v>
      </c>
      <c r="I32" s="104">
        <f t="shared" si="13"/>
        <v>2024</v>
      </c>
      <c r="J32" s="105">
        <f>I32+1</f>
        <v>2025</v>
      </c>
      <c r="K32" s="105">
        <f t="shared" ref="K32:T32" si="14">+J32+1</f>
        <v>2026</v>
      </c>
      <c r="L32" s="105">
        <f t="shared" si="14"/>
        <v>2027</v>
      </c>
      <c r="M32" s="105">
        <f t="shared" si="14"/>
        <v>2028</v>
      </c>
      <c r="N32" s="105">
        <f t="shared" si="14"/>
        <v>2029</v>
      </c>
      <c r="O32" s="105">
        <f t="shared" si="14"/>
        <v>2030</v>
      </c>
      <c r="P32" s="105">
        <f t="shared" si="14"/>
        <v>2031</v>
      </c>
      <c r="Q32" s="105">
        <f t="shared" si="14"/>
        <v>2032</v>
      </c>
      <c r="R32" s="105">
        <f t="shared" si="14"/>
        <v>2033</v>
      </c>
      <c r="S32" s="105">
        <f t="shared" si="14"/>
        <v>2034</v>
      </c>
      <c r="T32" s="105">
        <f t="shared" si="14"/>
        <v>2035</v>
      </c>
    </row>
    <row r="33" spans="2:20" ht="3.95" customHeight="1" x14ac:dyDescent="0.2">
      <c r="B33" s="53"/>
      <c r="C33" s="53"/>
      <c r="D33" s="53"/>
      <c r="E33" s="53"/>
      <c r="F33" s="53"/>
      <c r="G33" s="53"/>
      <c r="H33" s="53"/>
      <c r="I33" s="106"/>
      <c r="J33" s="60"/>
      <c r="K33" s="60"/>
      <c r="L33" s="60"/>
      <c r="M33" s="60"/>
      <c r="N33" s="60"/>
      <c r="O33" s="60"/>
      <c r="P33" s="60"/>
      <c r="Q33" s="60"/>
      <c r="R33" s="60"/>
      <c r="S33" s="60"/>
      <c r="T33" s="60"/>
    </row>
    <row r="34" spans="2:20" x14ac:dyDescent="0.2">
      <c r="D34" s="65" t="str">
        <f>IFERROR(I34/$I$13,"")</f>
        <v/>
      </c>
      <c r="E34" s="95"/>
      <c r="F34" s="95"/>
      <c r="G34" s="95"/>
      <c r="H34" s="95"/>
      <c r="I34" s="107"/>
      <c r="J34" s="108"/>
      <c r="K34" s="108"/>
      <c r="L34" s="108"/>
      <c r="M34" s="108"/>
      <c r="N34" s="108"/>
      <c r="O34" s="108"/>
      <c r="P34" s="108"/>
      <c r="Q34" s="108"/>
      <c r="R34" s="108"/>
      <c r="S34" s="108"/>
      <c r="T34" s="108"/>
    </row>
    <row r="35" spans="2:20" hidden="1" x14ac:dyDescent="0.2">
      <c r="D35" s="65"/>
      <c r="E35" s="109"/>
      <c r="F35" s="110"/>
      <c r="G35" s="110"/>
      <c r="H35" s="110"/>
      <c r="I35" s="111"/>
      <c r="J35" s="112"/>
      <c r="K35" s="112"/>
      <c r="L35" s="112"/>
      <c r="M35" s="112"/>
      <c r="N35" s="112"/>
      <c r="O35" s="112"/>
      <c r="P35" s="112"/>
      <c r="Q35" s="112"/>
      <c r="R35" s="112"/>
      <c r="S35" s="112"/>
      <c r="T35" s="112"/>
    </row>
    <row r="36" spans="2:20" x14ac:dyDescent="0.2">
      <c r="D36" s="65" t="str">
        <f>IFERROR(I36/$I$13,"")</f>
        <v/>
      </c>
      <c r="E36" s="95"/>
      <c r="F36" s="95"/>
      <c r="G36" s="95"/>
      <c r="H36" s="95"/>
      <c r="I36" s="107"/>
      <c r="J36" s="108"/>
      <c r="K36" s="108"/>
      <c r="L36" s="108"/>
      <c r="M36" s="108"/>
      <c r="N36" s="108"/>
      <c r="O36" s="108"/>
      <c r="P36" s="108"/>
      <c r="Q36" s="108"/>
      <c r="R36" s="108"/>
      <c r="S36" s="108"/>
      <c r="T36" s="108"/>
    </row>
    <row r="37" spans="2:20" hidden="1" x14ac:dyDescent="0.2">
      <c r="D37" s="65"/>
      <c r="E37" s="109"/>
      <c r="F37" s="65" t="str">
        <f>IFERROR((F36-E36)/E36,"")</f>
        <v/>
      </c>
      <c r="G37" s="65" t="str">
        <f>IFERROR((G36-F36)/F36,"")</f>
        <v/>
      </c>
      <c r="H37" s="65" t="str">
        <f>IFERROR((H36-G36)/G36,"")</f>
        <v/>
      </c>
      <c r="I37" s="113" t="str">
        <f>IFERROR((I36-H36)/H36,"")</f>
        <v/>
      </c>
      <c r="J37" s="112"/>
      <c r="K37" s="112"/>
      <c r="L37" s="112"/>
      <c r="M37" s="112"/>
      <c r="N37" s="112"/>
      <c r="O37" s="112"/>
      <c r="P37" s="112"/>
      <c r="Q37" s="112"/>
      <c r="R37" s="112"/>
      <c r="S37" s="112"/>
      <c r="T37" s="112"/>
    </row>
    <row r="38" spans="2:20" hidden="1" x14ac:dyDescent="0.2">
      <c r="B38" t="s">
        <v>94</v>
      </c>
      <c r="D38" s="65" t="str">
        <f>IFERROR(I38/$I$13,"")</f>
        <v/>
      </c>
      <c r="E38" s="95"/>
      <c r="F38" s="95"/>
      <c r="G38" s="95"/>
      <c r="H38" s="95"/>
      <c r="I38" s="114"/>
      <c r="J38" s="108">
        <f>I38*(1+J39)</f>
        <v>0</v>
      </c>
      <c r="K38" s="108">
        <f t="shared" ref="K38:T38" si="15">J38*(1+K39)</f>
        <v>0</v>
      </c>
      <c r="L38" s="108">
        <f t="shared" si="15"/>
        <v>0</v>
      </c>
      <c r="M38" s="108">
        <f t="shared" si="15"/>
        <v>0</v>
      </c>
      <c r="N38" s="108">
        <f t="shared" si="15"/>
        <v>0</v>
      </c>
      <c r="O38" s="108">
        <f t="shared" si="15"/>
        <v>0</v>
      </c>
      <c r="P38" s="108">
        <f t="shared" si="15"/>
        <v>0</v>
      </c>
      <c r="Q38" s="108">
        <f t="shared" si="15"/>
        <v>0</v>
      </c>
      <c r="R38" s="108">
        <f t="shared" si="15"/>
        <v>0</v>
      </c>
      <c r="S38" s="108">
        <f t="shared" si="15"/>
        <v>0</v>
      </c>
      <c r="T38" s="108">
        <f t="shared" si="15"/>
        <v>0</v>
      </c>
    </row>
    <row r="39" spans="2:20" hidden="1" x14ac:dyDescent="0.2">
      <c r="D39" s="65"/>
      <c r="E39" s="109"/>
      <c r="F39" s="109" t="str">
        <f>IFERROR(F38-E38/E38,"")</f>
        <v/>
      </c>
      <c r="G39" s="109" t="str">
        <f t="shared" ref="G39:I39" si="16">IFERROR(G38-F38/F38,"")</f>
        <v/>
      </c>
      <c r="H39" s="109" t="str">
        <f t="shared" si="16"/>
        <v/>
      </c>
      <c r="I39" s="111" t="str">
        <f t="shared" si="16"/>
        <v/>
      </c>
      <c r="J39" s="112"/>
      <c r="K39" s="112"/>
      <c r="L39" s="112"/>
      <c r="M39" s="112"/>
      <c r="N39" s="112"/>
      <c r="O39" s="112"/>
      <c r="P39" s="112"/>
      <c r="Q39" s="112"/>
      <c r="R39" s="112"/>
      <c r="S39" s="112"/>
      <c r="T39" s="112"/>
    </row>
    <row r="40" spans="2:20" hidden="1" x14ac:dyDescent="0.2">
      <c r="B40" t="s">
        <v>95</v>
      </c>
      <c r="D40" s="65" t="str">
        <f>IFERROR(I40/$I$13,"")</f>
        <v/>
      </c>
      <c r="E40" s="95"/>
      <c r="F40" s="95"/>
      <c r="G40" s="95"/>
      <c r="H40" s="95"/>
      <c r="I40" s="114"/>
      <c r="J40" s="108">
        <f>I40*(1+J41)</f>
        <v>0</v>
      </c>
      <c r="K40" s="108">
        <f t="shared" ref="K40:T40" si="17">J40*(1+K41)</f>
        <v>0</v>
      </c>
      <c r="L40" s="108">
        <f t="shared" si="17"/>
        <v>0</v>
      </c>
      <c r="M40" s="108">
        <f t="shared" si="17"/>
        <v>0</v>
      </c>
      <c r="N40" s="108">
        <f t="shared" si="17"/>
        <v>0</v>
      </c>
      <c r="O40" s="108">
        <f t="shared" si="17"/>
        <v>0</v>
      </c>
      <c r="P40" s="108">
        <f t="shared" si="17"/>
        <v>0</v>
      </c>
      <c r="Q40" s="108">
        <f t="shared" si="17"/>
        <v>0</v>
      </c>
      <c r="R40" s="108">
        <f t="shared" si="17"/>
        <v>0</v>
      </c>
      <c r="S40" s="108">
        <f t="shared" si="17"/>
        <v>0</v>
      </c>
      <c r="T40" s="108">
        <f t="shared" si="17"/>
        <v>0</v>
      </c>
    </row>
    <row r="41" spans="2:20" hidden="1" x14ac:dyDescent="0.2">
      <c r="D41" s="65"/>
      <c r="E41" s="109"/>
      <c r="F41" s="109" t="str">
        <f>IFERROR(F40-E40/E40,"")</f>
        <v/>
      </c>
      <c r="G41" s="109" t="str">
        <f t="shared" ref="G41:I41" si="18">IFERROR(G40-F40/F40,"")</f>
        <v/>
      </c>
      <c r="H41" s="109" t="str">
        <f t="shared" si="18"/>
        <v/>
      </c>
      <c r="I41" s="111" t="str">
        <f t="shared" si="18"/>
        <v/>
      </c>
      <c r="J41" s="112"/>
      <c r="K41" s="112"/>
      <c r="L41" s="112"/>
      <c r="M41" s="112"/>
      <c r="N41" s="112"/>
      <c r="O41" s="112"/>
      <c r="P41" s="112"/>
      <c r="Q41" s="112"/>
      <c r="R41" s="112"/>
      <c r="S41" s="112"/>
      <c r="T41" s="112"/>
    </row>
    <row r="42" spans="2:20" hidden="1" x14ac:dyDescent="0.2">
      <c r="B42" t="s">
        <v>96</v>
      </c>
      <c r="D42" s="65" t="str">
        <f>IFERROR(I42/$I$13,"")</f>
        <v/>
      </c>
      <c r="E42" s="95"/>
      <c r="F42" s="95"/>
      <c r="G42" s="95"/>
      <c r="H42" s="95"/>
      <c r="I42" s="114"/>
      <c r="J42" s="108">
        <f>I42*(1+J43)</f>
        <v>0</v>
      </c>
      <c r="K42" s="108">
        <f t="shared" ref="K42:T42" si="19">J42*(1+K43)</f>
        <v>0</v>
      </c>
      <c r="L42" s="108">
        <f t="shared" si="19"/>
        <v>0</v>
      </c>
      <c r="M42" s="108">
        <f t="shared" si="19"/>
        <v>0</v>
      </c>
      <c r="N42" s="108">
        <f t="shared" si="19"/>
        <v>0</v>
      </c>
      <c r="O42" s="108">
        <f t="shared" si="19"/>
        <v>0</v>
      </c>
      <c r="P42" s="108">
        <f t="shared" si="19"/>
        <v>0</v>
      </c>
      <c r="Q42" s="108">
        <f t="shared" si="19"/>
        <v>0</v>
      </c>
      <c r="R42" s="108">
        <f t="shared" si="19"/>
        <v>0</v>
      </c>
      <c r="S42" s="108">
        <f t="shared" si="19"/>
        <v>0</v>
      </c>
      <c r="T42" s="108">
        <f t="shared" si="19"/>
        <v>0</v>
      </c>
    </row>
    <row r="43" spans="2:20" hidden="1" x14ac:dyDescent="0.2">
      <c r="D43" s="65"/>
      <c r="E43" s="109"/>
      <c r="F43" s="109" t="str">
        <f>IFERROR(F42-E42/E42,"")</f>
        <v/>
      </c>
      <c r="G43" s="109" t="str">
        <f t="shared" ref="G43:I43" si="20">IFERROR(G42-F42/F42,"")</f>
        <v/>
      </c>
      <c r="H43" s="109" t="str">
        <f t="shared" si="20"/>
        <v/>
      </c>
      <c r="I43" s="111" t="str">
        <f t="shared" si="20"/>
        <v/>
      </c>
      <c r="J43" s="112"/>
      <c r="K43" s="112"/>
      <c r="L43" s="112"/>
      <c r="M43" s="112"/>
      <c r="N43" s="112"/>
      <c r="O43" s="112"/>
      <c r="P43" s="112"/>
      <c r="Q43" s="112"/>
      <c r="R43" s="112"/>
      <c r="S43" s="112"/>
      <c r="T43" s="112"/>
    </row>
    <row r="44" spans="2:20" ht="15" x14ac:dyDescent="0.25">
      <c r="B44" s="1" t="s">
        <v>89</v>
      </c>
      <c r="D44" s="96">
        <f>SUM(D34:D42)</f>
        <v>0</v>
      </c>
      <c r="E44" s="97">
        <f>SUM(E34:E42)</f>
        <v>0</v>
      </c>
      <c r="F44" s="97">
        <f t="shared" ref="F44:T44" si="21">SUM(F34:F42)</f>
        <v>0</v>
      </c>
      <c r="G44" s="97">
        <f t="shared" si="21"/>
        <v>0</v>
      </c>
      <c r="H44" s="97">
        <f t="shared" si="21"/>
        <v>0</v>
      </c>
      <c r="I44" s="115">
        <f t="shared" si="21"/>
        <v>0</v>
      </c>
      <c r="J44" s="97">
        <f t="shared" si="21"/>
        <v>0</v>
      </c>
      <c r="K44" s="97">
        <f t="shared" si="21"/>
        <v>0</v>
      </c>
      <c r="L44" s="97">
        <f t="shared" si="21"/>
        <v>0</v>
      </c>
      <c r="M44" s="97">
        <f t="shared" si="21"/>
        <v>0</v>
      </c>
      <c r="N44" s="97">
        <f t="shared" si="21"/>
        <v>0</v>
      </c>
      <c r="O44" s="97">
        <f t="shared" si="21"/>
        <v>0</v>
      </c>
      <c r="P44" s="97">
        <f t="shared" si="21"/>
        <v>0</v>
      </c>
      <c r="Q44" s="97">
        <f t="shared" si="21"/>
        <v>0</v>
      </c>
      <c r="R44" s="97">
        <f t="shared" si="21"/>
        <v>0</v>
      </c>
      <c r="S44" s="97">
        <f t="shared" si="21"/>
        <v>0</v>
      </c>
      <c r="T44" s="97">
        <f t="shared" si="21"/>
        <v>0</v>
      </c>
    </row>
    <row r="45" spans="2:20" ht="8.1" customHeight="1" x14ac:dyDescent="0.2"/>
    <row r="46" spans="2:20" ht="15.75" x14ac:dyDescent="0.25">
      <c r="B46" s="69" t="s">
        <v>97</v>
      </c>
      <c r="C46" s="70"/>
      <c r="D46" s="69"/>
      <c r="E46" s="70"/>
      <c r="F46" s="70"/>
      <c r="G46" s="70"/>
      <c r="H46" s="70"/>
      <c r="I46" s="70"/>
      <c r="J46" s="100"/>
      <c r="K46" s="101"/>
      <c r="L46" s="101"/>
      <c r="M46" s="101"/>
      <c r="N46" s="101"/>
      <c r="O46" s="101"/>
    </row>
    <row r="47" spans="2:20" ht="3.95" customHeight="1" x14ac:dyDescent="0.2">
      <c r="B47" s="71"/>
      <c r="C47" s="71"/>
      <c r="D47" s="71"/>
      <c r="E47" s="71"/>
      <c r="F47" s="71"/>
      <c r="G47" s="71"/>
      <c r="H47" s="71"/>
      <c r="I47" s="71"/>
      <c r="J47" s="102"/>
      <c r="K47" s="102"/>
      <c r="L47" s="102"/>
      <c r="M47" s="102"/>
      <c r="N47" s="102"/>
      <c r="O47" s="102"/>
    </row>
    <row r="48" spans="2:20" ht="39.950000000000003" customHeight="1" x14ac:dyDescent="0.2">
      <c r="B48" s="116"/>
      <c r="D48" s="799"/>
      <c r="E48" s="799"/>
      <c r="F48" s="799"/>
      <c r="G48" s="799"/>
      <c r="H48" s="799"/>
      <c r="I48" s="799"/>
      <c r="J48" s="799"/>
      <c r="K48" s="799"/>
      <c r="L48" s="799"/>
      <c r="M48" s="799"/>
      <c r="N48" s="799"/>
      <c r="O48" s="799"/>
    </row>
    <row r="49" spans="2:14" ht="39.950000000000003" customHeight="1" x14ac:dyDescent="0.2">
      <c r="B49" s="796"/>
      <c r="C49" s="796"/>
      <c r="D49" s="797"/>
      <c r="E49" s="797"/>
      <c r="F49" s="797"/>
      <c r="G49" s="797"/>
      <c r="H49" s="797"/>
      <c r="I49" s="797"/>
      <c r="J49" s="797"/>
      <c r="K49" s="797"/>
      <c r="L49" s="797"/>
      <c r="M49" s="797"/>
      <c r="N49" s="797"/>
    </row>
    <row r="50" spans="2:14" ht="39.950000000000003" customHeight="1" x14ac:dyDescent="0.2">
      <c r="B50" s="796"/>
      <c r="C50" s="796"/>
      <c r="D50" s="797"/>
      <c r="E50" s="797"/>
      <c r="F50" s="797"/>
      <c r="G50" s="797"/>
      <c r="H50" s="797"/>
      <c r="I50" s="797"/>
      <c r="J50" s="797"/>
      <c r="K50" s="797"/>
      <c r="L50" s="797"/>
      <c r="M50" s="797"/>
      <c r="N50" s="797"/>
    </row>
    <row r="51" spans="2:14" ht="39.950000000000003" customHeight="1" x14ac:dyDescent="0.2">
      <c r="B51" s="796"/>
      <c r="C51" s="796"/>
      <c r="D51" s="797"/>
      <c r="E51" s="797"/>
      <c r="F51" s="797"/>
      <c r="G51" s="797"/>
      <c r="H51" s="797"/>
      <c r="I51" s="797"/>
      <c r="J51" s="797"/>
      <c r="K51" s="797"/>
      <c r="L51" s="797"/>
      <c r="M51" s="797"/>
      <c r="N51" s="797"/>
    </row>
    <row r="52" spans="2:14" ht="39.950000000000003" customHeight="1" x14ac:dyDescent="0.2">
      <c r="B52" s="796"/>
      <c r="C52" s="796"/>
      <c r="D52" s="676"/>
    </row>
  </sheetData>
  <mergeCells count="18">
    <mergeCell ref="B49:C49"/>
    <mergeCell ref="D49:N49"/>
    <mergeCell ref="B26:C26"/>
    <mergeCell ref="D26:I26"/>
    <mergeCell ref="B27:C27"/>
    <mergeCell ref="D27:I27"/>
    <mergeCell ref="B28:C28"/>
    <mergeCell ref="D28:I28"/>
    <mergeCell ref="B29:C29"/>
    <mergeCell ref="D29:I29"/>
    <mergeCell ref="B30:C30"/>
    <mergeCell ref="D30:I30"/>
    <mergeCell ref="D48:O48"/>
    <mergeCell ref="B50:C50"/>
    <mergeCell ref="D50:N50"/>
    <mergeCell ref="B51:C51"/>
    <mergeCell ref="D51:N51"/>
    <mergeCell ref="B52:C52"/>
  </mergeCells>
  <conditionalFormatting sqref="D6:D12">
    <cfRule type="dataBar" priority="4">
      <dataBar>
        <cfvo type="min"/>
        <cfvo type="max"/>
        <color rgb="FF63C384"/>
      </dataBar>
      <extLst>
        <ext xmlns:x14="http://schemas.microsoft.com/office/spreadsheetml/2009/9/main" uri="{B025F937-C7B1-47D3-B67F-A62EFF666E3E}">
          <x14:id>{EE9D804E-44D1-425D-BD56-BA1C67ECDD87}</x14:id>
        </ext>
      </extLst>
    </cfRule>
  </conditionalFormatting>
  <conditionalFormatting sqref="D17:D21">
    <cfRule type="dataBar" priority="3">
      <dataBar>
        <cfvo type="min"/>
        <cfvo type="max"/>
        <color rgb="FF63C384"/>
      </dataBar>
      <extLst>
        <ext xmlns:x14="http://schemas.microsoft.com/office/spreadsheetml/2009/9/main" uri="{B025F937-C7B1-47D3-B67F-A62EFF666E3E}">
          <x14:id>{04B6A2F1-BC24-4574-A417-F3A10D0855AC}</x14:id>
        </ext>
      </extLst>
    </cfRule>
  </conditionalFormatting>
  <conditionalFormatting sqref="D34:D43">
    <cfRule type="dataBar" priority="2">
      <dataBar>
        <cfvo type="min"/>
        <cfvo type="max"/>
        <color rgb="FF63C384"/>
      </dataBar>
      <extLst>
        <ext xmlns:x14="http://schemas.microsoft.com/office/spreadsheetml/2009/9/main" uri="{B025F937-C7B1-47D3-B67F-A62EFF666E3E}">
          <x14:id>{8289347D-B214-462A-80A7-26906AF72159}</x14:id>
        </ext>
      </extLst>
    </cfRule>
  </conditionalFormatting>
  <conditionalFormatting sqref="K6:K12">
    <cfRule type="dataBar" priority="11">
      <dataBar>
        <cfvo type="min"/>
        <cfvo type="max"/>
        <color rgb="FF63C384"/>
      </dataBar>
      <extLst>
        <ext xmlns:x14="http://schemas.microsoft.com/office/spreadsheetml/2009/9/main" uri="{B025F937-C7B1-47D3-B67F-A62EFF666E3E}">
          <x14:id>{CE64AA8B-8C2B-4BA4-B159-A0DEB993C03C}</x14:id>
        </ext>
      </extLst>
    </cfRule>
  </conditionalFormatting>
  <conditionalFormatting sqref="K17:K22">
    <cfRule type="dataBar" priority="8">
      <dataBar>
        <cfvo type="min"/>
        <cfvo type="max"/>
        <color rgb="FF63C384"/>
      </dataBar>
      <extLst>
        <ext xmlns:x14="http://schemas.microsoft.com/office/spreadsheetml/2009/9/main" uri="{B025F937-C7B1-47D3-B67F-A62EFF666E3E}">
          <x14:id>{EBD56D69-4BB4-43B8-8D45-285F41F83244}</x14:id>
        </ext>
      </extLst>
    </cfRule>
  </conditionalFormatting>
  <conditionalFormatting sqref="L6:L12">
    <cfRule type="dataBar" priority="10">
      <dataBar>
        <cfvo type="min"/>
        <cfvo type="max"/>
        <color rgb="FF63C384"/>
      </dataBar>
      <extLst>
        <ext xmlns:x14="http://schemas.microsoft.com/office/spreadsheetml/2009/9/main" uri="{B025F937-C7B1-47D3-B67F-A62EFF666E3E}">
          <x14:id>{50EA26E6-DEC0-41FA-9C99-D93A21717956}</x14:id>
        </ext>
      </extLst>
    </cfRule>
  </conditionalFormatting>
  <conditionalFormatting sqref="L17:L22">
    <cfRule type="dataBar" priority="7">
      <dataBar>
        <cfvo type="min"/>
        <cfvo type="max"/>
        <color rgb="FF63C384"/>
      </dataBar>
      <extLst>
        <ext xmlns:x14="http://schemas.microsoft.com/office/spreadsheetml/2009/9/main" uri="{B025F937-C7B1-47D3-B67F-A62EFF666E3E}">
          <x14:id>{CBC3D9D6-25C9-4EE9-9328-845D69C85A0B}</x14:id>
        </ext>
      </extLst>
    </cfRule>
  </conditionalFormatting>
  <conditionalFormatting sqref="M6:M13">
    <cfRule type="dataBar" priority="9">
      <dataBar>
        <cfvo type="min"/>
        <cfvo type="max"/>
        <color rgb="FF63C384"/>
      </dataBar>
      <extLst>
        <ext xmlns:x14="http://schemas.microsoft.com/office/spreadsheetml/2009/9/main" uri="{B025F937-C7B1-47D3-B67F-A62EFF666E3E}">
          <x14:id>{D8B7E103-81F7-41F8-94AC-C650C523BD2C}</x14:id>
        </ext>
      </extLst>
    </cfRule>
  </conditionalFormatting>
  <conditionalFormatting sqref="M17:M22">
    <cfRule type="dataBar" priority="6">
      <dataBar>
        <cfvo type="min"/>
        <cfvo type="max"/>
        <color rgb="FF63C384"/>
      </dataBar>
      <extLst>
        <ext xmlns:x14="http://schemas.microsoft.com/office/spreadsheetml/2009/9/main" uri="{B025F937-C7B1-47D3-B67F-A62EFF666E3E}">
          <x14:id>{D528D03B-A05A-4D8D-A011-E8F8CB54BAEC}</x14:id>
        </ext>
      </extLst>
    </cfRule>
  </conditionalFormatting>
  <conditionalFormatting sqref="N6:N13">
    <cfRule type="dataBar" priority="1">
      <dataBar>
        <cfvo type="min"/>
        <cfvo type="max"/>
        <color rgb="FF63C384"/>
      </dataBar>
      <extLst>
        <ext xmlns:x14="http://schemas.microsoft.com/office/spreadsheetml/2009/9/main" uri="{B025F937-C7B1-47D3-B67F-A62EFF666E3E}">
          <x14:id>{1FC5CDD5-6741-40C9-9902-1771C0B64A65}</x14:id>
        </ext>
      </extLst>
    </cfRule>
  </conditionalFormatting>
  <conditionalFormatting sqref="N17:N22">
    <cfRule type="dataBar" priority="5">
      <dataBar>
        <cfvo type="min"/>
        <cfvo type="max"/>
        <color rgb="FF63C384"/>
      </dataBar>
      <extLst>
        <ext xmlns:x14="http://schemas.microsoft.com/office/spreadsheetml/2009/9/main" uri="{B025F937-C7B1-47D3-B67F-A62EFF666E3E}">
          <x14:id>{7B3C7607-6293-4B76-B5C4-D8046AB98ECC}</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EE9D804E-44D1-425D-BD56-BA1C67ECDD87}">
            <x14:dataBar minLength="0" maxLength="100" gradient="0">
              <x14:cfvo type="autoMin"/>
              <x14:cfvo type="autoMax"/>
              <x14:negativeFillColor rgb="FFFF0000"/>
              <x14:axisColor rgb="FF000000"/>
            </x14:dataBar>
          </x14:cfRule>
          <xm:sqref>D6:D12</xm:sqref>
        </x14:conditionalFormatting>
        <x14:conditionalFormatting xmlns:xm="http://schemas.microsoft.com/office/excel/2006/main">
          <x14:cfRule type="dataBar" id="{04B6A2F1-BC24-4574-A417-F3A10D0855AC}">
            <x14:dataBar minLength="0" maxLength="100" gradient="0">
              <x14:cfvo type="autoMin"/>
              <x14:cfvo type="autoMax"/>
              <x14:negativeFillColor rgb="FFFF0000"/>
              <x14:axisColor rgb="FF000000"/>
            </x14:dataBar>
          </x14:cfRule>
          <xm:sqref>D17:D21</xm:sqref>
        </x14:conditionalFormatting>
        <x14:conditionalFormatting xmlns:xm="http://schemas.microsoft.com/office/excel/2006/main">
          <x14:cfRule type="dataBar" id="{8289347D-B214-462A-80A7-26906AF72159}">
            <x14:dataBar minLength="0" maxLength="100" gradient="0">
              <x14:cfvo type="autoMin"/>
              <x14:cfvo type="autoMax"/>
              <x14:negativeFillColor rgb="FFFF0000"/>
              <x14:axisColor rgb="FF000000"/>
            </x14:dataBar>
          </x14:cfRule>
          <xm:sqref>D34:D43</xm:sqref>
        </x14:conditionalFormatting>
        <x14:conditionalFormatting xmlns:xm="http://schemas.microsoft.com/office/excel/2006/main">
          <x14:cfRule type="dataBar" id="{CE64AA8B-8C2B-4BA4-B159-A0DEB993C03C}">
            <x14:dataBar minLength="0" maxLength="100" gradient="0">
              <x14:cfvo type="autoMin"/>
              <x14:cfvo type="autoMax"/>
              <x14:negativeFillColor rgb="FFFF0000"/>
              <x14:axisColor rgb="FF000000"/>
            </x14:dataBar>
          </x14:cfRule>
          <xm:sqref>K6:K12</xm:sqref>
        </x14:conditionalFormatting>
        <x14:conditionalFormatting xmlns:xm="http://schemas.microsoft.com/office/excel/2006/main">
          <x14:cfRule type="dataBar" id="{EBD56D69-4BB4-43B8-8D45-285F41F83244}">
            <x14:dataBar minLength="0" maxLength="100" gradient="0">
              <x14:cfvo type="autoMin"/>
              <x14:cfvo type="autoMax"/>
              <x14:negativeFillColor rgb="FFFF0000"/>
              <x14:axisColor rgb="FF000000"/>
            </x14:dataBar>
          </x14:cfRule>
          <xm:sqref>K17:K22</xm:sqref>
        </x14:conditionalFormatting>
        <x14:conditionalFormatting xmlns:xm="http://schemas.microsoft.com/office/excel/2006/main">
          <x14:cfRule type="dataBar" id="{50EA26E6-DEC0-41FA-9C99-D93A21717956}">
            <x14:dataBar minLength="0" maxLength="100" gradient="0">
              <x14:cfvo type="autoMin"/>
              <x14:cfvo type="autoMax"/>
              <x14:negativeFillColor rgb="FFFF0000"/>
              <x14:axisColor rgb="FF000000"/>
            </x14:dataBar>
          </x14:cfRule>
          <xm:sqref>L6:L12</xm:sqref>
        </x14:conditionalFormatting>
        <x14:conditionalFormatting xmlns:xm="http://schemas.microsoft.com/office/excel/2006/main">
          <x14:cfRule type="dataBar" id="{CBC3D9D6-25C9-4EE9-9328-845D69C85A0B}">
            <x14:dataBar minLength="0" maxLength="100" gradient="0">
              <x14:cfvo type="autoMin"/>
              <x14:cfvo type="autoMax"/>
              <x14:negativeFillColor rgb="FFFF0000"/>
              <x14:axisColor rgb="FF000000"/>
            </x14:dataBar>
          </x14:cfRule>
          <xm:sqref>L17:L22</xm:sqref>
        </x14:conditionalFormatting>
        <x14:conditionalFormatting xmlns:xm="http://schemas.microsoft.com/office/excel/2006/main">
          <x14:cfRule type="dataBar" id="{D8B7E103-81F7-41F8-94AC-C650C523BD2C}">
            <x14:dataBar minLength="0" maxLength="100" gradient="0">
              <x14:cfvo type="autoMin"/>
              <x14:cfvo type="autoMax"/>
              <x14:negativeFillColor rgb="FFFF0000"/>
              <x14:axisColor rgb="FF000000"/>
            </x14:dataBar>
          </x14:cfRule>
          <xm:sqref>M6:M13</xm:sqref>
        </x14:conditionalFormatting>
        <x14:conditionalFormatting xmlns:xm="http://schemas.microsoft.com/office/excel/2006/main">
          <x14:cfRule type="dataBar" id="{D528D03B-A05A-4D8D-A011-E8F8CB54BAEC}">
            <x14:dataBar minLength="0" maxLength="100" gradient="0">
              <x14:cfvo type="autoMin"/>
              <x14:cfvo type="autoMax"/>
              <x14:negativeFillColor rgb="FFFF0000"/>
              <x14:axisColor rgb="FF000000"/>
            </x14:dataBar>
          </x14:cfRule>
          <xm:sqref>M17:M22</xm:sqref>
        </x14:conditionalFormatting>
        <x14:conditionalFormatting xmlns:xm="http://schemas.microsoft.com/office/excel/2006/main">
          <x14:cfRule type="dataBar" id="{1FC5CDD5-6741-40C9-9902-1771C0B64A65}">
            <x14:dataBar minLength="0" maxLength="100" gradient="0">
              <x14:cfvo type="autoMin"/>
              <x14:cfvo type="autoMax"/>
              <x14:negativeFillColor rgb="FFFF0000"/>
              <x14:axisColor rgb="FF000000"/>
            </x14:dataBar>
          </x14:cfRule>
          <xm:sqref>N6:N13</xm:sqref>
        </x14:conditionalFormatting>
        <x14:conditionalFormatting xmlns:xm="http://schemas.microsoft.com/office/excel/2006/main">
          <x14:cfRule type="dataBar" id="{7B3C7607-6293-4B76-B5C4-D8046AB98ECC}">
            <x14:dataBar minLength="0" maxLength="100" gradient="0">
              <x14:cfvo type="autoMin"/>
              <x14:cfvo type="autoMax"/>
              <x14:negativeFillColor rgb="FFFF0000"/>
              <x14:axisColor rgb="FF000000"/>
            </x14:dataBar>
          </x14:cfRule>
          <xm:sqref>N17:N22</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Segments!E31:I31</xm:f>
              <xm:sqref>D31</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2:R73"/>
  <sheetViews>
    <sheetView showGridLines="0" topLeftCell="A25" zoomScale="64" zoomScaleNormal="78" workbookViewId="0">
      <selection activeCell="B8" sqref="B8"/>
    </sheetView>
  </sheetViews>
  <sheetFormatPr defaultRowHeight="14.25" x14ac:dyDescent="0.2"/>
  <cols>
    <col min="1" max="1" width="2.375" customWidth="1"/>
    <col min="2" max="2" width="22" customWidth="1"/>
    <col min="4" max="4" width="11" customWidth="1"/>
    <col min="5" max="5" width="13.25" customWidth="1"/>
    <col min="6" max="16" width="12.625" customWidth="1"/>
    <col min="17" max="17" width="21.75" style="6" customWidth="1"/>
    <col min="18" max="32" width="12.625" customWidth="1"/>
  </cols>
  <sheetData>
    <row r="2" spans="2:18" s="41" customFormat="1" ht="20.100000000000001" customHeight="1" x14ac:dyDescent="0.3">
      <c r="B2" s="40" t="s">
        <v>98</v>
      </c>
      <c r="Q2" s="42"/>
    </row>
    <row r="4" spans="2:18" ht="15.75" x14ac:dyDescent="0.25">
      <c r="B4" s="52" t="s">
        <v>99</v>
      </c>
      <c r="C4" s="56"/>
      <c r="D4" s="56"/>
      <c r="E4" s="52" t="s">
        <v>88</v>
      </c>
      <c r="F4" s="57">
        <v>2025</v>
      </c>
      <c r="G4" s="57">
        <f>+F4+1</f>
        <v>2026</v>
      </c>
      <c r="H4" s="57">
        <f>+G4+1</f>
        <v>2027</v>
      </c>
      <c r="I4" s="57">
        <f t="shared" ref="I4:P4" si="0">+H4+1</f>
        <v>2028</v>
      </c>
      <c r="J4" s="57">
        <f t="shared" si="0"/>
        <v>2029</v>
      </c>
      <c r="K4" s="57">
        <f t="shared" si="0"/>
        <v>2030</v>
      </c>
      <c r="L4" s="57">
        <f t="shared" si="0"/>
        <v>2031</v>
      </c>
      <c r="M4" s="57">
        <f t="shared" si="0"/>
        <v>2032</v>
      </c>
      <c r="N4" s="57">
        <f t="shared" si="0"/>
        <v>2033</v>
      </c>
      <c r="O4" s="57">
        <f t="shared" si="0"/>
        <v>2034</v>
      </c>
      <c r="P4" s="57">
        <f t="shared" si="0"/>
        <v>2035</v>
      </c>
      <c r="Q4" s="58" t="str">
        <f>"CAGR "&amp;$F$4&amp;" - "&amp;$P$4</f>
        <v>CAGR 2025 - 2035</v>
      </c>
      <c r="R4" s="59" t="s">
        <v>100</v>
      </c>
    </row>
    <row r="5" spans="2:18" ht="3.95" customHeight="1" x14ac:dyDescent="0.2">
      <c r="B5" s="53"/>
      <c r="C5" s="53"/>
      <c r="D5" s="53"/>
      <c r="E5" s="53"/>
      <c r="F5" s="53"/>
      <c r="G5" s="53"/>
      <c r="H5" s="53"/>
      <c r="I5" s="53"/>
      <c r="J5" s="53"/>
      <c r="K5" s="53"/>
      <c r="L5" s="53"/>
      <c r="M5" s="53"/>
      <c r="N5" s="53"/>
      <c r="O5" s="53"/>
      <c r="P5" s="53"/>
      <c r="Q5" s="60"/>
      <c r="R5" s="60"/>
    </row>
    <row r="6" spans="2:18" x14ac:dyDescent="0.2">
      <c r="D6" s="61"/>
      <c r="E6" s="62"/>
      <c r="F6" s="675"/>
      <c r="G6" s="675"/>
      <c r="H6" s="675"/>
      <c r="I6" s="675"/>
      <c r="J6" s="675"/>
      <c r="K6" s="675"/>
      <c r="L6" s="675"/>
      <c r="M6" s="675"/>
      <c r="N6" s="675"/>
      <c r="O6" s="675"/>
      <c r="P6" s="675"/>
      <c r="Q6" s="64"/>
      <c r="R6" s="65"/>
    </row>
    <row r="7" spans="2:18" x14ac:dyDescent="0.2">
      <c r="D7" s="61"/>
      <c r="E7" s="62"/>
      <c r="F7" s="675"/>
      <c r="G7" s="675"/>
      <c r="H7" s="675"/>
      <c r="I7" s="675"/>
      <c r="J7" s="675"/>
      <c r="K7" s="675"/>
      <c r="L7" s="675"/>
      <c r="M7" s="675"/>
      <c r="N7" s="675"/>
      <c r="O7" s="675"/>
      <c r="P7" s="675"/>
      <c r="Q7" s="64"/>
      <c r="R7" s="65"/>
    </row>
    <row r="8" spans="2:18" x14ac:dyDescent="0.2">
      <c r="D8" s="61"/>
      <c r="E8" s="62"/>
      <c r="F8" s="63"/>
      <c r="G8" s="63"/>
      <c r="H8" s="63"/>
      <c r="I8" s="63"/>
      <c r="J8" s="63"/>
      <c r="K8" s="63"/>
      <c r="L8" s="63"/>
      <c r="M8" s="63"/>
      <c r="N8" s="63"/>
      <c r="O8" s="63"/>
      <c r="P8" s="63"/>
      <c r="Q8" s="64"/>
      <c r="R8" s="65"/>
    </row>
    <row r="9" spans="2:18" x14ac:dyDescent="0.2">
      <c r="D9" s="61"/>
      <c r="E9" s="62"/>
      <c r="F9" s="62"/>
      <c r="G9" s="62"/>
      <c r="H9" s="62"/>
      <c r="I9" s="62"/>
      <c r="J9" s="62"/>
      <c r="K9" s="62"/>
      <c r="L9" s="62"/>
      <c r="M9" s="62"/>
      <c r="N9" s="62"/>
      <c r="O9" s="62"/>
      <c r="P9" s="62"/>
      <c r="Q9" s="64"/>
      <c r="R9" s="65"/>
    </row>
    <row r="10" spans="2:18" x14ac:dyDescent="0.2">
      <c r="D10" s="61"/>
      <c r="E10" s="62"/>
      <c r="F10" s="62"/>
      <c r="G10" s="62"/>
      <c r="H10" s="62"/>
      <c r="I10" s="62"/>
      <c r="J10" s="62"/>
      <c r="K10" s="62"/>
      <c r="L10" s="62"/>
      <c r="M10" s="62"/>
      <c r="N10" s="62"/>
      <c r="O10" s="62"/>
      <c r="P10" s="62"/>
      <c r="Q10" s="64"/>
      <c r="R10" s="65"/>
    </row>
    <row r="11" spans="2:18" ht="15" x14ac:dyDescent="0.25">
      <c r="B11" s="1" t="s">
        <v>101</v>
      </c>
      <c r="E11" s="66">
        <f>SUM(E6:E10)</f>
        <v>0</v>
      </c>
      <c r="F11" s="66">
        <f t="shared" ref="F11:P11" si="1">SUMPRODUCT(F6:F10,$E$6:$E$10)</f>
        <v>0</v>
      </c>
      <c r="G11" s="66">
        <f t="shared" si="1"/>
        <v>0</v>
      </c>
      <c r="H11" s="66">
        <f t="shared" si="1"/>
        <v>0</v>
      </c>
      <c r="I11" s="66">
        <f t="shared" si="1"/>
        <v>0</v>
      </c>
      <c r="J11" s="66">
        <f t="shared" si="1"/>
        <v>0</v>
      </c>
      <c r="K11" s="66">
        <f t="shared" si="1"/>
        <v>0</v>
      </c>
      <c r="L11" s="66">
        <f t="shared" si="1"/>
        <v>0</v>
      </c>
      <c r="M11" s="66">
        <f t="shared" si="1"/>
        <v>0</v>
      </c>
      <c r="N11" s="66">
        <f t="shared" si="1"/>
        <v>0</v>
      </c>
      <c r="O11" s="66">
        <f t="shared" si="1"/>
        <v>0</v>
      </c>
      <c r="P11" s="66">
        <f t="shared" si="1"/>
        <v>0</v>
      </c>
      <c r="Q11" s="67">
        <f t="shared" ref="Q11" si="2">IFERROR(((1+F11)*(1+G11)*(1+H11)*(1+I11)*(1+J11)*(1+K11)*(1+L11)*(1+M11)*(1+N11)*(1+O11)*(1+P11))^(1/COUNT($F$4:$P$4))-1,"")</f>
        <v>0</v>
      </c>
      <c r="R11" s="68"/>
    </row>
    <row r="12" spans="2:18" ht="8.1" customHeight="1" x14ac:dyDescent="0.2"/>
    <row r="13" spans="2:18" ht="15" customHeight="1" x14ac:dyDescent="0.25">
      <c r="B13" s="69" t="s">
        <v>102</v>
      </c>
      <c r="C13" s="70"/>
      <c r="D13" s="70"/>
      <c r="E13" s="69" t="s">
        <v>91</v>
      </c>
      <c r="F13" s="70"/>
      <c r="G13" s="70"/>
      <c r="H13" s="70"/>
      <c r="I13" s="70"/>
      <c r="J13" s="70"/>
      <c r="K13" s="70"/>
      <c r="L13" s="70"/>
      <c r="M13" s="70"/>
      <c r="N13" s="70"/>
      <c r="O13" s="70"/>
      <c r="P13" s="70"/>
      <c r="Q13"/>
      <c r="R13" s="67"/>
    </row>
    <row r="14" spans="2:18" ht="3.95" customHeight="1" x14ac:dyDescent="0.25">
      <c r="B14" s="71"/>
      <c r="C14" s="71"/>
      <c r="D14" s="71"/>
      <c r="E14" s="71"/>
      <c r="F14" s="71"/>
      <c r="G14" s="71"/>
      <c r="H14" s="71"/>
      <c r="I14" s="71"/>
      <c r="J14" s="71"/>
      <c r="K14" s="71"/>
      <c r="L14" s="71"/>
      <c r="M14" s="71"/>
      <c r="N14" s="71"/>
      <c r="O14" s="71"/>
      <c r="P14" s="71"/>
      <c r="Q14" s="67"/>
      <c r="R14" s="67"/>
    </row>
    <row r="15" spans="2:18" ht="39.950000000000003" customHeight="1" x14ac:dyDescent="0.25">
      <c r="B15" s="796"/>
      <c r="C15" s="796"/>
      <c r="D15" s="72"/>
      <c r="E15" s="798"/>
      <c r="F15" s="798"/>
      <c r="G15" s="798"/>
      <c r="H15" s="798"/>
      <c r="I15" s="798"/>
      <c r="J15" s="798"/>
      <c r="K15" s="798"/>
      <c r="L15" s="798"/>
      <c r="M15" s="798"/>
      <c r="N15" s="798"/>
      <c r="O15" s="798"/>
      <c r="P15" s="798"/>
      <c r="Q15" s="67"/>
      <c r="R15" s="1"/>
    </row>
    <row r="16" spans="2:18" ht="39.950000000000003" customHeight="1" x14ac:dyDescent="0.2">
      <c r="B16" s="796"/>
      <c r="C16" s="796"/>
      <c r="D16" s="72"/>
      <c r="E16" s="798"/>
      <c r="F16" s="798"/>
      <c r="G16" s="798"/>
      <c r="H16" s="798"/>
      <c r="I16" s="798"/>
      <c r="J16" s="798"/>
      <c r="K16" s="798"/>
      <c r="L16" s="798"/>
      <c r="M16" s="798"/>
      <c r="N16" s="798"/>
      <c r="O16" s="798"/>
      <c r="P16" s="798"/>
    </row>
    <row r="17" spans="2:16" ht="39.950000000000003" customHeight="1" x14ac:dyDescent="0.2">
      <c r="B17" s="796"/>
      <c r="C17" s="796"/>
      <c r="D17" s="72"/>
      <c r="E17" s="798"/>
      <c r="F17" s="798"/>
      <c r="G17" s="798"/>
      <c r="H17" s="798"/>
      <c r="I17" s="798"/>
      <c r="J17" s="798"/>
      <c r="K17" s="798"/>
      <c r="L17" s="798"/>
      <c r="M17" s="798"/>
      <c r="N17" s="798"/>
      <c r="O17" s="798"/>
      <c r="P17" s="798"/>
    </row>
    <row r="18" spans="2:16" ht="39.950000000000003" customHeight="1" x14ac:dyDescent="0.2">
      <c r="B18" s="796"/>
      <c r="C18" s="796"/>
      <c r="D18" s="72"/>
      <c r="E18" s="798"/>
      <c r="F18" s="798"/>
      <c r="G18" s="798"/>
      <c r="H18" s="798"/>
      <c r="I18" s="798"/>
      <c r="J18" s="798"/>
      <c r="K18" s="798"/>
      <c r="L18" s="798"/>
      <c r="M18" s="798"/>
      <c r="N18" s="798"/>
      <c r="O18" s="798"/>
      <c r="P18" s="798"/>
    </row>
    <row r="19" spans="2:16" ht="8.1" customHeight="1" x14ac:dyDescent="0.2">
      <c r="F19" s="73"/>
      <c r="G19" s="73"/>
      <c r="H19" s="73"/>
      <c r="I19" s="73"/>
      <c r="J19" s="73"/>
      <c r="K19" s="73"/>
      <c r="L19" s="73"/>
      <c r="M19" s="73"/>
      <c r="N19" s="73"/>
      <c r="O19" s="73"/>
      <c r="P19" s="73"/>
    </row>
    <row r="20" spans="2:16" ht="15.75" x14ac:dyDescent="0.25">
      <c r="B20" s="69" t="s">
        <v>103</v>
      </c>
      <c r="C20" s="70"/>
      <c r="D20" s="70"/>
      <c r="E20" s="69" t="s">
        <v>91</v>
      </c>
      <c r="F20" s="70"/>
      <c r="G20" s="70"/>
      <c r="H20" s="70"/>
      <c r="I20" s="70"/>
      <c r="J20" s="70"/>
      <c r="K20" s="70"/>
      <c r="L20" s="70"/>
      <c r="M20" s="70"/>
      <c r="N20" s="70"/>
      <c r="O20" s="70"/>
      <c r="P20" s="70"/>
    </row>
    <row r="21" spans="2:16" ht="3.95" customHeight="1" x14ac:dyDescent="0.2">
      <c r="B21" s="71"/>
      <c r="C21" s="71"/>
      <c r="D21" s="71"/>
      <c r="E21" s="71"/>
      <c r="F21" s="71"/>
      <c r="G21" s="71"/>
      <c r="H21" s="71"/>
      <c r="I21" s="71"/>
      <c r="J21" s="71"/>
      <c r="K21" s="71"/>
      <c r="L21" s="71"/>
      <c r="M21" s="71"/>
      <c r="N21" s="71"/>
      <c r="O21" s="71"/>
      <c r="P21" s="71"/>
    </row>
    <row r="22" spans="2:16" ht="39.950000000000003" customHeight="1" x14ac:dyDescent="0.2">
      <c r="B22" s="796"/>
      <c r="C22" s="796"/>
      <c r="D22" s="72"/>
      <c r="E22" s="798"/>
      <c r="F22" s="798"/>
      <c r="G22" s="798"/>
      <c r="H22" s="798"/>
      <c r="I22" s="798"/>
      <c r="J22" s="798"/>
      <c r="K22" s="798"/>
      <c r="L22" s="798"/>
      <c r="M22" s="798"/>
      <c r="N22" s="798"/>
      <c r="O22" s="798"/>
      <c r="P22" s="798"/>
    </row>
    <row r="23" spans="2:16" ht="39.950000000000003" customHeight="1" x14ac:dyDescent="0.2">
      <c r="B23" s="796"/>
      <c r="C23" s="796"/>
      <c r="D23" s="72"/>
      <c r="E23" s="798"/>
      <c r="F23" s="798"/>
      <c r="G23" s="798"/>
      <c r="H23" s="798"/>
      <c r="I23" s="798"/>
      <c r="J23" s="798"/>
      <c r="K23" s="798"/>
      <c r="L23" s="798"/>
      <c r="M23" s="798"/>
      <c r="N23" s="798"/>
      <c r="O23" s="798"/>
      <c r="P23" s="798"/>
    </row>
    <row r="24" spans="2:16" ht="39.950000000000003" hidden="1" customHeight="1" x14ac:dyDescent="0.2">
      <c r="B24" s="796"/>
      <c r="C24" s="796"/>
      <c r="D24" s="72"/>
      <c r="E24" s="798"/>
      <c r="F24" s="798"/>
      <c r="G24" s="798"/>
      <c r="H24" s="798"/>
      <c r="I24" s="798"/>
      <c r="J24" s="798"/>
      <c r="K24" s="798"/>
      <c r="L24" s="798"/>
      <c r="M24" s="798"/>
      <c r="N24" s="798"/>
      <c r="O24" s="798"/>
      <c r="P24" s="798"/>
    </row>
    <row r="25" spans="2:16" ht="8.1" customHeight="1" x14ac:dyDescent="0.2">
      <c r="B25" s="796"/>
      <c r="C25" s="796"/>
      <c r="D25" s="72"/>
      <c r="E25" s="798"/>
      <c r="F25" s="798"/>
      <c r="G25" s="798"/>
      <c r="H25" s="798"/>
      <c r="I25" s="798"/>
      <c r="J25" s="798"/>
      <c r="K25" s="798"/>
      <c r="L25" s="798"/>
      <c r="M25" s="798"/>
      <c r="N25" s="798"/>
      <c r="O25" s="798"/>
      <c r="P25" s="798"/>
    </row>
    <row r="26" spans="2:16" ht="15.75" x14ac:dyDescent="0.25">
      <c r="B26" s="52" t="s">
        <v>104</v>
      </c>
      <c r="C26" s="56"/>
      <c r="D26" s="56"/>
      <c r="E26" s="52" t="s">
        <v>105</v>
      </c>
      <c r="F26" s="52"/>
      <c r="G26" s="74" t="s">
        <v>106</v>
      </c>
      <c r="H26" s="75" t="s">
        <v>107</v>
      </c>
      <c r="I26" s="57" t="s">
        <v>104</v>
      </c>
      <c r="J26" s="57"/>
      <c r="K26" s="57"/>
      <c r="L26" s="57"/>
      <c r="M26" s="57"/>
      <c r="N26" s="57"/>
      <c r="O26" s="57"/>
      <c r="P26" s="57"/>
    </row>
    <row r="27" spans="2:16" ht="3.95" customHeight="1" x14ac:dyDescent="0.2">
      <c r="B27" s="53"/>
      <c r="C27" s="53"/>
      <c r="D27" s="53"/>
      <c r="E27" s="53"/>
      <c r="F27" s="53"/>
      <c r="G27" s="53"/>
      <c r="H27" s="53"/>
      <c r="I27" s="53"/>
      <c r="J27" s="53"/>
      <c r="K27" s="53"/>
      <c r="L27" s="53"/>
      <c r="M27" s="53"/>
      <c r="N27" s="53"/>
      <c r="O27" s="53"/>
      <c r="P27" s="53"/>
    </row>
    <row r="28" spans="2:16" ht="15" x14ac:dyDescent="0.25">
      <c r="B28" s="76" t="e" cm="1">
        <f t="array" aca="1" ref="B28" ca="1">+_FV(DCF!R4,"Name")</f>
        <v>#NAME?</v>
      </c>
      <c r="C28" s="76"/>
      <c r="D28" s="76"/>
      <c r="E28" s="77" t="s">
        <v>108</v>
      </c>
      <c r="F28" s="77"/>
      <c r="G28" s="78" t="e" cm="1">
        <f t="array" ref="G28:G38" ca="1">TRANSPOSE(Peers!D97:N97)</f>
        <v>#NAME?</v>
      </c>
      <c r="H28" s="76"/>
      <c r="I28" s="79" t="str">
        <f t="shared" ref="I28:I35" ca="1" si="3">IFERROR(G28/$G$40,"")</f>
        <v/>
      </c>
    </row>
    <row r="29" spans="2:16" x14ac:dyDescent="0.2">
      <c r="B29" t="e" cm="1">
        <f t="array" aca="1" ref="B29" ca="1">+_FV(Peers!A8,"Name")</f>
        <v>#NAME?</v>
      </c>
      <c r="E29" s="80"/>
      <c r="F29" s="80"/>
      <c r="G29" s="81" t="str">
        <v>#N/A Invalid Security</v>
      </c>
      <c r="I29" s="82" t="str">
        <f t="shared" si="3"/>
        <v/>
      </c>
    </row>
    <row r="30" spans="2:16" x14ac:dyDescent="0.2">
      <c r="B30" t="e" cm="1">
        <f t="array" aca="1" ref="B30" ca="1">+_FV(Peers!A9,"Name")</f>
        <v>#NAME?</v>
      </c>
      <c r="E30" s="80"/>
      <c r="F30" s="80"/>
      <c r="G30" s="81" t="str">
        <v>#N/A Invalid Security</v>
      </c>
      <c r="I30" s="82" t="str">
        <f t="shared" si="3"/>
        <v/>
      </c>
    </row>
    <row r="31" spans="2:16" x14ac:dyDescent="0.2">
      <c r="B31" t="e" cm="1">
        <f t="array" aca="1" ref="B31" ca="1">+_FV(Peers!A10,"Name")</f>
        <v>#NAME?</v>
      </c>
      <c r="E31" s="80"/>
      <c r="F31" s="80"/>
      <c r="G31" s="81" t="str">
        <v>#N/A Invalid Security</v>
      </c>
      <c r="I31" s="82" t="str">
        <f t="shared" si="3"/>
        <v/>
      </c>
    </row>
    <row r="32" spans="2:16" x14ac:dyDescent="0.2">
      <c r="B32" t="e" cm="1">
        <f t="array" aca="1" ref="B32" ca="1">+_FV(Peers!A11,"Name")</f>
        <v>#NAME?</v>
      </c>
      <c r="E32" s="80"/>
      <c r="F32" s="80"/>
      <c r="G32" s="81" t="str">
        <v>#N/A Invalid Security</v>
      </c>
      <c r="I32" s="82" t="str">
        <f t="shared" si="3"/>
        <v/>
      </c>
    </row>
    <row r="33" spans="2:16" x14ac:dyDescent="0.2">
      <c r="B33" t="e" cm="1">
        <f t="array" aca="1" ref="B33" ca="1">+_FV(Peers!A12,"Name")</f>
        <v>#NAME?</v>
      </c>
      <c r="E33" s="80"/>
      <c r="F33" s="80"/>
      <c r="G33" s="81" t="str">
        <v>#N/A Invalid Security</v>
      </c>
      <c r="I33" s="82" t="str">
        <f t="shared" si="3"/>
        <v/>
      </c>
    </row>
    <row r="34" spans="2:16" x14ac:dyDescent="0.2">
      <c r="B34" t="e" cm="1">
        <f t="array" aca="1" ref="B34" ca="1">+_FV(Peers!A13,"Name")</f>
        <v>#NAME?</v>
      </c>
      <c r="E34" s="80"/>
      <c r="F34" s="80"/>
      <c r="G34" s="81" t="str">
        <v>#N/A Invalid Security</v>
      </c>
      <c r="I34" s="82" t="str">
        <f t="shared" si="3"/>
        <v/>
      </c>
    </row>
    <row r="35" spans="2:16" x14ac:dyDescent="0.2">
      <c r="B35" t="e" cm="1">
        <f t="array" aca="1" ref="B35" ca="1">+_FV(Peers!A14,"Name")</f>
        <v>#NAME?</v>
      </c>
      <c r="E35" s="80"/>
      <c r="F35" s="80"/>
      <c r="G35" s="81" t="str">
        <v>#N/A Invalid Security</v>
      </c>
      <c r="I35" s="82" t="str">
        <f t="shared" si="3"/>
        <v/>
      </c>
    </row>
    <row r="36" spans="2:16" x14ac:dyDescent="0.2">
      <c r="B36" t="e" cm="1">
        <f t="array" aca="1" ref="B36" ca="1">+_FV(Peers!A15,"Name")</f>
        <v>#NAME?</v>
      </c>
      <c r="E36" s="80"/>
      <c r="F36" s="80"/>
      <c r="G36" s="81" t="str">
        <v>#N/A Invalid Security</v>
      </c>
      <c r="I36" s="82" t="str">
        <f>IFERROR(G36/$G$40,"")</f>
        <v/>
      </c>
    </row>
    <row r="37" spans="2:16" x14ac:dyDescent="0.2">
      <c r="B37" t="e" cm="1">
        <f t="array" aca="1" ref="B37" ca="1">+_FV(Peers!A16,"Name")</f>
        <v>#NAME?</v>
      </c>
      <c r="E37" s="80"/>
      <c r="F37" s="80"/>
      <c r="G37" s="81" t="str">
        <v>#N/A Invalid Security</v>
      </c>
      <c r="I37" s="83" t="str">
        <f>IFERROR(G37/$G$40,"")</f>
        <v/>
      </c>
    </row>
    <row r="38" spans="2:16" x14ac:dyDescent="0.2">
      <c r="B38" t="e" cm="1">
        <f t="array" aca="1" ref="B38" ca="1">+_FV(Peers!A17,"Name")</f>
        <v>#NAME?</v>
      </c>
      <c r="E38" s="80"/>
      <c r="F38" s="80"/>
      <c r="G38" s="81" t="str">
        <v>#N/A Invalid Security</v>
      </c>
      <c r="I38" s="83" t="str">
        <f>IFERROR(G38/$G$40,"")</f>
        <v/>
      </c>
    </row>
    <row r="39" spans="2:16" x14ac:dyDescent="0.2">
      <c r="B39" s="38" t="s">
        <v>109</v>
      </c>
      <c r="C39" s="38"/>
      <c r="D39" s="38"/>
      <c r="E39" s="84" t="s">
        <v>110</v>
      </c>
      <c r="F39" s="38"/>
      <c r="G39" s="85" t="e">
        <f ca="1">G40-SUM(G28:G38)</f>
        <v>#NAME?</v>
      </c>
      <c r="H39" s="38"/>
      <c r="I39" s="86" t="str">
        <f t="shared" ref="I39" ca="1" si="4">IFERROR(G39/$G$40,"")</f>
        <v/>
      </c>
    </row>
    <row r="40" spans="2:16" ht="15" x14ac:dyDescent="0.25">
      <c r="B40" s="1" t="s">
        <v>111</v>
      </c>
      <c r="E40" s="87" t="s">
        <v>110</v>
      </c>
      <c r="G40" s="81"/>
      <c r="H40" s="27"/>
      <c r="I40" s="88">
        <v>1</v>
      </c>
    </row>
    <row r="41" spans="2:16" ht="8.1" customHeight="1" x14ac:dyDescent="0.2"/>
    <row r="42" spans="2:16" ht="15.75" x14ac:dyDescent="0.25">
      <c r="B42" s="52" t="s">
        <v>112</v>
      </c>
      <c r="C42" s="56"/>
      <c r="D42" s="52"/>
      <c r="E42" s="52" t="s">
        <v>113</v>
      </c>
      <c r="F42" s="57"/>
      <c r="G42" s="57"/>
      <c r="H42" s="800" t="s">
        <v>114</v>
      </c>
      <c r="I42" s="800"/>
      <c r="J42" s="57"/>
      <c r="K42" s="57"/>
      <c r="P42" s="89"/>
    </row>
    <row r="43" spans="2:16" ht="3.95" customHeight="1" x14ac:dyDescent="0.2">
      <c r="B43" s="53"/>
      <c r="C43" s="53"/>
      <c r="D43" s="53"/>
      <c r="E43" s="53"/>
      <c r="F43" s="53"/>
      <c r="G43" s="53"/>
      <c r="H43" s="53"/>
      <c r="I43" s="53"/>
      <c r="J43" s="53"/>
      <c r="K43" s="53"/>
    </row>
    <row r="44" spans="2:16" ht="15" x14ac:dyDescent="0.25">
      <c r="B44" s="1" t="s">
        <v>115</v>
      </c>
      <c r="E44" s="416" t="str">
        <f>IFERROR(AVERAGE(E45:E50),"")</f>
        <v/>
      </c>
    </row>
    <row r="45" spans="2:16" x14ac:dyDescent="0.2">
      <c r="B45" s="25" t="s">
        <v>116</v>
      </c>
      <c r="E45" s="91"/>
    </row>
    <row r="46" spans="2:16" x14ac:dyDescent="0.2">
      <c r="B46" s="25" t="s">
        <v>117</v>
      </c>
      <c r="E46" s="91"/>
    </row>
    <row r="47" spans="2:16" x14ac:dyDescent="0.2">
      <c r="B47" s="25" t="s">
        <v>118</v>
      </c>
      <c r="E47" s="91"/>
    </row>
    <row r="48" spans="2:16" x14ac:dyDescent="0.2">
      <c r="B48" s="25" t="s">
        <v>119</v>
      </c>
      <c r="E48" s="91"/>
    </row>
    <row r="49" spans="2:5" x14ac:dyDescent="0.2">
      <c r="B49" s="25" t="s">
        <v>120</v>
      </c>
      <c r="E49" s="91"/>
    </row>
    <row r="50" spans="2:5" x14ac:dyDescent="0.2">
      <c r="B50" s="25" t="s">
        <v>121</v>
      </c>
      <c r="E50" s="91"/>
    </row>
    <row r="51" spans="2:5" ht="15" x14ac:dyDescent="0.25">
      <c r="B51" s="1" t="s">
        <v>122</v>
      </c>
      <c r="E51" s="90" t="str">
        <f>IFERROR(AVERAGE(E52:E56),"")</f>
        <v/>
      </c>
    </row>
    <row r="52" spans="2:5" x14ac:dyDescent="0.2">
      <c r="B52" s="25" t="s">
        <v>123</v>
      </c>
      <c r="E52" s="91"/>
    </row>
    <row r="53" spans="2:5" x14ac:dyDescent="0.2">
      <c r="B53" s="25" t="s">
        <v>124</v>
      </c>
      <c r="E53" s="91"/>
    </row>
    <row r="54" spans="2:5" x14ac:dyDescent="0.2">
      <c r="B54" s="25" t="s">
        <v>125</v>
      </c>
      <c r="E54" s="91"/>
    </row>
    <row r="55" spans="2:5" x14ac:dyDescent="0.2">
      <c r="B55" s="25" t="s">
        <v>126</v>
      </c>
      <c r="E55" s="91"/>
    </row>
    <row r="56" spans="2:5" x14ac:dyDescent="0.2">
      <c r="B56" s="25" t="s">
        <v>127</v>
      </c>
      <c r="E56" s="91"/>
    </row>
    <row r="57" spans="2:5" ht="15" x14ac:dyDescent="0.25">
      <c r="B57" s="1" t="s">
        <v>128</v>
      </c>
      <c r="E57" s="90" t="str">
        <f>IFERROR(AVERAGE(E58:E62),"")</f>
        <v/>
      </c>
    </row>
    <row r="58" spans="2:5" x14ac:dyDescent="0.2">
      <c r="B58" s="25" t="s">
        <v>129</v>
      </c>
      <c r="E58" s="91"/>
    </row>
    <row r="59" spans="2:5" x14ac:dyDescent="0.2">
      <c r="B59" s="25" t="s">
        <v>130</v>
      </c>
      <c r="E59" s="91"/>
    </row>
    <row r="60" spans="2:5" x14ac:dyDescent="0.2">
      <c r="B60" s="25" t="s">
        <v>121</v>
      </c>
      <c r="E60" s="91"/>
    </row>
    <row r="61" spans="2:5" x14ac:dyDescent="0.2">
      <c r="B61" s="25" t="s">
        <v>131</v>
      </c>
      <c r="E61" s="91"/>
    </row>
    <row r="62" spans="2:5" x14ac:dyDescent="0.2">
      <c r="B62" s="25" t="s">
        <v>132</v>
      </c>
      <c r="E62" s="91"/>
    </row>
    <row r="63" spans="2:5" ht="15" x14ac:dyDescent="0.25">
      <c r="B63" s="1" t="s">
        <v>133</v>
      </c>
      <c r="E63" s="90" t="str">
        <f>IFERROR(AVERAGE(E64:E68),"")</f>
        <v/>
      </c>
    </row>
    <row r="64" spans="2:5" x14ac:dyDescent="0.2">
      <c r="B64" s="25" t="s">
        <v>134</v>
      </c>
      <c r="E64" s="91"/>
    </row>
    <row r="65" spans="2:5" x14ac:dyDescent="0.2">
      <c r="B65" s="25" t="s">
        <v>135</v>
      </c>
      <c r="E65" s="91"/>
    </row>
    <row r="66" spans="2:5" x14ac:dyDescent="0.2">
      <c r="B66" s="25" t="s">
        <v>136</v>
      </c>
      <c r="E66" s="91"/>
    </row>
    <row r="67" spans="2:5" x14ac:dyDescent="0.2">
      <c r="B67" s="25" t="s">
        <v>137</v>
      </c>
      <c r="E67" s="91"/>
    </row>
    <row r="68" spans="2:5" x14ac:dyDescent="0.2">
      <c r="B68" s="25" t="s">
        <v>138</v>
      </c>
      <c r="E68" s="91"/>
    </row>
    <row r="69" spans="2:5" ht="15" x14ac:dyDescent="0.25">
      <c r="B69" s="1" t="s">
        <v>139</v>
      </c>
      <c r="E69" s="90" t="str">
        <f>IFERROR(AVERAGE(E70:E74),"")</f>
        <v/>
      </c>
    </row>
    <row r="70" spans="2:5" x14ac:dyDescent="0.2">
      <c r="B70" s="25" t="s">
        <v>140</v>
      </c>
      <c r="E70" s="91"/>
    </row>
    <row r="71" spans="2:5" x14ac:dyDescent="0.2">
      <c r="B71" s="25" t="s">
        <v>141</v>
      </c>
      <c r="E71" s="91"/>
    </row>
    <row r="72" spans="2:5" x14ac:dyDescent="0.2">
      <c r="B72" s="25" t="s">
        <v>142</v>
      </c>
      <c r="E72" s="91"/>
    </row>
    <row r="73" spans="2:5" x14ac:dyDescent="0.2">
      <c r="B73" s="25" t="s">
        <v>143</v>
      </c>
      <c r="E73" s="91"/>
    </row>
  </sheetData>
  <mergeCells count="17">
    <mergeCell ref="B22:C22"/>
    <mergeCell ref="E22:P22"/>
    <mergeCell ref="B23:C23"/>
    <mergeCell ref="E23:P23"/>
    <mergeCell ref="H42:I42"/>
    <mergeCell ref="B24:C24"/>
    <mergeCell ref="E24:P24"/>
    <mergeCell ref="B25:C25"/>
    <mergeCell ref="E25:P25"/>
    <mergeCell ref="B18:C18"/>
    <mergeCell ref="E18:P18"/>
    <mergeCell ref="B15:C15"/>
    <mergeCell ref="E15:P15"/>
    <mergeCell ref="B16:C16"/>
    <mergeCell ref="E16:P16"/>
    <mergeCell ref="B17:C17"/>
    <mergeCell ref="E17:P17"/>
  </mergeCells>
  <conditionalFormatting sqref="I28:I39">
    <cfRule type="colorScale" priority="7">
      <colorScale>
        <cfvo type="min"/>
        <cfvo type="percentile" val="50"/>
        <cfvo type="max"/>
        <color rgb="FFF8696B"/>
        <color rgb="FFFFEB84"/>
        <color rgb="FF63BE7B"/>
      </colorScale>
    </cfRule>
    <cfRule type="colorScale" priority="8">
      <colorScale>
        <cfvo type="min"/>
        <cfvo type="percentile" val="50"/>
        <cfvo type="max"/>
        <color rgb="FFF8696B"/>
        <color rgb="FFFFEB84"/>
        <color rgb="FF63BE7B"/>
      </colorScale>
    </cfRule>
    <cfRule type="colorScale" priority="9">
      <colorScale>
        <cfvo type="min"/>
        <cfvo type="percentile" val="50"/>
        <cfvo type="max"/>
        <color rgb="FFF8696B"/>
        <color rgb="FFFFEB84"/>
        <color rgb="FF63BE7B"/>
      </colorScale>
    </cfRule>
  </conditionalFormatting>
  <conditionalFormatting sqref="Q6:Q10">
    <cfRule type="colorScale" priority="1">
      <colorScale>
        <cfvo type="min"/>
        <cfvo type="percentile" val="50"/>
        <cfvo type="max"/>
        <color rgb="FFF8696B"/>
        <color rgb="FFFFEB84"/>
        <color rgb="FF63BE7B"/>
      </colorScale>
    </cfRule>
    <cfRule type="colorScale" priority="2">
      <colorScale>
        <cfvo type="min"/>
        <cfvo type="percentile" val="50"/>
        <cfvo type="max"/>
        <color rgb="FFF8696B"/>
        <color rgb="FFFFEB84"/>
        <color rgb="FF63BE7B"/>
      </colorScale>
    </cfRule>
  </conditionalFormatting>
  <conditionalFormatting sqref="R6:R10">
    <cfRule type="dataBar" priority="88">
      <dataBar>
        <cfvo type="min"/>
        <cfvo type="max"/>
        <color rgb="FF63C384"/>
      </dataBar>
      <extLst>
        <ext xmlns:x14="http://schemas.microsoft.com/office/spreadsheetml/2009/9/main" uri="{B025F937-C7B1-47D3-B67F-A62EFF666E3E}">
          <x14:id>{18A4ABFB-8F60-489B-B3E5-6CD3614699D1}</x14:id>
        </ext>
      </extLst>
    </cfRule>
  </conditionalFormatting>
  <conditionalFormatting sqref="S6:S10">
    <cfRule type="dataBar" priority="89">
      <dataBar>
        <cfvo type="min"/>
        <cfvo type="max"/>
        <color rgb="FF63C384"/>
      </dataBar>
      <extLst>
        <ext xmlns:x14="http://schemas.microsoft.com/office/spreadsheetml/2009/9/main" uri="{B025F937-C7B1-47D3-B67F-A62EFF666E3E}">
          <x14:id>{7D4FC3D7-186A-46E0-AFA0-A4D2A7B32131}</x14:id>
        </ext>
      </extLst>
    </cfRule>
  </conditionalFormatting>
  <conditionalFormatting sqref="T6:T10">
    <cfRule type="dataBar" priority="90">
      <dataBar>
        <cfvo type="min"/>
        <cfvo type="max"/>
        <color rgb="FF63C384"/>
      </dataBar>
      <extLst>
        <ext xmlns:x14="http://schemas.microsoft.com/office/spreadsheetml/2009/9/main" uri="{B025F937-C7B1-47D3-B67F-A62EFF666E3E}">
          <x14:id>{A2AA1478-7F03-4C3E-A93E-071B3A585FDF}</x14:id>
        </ext>
      </extLst>
    </cfRule>
  </conditionalFormatting>
  <conditionalFormatting sqref="U6:U10">
    <cfRule type="dataBar" priority="91">
      <dataBar>
        <cfvo type="min"/>
        <cfvo type="max"/>
        <color rgb="FF63C384"/>
      </dataBar>
      <extLst>
        <ext xmlns:x14="http://schemas.microsoft.com/office/spreadsheetml/2009/9/main" uri="{B025F937-C7B1-47D3-B67F-A62EFF666E3E}">
          <x14:id>{CCBBEFF5-0753-47A4-B215-F44790A6C2E6}</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18A4ABFB-8F60-489B-B3E5-6CD3614699D1}">
            <x14:dataBar minLength="0" maxLength="100" gradient="0">
              <x14:cfvo type="autoMin"/>
              <x14:cfvo type="autoMax"/>
              <x14:negativeFillColor rgb="FFFF0000"/>
              <x14:axisColor rgb="FF000000"/>
            </x14:dataBar>
          </x14:cfRule>
          <xm:sqref>R6:R10</xm:sqref>
        </x14:conditionalFormatting>
        <x14:conditionalFormatting xmlns:xm="http://schemas.microsoft.com/office/excel/2006/main">
          <x14:cfRule type="dataBar" id="{7D4FC3D7-186A-46E0-AFA0-A4D2A7B32131}">
            <x14:dataBar minLength="0" maxLength="100" gradient="0">
              <x14:cfvo type="autoMin"/>
              <x14:cfvo type="autoMax"/>
              <x14:negativeFillColor rgb="FFFF0000"/>
              <x14:axisColor rgb="FF000000"/>
            </x14:dataBar>
          </x14:cfRule>
          <xm:sqref>S6:S10</xm:sqref>
        </x14:conditionalFormatting>
        <x14:conditionalFormatting xmlns:xm="http://schemas.microsoft.com/office/excel/2006/main">
          <x14:cfRule type="dataBar" id="{A2AA1478-7F03-4C3E-A93E-071B3A585FDF}">
            <x14:dataBar minLength="0" maxLength="100" gradient="0">
              <x14:cfvo type="autoMin"/>
              <x14:cfvo type="autoMax"/>
              <x14:negativeFillColor rgb="FFFF0000"/>
              <x14:axisColor rgb="FF000000"/>
            </x14:dataBar>
          </x14:cfRule>
          <xm:sqref>T6:T10</xm:sqref>
        </x14:conditionalFormatting>
        <x14:conditionalFormatting xmlns:xm="http://schemas.microsoft.com/office/excel/2006/main">
          <x14:cfRule type="dataBar" id="{CCBBEFF5-0753-47A4-B215-F44790A6C2E6}">
            <x14:dataBar minLength="0" maxLength="100" gradient="0">
              <x14:cfvo type="autoMin"/>
              <x14:cfvo type="autoMax"/>
              <x14:negativeFillColor rgb="FFFF0000"/>
              <x14:axisColor rgb="FF000000"/>
            </x14:dataBar>
          </x14:cfRule>
          <xm:sqref>U6:U10</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Industry!F6:P6</xm:f>
              <xm:sqref>D6</xm:sqref>
            </x14:sparkline>
            <x14:sparkline>
              <xm:f>Industry!F7:P7</xm:f>
              <xm:sqref>D7</xm:sqref>
            </x14:sparkline>
            <x14:sparkline>
              <xm:f>Industry!F8:P8</xm:f>
              <xm:sqref>D8</xm:sqref>
            </x14:sparkline>
            <x14:sparkline>
              <xm:f>Industry!F9:P9</xm:f>
              <xm:sqref>D9</xm:sqref>
            </x14:sparkline>
            <x14:sparkline>
              <xm:f>Industry!F10:P10</xm:f>
              <xm:sqref>D10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Industry!F19:P19</xm:f>
              <xm:sqref>E19</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Z144"/>
  <sheetViews>
    <sheetView showGridLines="0" topLeftCell="A100" zoomScale="85" zoomScaleNormal="85" workbookViewId="0">
      <pane xSplit="3" topLeftCell="D1" activePane="topRight" state="frozen"/>
      <selection pane="topRight" activeCell="E9" sqref="E9"/>
    </sheetView>
  </sheetViews>
  <sheetFormatPr defaultColWidth="9" defaultRowHeight="14.25" customHeight="1" x14ac:dyDescent="0.25"/>
  <cols>
    <col min="1" max="1" width="2.125" style="393" customWidth="1"/>
    <col min="2" max="2" width="31" style="393" customWidth="1"/>
    <col min="3" max="3" width="6.375" style="393" customWidth="1"/>
    <col min="4" max="15" width="19.625" style="393" customWidth="1"/>
    <col min="16" max="16384" width="9" style="393"/>
  </cols>
  <sheetData>
    <row r="1" spans="1:52" s="392" customFormat="1" ht="12" customHeight="1" x14ac:dyDescent="0.2">
      <c r="A1" s="417"/>
      <c r="B1" s="417"/>
      <c r="C1" s="418"/>
      <c r="D1" s="417"/>
      <c r="E1" s="417"/>
      <c r="F1" s="417"/>
      <c r="G1" s="417"/>
      <c r="H1" s="417"/>
      <c r="I1" s="417"/>
      <c r="J1" s="417"/>
      <c r="K1" s="417"/>
      <c r="L1" s="417"/>
      <c r="M1" s="417"/>
      <c r="N1" s="417"/>
      <c r="O1" s="417"/>
      <c r="P1" s="417"/>
      <c r="Q1" s="417"/>
      <c r="R1" s="417"/>
      <c r="S1" s="417"/>
      <c r="T1" s="417"/>
      <c r="U1" s="417"/>
      <c r="V1" s="417"/>
      <c r="W1" s="417"/>
      <c r="X1" s="417"/>
      <c r="Y1" s="417"/>
      <c r="Z1" s="417"/>
      <c r="AA1" s="417"/>
      <c r="AB1" s="417"/>
      <c r="AC1" s="417"/>
      <c r="AD1" s="417"/>
      <c r="AE1" s="417"/>
      <c r="AF1" s="417"/>
      <c r="AG1" s="417"/>
      <c r="AH1" s="417"/>
      <c r="AI1" s="417"/>
      <c r="AJ1" s="417"/>
      <c r="AK1" s="417"/>
      <c r="AL1" s="417"/>
      <c r="AM1" s="417"/>
      <c r="AN1" s="417"/>
      <c r="AO1" s="417"/>
      <c r="AP1" s="417"/>
      <c r="AQ1" s="417"/>
      <c r="AR1" s="417"/>
      <c r="AS1" s="417"/>
      <c r="AT1" s="417"/>
      <c r="AU1" s="417"/>
      <c r="AV1" s="417"/>
      <c r="AW1" s="417"/>
      <c r="AX1" s="417"/>
      <c r="AY1" s="417"/>
      <c r="AZ1" s="417"/>
    </row>
    <row r="2" spans="1:52" s="392" customFormat="1" ht="15" x14ac:dyDescent="0.25">
      <c r="A2" s="417"/>
      <c r="B2" s="419"/>
      <c r="C2" s="419"/>
      <c r="D2" s="802"/>
      <c r="E2" s="803"/>
      <c r="F2" s="517"/>
      <c r="G2" s="506"/>
      <c r="H2" s="517"/>
      <c r="I2" s="506"/>
      <c r="J2" s="517"/>
      <c r="K2" s="532"/>
      <c r="L2" s="538"/>
      <c r="M2" s="532"/>
      <c r="N2" s="419"/>
      <c r="O2" s="419"/>
      <c r="P2" s="421"/>
      <c r="Q2" s="421"/>
      <c r="R2" s="421"/>
      <c r="S2" s="417"/>
      <c r="T2" s="421"/>
      <c r="U2" s="421"/>
      <c r="V2" s="417"/>
      <c r="W2" s="422"/>
      <c r="X2" s="422"/>
      <c r="Y2" s="422"/>
      <c r="Z2" s="422"/>
      <c r="AA2" s="422"/>
      <c r="AB2" s="422"/>
      <c r="AC2" s="417"/>
      <c r="AD2" s="422"/>
      <c r="AE2" s="422"/>
      <c r="AF2" s="422"/>
      <c r="AG2" s="422"/>
      <c r="AH2" s="422"/>
      <c r="AI2" s="417"/>
      <c r="AJ2" s="422"/>
      <c r="AK2" s="423"/>
      <c r="AL2" s="423"/>
      <c r="AM2" s="423"/>
      <c r="AN2" s="423"/>
      <c r="AO2" s="417"/>
      <c r="AP2" s="422"/>
      <c r="AQ2" s="417"/>
      <c r="AR2" s="417"/>
      <c r="AS2" s="417"/>
      <c r="AT2" s="417"/>
      <c r="AU2" s="417"/>
      <c r="AV2" s="417"/>
      <c r="AW2" s="417"/>
      <c r="AX2" s="417"/>
      <c r="AY2" s="417"/>
      <c r="AZ2" s="417"/>
    </row>
    <row r="3" spans="1:52" s="392" customFormat="1" ht="15" x14ac:dyDescent="0.25">
      <c r="A3" s="417"/>
      <c r="B3" s="419"/>
      <c r="C3" s="419"/>
      <c r="D3" s="806" t="s">
        <v>144</v>
      </c>
      <c r="E3" s="805"/>
      <c r="F3" s="804" t="s">
        <v>30</v>
      </c>
      <c r="G3" s="805"/>
      <c r="H3" s="804" t="s">
        <v>145</v>
      </c>
      <c r="I3" s="805"/>
      <c r="J3" s="804" t="s">
        <v>146</v>
      </c>
      <c r="K3" s="805"/>
      <c r="L3" s="804" t="s">
        <v>11</v>
      </c>
      <c r="M3" s="805"/>
      <c r="N3" s="806" t="s">
        <v>15</v>
      </c>
      <c r="O3" s="806"/>
      <c r="P3" s="421"/>
      <c r="Q3" s="626"/>
      <c r="R3" s="421"/>
      <c r="S3" s="421"/>
      <c r="T3" s="421"/>
      <c r="U3" s="421"/>
      <c r="V3" s="421"/>
      <c r="W3" s="421"/>
      <c r="X3" s="421"/>
      <c r="Y3" s="421"/>
      <c r="Z3" s="421"/>
      <c r="AA3" s="421"/>
      <c r="AB3" s="421"/>
      <c r="AC3" s="421"/>
      <c r="AD3" s="421"/>
      <c r="AE3" s="421"/>
      <c r="AF3" s="421"/>
      <c r="AG3" s="421"/>
      <c r="AH3" s="421"/>
      <c r="AI3" s="421"/>
      <c r="AJ3" s="421"/>
      <c r="AK3" s="421"/>
      <c r="AL3" s="421"/>
      <c r="AM3" s="421"/>
      <c r="AN3" s="421"/>
      <c r="AO3" s="417"/>
      <c r="AP3" s="421"/>
      <c r="AQ3" s="417"/>
      <c r="AR3" s="417"/>
      <c r="AS3" s="417"/>
      <c r="AT3" s="417"/>
      <c r="AU3" s="417"/>
      <c r="AV3" s="417"/>
      <c r="AW3" s="417"/>
      <c r="AX3" s="417"/>
      <c r="AY3" s="417"/>
      <c r="AZ3" s="417"/>
    </row>
    <row r="4" spans="1:52" s="392" customFormat="1" ht="15" x14ac:dyDescent="0.25">
      <c r="A4" s="417"/>
      <c r="B4" s="419" t="s">
        <v>147</v>
      </c>
      <c r="C4" s="419" t="s">
        <v>148</v>
      </c>
      <c r="D4" s="420" t="str">
        <f>+Inputs!O4&amp;"-"&amp;Inputs!P4</f>
        <v>2022-2023</v>
      </c>
      <c r="E4" s="506" t="str">
        <f>+Inputs!P4&amp;"-"&amp;Inputs!Q4</f>
        <v>2023-2024</v>
      </c>
      <c r="F4" s="517">
        <v>2023</v>
      </c>
      <c r="G4" s="506">
        <v>2024</v>
      </c>
      <c r="H4" s="517" t="str">
        <f>+Inputs!O4&amp;"-"&amp;Inputs!P4</f>
        <v>2022-2023</v>
      </c>
      <c r="I4" s="506" t="str">
        <f>+Inputs!P4&amp;"-"&amp;Inputs!Q4</f>
        <v>2023-2024</v>
      </c>
      <c r="J4" s="517">
        <v>2023</v>
      </c>
      <c r="K4" s="506">
        <v>2024</v>
      </c>
      <c r="L4" s="517">
        <v>2023</v>
      </c>
      <c r="M4" s="506">
        <v>2024</v>
      </c>
      <c r="N4" s="420">
        <v>2023</v>
      </c>
      <c r="O4" s="420">
        <v>2024</v>
      </c>
      <c r="P4" s="421"/>
      <c r="Q4" s="626"/>
      <c r="R4" s="421"/>
      <c r="S4" s="421"/>
      <c r="T4" s="421"/>
      <c r="U4" s="421"/>
      <c r="V4" s="421"/>
      <c r="W4" s="421"/>
      <c r="X4" s="421"/>
      <c r="Y4" s="421"/>
      <c r="Z4" s="421"/>
      <c r="AA4" s="421"/>
      <c r="AB4" s="421"/>
      <c r="AC4" s="421"/>
      <c r="AD4" s="421"/>
      <c r="AE4" s="421"/>
      <c r="AF4" s="421"/>
      <c r="AG4" s="421"/>
      <c r="AH4" s="421"/>
      <c r="AI4" s="421"/>
      <c r="AJ4" s="421"/>
      <c r="AK4" s="421"/>
      <c r="AL4" s="421"/>
      <c r="AM4" s="421"/>
      <c r="AN4" s="421"/>
      <c r="AO4" s="417"/>
      <c r="AP4" s="421"/>
      <c r="AQ4" s="417"/>
      <c r="AR4" s="417"/>
      <c r="AS4" s="417"/>
      <c r="AT4" s="417"/>
      <c r="AU4" s="417"/>
      <c r="AV4" s="417"/>
      <c r="AW4" s="417"/>
      <c r="AX4" s="417"/>
      <c r="AY4" s="417"/>
      <c r="AZ4" s="417"/>
    </row>
    <row r="5" spans="1:52" s="392" customFormat="1" ht="3.75" customHeight="1" x14ac:dyDescent="0.25">
      <c r="A5" s="417"/>
      <c r="B5" s="424"/>
      <c r="C5" s="424"/>
      <c r="D5" s="424"/>
      <c r="E5" s="507"/>
      <c r="F5" s="518"/>
      <c r="G5" s="507"/>
      <c r="H5" s="518"/>
      <c r="I5" s="507"/>
      <c r="J5" s="518"/>
      <c r="K5" s="507"/>
      <c r="L5" s="518"/>
      <c r="M5" s="507"/>
      <c r="N5" s="424"/>
      <c r="O5" s="424"/>
      <c r="P5" s="425"/>
      <c r="Q5" s="626"/>
      <c r="R5" s="425"/>
      <c r="S5" s="425"/>
      <c r="T5" s="425"/>
      <c r="U5" s="425"/>
      <c r="V5" s="425"/>
      <c r="W5" s="425"/>
      <c r="X5" s="425"/>
      <c r="Y5" s="425"/>
      <c r="Z5" s="425"/>
      <c r="AA5" s="425"/>
      <c r="AB5" s="425"/>
      <c r="AC5" s="425"/>
      <c r="AD5" s="425"/>
      <c r="AE5" s="425"/>
      <c r="AF5" s="425"/>
      <c r="AG5" s="425"/>
      <c r="AH5" s="425"/>
      <c r="AI5" s="425"/>
      <c r="AJ5" s="425"/>
      <c r="AK5" s="425"/>
      <c r="AL5" s="425"/>
      <c r="AM5" s="425"/>
      <c r="AN5" s="425"/>
      <c r="AO5" s="425"/>
      <c r="AP5" s="425"/>
      <c r="AQ5" s="425"/>
      <c r="AR5" s="425"/>
      <c r="AS5" s="425"/>
      <c r="AT5" s="425"/>
      <c r="AU5" s="425"/>
      <c r="AV5" s="425"/>
      <c r="AW5" s="425"/>
      <c r="AX5" s="425"/>
      <c r="AY5" s="425"/>
      <c r="AZ5" s="425"/>
    </row>
    <row r="6" spans="1:52" s="401" customFormat="1" ht="17.25" customHeight="1" x14ac:dyDescent="0.25">
      <c r="A6" s="426" t="str">
        <f>+D91</f>
        <v xml:space="preserve"> Equity</v>
      </c>
      <c r="B6" s="427" t="str" cm="1">
        <f t="array" aca="1" ref="B6" ca="1">IFERROR(_FV(A6,"Name"),"")</f>
        <v/>
      </c>
      <c r="C6" s="428" t="str" cm="1">
        <f t="array" aca="1" ref="C6" ca="1">IFERROR(_FV(A6,"Ticker symbol",TRUE),"")</f>
        <v/>
      </c>
      <c r="D6" s="508" t="str">
        <f ca="1">IFERROR(D94/D93-1,"")</f>
        <v/>
      </c>
      <c r="E6" s="509" t="str">
        <f ca="1">IFERROR(D97/D94-1,"")</f>
        <v/>
      </c>
      <c r="F6" s="519" t="str">
        <f ca="1">IFERROR(D95/D94,"")</f>
        <v/>
      </c>
      <c r="G6" s="520" t="str">
        <f ca="1">IFERROR(D100/D97,"")</f>
        <v/>
      </c>
      <c r="H6" s="526" t="str">
        <f ca="1">IFERROR(D96/D94,"")</f>
        <v/>
      </c>
      <c r="I6" s="509" t="str">
        <f ca="1">IFERROR(D105/D97,"")</f>
        <v/>
      </c>
      <c r="J6" s="556" t="str" cm="1">
        <f t="array" aca="1" ref="J6" ca="1">IFERROR((_FV(A6,"Market cap",TRUE)/1000000+D$121-D$111)/D$94,"")</f>
        <v/>
      </c>
      <c r="K6" s="557" t="str" cm="1">
        <f t="array" aca="1" ref="K6" ca="1">IFERROR((_FV(A6,"Market cap",TRUE)/1000000+D$121-D$111)/D$97,"")</f>
        <v/>
      </c>
      <c r="L6" s="558" t="str" cm="1">
        <f t="array" aca="1" ref="L6" ca="1">+IFERROR((_FV(A6,"Market cap",TRUE)/1000000+D$121-D$111)/D$95,"")</f>
        <v/>
      </c>
      <c r="M6" s="559" t="str" cm="1">
        <f t="array" aca="1" ref="M6" ca="1">IFERROR((_FV(A6,"Market cap",TRUE)/1000000+D$121-D$111)/D$100,"")</f>
        <v/>
      </c>
      <c r="N6" s="560" t="str" cm="1">
        <f t="array" aca="1" ref="N6" ca="1">IFERROR((_FV(A6,"Market cap",TRUE)/1000000)/D$96,"")</f>
        <v/>
      </c>
      <c r="O6" s="561" t="str" cm="1">
        <f t="array" aca="1" ref="O6" ca="1">IFERROR((_FV(A6,"Market cap",TRUE)/1000000)/D$105,"")</f>
        <v/>
      </c>
      <c r="P6" s="430"/>
      <c r="Q6" s="626"/>
      <c r="R6" s="433"/>
      <c r="S6" s="434"/>
      <c r="T6" s="433"/>
      <c r="U6" s="433"/>
      <c r="V6" s="434"/>
      <c r="W6" s="433"/>
      <c r="X6" s="433"/>
      <c r="Y6" s="433"/>
      <c r="Z6" s="433"/>
      <c r="AA6" s="433"/>
      <c r="AB6" s="434"/>
      <c r="AC6" s="434"/>
      <c r="AD6" s="429"/>
      <c r="AE6" s="429"/>
      <c r="AF6" s="429"/>
      <c r="AG6" s="429"/>
      <c r="AH6" s="429"/>
      <c r="AI6" s="434"/>
      <c r="AJ6" s="434"/>
      <c r="AK6" s="434"/>
      <c r="AL6" s="435"/>
      <c r="AM6" s="436"/>
      <c r="AN6" s="437"/>
      <c r="AO6" s="434"/>
      <c r="AP6" s="434"/>
    </row>
    <row r="7" spans="1:52" ht="3.75" customHeight="1" x14ac:dyDescent="0.25">
      <c r="A7" s="426"/>
      <c r="B7" s="438"/>
      <c r="C7" s="439"/>
      <c r="E7" s="510"/>
      <c r="F7" s="521"/>
      <c r="G7" s="522"/>
      <c r="H7" s="527"/>
      <c r="I7" s="528"/>
      <c r="J7" s="527"/>
      <c r="K7" s="528"/>
      <c r="L7" s="541"/>
      <c r="M7" s="542"/>
      <c r="N7" s="443"/>
      <c r="O7" s="444"/>
      <c r="P7" s="441"/>
      <c r="Q7" s="441"/>
      <c r="R7" s="445"/>
      <c r="S7" s="444"/>
      <c r="T7" s="445"/>
      <c r="U7" s="445"/>
      <c r="V7" s="444"/>
      <c r="W7" s="445"/>
      <c r="X7" s="445"/>
      <c r="Y7" s="445"/>
      <c r="Z7" s="445"/>
      <c r="AA7" s="445"/>
      <c r="AB7" s="444"/>
      <c r="AC7" s="444"/>
      <c r="AD7" s="440"/>
      <c r="AE7" s="440"/>
      <c r="AF7" s="440"/>
      <c r="AG7" s="440"/>
      <c r="AH7" s="440"/>
      <c r="AI7" s="444"/>
      <c r="AJ7" s="444"/>
      <c r="AK7" s="444"/>
      <c r="AL7" s="446"/>
      <c r="AM7" s="447"/>
      <c r="AN7" s="448"/>
      <c r="AO7" s="444"/>
      <c r="AP7" s="444"/>
    </row>
    <row r="8" spans="1:52" s="395" customFormat="1" ht="17.25" customHeight="1" x14ac:dyDescent="0.2">
      <c r="A8" s="426" t="str">
        <f>+E91</f>
        <v>PEER 1</v>
      </c>
      <c r="B8" s="427" t="str" cm="1">
        <f t="array" aca="1" ref="B8" ca="1">IFERROR(_FV(A8,"Name"),"")</f>
        <v/>
      </c>
      <c r="C8" s="428" t="str" cm="1">
        <f t="array" aca="1" ref="C8" ca="1">+IFERROR(_FV(A8,"Ticker symbol",TRUE),"")</f>
        <v/>
      </c>
      <c r="D8" s="511" t="str">
        <f>+IFERROR(E94/E93-1,"")</f>
        <v/>
      </c>
      <c r="E8" s="512" t="str">
        <f>IFERROR(E97/E94-1,"")</f>
        <v/>
      </c>
      <c r="F8" s="523" t="str">
        <f>IFERROR(E95/E94,"")</f>
        <v/>
      </c>
      <c r="G8" s="512" t="str">
        <f>+IFERROR(E100/E97,"")</f>
        <v/>
      </c>
      <c r="H8" s="523" t="str">
        <f>IFERROR(E96/E94,"")</f>
        <v/>
      </c>
      <c r="I8" s="512" t="str">
        <f ca="1">+IFERROR(D105/D99,"")</f>
        <v/>
      </c>
      <c r="J8" s="533" t="str" cm="1">
        <f t="array" aca="1" ref="J8" ca="1">+IFERROR((_FV(A8,"Market cap",TRUE)/1000000+E$121-E$111)/E$94,"")</f>
        <v/>
      </c>
      <c r="K8" s="534" t="str" cm="1">
        <f t="array" aca="1" ref="K8" ca="1">IFERROR(+(_FV(A8,"Market cap",TRUE)/1000000+E$121-E$111)/E$97,"")</f>
        <v/>
      </c>
      <c r="L8" s="539" t="str" cm="1">
        <f t="array" aca="1" ref="L8" ca="1">IFERROR(+(_FV(A8,"Market cap",TRUE)/1000000+E$121-E$111)/E$95,"")</f>
        <v/>
      </c>
      <c r="M8" s="540" t="str" cm="1">
        <f t="array" aca="1" ref="M8" ca="1">IFERROR(+(_FV(A8,"Market cap",TRUE)/1000000+E$121-E$111)/E$100,"")</f>
        <v/>
      </c>
      <c r="N8" s="432" t="str" cm="1">
        <f t="array" aca="1" ref="N8" ca="1">IFERROR(+(_FV(A8,"Market cap",TRUE)/1000000)/E$96,"")</f>
        <v/>
      </c>
      <c r="O8" s="431" t="str" cm="1">
        <f t="array" aca="1" ref="O8" ca="1">IFERROR(+(_FV(A8,"Market cap",TRUE)/1000000)/E$105,"")</f>
        <v/>
      </c>
      <c r="P8" s="430"/>
      <c r="Q8" s="430"/>
      <c r="R8" s="433"/>
      <c r="S8" s="434"/>
      <c r="T8" s="433"/>
      <c r="U8" s="433"/>
      <c r="V8" s="434"/>
      <c r="W8" s="433"/>
      <c r="X8" s="433"/>
      <c r="Y8" s="433"/>
      <c r="Z8" s="433"/>
      <c r="AA8" s="433"/>
      <c r="AB8" s="434"/>
      <c r="AC8" s="434"/>
      <c r="AD8" s="429"/>
      <c r="AE8" s="429"/>
      <c r="AF8" s="429"/>
      <c r="AG8" s="429"/>
      <c r="AH8" s="429"/>
      <c r="AI8" s="434"/>
      <c r="AJ8" s="434"/>
      <c r="AK8" s="434"/>
      <c r="AL8" s="435"/>
      <c r="AM8" s="436"/>
      <c r="AN8" s="437"/>
      <c r="AO8" s="434"/>
      <c r="AP8" s="434"/>
      <c r="AQ8" s="426"/>
      <c r="AR8" s="426"/>
      <c r="AS8" s="426"/>
      <c r="AT8" s="426"/>
      <c r="AU8" s="426"/>
      <c r="AV8" s="426"/>
      <c r="AW8" s="426"/>
      <c r="AX8" s="426"/>
      <c r="AY8" s="426"/>
      <c r="AZ8" s="426"/>
    </row>
    <row r="9" spans="1:52" s="395" customFormat="1" ht="17.25" customHeight="1" x14ac:dyDescent="0.2">
      <c r="A9" s="449" t="str">
        <f>+F91</f>
        <v>PEER 2</v>
      </c>
      <c r="B9" s="427" t="str" cm="1">
        <f t="array" aca="1" ref="B9" ca="1">IFERROR(_FV(A9,"Name"),"")</f>
        <v/>
      </c>
      <c r="C9" s="428" t="str" cm="1">
        <f t="array" aca="1" ref="C9" ca="1">+IFERROR(_FV(A9,"Ticker symbol",TRUE),"")</f>
        <v/>
      </c>
      <c r="D9" s="511" t="str">
        <f>IFERROR(F94/F93-1,"")</f>
        <v/>
      </c>
      <c r="E9" s="512" t="str">
        <f>IFERROR(+F97/F94-1,"")</f>
        <v/>
      </c>
      <c r="F9" s="523" t="str">
        <f>IFERROR(F95/F94,"")</f>
        <v/>
      </c>
      <c r="G9" s="512" t="str">
        <f>IFERROR(F100/F97,"")</f>
        <v/>
      </c>
      <c r="H9" s="523" t="str">
        <f>IFERROR(F96/F94,"")</f>
        <v/>
      </c>
      <c r="I9" s="512" t="str">
        <f>+IFERROR(F105/F97,"")</f>
        <v/>
      </c>
      <c r="J9" s="533" t="str" cm="1">
        <f t="array" aca="1" ref="J9" ca="1">IFERROR(+(_FV(A9,"Market cap",TRUE)/1000000+F$121-F$111)/F$94,"")</f>
        <v/>
      </c>
      <c r="K9" s="534" t="str" cm="1">
        <f t="array" aca="1" ref="K9" ca="1">IFERROR(+(_FV(A9,"Market cap",TRUE)/1000000+F$121-F$111)/F$97,"")</f>
        <v/>
      </c>
      <c r="L9" s="539" t="str" cm="1">
        <f t="array" aca="1" ref="L9" ca="1">IFERROR(+(_FV(A9,"Market cap",TRUE)/1000000+F$121-F$111)/F$95,"")</f>
        <v/>
      </c>
      <c r="M9" s="540" t="str" cm="1">
        <f t="array" aca="1" ref="M9" ca="1">IFERROR(+(_FV(A9,"Market cap",TRUE)/1000000+F$121-F$111)/F$100,"")</f>
        <v/>
      </c>
      <c r="N9" s="432" t="str" cm="1">
        <f t="array" aca="1" ref="N9" ca="1">IFERROR(+(_FV(A9,"Market cap",TRUE)/1000000)/F$96,"")</f>
        <v/>
      </c>
      <c r="O9" s="431" t="str" cm="1">
        <f t="array" aca="1" ref="O9" ca="1">IFERROR(+(_FV(A9,"Market cap",TRUE)/1000000)/F$105,"")</f>
        <v/>
      </c>
      <c r="P9" s="430"/>
      <c r="Q9" s="430"/>
      <c r="R9" s="433"/>
      <c r="S9" s="434"/>
      <c r="T9" s="433"/>
      <c r="U9" s="433"/>
      <c r="V9" s="434"/>
      <c r="W9" s="433"/>
      <c r="X9" s="433"/>
      <c r="Y9" s="433"/>
      <c r="Z9" s="433"/>
      <c r="AA9" s="433"/>
      <c r="AB9" s="434"/>
      <c r="AC9" s="434"/>
      <c r="AD9" s="429"/>
      <c r="AE9" s="429"/>
      <c r="AF9" s="429"/>
      <c r="AG9" s="429"/>
      <c r="AH9" s="429"/>
      <c r="AI9" s="434"/>
      <c r="AJ9" s="434"/>
      <c r="AK9" s="434"/>
      <c r="AL9" s="435"/>
      <c r="AM9" s="436"/>
      <c r="AN9" s="437"/>
      <c r="AO9" s="434"/>
      <c r="AP9" s="434"/>
      <c r="AQ9" s="426"/>
      <c r="AR9" s="426"/>
      <c r="AS9" s="426"/>
      <c r="AT9" s="426"/>
      <c r="AU9" s="426"/>
      <c r="AV9" s="426"/>
      <c r="AW9" s="426"/>
      <c r="AX9" s="426"/>
      <c r="AY9" s="426"/>
      <c r="AZ9" s="426"/>
    </row>
    <row r="10" spans="1:52" s="395" customFormat="1" ht="17.25" customHeight="1" x14ac:dyDescent="0.2">
      <c r="A10" s="449" t="str">
        <f>+G91</f>
        <v>PEER 3</v>
      </c>
      <c r="B10" s="427" t="str" cm="1">
        <f t="array" aca="1" ref="B10" ca="1">IFERROR(_FV(A10,"Name"),"")</f>
        <v/>
      </c>
      <c r="C10" s="428" t="str" cm="1">
        <f t="array" aca="1" ref="C10" ca="1">IFERROR(_FV(A10,"Ticker symbol",TRUE),"")</f>
        <v/>
      </c>
      <c r="D10" s="511" t="str">
        <f>+IFERROR(G94/G93-1,"")</f>
        <v/>
      </c>
      <c r="E10" s="512" t="str">
        <f>IFERROR(G97/G94-1,"")</f>
        <v/>
      </c>
      <c r="F10" s="523" t="str">
        <f>IFERROR(G95/G94,"")</f>
        <v/>
      </c>
      <c r="G10" s="512" t="str">
        <f>IFERROR(G100/G97,"")</f>
        <v/>
      </c>
      <c r="H10" s="523" t="str">
        <f>IFERROR(G96/G94,"")</f>
        <v/>
      </c>
      <c r="I10" s="512" t="str">
        <f>+IFERROR(G105/G97,"")</f>
        <v/>
      </c>
      <c r="J10" s="533" t="str" cm="1">
        <f t="array" aca="1" ref="J10" ca="1">IFERROR(+(_FV(A10,"Market cap",TRUE)/1000000+G$121-G$111)/G$94,"")</f>
        <v/>
      </c>
      <c r="K10" s="534" t="str" cm="1">
        <f t="array" aca="1" ref="K10" ca="1">IFERROR(+(_FV(A10,"Market cap",TRUE)/1000000+G$121-G$111)/G$97,"")</f>
        <v/>
      </c>
      <c r="L10" s="539" t="str" cm="1">
        <f t="array" aca="1" ref="L10" ca="1">IFERROR(+(_FV(A10,"Market cap",TRUE)/1000000+G$121-G$111)/G$95,"")</f>
        <v/>
      </c>
      <c r="M10" s="540" t="str" cm="1">
        <f t="array" aca="1" ref="M10" ca="1">IFERROR(+(_FV(A10,"Market cap",TRUE)/1000000+G$121-G$111)/G$100,"")</f>
        <v/>
      </c>
      <c r="N10" s="432" t="str" cm="1">
        <f t="array" aca="1" ref="N10" ca="1">IFERROR(+(_FV(A10,"Market cap",TRUE)/1000000)/G$96,"")</f>
        <v/>
      </c>
      <c r="O10" s="431" t="str" cm="1">
        <f t="array" aca="1" ref="O10" ca="1">IFERROR(+(_FV(A10,"Market cap",TRUE)/1000000)/G$105,"")</f>
        <v/>
      </c>
      <c r="P10" s="430"/>
      <c r="Q10" s="430"/>
      <c r="R10" s="430"/>
      <c r="S10" s="434"/>
      <c r="T10" s="433"/>
      <c r="U10" s="433"/>
      <c r="V10" s="434"/>
      <c r="W10" s="433"/>
      <c r="X10" s="433"/>
      <c r="Y10" s="433"/>
      <c r="Z10" s="433"/>
      <c r="AA10" s="433"/>
      <c r="AB10" s="434"/>
      <c r="AC10" s="434"/>
      <c r="AD10" s="429"/>
      <c r="AE10" s="429"/>
      <c r="AF10" s="429"/>
      <c r="AG10" s="429"/>
      <c r="AH10" s="429"/>
      <c r="AI10" s="434"/>
      <c r="AJ10" s="434"/>
      <c r="AK10" s="434"/>
      <c r="AL10" s="435"/>
      <c r="AM10" s="436"/>
      <c r="AN10" s="437"/>
      <c r="AO10" s="434"/>
      <c r="AP10" s="434"/>
      <c r="AQ10" s="426"/>
      <c r="AR10" s="426"/>
      <c r="AS10" s="426"/>
      <c r="AT10" s="426"/>
      <c r="AU10" s="426"/>
      <c r="AV10" s="426"/>
      <c r="AW10" s="426"/>
      <c r="AX10" s="426"/>
      <c r="AY10" s="426"/>
      <c r="AZ10" s="426"/>
    </row>
    <row r="11" spans="1:52" s="395" customFormat="1" ht="17.25" customHeight="1" x14ac:dyDescent="0.2">
      <c r="A11" s="449" t="str">
        <f>+H91</f>
        <v>PEER 4</v>
      </c>
      <c r="B11" s="427" t="str" cm="1">
        <f t="array" aca="1" ref="B11" ca="1">IFERROR(_FV(A11,"Name"),"")</f>
        <v/>
      </c>
      <c r="C11" s="428" t="str" cm="1">
        <f t="array" aca="1" ref="C11" ca="1">IFERROR(_FV(A11,"Ticker symbol",TRUE),"")</f>
        <v/>
      </c>
      <c r="D11" s="511" t="str">
        <f>IFERROR(H94/H93-1,"")</f>
        <v/>
      </c>
      <c r="E11" s="512" t="str">
        <f>IFERROR(H97/H94-1,"")</f>
        <v/>
      </c>
      <c r="F11" s="523" t="str">
        <f>IFERROR(H95/H94,"")</f>
        <v/>
      </c>
      <c r="G11" s="512" t="str">
        <f>IFERROR(H100/H97,"")</f>
        <v/>
      </c>
      <c r="H11" s="523" t="str">
        <f>IFERROR(H96/H94,"")</f>
        <v/>
      </c>
      <c r="I11" s="512" t="str">
        <f>+IFERROR(H105/H102,"")</f>
        <v/>
      </c>
      <c r="J11" s="533" t="str" cm="1">
        <f t="array" aca="1" ref="J11" ca="1">IFERROR((_FV(A11,"Market cap",TRUE)/1000000+H$121-H$111)/H$94,"")</f>
        <v/>
      </c>
      <c r="K11" s="534" t="str" cm="1">
        <f t="array" aca="1" ref="K11" ca="1">IFERROR(+(_FV(A11,"Market cap",TRUE)/1000000+H$121-H$111)/H$97,"")</f>
        <v/>
      </c>
      <c r="L11" s="539" t="str" cm="1">
        <f t="array" aca="1" ref="L11" ca="1">IFERROR(+(_FV(A11,"Market cap",TRUE)/1000000+H$121-H$111)/H$95,"")</f>
        <v/>
      </c>
      <c r="M11" s="540" t="str" cm="1">
        <f t="array" aca="1" ref="M11" ca="1">IFERROR(+(_FV(A11,"Market cap",TRUE)/1000000+H$121-H$111)/H$100,"")</f>
        <v/>
      </c>
      <c r="N11" s="432" t="str" cm="1">
        <f t="array" aca="1" ref="N11" ca="1">IFERROR(+(_FV(A11,"Market cap",TRUE)/1000000)/H$96,"")</f>
        <v/>
      </c>
      <c r="O11" s="431" t="str" cm="1">
        <f t="array" aca="1" ref="O11" ca="1">IFERROR(+(_FV(A11,"Market cap",TRUE)/1000000)/H$105,"")</f>
        <v/>
      </c>
      <c r="P11" s="430"/>
      <c r="Q11" s="430"/>
      <c r="R11" s="430"/>
      <c r="S11" s="434" t="s">
        <v>149</v>
      </c>
      <c r="T11" s="433"/>
      <c r="U11" s="433"/>
      <c r="V11" s="434"/>
      <c r="W11" s="433"/>
      <c r="X11" s="433"/>
      <c r="Y11" s="433"/>
      <c r="Z11" s="433"/>
      <c r="AA11" s="433"/>
      <c r="AB11" s="434"/>
      <c r="AC11" s="434"/>
      <c r="AD11" s="429"/>
      <c r="AE11" s="429"/>
      <c r="AF11" s="429"/>
      <c r="AG11" s="429"/>
      <c r="AH11" s="429"/>
      <c r="AI11" s="434"/>
      <c r="AJ11" s="434"/>
      <c r="AK11" s="434"/>
      <c r="AL11" s="435"/>
      <c r="AM11" s="436"/>
      <c r="AN11" s="437"/>
      <c r="AO11" s="434"/>
      <c r="AP11" s="434"/>
      <c r="AQ11" s="426"/>
      <c r="AR11" s="426"/>
      <c r="AS11" s="426"/>
      <c r="AT11" s="426"/>
      <c r="AU11" s="426"/>
      <c r="AV11" s="426"/>
      <c r="AW11" s="426"/>
      <c r="AX11" s="426"/>
      <c r="AY11" s="426"/>
      <c r="AZ11" s="426"/>
    </row>
    <row r="12" spans="1:52" s="395" customFormat="1" ht="17.25" customHeight="1" x14ac:dyDescent="0.2">
      <c r="A12" s="449" t="str">
        <f>+I91</f>
        <v>PEER 5</v>
      </c>
      <c r="B12" s="427" t="str" cm="1">
        <f t="array" aca="1" ref="B12" ca="1">IFERROR(_FV(A12,"Name"),"")</f>
        <v/>
      </c>
      <c r="C12" s="428" t="str" cm="1">
        <f t="array" aca="1" ref="C12" ca="1">IFERROR(_FV(A12,"Ticker symbol",TRUE),"")</f>
        <v/>
      </c>
      <c r="D12" s="511" t="str">
        <f>+IFERROR(I94/I93-1,"")</f>
        <v/>
      </c>
      <c r="E12" s="512" t="str">
        <f>IFERROR(I97/I94-1,"")</f>
        <v/>
      </c>
      <c r="F12" s="523" t="str">
        <f>IFERROR(I95/I94,"")</f>
        <v/>
      </c>
      <c r="G12" s="512" t="str">
        <f>IFERROR(I100/I97,"")</f>
        <v/>
      </c>
      <c r="H12" s="523" t="str">
        <f>IFERROR(I96/I94,"")</f>
        <v/>
      </c>
      <c r="I12" s="512" t="str">
        <f>+IFERROR(I105/I97,"")</f>
        <v/>
      </c>
      <c r="J12" s="533" t="str" cm="1">
        <f t="array" aca="1" ref="J12" ca="1">IFERROR((_FV(A12,"Market cap",TRUE)/1000000+I$121-I$111)/I$94,"")</f>
        <v/>
      </c>
      <c r="K12" s="534" t="str" cm="1">
        <f t="array" aca="1" ref="K12" ca="1">IFERROR(+(_FV(A12,"Market cap",TRUE)/1000000+I$121-I$111)/I$97,"")</f>
        <v/>
      </c>
      <c r="L12" s="539" t="str" cm="1">
        <f t="array" aca="1" ref="L12" ca="1">IFERROR(+(_FV(A12,"Market cap",TRUE)/1000000+I$121-I$111)/I$95,"")</f>
        <v/>
      </c>
      <c r="M12" s="540" t="str" cm="1">
        <f t="array" aca="1" ref="M12" ca="1">IFERROR(+(_FV(A12,"Market cap",TRUE)/1000000+I$121-I$111)/I$100,"")</f>
        <v/>
      </c>
      <c r="N12" s="432" t="str" cm="1">
        <f t="array" aca="1" ref="N12" ca="1">IFERROR(+(_FV(A12,"Market cap",TRUE)/1000000)/I$96,"")</f>
        <v/>
      </c>
      <c r="O12" s="431" t="str" cm="1">
        <f t="array" aca="1" ref="O12" ca="1">IFERROR(+(_FV(A12,"Market cap",TRUE)/1000000)/I$105,"")</f>
        <v/>
      </c>
      <c r="P12" s="430"/>
      <c r="Q12" s="430"/>
      <c r="R12" s="430"/>
      <c r="S12" s="434" t="s">
        <v>150</v>
      </c>
      <c r="T12" s="433"/>
      <c r="U12" s="433"/>
      <c r="V12" s="434"/>
      <c r="W12" s="433"/>
      <c r="X12" s="433"/>
      <c r="Y12" s="433"/>
      <c r="Z12" s="433"/>
      <c r="AA12" s="433"/>
      <c r="AB12" s="434"/>
      <c r="AC12" s="434"/>
      <c r="AD12" s="429"/>
      <c r="AE12" s="429"/>
      <c r="AF12" s="429"/>
      <c r="AG12" s="429"/>
      <c r="AH12" s="429"/>
      <c r="AI12" s="434"/>
      <c r="AJ12" s="434"/>
      <c r="AK12" s="434"/>
      <c r="AL12" s="435"/>
      <c r="AM12" s="436"/>
      <c r="AN12" s="437"/>
      <c r="AO12" s="434"/>
      <c r="AP12" s="434"/>
      <c r="AQ12" s="426"/>
      <c r="AR12" s="426"/>
      <c r="AS12" s="426"/>
      <c r="AT12" s="426"/>
      <c r="AU12" s="426"/>
      <c r="AV12" s="426"/>
      <c r="AW12" s="426"/>
      <c r="AX12" s="426"/>
      <c r="AY12" s="426"/>
      <c r="AZ12" s="426"/>
    </row>
    <row r="13" spans="1:52" s="395" customFormat="1" ht="17.25" customHeight="1" x14ac:dyDescent="0.2">
      <c r="A13" s="449" t="str">
        <f>+J91</f>
        <v>PEER 6</v>
      </c>
      <c r="B13" s="427" t="str" cm="1">
        <f t="array" aca="1" ref="B13" ca="1">IFERROR(_FV(A13,"Name"),"")</f>
        <v/>
      </c>
      <c r="C13" s="428" t="str" cm="1">
        <f t="array" aca="1" ref="C13" ca="1">IFERROR(_FV(A13,"Ticker symbol",TRUE),"")</f>
        <v/>
      </c>
      <c r="D13" s="511" t="str">
        <f>IFERROR(J94/J93-1,"")</f>
        <v/>
      </c>
      <c r="E13" s="512" t="str">
        <f>IFERROR(J97/J94-1,"")</f>
        <v/>
      </c>
      <c r="F13" s="523" t="str">
        <f>IFERROR(J95/J94,"")</f>
        <v/>
      </c>
      <c r="G13" s="512" t="str">
        <f>IFERROR(J100/J97,"")</f>
        <v/>
      </c>
      <c r="H13" s="529" t="str">
        <f>IFERROR(J96/J94,"")</f>
        <v/>
      </c>
      <c r="I13" s="512" t="str">
        <f>+IFERROR(J105/J97,"")</f>
        <v/>
      </c>
      <c r="J13" s="533" t="str" cm="1">
        <f t="array" aca="1" ref="J13" ca="1">IFERROR(+(_FV(A13,"Market cap",TRUE)/1000000+J$121-J$111)/J$94,"")</f>
        <v/>
      </c>
      <c r="K13" s="534" t="str" cm="1">
        <f t="array" aca="1" ref="K13" ca="1">IFERROR(+(_FV(A13,"Market cap",TRUE)/1000000+J$121-J$111)/J$97,"")</f>
        <v/>
      </c>
      <c r="L13" s="539" t="str" cm="1">
        <f t="array" aca="1" ref="L13" ca="1">IFERROR(+(_FV(A13,"Market cap",TRUE)/1000000+J$121-J$111)/J$95,"")</f>
        <v/>
      </c>
      <c r="M13" s="540" t="str" cm="1">
        <f t="array" aca="1" ref="M13" ca="1">IFERROR(+(_FV(A13,"Market cap",TRUE)/1000000+J$121-J$111)/J$100,"")</f>
        <v/>
      </c>
      <c r="N13" s="432" t="str" cm="1">
        <f t="array" aca="1" ref="N13" ca="1">IFERROR(+(_FV(A13,"Market cap",TRUE)/1000000)/J$96,"")</f>
        <v/>
      </c>
      <c r="O13" s="431" t="str" cm="1">
        <f t="array" aca="1" ref="O13" ca="1">IFERROR(+(_FV(A13,"Market cap",TRUE)/1000000)/J$105,"")</f>
        <v/>
      </c>
      <c r="P13" s="430"/>
      <c r="Q13" s="430"/>
      <c r="R13" s="430"/>
      <c r="S13" s="434" t="s">
        <v>151</v>
      </c>
      <c r="T13" s="433"/>
      <c r="U13" s="433"/>
      <c r="V13" s="434"/>
      <c r="W13" s="433"/>
      <c r="X13" s="433"/>
      <c r="Y13" s="433"/>
      <c r="Z13" s="433"/>
      <c r="AA13" s="433"/>
      <c r="AB13" s="434"/>
      <c r="AC13" s="434"/>
      <c r="AD13" s="429"/>
      <c r="AE13" s="429"/>
      <c r="AF13" s="429"/>
      <c r="AG13" s="429"/>
      <c r="AH13" s="429"/>
      <c r="AI13" s="434"/>
      <c r="AJ13" s="434"/>
      <c r="AK13" s="434"/>
      <c r="AL13" s="435"/>
      <c r="AM13" s="436"/>
      <c r="AN13" s="437"/>
      <c r="AO13" s="434"/>
      <c r="AP13" s="434"/>
      <c r="AQ13" s="426"/>
      <c r="AR13" s="426"/>
      <c r="AS13" s="426"/>
      <c r="AT13" s="426"/>
      <c r="AU13" s="426"/>
      <c r="AV13" s="426"/>
      <c r="AW13" s="426"/>
      <c r="AX13" s="426"/>
      <c r="AY13" s="426"/>
      <c r="AZ13" s="426"/>
    </row>
    <row r="14" spans="1:52" s="395" customFormat="1" ht="17.25" customHeight="1" x14ac:dyDescent="0.2">
      <c r="A14" s="449" t="str">
        <f>+K91</f>
        <v>PEER 7</v>
      </c>
      <c r="B14" s="427" t="str" cm="1">
        <f t="array" aca="1" ref="B14" ca="1">IFERROR(_FV(A14,"Name"),"")</f>
        <v/>
      </c>
      <c r="C14" s="428" t="str" cm="1">
        <f t="array" aca="1" ref="C14" ca="1">IFERROR(_FV(A14,"Ticker symbol",TRUE),"")</f>
        <v/>
      </c>
      <c r="D14" s="511" t="str">
        <f>IFERROR(K94/K93-1,"")</f>
        <v/>
      </c>
      <c r="E14" s="512" t="str">
        <f>IFERROR(K97/K94-1,"")</f>
        <v/>
      </c>
      <c r="F14" s="523" t="str">
        <f>+IFERROR(K95/K94,"")</f>
        <v/>
      </c>
      <c r="G14" s="512" t="str">
        <f>IFERROR(K100/K97,"")</f>
        <v/>
      </c>
      <c r="H14" s="529" t="str">
        <f>IFERROR(K96/K94,"")</f>
        <v/>
      </c>
      <c r="I14" s="512" t="str">
        <f>+IFERROR(K105/K97,"")</f>
        <v/>
      </c>
      <c r="J14" s="533" t="str" cm="1">
        <f t="array" aca="1" ref="J14" ca="1">IFERROR((_FV(A14,"Market cap",TRUE)/1000000+D$121-K$111)/K$94,"")</f>
        <v/>
      </c>
      <c r="K14" s="534" t="str" cm="1">
        <f t="array" aca="1" ref="K14" ca="1">IFERROR(+(_FV(A14,"Market cap",TRUE)/1000000+D$121-K$111)/K$97,"")</f>
        <v/>
      </c>
      <c r="L14" s="539" t="str" cm="1">
        <f t="array" aca="1" ref="L14" ca="1">IFERROR(+(_FV(A14,"Market cap",TRUE)/1000000+D$121-K$111)/K$95,"")</f>
        <v/>
      </c>
      <c r="M14" s="540" t="str" cm="1">
        <f t="array" aca="1" ref="M14" ca="1">IFERROR(+(_FV(A14,"Market cap",TRUE)/1000000+D$121-K$111)/K$100,"")</f>
        <v/>
      </c>
      <c r="N14" s="432" t="str" cm="1">
        <f t="array" aca="1" ref="N14" ca="1">IFERROR(+(_FV(A14,"Market cap",TRUE)/1000000)/K$96,"")</f>
        <v/>
      </c>
      <c r="O14" s="431" t="str" cm="1">
        <f t="array" aca="1" ref="O14" ca="1">IFERROR(+(_FV(A14,"Market cap",TRUE)/1000000)/K$105,"")</f>
        <v/>
      </c>
      <c r="P14" s="430"/>
      <c r="Q14" s="430"/>
      <c r="R14" s="430"/>
      <c r="S14" s="434" t="s">
        <v>152</v>
      </c>
      <c r="T14" s="433"/>
      <c r="U14" s="433"/>
      <c r="V14" s="434"/>
      <c r="W14" s="433"/>
      <c r="X14" s="433"/>
      <c r="Y14" s="433"/>
      <c r="Z14" s="433"/>
      <c r="AA14" s="433"/>
      <c r="AB14" s="434"/>
      <c r="AC14" s="434"/>
      <c r="AD14" s="429"/>
      <c r="AE14" s="429"/>
      <c r="AF14" s="429"/>
      <c r="AG14" s="429"/>
      <c r="AH14" s="429"/>
      <c r="AI14" s="434"/>
      <c r="AJ14" s="434"/>
      <c r="AK14" s="434"/>
      <c r="AL14" s="435"/>
      <c r="AM14" s="436"/>
      <c r="AN14" s="437"/>
      <c r="AO14" s="434"/>
      <c r="AP14" s="434"/>
      <c r="AQ14" s="426"/>
      <c r="AR14" s="426"/>
      <c r="AS14" s="426"/>
      <c r="AT14" s="426"/>
      <c r="AU14" s="426"/>
      <c r="AV14" s="426"/>
      <c r="AW14" s="426"/>
      <c r="AX14" s="426"/>
      <c r="AY14" s="426"/>
      <c r="AZ14" s="426"/>
    </row>
    <row r="15" spans="1:52" s="395" customFormat="1" ht="17.25" customHeight="1" x14ac:dyDescent="0.2">
      <c r="A15" s="449" t="str">
        <f>+L91</f>
        <v>PEER 8</v>
      </c>
      <c r="B15" s="427" t="str" cm="1">
        <f t="array" aca="1" ref="B15" ca="1">IFERROR(_FV(A15,"Name"),"")</f>
        <v/>
      </c>
      <c r="C15" s="428" t="str" cm="1">
        <f t="array" aca="1" ref="C15" ca="1">IFERROR(_FV(A15,"Ticker symbol",TRUE),"")</f>
        <v/>
      </c>
      <c r="D15" s="511" t="str">
        <f>+IFERROR(L94/L93,"")</f>
        <v/>
      </c>
      <c r="E15" s="512" t="str">
        <f>IFERROR(L97/L94,"")</f>
        <v/>
      </c>
      <c r="F15" s="523" t="str">
        <f>IFERROR(L95/L94,"")</f>
        <v/>
      </c>
      <c r="G15" s="512" t="str">
        <f>IFERROR(L100/L97,"")</f>
        <v/>
      </c>
      <c r="H15" s="529" t="str">
        <f>IFERROR(L96/L94,"")</f>
        <v/>
      </c>
      <c r="I15" s="512" t="str">
        <f>+IFERROR(L105/L97,"")</f>
        <v/>
      </c>
      <c r="J15" s="533" t="str" cm="1">
        <f t="array" aca="1" ref="J15" ca="1">IFERROR(+(_FV(A15,"Market cap",TRUE)/1000000+L$121-L$111)/L$94,"")</f>
        <v/>
      </c>
      <c r="K15" s="534" t="str" cm="1">
        <f t="array" aca="1" ref="K15" ca="1">IFERROR(+(_FV(A15,"Market cap",TRUE)/1000000+L$121-L$111)/L$97,"")</f>
        <v/>
      </c>
      <c r="L15" s="539" t="str" cm="1">
        <f t="array" aca="1" ref="L15" ca="1">IFERROR(+(_FV(A15,"Market cap",TRUE)/1000000+L$121-L$111)/L$95,"")</f>
        <v/>
      </c>
      <c r="M15" s="540" t="str" cm="1">
        <f t="array" aca="1" ref="M15" ca="1">IFERROR(+(_FV(A15,"Market cap",TRUE)/1000000+L$121-L$111)/L$100,"")</f>
        <v/>
      </c>
      <c r="N15" s="432" t="str" cm="1">
        <f t="array" aca="1" ref="N15" ca="1">IFERROR(+(_FV(A15,"Market cap",TRUE)/1000000)/L$96,"")</f>
        <v/>
      </c>
      <c r="O15" s="431" t="str" cm="1">
        <f t="array" aca="1" ref="O15" ca="1">IFERROR(+(_FV(A15,"Market cap",TRUE)/1000000)/L$105,"")</f>
        <v/>
      </c>
      <c r="P15" s="430"/>
      <c r="Q15" s="430"/>
      <c r="R15" s="430"/>
      <c r="S15" s="434"/>
      <c r="T15" s="433"/>
      <c r="U15" s="433"/>
      <c r="V15" s="434"/>
      <c r="W15" s="433"/>
      <c r="X15" s="433"/>
      <c r="Y15" s="433"/>
      <c r="Z15" s="433"/>
      <c r="AA15" s="433"/>
      <c r="AB15" s="434"/>
      <c r="AC15" s="434"/>
      <c r="AD15" s="429"/>
      <c r="AE15" s="429"/>
      <c r="AF15" s="429"/>
      <c r="AG15" s="429"/>
      <c r="AH15" s="429"/>
      <c r="AI15" s="434"/>
      <c r="AJ15" s="434"/>
      <c r="AK15" s="434"/>
      <c r="AL15" s="435"/>
      <c r="AM15" s="436"/>
      <c r="AN15" s="437"/>
      <c r="AO15" s="434"/>
      <c r="AP15" s="434"/>
      <c r="AQ15" s="426"/>
      <c r="AR15" s="426"/>
      <c r="AS15" s="426"/>
      <c r="AT15" s="426"/>
      <c r="AU15" s="426"/>
      <c r="AV15" s="426"/>
      <c r="AW15" s="426"/>
      <c r="AX15" s="426"/>
      <c r="AY15" s="426"/>
      <c r="AZ15" s="426"/>
    </row>
    <row r="16" spans="1:52" s="395" customFormat="1" ht="17.25" customHeight="1" x14ac:dyDescent="0.2">
      <c r="A16" s="449" t="str">
        <f>+M91</f>
        <v>PEER 9</v>
      </c>
      <c r="B16" s="427" t="str" cm="1">
        <f t="array" aca="1" ref="B16" ca="1">IFERROR(_FV(A16,"Name"),"")</f>
        <v/>
      </c>
      <c r="C16" s="428" t="str" cm="1">
        <f t="array" aca="1" ref="C16" ca="1">IFERROR(_FV(A16,"Ticker symbol",TRUE),"")</f>
        <v/>
      </c>
      <c r="D16" s="511" t="str">
        <f>IFERROR(M94/M93-1,"")</f>
        <v/>
      </c>
      <c r="E16" s="512" t="str">
        <f>IFERROR(M97/M94-1,"")</f>
        <v/>
      </c>
      <c r="F16" s="523" t="str">
        <f>IFERROR(M95/M94,"")</f>
        <v/>
      </c>
      <c r="G16" s="512" t="str">
        <f>IFERROR(M100/M97,"")</f>
        <v/>
      </c>
      <c r="H16" s="529" t="str">
        <f>IFERROR(M96/M94,"")</f>
        <v/>
      </c>
      <c r="I16" s="512" t="str">
        <f>+IFERROR(M105/M97,"")</f>
        <v/>
      </c>
      <c r="J16" s="533" t="str" cm="1">
        <f t="array" aca="1" ref="J16" ca="1">IFERROR(+(_FV(A16,"Market cap",TRUE)/1000000+M$121-M$111)/M$94,"")</f>
        <v/>
      </c>
      <c r="K16" s="534" t="str" cm="1">
        <f t="array" aca="1" ref="K16" ca="1">IFERROR(+(_FV(A16,"Market cap",TRUE)/1000000+M$121-M$111)/M$97,"")</f>
        <v/>
      </c>
      <c r="L16" s="539" t="str" cm="1">
        <f t="array" aca="1" ref="L16" ca="1">IFERROR(+(_FV(A16,"Market cap",TRUE)/1000000+M$121-M$111)/M$95,"")</f>
        <v/>
      </c>
      <c r="M16" s="540" t="str" cm="1">
        <f t="array" aca="1" ref="M16" ca="1">IFERROR(+(_FV(A16,"Market cap",TRUE)/1000000+M$121-M$111)/M$100,"")</f>
        <v/>
      </c>
      <c r="N16" s="432" t="str" cm="1">
        <f t="array" aca="1" ref="N16" ca="1">IFERROR(+(_FV(A16,"Market cap",TRUE)/1000000)/M$96,"")</f>
        <v/>
      </c>
      <c r="O16" s="431" t="str" cm="1">
        <f t="array" aca="1" ref="O16" ca="1">IFERROR(+(_FV(A16,"Market cap",TRUE)/1000000)/M$105,"")</f>
        <v/>
      </c>
      <c r="P16" s="430"/>
      <c r="Q16" s="430"/>
      <c r="R16" s="430"/>
      <c r="S16" s="434"/>
      <c r="T16" s="433"/>
      <c r="U16" s="433"/>
      <c r="V16" s="434"/>
      <c r="W16" s="433"/>
      <c r="X16" s="433"/>
      <c r="Y16" s="433"/>
      <c r="Z16" s="433"/>
      <c r="AA16" s="433"/>
      <c r="AB16" s="434"/>
      <c r="AC16" s="434"/>
      <c r="AD16" s="429"/>
      <c r="AE16" s="429"/>
      <c r="AF16" s="429"/>
      <c r="AG16" s="429"/>
      <c r="AH16" s="429"/>
      <c r="AI16" s="434"/>
      <c r="AJ16" s="434"/>
      <c r="AK16" s="434"/>
      <c r="AL16" s="435"/>
      <c r="AM16" s="436"/>
      <c r="AN16" s="437"/>
      <c r="AO16" s="434"/>
      <c r="AP16" s="434"/>
      <c r="AQ16" s="426"/>
      <c r="AR16" s="426"/>
      <c r="AS16" s="426"/>
      <c r="AT16" s="426"/>
      <c r="AU16" s="426"/>
      <c r="AV16" s="426"/>
      <c r="AW16" s="426"/>
      <c r="AX16" s="426"/>
      <c r="AY16" s="426"/>
      <c r="AZ16" s="426"/>
    </row>
    <row r="17" spans="1:42" s="395" customFormat="1" ht="17.25" customHeight="1" x14ac:dyDescent="0.2">
      <c r="A17" s="449" t="str">
        <f>+N91</f>
        <v>PEER 10</v>
      </c>
      <c r="B17" s="563" t="str" cm="1">
        <f t="array" aca="1" ref="B17" ca="1">IFERROR(_FV(A17,"Name"),"")</f>
        <v/>
      </c>
      <c r="C17" s="564" t="str" cm="1">
        <f t="array" aca="1" ref="C17" ca="1">+IFERROR(_FV(A17,"Ticker symbol",TRUE),"")</f>
        <v/>
      </c>
      <c r="D17" s="565" t="str">
        <f>IFERROR(N94/N93-1,"")</f>
        <v/>
      </c>
      <c r="E17" s="566" t="str">
        <f>IFERROR(N97/N94-1,"")</f>
        <v/>
      </c>
      <c r="F17" s="567" t="str">
        <f>IFERROR(N95/N94,"")</f>
        <v/>
      </c>
      <c r="G17" s="566" t="str">
        <f>IFERROR(N100/N97,"")</f>
        <v/>
      </c>
      <c r="H17" s="568" t="str">
        <f>IFERROR(N96/N94,"")</f>
        <v/>
      </c>
      <c r="I17" s="566" t="str">
        <f>+IFERROR(N105/N97,"")</f>
        <v/>
      </c>
      <c r="J17" s="569" t="str" cm="1">
        <f t="array" aca="1" ref="J17" ca="1">IFERROR(+(_FV(A17,"Market cap",TRUE)/1000000+N$121-N$111)/N$94,"")</f>
        <v/>
      </c>
      <c r="K17" s="570" t="str" cm="1">
        <f t="array" aca="1" ref="K17" ca="1">IFERROR(+(_FV(A17,"Market cap",TRUE)/1000000+N$121-N$111)/N$97,"")</f>
        <v/>
      </c>
      <c r="L17" s="571" t="str" cm="1">
        <f t="array" aca="1" ref="L17" ca="1">IFERROR(+(_FV(A17,"Market cap",TRUE)/1000000+N$121-N$111)/N$95,"")</f>
        <v/>
      </c>
      <c r="M17" s="572" t="str" cm="1">
        <f t="array" aca="1" ref="M17" ca="1">IFERROR(+(_FV(A17,"Market cap",TRUE)/1000000+N$121-N$111)/N$100,"")</f>
        <v/>
      </c>
      <c r="N17" s="573" t="str" cm="1">
        <f t="array" aca="1" ref="N17" ca="1">IFERROR(+(_FV(A17,"Market cap",TRUE)/1000000)/N$96,"")</f>
        <v/>
      </c>
      <c r="O17" s="574" t="str" cm="1">
        <f t="array" aca="1" ref="O17" ca="1">IFERROR(+(_FV(A17,"Market cap",TRUE)/1000000)/N$105,"")</f>
        <v/>
      </c>
      <c r="P17" s="430"/>
      <c r="Q17" s="430"/>
      <c r="R17" s="430"/>
      <c r="S17" s="434"/>
      <c r="T17" s="433"/>
      <c r="U17" s="433"/>
      <c r="V17" s="434"/>
      <c r="W17" s="433"/>
      <c r="X17" s="433"/>
      <c r="Y17" s="433"/>
      <c r="Z17" s="433"/>
      <c r="AA17" s="433"/>
      <c r="AB17" s="434"/>
      <c r="AC17" s="434"/>
      <c r="AD17" s="429"/>
      <c r="AE17" s="429"/>
      <c r="AF17" s="429"/>
      <c r="AG17" s="429"/>
      <c r="AH17" s="429"/>
      <c r="AI17" s="434"/>
      <c r="AJ17" s="434"/>
      <c r="AK17" s="434"/>
      <c r="AL17" s="435"/>
      <c r="AM17" s="436"/>
      <c r="AN17" s="437"/>
      <c r="AO17" s="434"/>
      <c r="AP17" s="434"/>
    </row>
    <row r="18" spans="1:42" s="392" customFormat="1" ht="15.75" customHeight="1" x14ac:dyDescent="0.25">
      <c r="A18" s="449"/>
      <c r="B18" s="394" t="s">
        <v>153</v>
      </c>
      <c r="C18" s="394"/>
      <c r="D18" s="513" t="str">
        <f t="shared" ref="D18:O18" ca="1" si="0">IFERROR(AVERAGE(D6:D17),"")</f>
        <v/>
      </c>
      <c r="E18" s="514" t="str">
        <f t="shared" ca="1" si="0"/>
        <v/>
      </c>
      <c r="F18" s="524" t="str">
        <f t="shared" ca="1" si="0"/>
        <v/>
      </c>
      <c r="G18" s="514" t="str">
        <f t="shared" ca="1" si="0"/>
        <v/>
      </c>
      <c r="H18" s="530" t="str">
        <f t="shared" ca="1" si="0"/>
        <v/>
      </c>
      <c r="I18" s="531" t="str">
        <f t="shared" ca="1" si="0"/>
        <v/>
      </c>
      <c r="J18" s="535" t="str">
        <f t="shared" ca="1" si="0"/>
        <v/>
      </c>
      <c r="K18" s="536" t="str">
        <f t="shared" ca="1" si="0"/>
        <v/>
      </c>
      <c r="L18" s="535" t="str">
        <f t="shared" ca="1" si="0"/>
        <v/>
      </c>
      <c r="M18" s="536" t="str">
        <f t="shared" ca="1" si="0"/>
        <v/>
      </c>
      <c r="N18" s="411" t="str">
        <f t="shared" ca="1" si="0"/>
        <v/>
      </c>
      <c r="O18" s="411" t="str">
        <f t="shared" ca="1" si="0"/>
        <v/>
      </c>
      <c r="P18" s="553"/>
      <c r="Q18" s="450"/>
      <c r="R18" s="450"/>
      <c r="S18" s="444"/>
      <c r="T18" s="450"/>
      <c r="U18" s="450"/>
      <c r="V18" s="444"/>
      <c r="W18" s="450"/>
      <c r="X18" s="450"/>
      <c r="Y18" s="450"/>
      <c r="Z18" s="450"/>
      <c r="AA18" s="450"/>
      <c r="AB18" s="450"/>
      <c r="AC18" s="444"/>
      <c r="AD18" s="450"/>
      <c r="AE18" s="450"/>
      <c r="AF18" s="450"/>
      <c r="AG18" s="450"/>
      <c r="AH18" s="450"/>
      <c r="AI18" s="444"/>
      <c r="AJ18" s="451"/>
      <c r="AK18" s="444"/>
      <c r="AL18" s="451"/>
      <c r="AM18" s="447"/>
      <c r="AN18" s="451"/>
      <c r="AO18" s="444"/>
      <c r="AP18" s="451"/>
    </row>
    <row r="19" spans="1:42" s="392" customFormat="1" ht="15.75" customHeight="1" x14ac:dyDescent="0.25">
      <c r="A19" s="449"/>
      <c r="B19" s="452" t="s">
        <v>154</v>
      </c>
      <c r="C19" s="394"/>
      <c r="D19" s="515" t="str">
        <f ca="1">IFERROR(+D18-D6,"")</f>
        <v/>
      </c>
      <c r="E19" s="516" t="str">
        <f ca="1">IFERROR(E18-E6,"")</f>
        <v/>
      </c>
      <c r="F19" s="525" t="str">
        <f ca="1">+IFERROR(F18-F6,"")</f>
        <v/>
      </c>
      <c r="G19" s="516" t="str">
        <f ca="1">IFERROR(G18-G6,"")</f>
        <v/>
      </c>
      <c r="H19" s="525" t="str">
        <f ca="1">IFERROR(+H6-H18,"")</f>
        <v/>
      </c>
      <c r="I19" s="516" t="str">
        <f ca="1">+IFERROR(I6-I18,"")</f>
        <v/>
      </c>
      <c r="J19" s="562" t="str">
        <f ca="1">+IFERROR(J6-J18,"")</f>
        <v/>
      </c>
      <c r="K19" s="537" t="str">
        <f ca="1">+IFERROR(K6-K18,"")</f>
        <v/>
      </c>
      <c r="L19" s="562" t="str">
        <f ca="1">IFERROR(+L6-L18,"")</f>
        <v/>
      </c>
      <c r="M19" s="537" t="str">
        <f ca="1">IFERROR(M6-M18,"")</f>
        <v/>
      </c>
      <c r="N19" s="562" t="str">
        <f ca="1">IFERROR(+N6-N18,"")</f>
        <v/>
      </c>
      <c r="O19" s="562" t="str">
        <f ca="1">IFERROR(+O6-O18,"")</f>
        <v/>
      </c>
      <c r="P19" s="554"/>
      <c r="Q19" s="445"/>
      <c r="R19" s="445"/>
      <c r="S19" s="444"/>
      <c r="T19" s="445"/>
      <c r="U19" s="445"/>
      <c r="V19" s="444"/>
      <c r="W19" s="445"/>
      <c r="X19" s="445"/>
      <c r="Y19" s="445"/>
      <c r="Z19" s="445"/>
      <c r="AA19" s="445"/>
      <c r="AB19" s="445"/>
      <c r="AC19" s="444"/>
      <c r="AD19" s="445"/>
      <c r="AE19" s="445"/>
      <c r="AF19" s="445"/>
      <c r="AG19" s="445"/>
      <c r="AH19" s="445"/>
      <c r="AI19" s="444"/>
      <c r="AJ19" s="453"/>
      <c r="AK19" s="444"/>
      <c r="AL19" s="453"/>
      <c r="AM19" s="444"/>
      <c r="AN19" s="453"/>
      <c r="AO19" s="444"/>
      <c r="AP19" s="453"/>
    </row>
    <row r="20" spans="1:42" s="392" customFormat="1" ht="14.25" customHeight="1" x14ac:dyDescent="0.2">
      <c r="A20" s="417"/>
      <c r="B20" s="417"/>
      <c r="C20" s="417"/>
      <c r="D20" s="417"/>
      <c r="E20" s="417"/>
      <c r="F20" s="417"/>
      <c r="G20" s="417"/>
      <c r="H20" s="417"/>
      <c r="I20" s="417"/>
      <c r="J20" s="417"/>
      <c r="K20" s="417"/>
      <c r="L20" s="417"/>
      <c r="M20" s="417"/>
      <c r="N20" s="417"/>
      <c r="O20" s="417"/>
      <c r="P20" s="455"/>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7"/>
    </row>
    <row r="21" spans="1:42" s="392" customFormat="1" ht="15" x14ac:dyDescent="0.25">
      <c r="A21" s="417"/>
      <c r="B21" s="454"/>
      <c r="C21" s="454"/>
      <c r="D21" s="801" t="s">
        <v>155</v>
      </c>
      <c r="E21" s="801"/>
      <c r="F21" s="801"/>
      <c r="G21" s="631" t="s">
        <v>156</v>
      </c>
      <c r="H21" s="631" t="s">
        <v>157</v>
      </c>
      <c r="I21" s="631" t="s">
        <v>158</v>
      </c>
      <c r="J21" s="801" t="s">
        <v>159</v>
      </c>
      <c r="K21" s="801"/>
      <c r="L21" s="801"/>
      <c r="M21" s="801" t="s">
        <v>160</v>
      </c>
      <c r="N21" s="801"/>
      <c r="O21" s="801"/>
      <c r="P21" s="551"/>
      <c r="Q21" s="455"/>
      <c r="R21" s="455"/>
      <c r="S21" s="455"/>
      <c r="T21" s="455"/>
      <c r="U21" s="455"/>
      <c r="V21" s="455"/>
      <c r="W21" s="455"/>
      <c r="X21" s="455"/>
      <c r="Y21" s="417"/>
      <c r="Z21" s="417"/>
      <c r="AA21" s="417"/>
      <c r="AB21" s="417"/>
      <c r="AC21" s="417"/>
      <c r="AD21" s="417"/>
      <c r="AE21" s="417"/>
      <c r="AF21" s="417"/>
      <c r="AG21" s="417"/>
      <c r="AH21" s="417"/>
      <c r="AI21" s="417"/>
      <c r="AJ21" s="417"/>
      <c r="AK21" s="417"/>
      <c r="AL21" s="417"/>
      <c r="AM21" s="417"/>
      <c r="AN21" s="417"/>
      <c r="AO21" s="417"/>
      <c r="AP21" s="417"/>
    </row>
    <row r="22" spans="1:42" s="392" customFormat="1" ht="14.25" customHeight="1" x14ac:dyDescent="0.25">
      <c r="A22" s="417"/>
      <c r="B22" s="456" t="s">
        <v>161</v>
      </c>
      <c r="C22" s="454"/>
      <c r="D22" s="420" t="s">
        <v>162</v>
      </c>
      <c r="E22" s="420" t="s">
        <v>163</v>
      </c>
      <c r="F22" s="420" t="s">
        <v>164</v>
      </c>
      <c r="G22" s="420" t="s">
        <v>165</v>
      </c>
      <c r="H22" s="420" t="s">
        <v>166</v>
      </c>
      <c r="I22" s="420" t="s">
        <v>167</v>
      </c>
      <c r="J22" s="420" t="s">
        <v>162</v>
      </c>
      <c r="K22" s="420" t="s">
        <v>163</v>
      </c>
      <c r="L22" s="420" t="s">
        <v>164</v>
      </c>
      <c r="M22" s="420" t="s">
        <v>162</v>
      </c>
      <c r="N22" s="420" t="s">
        <v>163</v>
      </c>
      <c r="O22" s="420" t="s">
        <v>164</v>
      </c>
      <c r="P22" s="551" t="s">
        <v>168</v>
      </c>
      <c r="Q22" s="455"/>
      <c r="R22" s="455"/>
      <c r="S22" s="455"/>
      <c r="T22" s="455"/>
      <c r="U22" s="455"/>
      <c r="V22" s="455"/>
      <c r="W22" s="455"/>
      <c r="X22" s="455"/>
      <c r="Y22" s="417"/>
      <c r="Z22" s="417"/>
      <c r="AA22" s="417"/>
      <c r="AB22" s="417"/>
      <c r="AC22" s="417"/>
      <c r="AD22" s="417"/>
      <c r="AE22" s="417"/>
      <c r="AF22" s="417"/>
      <c r="AG22" s="417"/>
      <c r="AH22" s="417"/>
      <c r="AI22" s="417"/>
      <c r="AJ22" s="417"/>
      <c r="AK22" s="417"/>
      <c r="AL22" s="417"/>
      <c r="AM22" s="417"/>
      <c r="AN22" s="417"/>
      <c r="AO22" s="417"/>
      <c r="AP22" s="417"/>
    </row>
    <row r="23" spans="1:42" s="392" customFormat="1" ht="3.75" customHeight="1" x14ac:dyDescent="0.25">
      <c r="A23" s="417"/>
      <c r="B23" s="457"/>
      <c r="C23" s="458"/>
      <c r="D23" s="546"/>
      <c r="E23" s="548"/>
      <c r="F23" s="543"/>
      <c r="G23" s="546"/>
      <c r="H23" s="548"/>
      <c r="I23" s="543"/>
      <c r="J23" s="458"/>
      <c r="K23" s="458"/>
      <c r="L23" s="543"/>
      <c r="M23" s="458"/>
      <c r="N23" s="458"/>
      <c r="O23" s="458"/>
      <c r="P23" s="552"/>
      <c r="Q23" s="455"/>
      <c r="R23" s="455"/>
      <c r="S23" s="455"/>
      <c r="T23" s="455"/>
      <c r="U23" s="455"/>
      <c r="V23" s="455"/>
      <c r="W23" s="455"/>
      <c r="X23" s="455"/>
      <c r="Y23" s="417"/>
      <c r="Z23" s="417"/>
      <c r="AA23" s="417"/>
      <c r="AB23" s="417"/>
      <c r="AC23" s="417"/>
      <c r="AD23" s="417"/>
      <c r="AE23" s="417"/>
      <c r="AF23" s="417"/>
      <c r="AG23" s="417"/>
      <c r="AH23" s="417"/>
      <c r="AI23" s="417"/>
      <c r="AJ23" s="417"/>
      <c r="AK23" s="417"/>
      <c r="AL23" s="417"/>
      <c r="AM23" s="417"/>
      <c r="AN23" s="417"/>
      <c r="AO23" s="417"/>
      <c r="AP23" s="417"/>
    </row>
    <row r="24" spans="1:42" s="392" customFormat="1" x14ac:dyDescent="0.2">
      <c r="A24" s="417"/>
      <c r="B24" s="417" t="s">
        <v>169</v>
      </c>
      <c r="C24" s="417"/>
      <c r="D24" s="547" t="str">
        <f ca="1">IFERROR(SMALL(K6:K17,2),"")</f>
        <v/>
      </c>
      <c r="E24" s="549" t="str">
        <f ca="1">IFERROR(SMALL(M6:M17,2),"")</f>
        <v/>
      </c>
      <c r="F24" s="544" t="str">
        <f ca="1">IFERROR(SMALL(O6:O17,2),"")</f>
        <v/>
      </c>
      <c r="G24" s="547">
        <f>-Inputs!$Q$100+Inputs!$Q$101</f>
        <v>0</v>
      </c>
      <c r="H24" s="549">
        <f>+Inputs!$Q$102</f>
        <v>0</v>
      </c>
      <c r="I24" s="544">
        <f>+Inputs!$Q$103</f>
        <v>0</v>
      </c>
      <c r="J24" s="459" t="str">
        <f ca="1">IFERROR(+D24*$D$97+G24+H24+I24,"")</f>
        <v/>
      </c>
      <c r="K24" s="459" t="str">
        <f ca="1">IFERROR(E24*$D$100+G24+H24+I24,"")</f>
        <v/>
      </c>
      <c r="L24" s="545" t="str">
        <f ca="1">IFERROR(F24*$D$105,"")</f>
        <v/>
      </c>
      <c r="M24" s="550" t="str" cm="1">
        <f t="array" aca="1" ref="M24" ca="1">IFERROR(+(J24/_FV($A$6,"Shares outstanding",TRUE)*1000000)/$P$24-1,"")</f>
        <v/>
      </c>
      <c r="N24" s="550" t="str" cm="1">
        <f t="array" aca="1" ref="N24" ca="1">IFERROR((+K24/_FV($A$6,"Shares outstanding",TRUE)*1000000)/$P$24-1,"")</f>
        <v/>
      </c>
      <c r="O24" s="550" t="str" cm="1">
        <f t="array" aca="1" ref="O24" ca="1">IFERROR(+(L24/_FV($A$6,"Shares outstanding",TRUE)*1000000)/$P$24-1,"")</f>
        <v/>
      </c>
      <c r="P24" s="555" t="e" cm="1">
        <f t="array" aca="1" ref="P24" ca="1">+_FV(A6,"Price")</f>
        <v>#NAME?</v>
      </c>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row>
    <row r="25" spans="1:42" ht="15" x14ac:dyDescent="0.25">
      <c r="B25" s="417" t="s">
        <v>153</v>
      </c>
      <c r="C25" s="417"/>
      <c r="D25" s="547" t="str">
        <f ca="1">+IFERROR(AVERAGE(K6:K17),"")</f>
        <v/>
      </c>
      <c r="E25" s="549" t="str">
        <f ca="1">IFERROR(+AVERAGE(M6:M17),"")</f>
        <v/>
      </c>
      <c r="F25" s="544" t="str">
        <f ca="1">IFERROR(+AVERAGE(O6:O17),"")</f>
        <v/>
      </c>
      <c r="G25" s="547">
        <f>-Inputs!$Q$100+Inputs!$Q$101</f>
        <v>0</v>
      </c>
      <c r="H25" s="549">
        <f>+Inputs!$Q$102</f>
        <v>0</v>
      </c>
      <c r="I25" s="544">
        <f>+Inputs!$Q$103</f>
        <v>0</v>
      </c>
      <c r="J25" s="459" t="str">
        <f ca="1">IFERROR(+D25*$D$97+G25+H25+I25,"")</f>
        <v/>
      </c>
      <c r="K25" s="459" t="str">
        <f ca="1">IFERROR(E25*$D$100+G25+H25+I25,"")</f>
        <v/>
      </c>
      <c r="L25" s="545" t="str">
        <f ca="1">IFERROR(+F25*$D$105,"")</f>
        <v/>
      </c>
      <c r="M25" s="550" t="str" cm="1">
        <f t="array" aca="1" ref="M25" ca="1">IFERROR(+(J25/_FV($A$6,"Shares outstanding",TRUE)*1000000)/$P$24-1,"")</f>
        <v/>
      </c>
      <c r="N25" s="550" t="str" cm="1">
        <f t="array" aca="1" ref="N25" ca="1">IFERROR((+K25/_FV($A$6,"Shares outstanding",TRUE)*1000000)/$P$24-1,"")</f>
        <v/>
      </c>
      <c r="O25" s="550" t="str" cm="1">
        <f t="array" aca="1" ref="O25" ca="1">IFERROR(+(L25/_FV($A$6,"Shares outstanding",TRUE)*1000000)/$P$24-1,"")</f>
        <v/>
      </c>
      <c r="P25" s="551"/>
    </row>
    <row r="26" spans="1:42" s="392" customFormat="1" x14ac:dyDescent="0.2">
      <c r="A26" s="417"/>
      <c r="B26" s="417" t="s">
        <v>170</v>
      </c>
      <c r="C26" s="417"/>
      <c r="D26" s="547" t="str">
        <f ca="1">IFERROR(MEDIAN(K6:K17),"")</f>
        <v/>
      </c>
      <c r="E26" s="549" t="str">
        <f ca="1">IFERROR(MEDIAN(M6:M17),"")</f>
        <v/>
      </c>
      <c r="F26" s="544" t="str">
        <f ca="1">IFERROR(MEDIAN(O6:O17),"")</f>
        <v/>
      </c>
      <c r="G26" s="547">
        <f>-Inputs!$Q$100+Inputs!$Q$101</f>
        <v>0</v>
      </c>
      <c r="H26" s="549">
        <f>+Inputs!$Q$102</f>
        <v>0</v>
      </c>
      <c r="I26" s="544">
        <f>+Inputs!$Q$103</f>
        <v>0</v>
      </c>
      <c r="J26" s="459" t="str">
        <f ca="1">IFERROR(D26*$D$97+G26+H26+I26,"")</f>
        <v/>
      </c>
      <c r="K26" s="459" t="str">
        <f ca="1">IFERROR(E26*$D$100+G26+H26+I26,"")</f>
        <v/>
      </c>
      <c r="L26" s="545" t="str">
        <f ca="1">IFERROR(+F26*$D$105,"")</f>
        <v/>
      </c>
      <c r="M26" s="550" t="str" cm="1">
        <f t="array" aca="1" ref="M26" ca="1">IFERROR(+(J26/_FV($A$6,"Shares outstanding",TRUE)*1000000)/$P$24-1,"")</f>
        <v/>
      </c>
      <c r="N26" s="550" t="str" cm="1">
        <f t="array" aca="1" ref="N26" ca="1">IFERROR((+K26/_FV($A$6,"Shares outstanding",TRUE)*1000000)/$P$24-1,"")</f>
        <v/>
      </c>
      <c r="O26" s="550" t="str" cm="1">
        <f t="array" aca="1" ref="O26" ca="1">+IFERROR((L26/_FV($A$6,"Shares outstanding",TRUE)*1000000)/$P$24-1,"")</f>
        <v/>
      </c>
      <c r="P26" s="552"/>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7"/>
    </row>
    <row r="27" spans="1:42" s="392" customFormat="1" x14ac:dyDescent="0.2">
      <c r="A27" s="417"/>
      <c r="B27" s="417" t="s">
        <v>171</v>
      </c>
      <c r="C27" s="417"/>
      <c r="D27" s="547" t="str">
        <f ca="1">IFERROR(LARGE(K6:K17,2),"")</f>
        <v/>
      </c>
      <c r="E27" s="549" t="str">
        <f ca="1">IFERROR(LARGE(M6:M17,2),"")</f>
        <v/>
      </c>
      <c r="F27" s="544" t="str">
        <f ca="1">IFERROR(LARGE(O6:O17,2),"")</f>
        <v/>
      </c>
      <c r="G27" s="547">
        <f>-Inputs!$Q$100+Inputs!$Q$101</f>
        <v>0</v>
      </c>
      <c r="H27" s="549">
        <f>+Inputs!$Q$102</f>
        <v>0</v>
      </c>
      <c r="I27" s="544">
        <f>+Inputs!$Q$103</f>
        <v>0</v>
      </c>
      <c r="J27" s="459" t="str">
        <f ca="1">IFERROR(+D27*$D$97+G27+H27+I27,"")</f>
        <v/>
      </c>
      <c r="K27" s="459" t="str">
        <f ca="1">IFERROR(E27*$D$100+G27+H27+I27,"")</f>
        <v/>
      </c>
      <c r="L27" s="545" t="str">
        <f ca="1">IFERROR(+F27*$D$105,"")</f>
        <v/>
      </c>
      <c r="M27" s="550" t="str" cm="1">
        <f t="array" aca="1" ref="M27" ca="1">IFERROR(+(J27/_FV($A$6,"Shares outstanding",TRUE)*1000000)/$P$24-1,"")</f>
        <v/>
      </c>
      <c r="N27" s="550" t="str" cm="1">
        <f t="array" aca="1" ref="N27" ca="1">IFERROR((+K27/_FV($A$6,"Shares outstanding",TRUE)*1000000)/$P$24-1,"")</f>
        <v/>
      </c>
      <c r="O27" s="550" t="str" cm="1">
        <f t="array" aca="1" ref="O27" ca="1">IFERROR(+(L27/_FV($A$6,"Shares outstanding",TRUE)*1000000)/$P$24-1,"")</f>
        <v/>
      </c>
      <c r="P27" s="552"/>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row>
    <row r="28" spans="1:42" s="392" customFormat="1" ht="14.25" customHeight="1" x14ac:dyDescent="0.2">
      <c r="A28" s="417"/>
      <c r="B28" s="417"/>
      <c r="C28" s="417"/>
      <c r="D28" s="417"/>
      <c r="E28" s="417"/>
      <c r="F28" s="417"/>
      <c r="G28" s="417"/>
      <c r="H28" s="417"/>
      <c r="I28" s="417"/>
      <c r="J28" s="417"/>
      <c r="K28" s="417"/>
      <c r="L28" s="417"/>
      <c r="M28" s="417"/>
      <c r="N28" s="417"/>
      <c r="O28" s="461"/>
      <c r="P28" s="417"/>
      <c r="Q28" s="417"/>
      <c r="R28" s="417"/>
      <c r="S28" s="417"/>
      <c r="T28" s="417"/>
      <c r="U28" s="417"/>
      <c r="V28" s="417"/>
      <c r="W28" s="417"/>
      <c r="X28" s="417"/>
      <c r="Y28" s="417"/>
      <c r="Z28" s="417"/>
      <c r="AA28" s="417"/>
      <c r="AB28" s="417"/>
      <c r="AC28" s="417"/>
      <c r="AD28" s="417"/>
      <c r="AE28" s="417"/>
      <c r="AF28" s="417"/>
      <c r="AG28" s="417"/>
      <c r="AH28" s="417"/>
      <c r="AI28" s="417"/>
      <c r="AJ28" s="417"/>
      <c r="AK28" s="417"/>
      <c r="AL28" s="417"/>
      <c r="AM28" s="417"/>
      <c r="AN28" s="417"/>
      <c r="AO28" s="417"/>
      <c r="AP28" s="417"/>
    </row>
    <row r="29" spans="1:42" s="395" customFormat="1" ht="14.25" customHeight="1" x14ac:dyDescent="0.2">
      <c r="A29" s="426"/>
      <c r="B29" s="628" t="s">
        <v>172</v>
      </c>
      <c r="C29" s="629"/>
      <c r="D29" s="402" t="str">
        <f ca="1">+LEFT(B6, FIND(" ", B6 &amp; " ") - 1)</f>
        <v/>
      </c>
      <c r="E29" s="402" t="str">
        <f>+E91</f>
        <v>PEER 1</v>
      </c>
      <c r="F29" s="402" t="str">
        <f t="shared" ref="F29:N29" si="1">+F91</f>
        <v>PEER 2</v>
      </c>
      <c r="G29" s="402" t="str">
        <f t="shared" si="1"/>
        <v>PEER 3</v>
      </c>
      <c r="H29" s="402" t="str">
        <f t="shared" si="1"/>
        <v>PEER 4</v>
      </c>
      <c r="I29" s="402" t="str">
        <f t="shared" si="1"/>
        <v>PEER 5</v>
      </c>
      <c r="J29" s="402" t="str">
        <f t="shared" si="1"/>
        <v>PEER 6</v>
      </c>
      <c r="K29" s="402" t="str">
        <f t="shared" si="1"/>
        <v>PEER 7</v>
      </c>
      <c r="L29" s="402" t="str">
        <f t="shared" si="1"/>
        <v>PEER 8</v>
      </c>
      <c r="M29" s="402" t="str">
        <f t="shared" si="1"/>
        <v>PEER 9</v>
      </c>
      <c r="N29" s="402" t="str">
        <f t="shared" si="1"/>
        <v>PEER 10</v>
      </c>
      <c r="O29" s="462" t="s">
        <v>153</v>
      </c>
      <c r="P29" s="426"/>
      <c r="Q29" s="426" t="s">
        <v>173</v>
      </c>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row>
    <row r="30" spans="1:42" s="392" customFormat="1" ht="3.75" customHeight="1" x14ac:dyDescent="0.2">
      <c r="A30" s="417"/>
      <c r="B30" s="452"/>
      <c r="C30" s="452"/>
      <c r="D30" s="452"/>
      <c r="E30" s="452"/>
      <c r="F30" s="452"/>
      <c r="G30" s="452"/>
      <c r="H30" s="452"/>
      <c r="I30" s="452"/>
      <c r="J30" s="452"/>
      <c r="K30" s="452"/>
      <c r="L30" s="452"/>
      <c r="M30" s="452"/>
      <c r="N30" s="452"/>
      <c r="O30" s="463"/>
      <c r="P30" s="417"/>
      <c r="Q30" s="417"/>
      <c r="R30" s="464"/>
      <c r="S30" s="417"/>
      <c r="T30" s="417"/>
      <c r="U30" s="417"/>
      <c r="V30" s="417"/>
      <c r="W30" s="417"/>
      <c r="X30" s="417"/>
      <c r="Y30" s="417"/>
      <c r="Z30" s="417"/>
      <c r="AA30" s="417"/>
      <c r="AB30" s="417"/>
      <c r="AC30" s="417"/>
      <c r="AD30" s="417"/>
      <c r="AE30" s="417"/>
      <c r="AF30" s="417"/>
      <c r="AG30" s="417"/>
      <c r="AH30" s="417"/>
      <c r="AI30" s="417"/>
      <c r="AJ30" s="417"/>
      <c r="AK30" s="417"/>
      <c r="AL30" s="417"/>
      <c r="AM30" s="417"/>
      <c r="AN30" s="417"/>
      <c r="AO30" s="417"/>
      <c r="AP30" s="417"/>
    </row>
    <row r="31" spans="1:42" s="392" customFormat="1" ht="14.25" customHeight="1" x14ac:dyDescent="0.2">
      <c r="A31" s="417"/>
      <c r="B31" s="417" t="s">
        <v>174</v>
      </c>
      <c r="C31" s="417"/>
      <c r="D31" s="465" t="str">
        <f ca="1">IFERROR(D101/D97,"")</f>
        <v/>
      </c>
      <c r="E31" s="465" t="str">
        <f t="shared" ref="E31:N31" si="2">IFERROR(E101/E97,"")</f>
        <v/>
      </c>
      <c r="F31" s="465" t="str">
        <f t="shared" si="2"/>
        <v/>
      </c>
      <c r="G31" s="465" t="str">
        <f t="shared" si="2"/>
        <v/>
      </c>
      <c r="H31" s="465" t="str">
        <f t="shared" si="2"/>
        <v/>
      </c>
      <c r="I31" s="465" t="str">
        <f t="shared" si="2"/>
        <v/>
      </c>
      <c r="J31" s="465" t="str">
        <f t="shared" si="2"/>
        <v/>
      </c>
      <c r="K31" s="465" t="str">
        <f t="shared" si="2"/>
        <v/>
      </c>
      <c r="L31" s="465" t="str">
        <f t="shared" si="2"/>
        <v/>
      </c>
      <c r="M31" s="465" t="str">
        <f t="shared" si="2"/>
        <v/>
      </c>
      <c r="N31" s="465" t="str">
        <f t="shared" si="2"/>
        <v/>
      </c>
      <c r="O31" s="699" t="str">
        <f t="shared" ref="O31:O36" ca="1" si="3">IFERROR(+AVERAGE(D31:N31),"")</f>
        <v/>
      </c>
      <c r="P31" s="417"/>
      <c r="Q31" s="417"/>
      <c r="R31" s="464"/>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row>
    <row r="32" spans="1:42" s="392" customFormat="1" ht="14.25" customHeight="1" x14ac:dyDescent="0.2">
      <c r="A32" s="417"/>
      <c r="B32" s="417" t="s">
        <v>36</v>
      </c>
      <c r="C32" s="417"/>
      <c r="D32" s="465" t="str">
        <f ca="1">IFERROR(D105/D97,"")</f>
        <v/>
      </c>
      <c r="E32" s="465" t="str">
        <f t="shared" ref="E32:N32" si="4">IFERROR(E105/E97,"")</f>
        <v/>
      </c>
      <c r="F32" s="465" t="str">
        <f t="shared" si="4"/>
        <v/>
      </c>
      <c r="G32" s="465" t="str">
        <f t="shared" si="4"/>
        <v/>
      </c>
      <c r="H32" s="465" t="str">
        <f t="shared" si="4"/>
        <v/>
      </c>
      <c r="I32" s="465" t="str">
        <f t="shared" si="4"/>
        <v/>
      </c>
      <c r="J32" s="465" t="str">
        <f t="shared" si="4"/>
        <v/>
      </c>
      <c r="K32" s="465" t="str">
        <f t="shared" si="4"/>
        <v/>
      </c>
      <c r="L32" s="465" t="str">
        <f t="shared" si="4"/>
        <v/>
      </c>
      <c r="M32" s="465" t="str">
        <f t="shared" si="4"/>
        <v/>
      </c>
      <c r="N32" s="465" t="str">
        <f t="shared" si="4"/>
        <v/>
      </c>
      <c r="O32" s="699" t="str">
        <f t="shared" ca="1" si="3"/>
        <v/>
      </c>
      <c r="P32" s="417"/>
      <c r="Q32" s="417"/>
      <c r="R32" s="464"/>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row>
    <row r="33" spans="2:18" s="392" customFormat="1" ht="14.25" customHeight="1" x14ac:dyDescent="0.2">
      <c r="B33" s="417" t="s">
        <v>175</v>
      </c>
      <c r="C33" s="417"/>
      <c r="D33" s="465" t="str">
        <f ca="1">IFERROR(D105/D117,"")</f>
        <v/>
      </c>
      <c r="E33" s="465" t="str">
        <f t="shared" ref="E33:N33" si="5">IFERROR(E105/E117,"")</f>
        <v/>
      </c>
      <c r="F33" s="465" t="str">
        <f t="shared" si="5"/>
        <v/>
      </c>
      <c r="G33" s="465" t="str">
        <f t="shared" si="5"/>
        <v/>
      </c>
      <c r="H33" s="465" t="str">
        <f t="shared" si="5"/>
        <v/>
      </c>
      <c r="I33" s="465" t="str">
        <f t="shared" si="5"/>
        <v/>
      </c>
      <c r="J33" s="465" t="str">
        <f t="shared" si="5"/>
        <v/>
      </c>
      <c r="K33" s="465" t="str">
        <f t="shared" si="5"/>
        <v/>
      </c>
      <c r="L33" s="465" t="str">
        <f t="shared" si="5"/>
        <v/>
      </c>
      <c r="M33" s="465" t="str">
        <f t="shared" si="5"/>
        <v/>
      </c>
      <c r="N33" s="465" t="str">
        <f t="shared" si="5"/>
        <v/>
      </c>
      <c r="O33" s="699" t="str">
        <f t="shared" ca="1" si="3"/>
        <v/>
      </c>
      <c r="P33" s="417"/>
      <c r="Q33" s="417"/>
      <c r="R33" s="464"/>
    </row>
    <row r="34" spans="2:18" s="392" customFormat="1" ht="14.25" customHeight="1" x14ac:dyDescent="0.2">
      <c r="B34" s="417" t="s">
        <v>176</v>
      </c>
      <c r="C34" s="417"/>
      <c r="D34" s="465" t="str">
        <f ca="1">IFERROR(+(D102/D121)*(1-(D104/D103)),"")</f>
        <v/>
      </c>
      <c r="E34" s="465" t="str">
        <f t="shared" ref="E34:N34" si="6">IFERROR(+(E102/E121)*(1-(E104/E103)),"")</f>
        <v/>
      </c>
      <c r="F34" s="465" t="str">
        <f t="shared" si="6"/>
        <v/>
      </c>
      <c r="G34" s="465" t="str">
        <f t="shared" si="6"/>
        <v/>
      </c>
      <c r="H34" s="465" t="str">
        <f t="shared" si="6"/>
        <v/>
      </c>
      <c r="I34" s="465" t="str">
        <f t="shared" si="6"/>
        <v/>
      </c>
      <c r="J34" s="465" t="str">
        <f t="shared" si="6"/>
        <v/>
      </c>
      <c r="K34" s="465" t="str">
        <f t="shared" si="6"/>
        <v/>
      </c>
      <c r="L34" s="465" t="str">
        <f t="shared" si="6"/>
        <v/>
      </c>
      <c r="M34" s="465" t="str">
        <f t="shared" si="6"/>
        <v/>
      </c>
      <c r="N34" s="465" t="str">
        <f t="shared" si="6"/>
        <v/>
      </c>
      <c r="O34" s="699" t="str">
        <f t="shared" ca="1" si="3"/>
        <v/>
      </c>
      <c r="P34" s="417"/>
      <c r="Q34" s="417"/>
      <c r="R34" s="464"/>
    </row>
    <row r="35" spans="2:18" s="392" customFormat="1" ht="14.25" customHeight="1" x14ac:dyDescent="0.2">
      <c r="B35" s="417" t="s">
        <v>177</v>
      </c>
      <c r="C35" s="417"/>
      <c r="D35" s="465" t="str">
        <f ca="1">IFERROR(+D105/D122,"")</f>
        <v/>
      </c>
      <c r="E35" s="465" t="str">
        <f t="shared" ref="E35:N35" si="7">IFERROR(+E105/E122,"")</f>
        <v/>
      </c>
      <c r="F35" s="465" t="str">
        <f t="shared" si="7"/>
        <v/>
      </c>
      <c r="G35" s="465" t="str">
        <f t="shared" si="7"/>
        <v/>
      </c>
      <c r="H35" s="465" t="str">
        <f t="shared" si="7"/>
        <v/>
      </c>
      <c r="I35" s="465" t="str">
        <f t="shared" si="7"/>
        <v/>
      </c>
      <c r="J35" s="465" t="str">
        <f t="shared" si="7"/>
        <v/>
      </c>
      <c r="K35" s="465" t="str">
        <f t="shared" si="7"/>
        <v/>
      </c>
      <c r="L35" s="465" t="str">
        <f t="shared" si="7"/>
        <v/>
      </c>
      <c r="M35" s="465" t="str">
        <f t="shared" si="7"/>
        <v/>
      </c>
      <c r="N35" s="465" t="str">
        <f t="shared" si="7"/>
        <v/>
      </c>
      <c r="O35" s="699" t="str">
        <f t="shared" ca="1" si="3"/>
        <v/>
      </c>
      <c r="P35" s="417"/>
      <c r="Q35" s="417"/>
      <c r="R35" s="464"/>
    </row>
    <row r="36" spans="2:18" s="392" customFormat="1" ht="14.25" customHeight="1" x14ac:dyDescent="0.2">
      <c r="B36" s="417" t="s">
        <v>178</v>
      </c>
      <c r="C36" s="417"/>
      <c r="D36" s="465" t="str">
        <f ca="1">IFERROR(+D105/(D121+D122),"")</f>
        <v/>
      </c>
      <c r="E36" s="465" t="str">
        <f t="shared" ref="E36:N36" si="8">IFERROR(+E105/(E121+E122),"")</f>
        <v/>
      </c>
      <c r="F36" s="465" t="str">
        <f t="shared" si="8"/>
        <v/>
      </c>
      <c r="G36" s="465" t="str">
        <f t="shared" si="8"/>
        <v/>
      </c>
      <c r="H36" s="465" t="str">
        <f t="shared" si="8"/>
        <v/>
      </c>
      <c r="I36" s="465" t="str">
        <f t="shared" si="8"/>
        <v/>
      </c>
      <c r="J36" s="465" t="str">
        <f t="shared" si="8"/>
        <v/>
      </c>
      <c r="K36" s="465" t="str">
        <f t="shared" si="8"/>
        <v/>
      </c>
      <c r="L36" s="465" t="str">
        <f t="shared" si="8"/>
        <v/>
      </c>
      <c r="M36" s="465" t="str">
        <f t="shared" si="8"/>
        <v/>
      </c>
      <c r="N36" s="465" t="str">
        <f t="shared" si="8"/>
        <v/>
      </c>
      <c r="O36" s="699" t="str">
        <f t="shared" ca="1" si="3"/>
        <v/>
      </c>
      <c r="P36" s="417"/>
      <c r="Q36" s="417"/>
      <c r="R36" s="464"/>
    </row>
    <row r="37" spans="2:18" s="392" customFormat="1" ht="3.75" customHeight="1" x14ac:dyDescent="0.2">
      <c r="B37" s="417"/>
      <c r="C37" s="417"/>
      <c r="D37" s="417"/>
      <c r="E37" s="417"/>
      <c r="F37" s="417"/>
      <c r="G37" s="417"/>
      <c r="H37" s="417"/>
      <c r="I37" s="417"/>
      <c r="J37" s="417"/>
      <c r="K37" s="417"/>
      <c r="L37" s="417"/>
      <c r="M37" s="417"/>
      <c r="N37" s="417"/>
      <c r="O37" s="461"/>
      <c r="P37" s="417"/>
      <c r="Q37" s="417"/>
      <c r="R37" s="464"/>
    </row>
    <row r="38" spans="2:18" s="395" customFormat="1" ht="14.25" customHeight="1" x14ac:dyDescent="0.2">
      <c r="B38" s="628" t="s">
        <v>179</v>
      </c>
      <c r="C38" s="629"/>
      <c r="D38" s="402" t="str">
        <f ca="1">+D29</f>
        <v/>
      </c>
      <c r="E38" s="402" t="str">
        <f t="shared" ref="E38:O38" si="9">+E29</f>
        <v>PEER 1</v>
      </c>
      <c r="F38" s="402" t="str">
        <f t="shared" si="9"/>
        <v>PEER 2</v>
      </c>
      <c r="G38" s="402" t="str">
        <f t="shared" si="9"/>
        <v>PEER 3</v>
      </c>
      <c r="H38" s="402" t="str">
        <f t="shared" si="9"/>
        <v>PEER 4</v>
      </c>
      <c r="I38" s="402" t="str">
        <f t="shared" si="9"/>
        <v>PEER 5</v>
      </c>
      <c r="J38" s="402" t="str">
        <f t="shared" si="9"/>
        <v>PEER 6</v>
      </c>
      <c r="K38" s="402" t="str">
        <f t="shared" si="9"/>
        <v>PEER 7</v>
      </c>
      <c r="L38" s="402" t="str">
        <f t="shared" si="9"/>
        <v>PEER 8</v>
      </c>
      <c r="M38" s="402" t="str">
        <f t="shared" si="9"/>
        <v>PEER 9</v>
      </c>
      <c r="N38" s="402" t="str">
        <f t="shared" si="9"/>
        <v>PEER 10</v>
      </c>
      <c r="O38" s="402" t="str">
        <f t="shared" si="9"/>
        <v>Average</v>
      </c>
      <c r="P38" s="426"/>
      <c r="Q38" s="426"/>
      <c r="R38" s="630"/>
    </row>
    <row r="39" spans="2:18" s="392" customFormat="1" ht="3.75" customHeight="1" x14ac:dyDescent="0.2">
      <c r="B39" s="452"/>
      <c r="C39" s="452"/>
      <c r="D39" s="452"/>
      <c r="E39" s="452"/>
      <c r="F39" s="452"/>
      <c r="G39" s="452"/>
      <c r="H39" s="452"/>
      <c r="I39" s="452"/>
      <c r="J39" s="452"/>
      <c r="K39" s="452"/>
      <c r="L39" s="452"/>
      <c r="M39" s="452"/>
      <c r="N39" s="452"/>
      <c r="O39" s="463"/>
      <c r="P39" s="417"/>
      <c r="Q39" s="417"/>
      <c r="R39" s="464"/>
    </row>
    <row r="40" spans="2:18" s="392" customFormat="1" ht="14.25" customHeight="1" x14ac:dyDescent="0.2">
      <c r="B40" s="417" t="s">
        <v>180</v>
      </c>
      <c r="C40" s="417"/>
      <c r="D40" s="466" t="str">
        <f ca="1">IFERROR(D121/D117,"")</f>
        <v/>
      </c>
      <c r="E40" s="466" t="str">
        <f t="shared" ref="E40:N40" si="10">IFERROR(E121/E117,"")</f>
        <v/>
      </c>
      <c r="F40" s="466" t="str">
        <f t="shared" si="10"/>
        <v/>
      </c>
      <c r="G40" s="466" t="str">
        <f t="shared" si="10"/>
        <v/>
      </c>
      <c r="H40" s="466" t="str">
        <f t="shared" si="10"/>
        <v/>
      </c>
      <c r="I40" s="466" t="str">
        <f t="shared" si="10"/>
        <v/>
      </c>
      <c r="J40" s="466" t="str">
        <f t="shared" si="10"/>
        <v/>
      </c>
      <c r="K40" s="466" t="str">
        <f t="shared" si="10"/>
        <v/>
      </c>
      <c r="L40" s="466" t="str">
        <f t="shared" si="10"/>
        <v/>
      </c>
      <c r="M40" s="466" t="str">
        <f t="shared" si="10"/>
        <v/>
      </c>
      <c r="N40" s="466" t="str">
        <f t="shared" si="10"/>
        <v/>
      </c>
      <c r="O40" s="698" t="str">
        <f t="shared" ref="O40:O42" ca="1" si="11">IFERROR(+AVERAGE(D40:N40),"")</f>
        <v/>
      </c>
      <c r="P40" s="417"/>
      <c r="Q40" s="417"/>
      <c r="R40" s="464"/>
    </row>
    <row r="41" spans="2:18" s="392" customFormat="1" ht="14.25" customHeight="1" x14ac:dyDescent="0.2">
      <c r="B41" s="417" t="s">
        <v>181</v>
      </c>
      <c r="C41" s="417"/>
      <c r="D41" s="466" t="str">
        <f ca="1">IFERROR(+(D121-D111)/D100,"")</f>
        <v/>
      </c>
      <c r="E41" s="466" t="str">
        <f t="shared" ref="E41:N41" si="12">IFERROR(+(E121-E111)/E100,"")</f>
        <v/>
      </c>
      <c r="F41" s="466" t="str">
        <f t="shared" si="12"/>
        <v/>
      </c>
      <c r="G41" s="466" t="str">
        <f t="shared" si="12"/>
        <v/>
      </c>
      <c r="H41" s="466" t="str">
        <f t="shared" si="12"/>
        <v/>
      </c>
      <c r="I41" s="466" t="str">
        <f t="shared" si="12"/>
        <v/>
      </c>
      <c r="J41" s="466" t="str">
        <f t="shared" si="12"/>
        <v/>
      </c>
      <c r="K41" s="466" t="str">
        <f t="shared" si="12"/>
        <v/>
      </c>
      <c r="L41" s="466" t="str">
        <f t="shared" si="12"/>
        <v/>
      </c>
      <c r="M41" s="466" t="str">
        <f t="shared" si="12"/>
        <v/>
      </c>
      <c r="N41" s="466" t="str">
        <f t="shared" si="12"/>
        <v/>
      </c>
      <c r="O41" s="698" t="str">
        <f t="shared" ca="1" si="11"/>
        <v/>
      </c>
      <c r="P41" s="417"/>
      <c r="Q41" s="417"/>
      <c r="R41" s="464"/>
    </row>
    <row r="42" spans="2:18" s="392" customFormat="1" ht="14.25" customHeight="1" x14ac:dyDescent="0.2">
      <c r="B42" s="417" t="s">
        <v>182</v>
      </c>
      <c r="C42" s="417"/>
      <c r="D42" s="466" t="str">
        <f t="shared" ref="D42:N42" ca="1" si="13">IFERROR(D101/D102,"")</f>
        <v/>
      </c>
      <c r="E42" s="466" t="str">
        <f t="shared" si="13"/>
        <v/>
      </c>
      <c r="F42" s="466" t="str">
        <f t="shared" si="13"/>
        <v/>
      </c>
      <c r="G42" s="466" t="str">
        <f t="shared" si="13"/>
        <v/>
      </c>
      <c r="H42" s="466" t="str">
        <f t="shared" si="13"/>
        <v/>
      </c>
      <c r="I42" s="466" t="str">
        <f t="shared" si="13"/>
        <v/>
      </c>
      <c r="J42" s="466" t="str">
        <f t="shared" si="13"/>
        <v/>
      </c>
      <c r="K42" s="466" t="str">
        <f t="shared" si="13"/>
        <v/>
      </c>
      <c r="L42" s="466" t="str">
        <f t="shared" si="13"/>
        <v/>
      </c>
      <c r="M42" s="466" t="str">
        <f t="shared" si="13"/>
        <v/>
      </c>
      <c r="N42" s="466" t="str">
        <f t="shared" si="13"/>
        <v/>
      </c>
      <c r="O42" s="698" t="str">
        <f t="shared" ca="1" si="11"/>
        <v/>
      </c>
      <c r="P42" s="417"/>
      <c r="Q42" s="417"/>
      <c r="R42" s="464"/>
    </row>
    <row r="43" spans="2:18" s="392" customFormat="1" ht="3.75" customHeight="1" x14ac:dyDescent="0.2">
      <c r="B43" s="417"/>
      <c r="C43" s="417"/>
      <c r="D43" s="417"/>
      <c r="E43" s="417"/>
      <c r="F43" s="417"/>
      <c r="G43" s="417"/>
      <c r="H43" s="417"/>
      <c r="I43" s="417"/>
      <c r="J43" s="417"/>
      <c r="K43" s="417"/>
      <c r="L43" s="417"/>
      <c r="M43" s="417"/>
      <c r="N43" s="417"/>
      <c r="O43" s="461"/>
      <c r="P43" s="417"/>
      <c r="Q43" s="417"/>
      <c r="R43" s="464"/>
    </row>
    <row r="44" spans="2:18" s="395" customFormat="1" ht="14.25" customHeight="1" x14ac:dyDescent="0.2">
      <c r="B44" s="628" t="s">
        <v>183</v>
      </c>
      <c r="C44" s="629"/>
      <c r="D44" s="402" t="str">
        <f ca="1">+D29</f>
        <v/>
      </c>
      <c r="E44" s="402" t="str">
        <f t="shared" ref="E44:O44" si="14">+E29</f>
        <v>PEER 1</v>
      </c>
      <c r="F44" s="402" t="str">
        <f t="shared" si="14"/>
        <v>PEER 2</v>
      </c>
      <c r="G44" s="402" t="str">
        <f t="shared" si="14"/>
        <v>PEER 3</v>
      </c>
      <c r="H44" s="402" t="str">
        <f t="shared" si="14"/>
        <v>PEER 4</v>
      </c>
      <c r="I44" s="402" t="str">
        <f t="shared" si="14"/>
        <v>PEER 5</v>
      </c>
      <c r="J44" s="402" t="str">
        <f t="shared" si="14"/>
        <v>PEER 6</v>
      </c>
      <c r="K44" s="402" t="str">
        <f t="shared" si="14"/>
        <v>PEER 7</v>
      </c>
      <c r="L44" s="402" t="str">
        <f t="shared" si="14"/>
        <v>PEER 8</v>
      </c>
      <c r="M44" s="402" t="str">
        <f t="shared" si="14"/>
        <v>PEER 9</v>
      </c>
      <c r="N44" s="402" t="str">
        <f t="shared" si="14"/>
        <v>PEER 10</v>
      </c>
      <c r="O44" s="402" t="str">
        <f t="shared" si="14"/>
        <v>Average</v>
      </c>
      <c r="P44" s="426"/>
      <c r="Q44" s="426"/>
      <c r="R44" s="630"/>
    </row>
    <row r="45" spans="2:18" s="392" customFormat="1" ht="3.75" customHeight="1" x14ac:dyDescent="0.2">
      <c r="B45" s="452"/>
      <c r="C45" s="452"/>
      <c r="D45" s="452"/>
      <c r="E45" s="452"/>
      <c r="F45" s="452"/>
      <c r="G45" s="452"/>
      <c r="H45" s="452"/>
      <c r="I45" s="452"/>
      <c r="J45" s="452"/>
      <c r="K45" s="452"/>
      <c r="L45" s="452"/>
      <c r="M45" s="452"/>
      <c r="N45" s="452"/>
      <c r="O45" s="463"/>
      <c r="P45" s="417"/>
      <c r="Q45" s="417"/>
      <c r="R45" s="464"/>
    </row>
    <row r="46" spans="2:18" s="392" customFormat="1" ht="14.25" customHeight="1" x14ac:dyDescent="0.2">
      <c r="B46" s="417" t="s">
        <v>44</v>
      </c>
      <c r="C46" s="417"/>
      <c r="D46" s="466" t="str">
        <f ca="1">IFERROR(D111/D119,"")</f>
        <v/>
      </c>
      <c r="E46" s="466" t="str">
        <f t="shared" ref="E46:N46" si="15">IFERROR(E111/E119,"")</f>
        <v/>
      </c>
      <c r="F46" s="466" t="str">
        <f t="shared" si="15"/>
        <v/>
      </c>
      <c r="G46" s="466" t="str">
        <f t="shared" si="15"/>
        <v/>
      </c>
      <c r="H46" s="466" t="str">
        <f t="shared" si="15"/>
        <v/>
      </c>
      <c r="I46" s="466" t="str">
        <f t="shared" si="15"/>
        <v/>
      </c>
      <c r="J46" s="466" t="str">
        <f t="shared" si="15"/>
        <v/>
      </c>
      <c r="K46" s="466" t="str">
        <f t="shared" si="15"/>
        <v/>
      </c>
      <c r="L46" s="466" t="str">
        <f t="shared" si="15"/>
        <v/>
      </c>
      <c r="M46" s="466" t="str">
        <f t="shared" si="15"/>
        <v/>
      </c>
      <c r="N46" s="466" t="str">
        <f t="shared" si="15"/>
        <v/>
      </c>
      <c r="O46" s="698" t="str">
        <f t="shared" ref="O46:O48" ca="1" si="16">IFERROR(+AVERAGE(D46:N46),"")</f>
        <v/>
      </c>
      <c r="P46" s="417"/>
      <c r="Q46" s="417"/>
      <c r="R46" s="464"/>
    </row>
    <row r="47" spans="2:18" s="392" customFormat="1" ht="14.25" customHeight="1" x14ac:dyDescent="0.2">
      <c r="B47" s="417" t="s">
        <v>45</v>
      </c>
      <c r="C47" s="417"/>
      <c r="D47" s="466" t="str">
        <f ca="1">IFERROR(+(D111+D112)/D119,"")</f>
        <v/>
      </c>
      <c r="E47" s="466" t="str">
        <f t="shared" ref="E47:N47" si="17">IFERROR(+(E111+E112)/E119,"")</f>
        <v/>
      </c>
      <c r="F47" s="466" t="str">
        <f t="shared" si="17"/>
        <v/>
      </c>
      <c r="G47" s="466" t="str">
        <f t="shared" si="17"/>
        <v/>
      </c>
      <c r="H47" s="466" t="str">
        <f t="shared" si="17"/>
        <v/>
      </c>
      <c r="I47" s="466" t="str">
        <f t="shared" si="17"/>
        <v/>
      </c>
      <c r="J47" s="466" t="str">
        <f t="shared" si="17"/>
        <v/>
      </c>
      <c r="K47" s="466" t="str">
        <f t="shared" si="17"/>
        <v/>
      </c>
      <c r="L47" s="466" t="str">
        <f t="shared" si="17"/>
        <v/>
      </c>
      <c r="M47" s="466" t="str">
        <f t="shared" si="17"/>
        <v/>
      </c>
      <c r="N47" s="466" t="str">
        <f t="shared" si="17"/>
        <v/>
      </c>
      <c r="O47" s="698" t="str">
        <f t="shared" ca="1" si="16"/>
        <v/>
      </c>
      <c r="P47" s="417"/>
      <c r="Q47" s="417"/>
      <c r="R47" s="464"/>
    </row>
    <row r="48" spans="2:18" s="392" customFormat="1" ht="14.25" customHeight="1" x14ac:dyDescent="0.2">
      <c r="B48" s="417" t="s">
        <v>47</v>
      </c>
      <c r="C48" s="417"/>
      <c r="D48" s="466" t="str">
        <f ca="1">IFERROR(D115/D119,"")</f>
        <v/>
      </c>
      <c r="E48" s="466" t="str">
        <f t="shared" ref="E48:N48" si="18">IFERROR(E115/E119,"")</f>
        <v/>
      </c>
      <c r="F48" s="466" t="str">
        <f t="shared" si="18"/>
        <v/>
      </c>
      <c r="G48" s="466" t="str">
        <f t="shared" si="18"/>
        <v/>
      </c>
      <c r="H48" s="466" t="str">
        <f t="shared" si="18"/>
        <v/>
      </c>
      <c r="I48" s="466" t="str">
        <f t="shared" si="18"/>
        <v/>
      </c>
      <c r="J48" s="466" t="str">
        <f t="shared" si="18"/>
        <v/>
      </c>
      <c r="K48" s="466" t="str">
        <f t="shared" si="18"/>
        <v/>
      </c>
      <c r="L48" s="466" t="str">
        <f t="shared" si="18"/>
        <v/>
      </c>
      <c r="M48" s="466" t="str">
        <f t="shared" si="18"/>
        <v/>
      </c>
      <c r="N48" s="466" t="str">
        <f t="shared" si="18"/>
        <v/>
      </c>
      <c r="O48" s="698" t="str">
        <f t="shared" ca="1" si="16"/>
        <v/>
      </c>
      <c r="P48" s="417"/>
      <c r="Q48" s="417"/>
      <c r="R48" s="464"/>
    </row>
    <row r="49" spans="2:18" s="392" customFormat="1" ht="3.75" customHeight="1" x14ac:dyDescent="0.2">
      <c r="B49" s="417"/>
      <c r="C49" s="417"/>
      <c r="D49" s="466"/>
      <c r="E49" s="417"/>
      <c r="F49" s="417"/>
      <c r="G49" s="417"/>
      <c r="H49" s="417"/>
      <c r="I49" s="417"/>
      <c r="J49" s="417"/>
      <c r="K49" s="417"/>
      <c r="L49" s="417"/>
      <c r="M49" s="417"/>
      <c r="N49" s="417"/>
      <c r="O49" s="461"/>
      <c r="P49" s="417"/>
      <c r="Q49" s="417"/>
      <c r="R49" s="464"/>
    </row>
    <row r="50" spans="2:18" s="395" customFormat="1" ht="14.25" customHeight="1" x14ac:dyDescent="0.2">
      <c r="B50" s="628" t="s">
        <v>184</v>
      </c>
      <c r="C50" s="629"/>
      <c r="D50" s="402" t="str">
        <f ca="1">+D29</f>
        <v/>
      </c>
      <c r="E50" s="402" t="str">
        <f t="shared" ref="E50:O50" si="19">+E29</f>
        <v>PEER 1</v>
      </c>
      <c r="F50" s="402" t="str">
        <f t="shared" si="19"/>
        <v>PEER 2</v>
      </c>
      <c r="G50" s="402" t="str">
        <f t="shared" si="19"/>
        <v>PEER 3</v>
      </c>
      <c r="H50" s="402" t="str">
        <f t="shared" si="19"/>
        <v>PEER 4</v>
      </c>
      <c r="I50" s="402" t="str">
        <f t="shared" si="19"/>
        <v>PEER 5</v>
      </c>
      <c r="J50" s="402" t="str">
        <f t="shared" si="19"/>
        <v>PEER 6</v>
      </c>
      <c r="K50" s="402" t="str">
        <f t="shared" si="19"/>
        <v>PEER 7</v>
      </c>
      <c r="L50" s="402" t="str">
        <f t="shared" si="19"/>
        <v>PEER 8</v>
      </c>
      <c r="M50" s="402" t="str">
        <f t="shared" si="19"/>
        <v>PEER 9</v>
      </c>
      <c r="N50" s="402" t="str">
        <f t="shared" si="19"/>
        <v>PEER 10</v>
      </c>
      <c r="O50" s="402" t="str">
        <f t="shared" si="19"/>
        <v>Average</v>
      </c>
      <c r="P50" s="426"/>
      <c r="Q50" s="426"/>
      <c r="R50" s="630"/>
    </row>
    <row r="51" spans="2:18" s="392" customFormat="1" ht="3.75" customHeight="1" x14ac:dyDescent="0.2">
      <c r="B51" s="452"/>
      <c r="C51" s="452"/>
      <c r="D51" s="452"/>
      <c r="E51" s="452"/>
      <c r="F51" s="452"/>
      <c r="G51" s="452"/>
      <c r="H51" s="452"/>
      <c r="I51" s="452"/>
      <c r="J51" s="452"/>
      <c r="K51" s="452"/>
      <c r="L51" s="452"/>
      <c r="M51" s="452"/>
      <c r="N51" s="452"/>
      <c r="O51" s="463"/>
      <c r="P51" s="417"/>
      <c r="Q51" s="417"/>
      <c r="R51" s="464"/>
    </row>
    <row r="52" spans="2:18" s="392" customFormat="1" ht="14.25" customHeight="1" x14ac:dyDescent="0.2">
      <c r="B52" s="417" t="s">
        <v>185</v>
      </c>
      <c r="C52" s="417"/>
      <c r="D52" s="755" t="str">
        <f ca="1">IFERROR(D98/(AVERAGE(D113:D114)),"")</f>
        <v/>
      </c>
      <c r="E52" s="755" t="str">
        <f t="shared" ref="E52:N52" si="20">IFERROR(E98/(AVERAGE(E113:E114)),"")</f>
        <v/>
      </c>
      <c r="F52" s="755" t="str">
        <f t="shared" si="20"/>
        <v/>
      </c>
      <c r="G52" s="755" t="str">
        <f t="shared" si="20"/>
        <v/>
      </c>
      <c r="H52" s="755" t="str">
        <f t="shared" si="20"/>
        <v/>
      </c>
      <c r="I52" s="755" t="str">
        <f t="shared" si="20"/>
        <v/>
      </c>
      <c r="J52" s="755" t="str">
        <f t="shared" si="20"/>
        <v/>
      </c>
      <c r="K52" s="755" t="str">
        <f t="shared" si="20"/>
        <v/>
      </c>
      <c r="L52" s="755" t="str">
        <f t="shared" si="20"/>
        <v/>
      </c>
      <c r="M52" s="755" t="str">
        <f t="shared" si="20"/>
        <v/>
      </c>
      <c r="N52" s="755" t="str">
        <f t="shared" si="20"/>
        <v/>
      </c>
      <c r="O52" s="698" t="str">
        <f t="shared" ref="O52:O57" ca="1" si="21">IFERROR(+AVERAGE(D52:N52),"")</f>
        <v/>
      </c>
      <c r="P52" s="417"/>
      <c r="Q52" s="417"/>
      <c r="R52" s="464"/>
    </row>
    <row r="53" spans="2:18" s="392" customFormat="1" ht="14.25" customHeight="1" x14ac:dyDescent="0.2">
      <c r="B53" s="417" t="s">
        <v>186</v>
      </c>
      <c r="C53" s="417"/>
      <c r="D53" s="755" t="str">
        <f ca="1">IFERROR(D97/D112,"")</f>
        <v/>
      </c>
      <c r="E53" s="755" t="str">
        <f t="shared" ref="E53:N53" si="22">IFERROR(E97/E112,"")</f>
        <v/>
      </c>
      <c r="F53" s="755" t="str">
        <f t="shared" si="22"/>
        <v/>
      </c>
      <c r="G53" s="755" t="str">
        <f t="shared" si="22"/>
        <v/>
      </c>
      <c r="H53" s="755" t="str">
        <f t="shared" si="22"/>
        <v/>
      </c>
      <c r="I53" s="755" t="str">
        <f t="shared" si="22"/>
        <v/>
      </c>
      <c r="J53" s="755" t="str">
        <f t="shared" si="22"/>
        <v/>
      </c>
      <c r="K53" s="755" t="str">
        <f t="shared" si="22"/>
        <v/>
      </c>
      <c r="L53" s="755" t="str">
        <f t="shared" si="22"/>
        <v/>
      </c>
      <c r="M53" s="755" t="str">
        <f t="shared" si="22"/>
        <v/>
      </c>
      <c r="N53" s="755" t="str">
        <f t="shared" si="22"/>
        <v/>
      </c>
      <c r="O53" s="698" t="str">
        <f t="shared" ca="1" si="21"/>
        <v/>
      </c>
      <c r="P53" s="417"/>
      <c r="Q53" s="417"/>
      <c r="R53" s="464"/>
    </row>
    <row r="54" spans="2:18" s="392" customFormat="1" ht="14.25" customHeight="1" x14ac:dyDescent="0.2">
      <c r="B54" s="417" t="s">
        <v>187</v>
      </c>
      <c r="C54" s="417"/>
      <c r="D54" s="755" t="str">
        <f ca="1">IFERROR(D98/D118,"")</f>
        <v/>
      </c>
      <c r="E54" s="755" t="str">
        <f t="shared" ref="E54:N54" si="23">IFERROR(E98/E118,"")</f>
        <v/>
      </c>
      <c r="F54" s="755" t="str">
        <f t="shared" si="23"/>
        <v/>
      </c>
      <c r="G54" s="755" t="str">
        <f t="shared" si="23"/>
        <v/>
      </c>
      <c r="H54" s="755" t="str">
        <f t="shared" si="23"/>
        <v/>
      </c>
      <c r="I54" s="755" t="str">
        <f t="shared" si="23"/>
        <v/>
      </c>
      <c r="J54" s="755" t="str">
        <f t="shared" si="23"/>
        <v/>
      </c>
      <c r="K54" s="755" t="str">
        <f t="shared" si="23"/>
        <v/>
      </c>
      <c r="L54" s="755" t="str">
        <f t="shared" si="23"/>
        <v/>
      </c>
      <c r="M54" s="755" t="str">
        <f t="shared" si="23"/>
        <v/>
      </c>
      <c r="N54" s="755" t="str">
        <f t="shared" si="23"/>
        <v/>
      </c>
      <c r="O54" s="698" t="str">
        <f t="shared" ca="1" si="21"/>
        <v/>
      </c>
      <c r="P54" s="417"/>
      <c r="Q54" s="417"/>
      <c r="R54" s="464"/>
    </row>
    <row r="55" spans="2:18" s="392" customFormat="1" ht="14.25" customHeight="1" x14ac:dyDescent="0.2">
      <c r="B55" s="417" t="s">
        <v>188</v>
      </c>
      <c r="C55" s="417"/>
      <c r="D55" s="466" t="str">
        <f ca="1">IFERROR(D97/D116,"")</f>
        <v/>
      </c>
      <c r="E55" s="466" t="str">
        <f t="shared" ref="E55:N55" si="24">IFERROR(E97/E116,"")</f>
        <v/>
      </c>
      <c r="F55" s="466" t="str">
        <f t="shared" si="24"/>
        <v/>
      </c>
      <c r="G55" s="466" t="str">
        <f t="shared" si="24"/>
        <v/>
      </c>
      <c r="H55" s="466" t="str">
        <f t="shared" si="24"/>
        <v/>
      </c>
      <c r="I55" s="466" t="str">
        <f t="shared" si="24"/>
        <v/>
      </c>
      <c r="J55" s="466" t="str">
        <f t="shared" si="24"/>
        <v/>
      </c>
      <c r="K55" s="466" t="str">
        <f t="shared" si="24"/>
        <v/>
      </c>
      <c r="L55" s="466" t="str">
        <f t="shared" si="24"/>
        <v/>
      </c>
      <c r="M55" s="466" t="str">
        <f t="shared" si="24"/>
        <v/>
      </c>
      <c r="N55" s="466" t="str">
        <f t="shared" si="24"/>
        <v/>
      </c>
      <c r="O55" s="698" t="str">
        <f t="shared" ca="1" si="21"/>
        <v/>
      </c>
      <c r="P55" s="417"/>
      <c r="Q55" s="417"/>
      <c r="R55" s="464"/>
    </row>
    <row r="56" spans="2:18" s="392" customFormat="1" ht="14.25" customHeight="1" x14ac:dyDescent="0.2">
      <c r="B56" s="417" t="s">
        <v>189</v>
      </c>
      <c r="C56" s="417"/>
      <c r="D56" s="466" t="str">
        <f ca="1">IFERROR(D97/D117,"")</f>
        <v/>
      </c>
      <c r="E56" s="466" t="str">
        <f t="shared" ref="E56:N56" si="25">IFERROR(E97/E117,"")</f>
        <v/>
      </c>
      <c r="F56" s="466" t="str">
        <f t="shared" si="25"/>
        <v/>
      </c>
      <c r="G56" s="466" t="str">
        <f t="shared" si="25"/>
        <v/>
      </c>
      <c r="H56" s="466" t="str">
        <f t="shared" si="25"/>
        <v/>
      </c>
      <c r="I56" s="466" t="str">
        <f t="shared" si="25"/>
        <v/>
      </c>
      <c r="J56" s="466" t="str">
        <f t="shared" si="25"/>
        <v/>
      </c>
      <c r="K56" s="466" t="str">
        <f t="shared" si="25"/>
        <v/>
      </c>
      <c r="L56" s="466" t="str">
        <f t="shared" si="25"/>
        <v/>
      </c>
      <c r="M56" s="466" t="str">
        <f t="shared" si="25"/>
        <v/>
      </c>
      <c r="N56" s="466" t="str">
        <f t="shared" si="25"/>
        <v/>
      </c>
      <c r="O56" s="698" t="str">
        <f t="shared" ca="1" si="21"/>
        <v/>
      </c>
      <c r="P56" s="417"/>
      <c r="Q56" s="417"/>
      <c r="R56" s="464"/>
    </row>
    <row r="57" spans="2:18" s="392" customFormat="1" ht="14.25" customHeight="1" x14ac:dyDescent="0.2">
      <c r="B57" s="417" t="s">
        <v>190</v>
      </c>
      <c r="C57" s="417"/>
      <c r="D57" s="756" t="str">
        <f ca="1">IFERROR(365/D52+365/D53-365/D54,"")</f>
        <v/>
      </c>
      <c r="E57" s="756" t="str">
        <f t="shared" ref="E57:N57" si="26">IFERROR(365/E52+365/E53-365/E54,"")</f>
        <v/>
      </c>
      <c r="F57" s="756" t="str">
        <f t="shared" si="26"/>
        <v/>
      </c>
      <c r="G57" s="756" t="str">
        <f t="shared" si="26"/>
        <v/>
      </c>
      <c r="H57" s="756" t="str">
        <f t="shared" si="26"/>
        <v/>
      </c>
      <c r="I57" s="756" t="str">
        <f t="shared" si="26"/>
        <v/>
      </c>
      <c r="J57" s="756" t="str">
        <f t="shared" si="26"/>
        <v/>
      </c>
      <c r="K57" s="756" t="str">
        <f t="shared" si="26"/>
        <v/>
      </c>
      <c r="L57" s="756" t="str">
        <f t="shared" si="26"/>
        <v/>
      </c>
      <c r="M57" s="756" t="str">
        <f t="shared" si="26"/>
        <v/>
      </c>
      <c r="N57" s="756" t="str">
        <f t="shared" si="26"/>
        <v/>
      </c>
      <c r="O57" s="698" t="str">
        <f t="shared" ca="1" si="21"/>
        <v/>
      </c>
      <c r="P57" s="417"/>
      <c r="Q57" s="417"/>
      <c r="R57" s="464"/>
    </row>
    <row r="58" spans="2:18" s="392" customFormat="1" ht="3.95" customHeight="1" x14ac:dyDescent="0.2">
      <c r="B58" s="417"/>
      <c r="C58" s="417"/>
      <c r="D58" s="698"/>
      <c r="E58" s="698"/>
      <c r="F58" s="698"/>
      <c r="G58" s="698"/>
      <c r="H58" s="698"/>
      <c r="I58" s="698"/>
      <c r="J58" s="698"/>
      <c r="K58" s="698"/>
      <c r="L58" s="698"/>
      <c r="M58" s="698"/>
      <c r="N58" s="698"/>
      <c r="O58" s="698"/>
      <c r="P58" s="417"/>
      <c r="Q58" s="417"/>
      <c r="R58" s="464"/>
    </row>
    <row r="59" spans="2:18" s="392" customFormat="1" ht="14.25" customHeight="1" x14ac:dyDescent="0.2">
      <c r="B59" s="628" t="s">
        <v>191</v>
      </c>
      <c r="C59" s="629"/>
      <c r="D59" s="402" t="str">
        <f ca="1">+D38</f>
        <v/>
      </c>
      <c r="E59" s="402" t="str">
        <f t="shared" ref="E59:O59" si="27">+E38</f>
        <v>PEER 1</v>
      </c>
      <c r="F59" s="402" t="str">
        <f t="shared" si="27"/>
        <v>PEER 2</v>
      </c>
      <c r="G59" s="402" t="str">
        <f t="shared" si="27"/>
        <v>PEER 3</v>
      </c>
      <c r="H59" s="402" t="str">
        <f t="shared" si="27"/>
        <v>PEER 4</v>
      </c>
      <c r="I59" s="402" t="str">
        <f t="shared" si="27"/>
        <v>PEER 5</v>
      </c>
      <c r="J59" s="402" t="str">
        <f t="shared" si="27"/>
        <v>PEER 6</v>
      </c>
      <c r="K59" s="402" t="str">
        <f t="shared" si="27"/>
        <v>PEER 7</v>
      </c>
      <c r="L59" s="402" t="str">
        <f t="shared" si="27"/>
        <v>PEER 8</v>
      </c>
      <c r="M59" s="402" t="str">
        <f t="shared" si="27"/>
        <v>PEER 9</v>
      </c>
      <c r="N59" s="402" t="str">
        <f t="shared" si="27"/>
        <v>PEER 10</v>
      </c>
      <c r="O59" s="402" t="str">
        <f t="shared" si="27"/>
        <v>Average</v>
      </c>
      <c r="P59" s="417"/>
      <c r="Q59" s="417"/>
      <c r="R59" s="464"/>
    </row>
    <row r="60" spans="2:18" s="392" customFormat="1" ht="3.95" customHeight="1" x14ac:dyDescent="0.2">
      <c r="B60" s="452"/>
      <c r="C60" s="452"/>
      <c r="D60" s="452"/>
      <c r="E60" s="452"/>
      <c r="F60" s="452"/>
      <c r="G60" s="452"/>
      <c r="H60" s="452"/>
      <c r="I60" s="452"/>
      <c r="J60" s="452"/>
      <c r="K60" s="452"/>
      <c r="L60" s="452"/>
      <c r="M60" s="452"/>
      <c r="N60" s="452"/>
      <c r="O60" s="463"/>
      <c r="P60" s="417"/>
      <c r="Q60" s="417"/>
      <c r="R60" s="464"/>
    </row>
    <row r="61" spans="2:18" s="392" customFormat="1" ht="14.25" customHeight="1" x14ac:dyDescent="0.2">
      <c r="B61" s="417" t="s">
        <v>192</v>
      </c>
      <c r="C61" s="417"/>
      <c r="D61" s="699" t="str">
        <f ca="1">IFERROR(D132/D97,"")</f>
        <v/>
      </c>
      <c r="E61" s="699" t="str">
        <f t="shared" ref="E61:N61" si="28">IFERROR(E132/E97,"")</f>
        <v/>
      </c>
      <c r="F61" s="699" t="str">
        <f t="shared" si="28"/>
        <v/>
      </c>
      <c r="G61" s="699" t="str">
        <f t="shared" si="28"/>
        <v/>
      </c>
      <c r="H61" s="699" t="str">
        <f t="shared" si="28"/>
        <v/>
      </c>
      <c r="I61" s="699" t="str">
        <f t="shared" si="28"/>
        <v/>
      </c>
      <c r="J61" s="699" t="str">
        <f t="shared" si="28"/>
        <v/>
      </c>
      <c r="K61" s="699" t="str">
        <f t="shared" si="28"/>
        <v/>
      </c>
      <c r="L61" s="699" t="str">
        <f t="shared" si="28"/>
        <v/>
      </c>
      <c r="M61" s="699" t="str">
        <f t="shared" si="28"/>
        <v/>
      </c>
      <c r="N61" s="699" t="str">
        <f t="shared" si="28"/>
        <v/>
      </c>
      <c r="O61" s="699" t="str">
        <f ca="1">IFERROR(+AVERAGE(D61:N61),"")</f>
        <v/>
      </c>
      <c r="P61" s="417"/>
      <c r="Q61" s="417"/>
      <c r="R61" s="464"/>
    </row>
    <row r="62" spans="2:18" s="392" customFormat="1" ht="14.25" customHeight="1" x14ac:dyDescent="0.2">
      <c r="B62" s="417" t="s">
        <v>193</v>
      </c>
      <c r="C62" s="417"/>
      <c r="D62" s="699" t="str">
        <f ca="1">IFERROR(D132/D96,"")</f>
        <v/>
      </c>
      <c r="E62" s="699" t="str">
        <f t="shared" ref="E62:N62" si="29">IFERROR(E132/E96,"")</f>
        <v/>
      </c>
      <c r="F62" s="699" t="str">
        <f t="shared" si="29"/>
        <v/>
      </c>
      <c r="G62" s="699" t="str">
        <f t="shared" si="29"/>
        <v/>
      </c>
      <c r="H62" s="699" t="str">
        <f t="shared" si="29"/>
        <v/>
      </c>
      <c r="I62" s="699" t="str">
        <f t="shared" si="29"/>
        <v/>
      </c>
      <c r="J62" s="699" t="str">
        <f t="shared" si="29"/>
        <v/>
      </c>
      <c r="K62" s="699" t="str">
        <f t="shared" si="29"/>
        <v/>
      </c>
      <c r="L62" s="699" t="str">
        <f t="shared" si="29"/>
        <v/>
      </c>
      <c r="M62" s="699" t="str">
        <f t="shared" si="29"/>
        <v/>
      </c>
      <c r="N62" s="699" t="str">
        <f t="shared" si="29"/>
        <v/>
      </c>
      <c r="O62" s="699" t="str">
        <f t="shared" ref="O62:O68" ca="1" si="30">IFERROR(+AVERAGE(D62:N62),"")</f>
        <v/>
      </c>
      <c r="P62" s="417"/>
      <c r="Q62" s="417"/>
      <c r="R62" s="464"/>
    </row>
    <row r="63" spans="2:18" s="392" customFormat="1" ht="14.25" customHeight="1" x14ac:dyDescent="0.2">
      <c r="B63" s="417" t="s">
        <v>194</v>
      </c>
      <c r="C63" s="417"/>
      <c r="D63" s="699" t="str">
        <f ca="1">+IFERROR(D126/D105,"")</f>
        <v/>
      </c>
      <c r="E63" s="699" t="str">
        <f t="shared" ref="E63:N63" si="31">+IFERROR(E126/E105,"")</f>
        <v/>
      </c>
      <c r="F63" s="699" t="str">
        <f t="shared" si="31"/>
        <v/>
      </c>
      <c r="G63" s="699" t="str">
        <f t="shared" si="31"/>
        <v/>
      </c>
      <c r="H63" s="699" t="str">
        <f t="shared" si="31"/>
        <v/>
      </c>
      <c r="I63" s="699" t="str">
        <f t="shared" si="31"/>
        <v/>
      </c>
      <c r="J63" s="699" t="str">
        <f t="shared" si="31"/>
        <v/>
      </c>
      <c r="K63" s="699" t="str">
        <f t="shared" si="31"/>
        <v/>
      </c>
      <c r="L63" s="699" t="str">
        <f t="shared" si="31"/>
        <v/>
      </c>
      <c r="M63" s="699" t="str">
        <f t="shared" si="31"/>
        <v/>
      </c>
      <c r="N63" s="699" t="str">
        <f t="shared" si="31"/>
        <v/>
      </c>
      <c r="O63" s="699" t="str">
        <f t="shared" ca="1" si="30"/>
        <v/>
      </c>
      <c r="P63" s="417"/>
      <c r="Q63" s="417"/>
      <c r="R63" s="464"/>
    </row>
    <row r="64" spans="2:18" s="392" customFormat="1" ht="14.25" customHeight="1" x14ac:dyDescent="0.2">
      <c r="B64" s="417" t="s">
        <v>195</v>
      </c>
      <c r="C64" s="417"/>
      <c r="D64" s="699" t="str">
        <f t="shared" ref="D64:N64" ca="1" si="32">IFERROR(-D127/D126,"")</f>
        <v/>
      </c>
      <c r="E64" s="699" t="str">
        <f t="shared" si="32"/>
        <v/>
      </c>
      <c r="F64" s="699" t="str">
        <f t="shared" si="32"/>
        <v/>
      </c>
      <c r="G64" s="699" t="str">
        <f t="shared" si="32"/>
        <v/>
      </c>
      <c r="H64" s="699" t="str">
        <f t="shared" si="32"/>
        <v/>
      </c>
      <c r="I64" s="699" t="str">
        <f t="shared" si="32"/>
        <v/>
      </c>
      <c r="J64" s="699" t="str">
        <f t="shared" si="32"/>
        <v/>
      </c>
      <c r="K64" s="699" t="str">
        <f t="shared" si="32"/>
        <v/>
      </c>
      <c r="L64" s="699" t="str">
        <f t="shared" si="32"/>
        <v/>
      </c>
      <c r="M64" s="699" t="str">
        <f t="shared" si="32"/>
        <v/>
      </c>
      <c r="N64" s="699" t="str">
        <f t="shared" si="32"/>
        <v/>
      </c>
      <c r="O64" s="699" t="str">
        <f t="shared" ca="1" si="30"/>
        <v/>
      </c>
      <c r="P64" s="417"/>
      <c r="Q64" s="417"/>
      <c r="R64" s="464"/>
    </row>
    <row r="65" spans="1:52" s="392" customFormat="1" ht="14.25" customHeight="1" x14ac:dyDescent="0.2">
      <c r="A65" s="417"/>
      <c r="B65" s="417" t="s">
        <v>196</v>
      </c>
      <c r="C65" s="417"/>
      <c r="D65" s="699" t="str">
        <f ca="1">IFERROR(-D128/D126,"")</f>
        <v/>
      </c>
      <c r="E65" s="699" t="str">
        <f t="shared" ref="E65:N65" si="33">IFERROR(-E128/E126,"")</f>
        <v/>
      </c>
      <c r="F65" s="699" t="str">
        <f t="shared" si="33"/>
        <v/>
      </c>
      <c r="G65" s="699" t="str">
        <f t="shared" si="33"/>
        <v/>
      </c>
      <c r="H65" s="699" t="str">
        <f t="shared" si="33"/>
        <v/>
      </c>
      <c r="I65" s="699" t="str">
        <f t="shared" si="33"/>
        <v/>
      </c>
      <c r="J65" s="699" t="str">
        <f t="shared" si="33"/>
        <v/>
      </c>
      <c r="K65" s="699" t="str">
        <f t="shared" si="33"/>
        <v/>
      </c>
      <c r="L65" s="699" t="str">
        <f t="shared" si="33"/>
        <v/>
      </c>
      <c r="M65" s="699" t="str">
        <f t="shared" si="33"/>
        <v/>
      </c>
      <c r="N65" s="699" t="str">
        <f t="shared" si="33"/>
        <v/>
      </c>
      <c r="O65" s="699" t="str">
        <f t="shared" ca="1" si="30"/>
        <v/>
      </c>
      <c r="P65" s="417"/>
      <c r="Q65" s="417"/>
      <c r="R65" s="464"/>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row>
    <row r="66" spans="1:52" s="392" customFormat="1" ht="14.25" customHeight="1" x14ac:dyDescent="0.2">
      <c r="A66" s="417"/>
      <c r="B66" s="417" t="s">
        <v>197</v>
      </c>
      <c r="C66" s="417"/>
      <c r="D66" s="699" t="str">
        <f ca="1">IFERROR((D129+D130)/D126,"")</f>
        <v/>
      </c>
      <c r="E66" s="699" t="str">
        <f t="shared" ref="E66:N66" si="34">IFERROR((E129+E130)/E126,"")</f>
        <v/>
      </c>
      <c r="F66" s="699" t="str">
        <f t="shared" si="34"/>
        <v/>
      </c>
      <c r="G66" s="699" t="str">
        <f t="shared" si="34"/>
        <v/>
      </c>
      <c r="H66" s="699" t="str">
        <f t="shared" si="34"/>
        <v/>
      </c>
      <c r="I66" s="699" t="str">
        <f t="shared" si="34"/>
        <v/>
      </c>
      <c r="J66" s="699" t="str">
        <f t="shared" si="34"/>
        <v/>
      </c>
      <c r="K66" s="699" t="str">
        <f t="shared" si="34"/>
        <v/>
      </c>
      <c r="L66" s="699" t="str">
        <f t="shared" si="34"/>
        <v/>
      </c>
      <c r="M66" s="699" t="str">
        <f t="shared" si="34"/>
        <v/>
      </c>
      <c r="N66" s="699" t="str">
        <f t="shared" si="34"/>
        <v/>
      </c>
      <c r="O66" s="699" t="str">
        <f t="shared" ca="1" si="30"/>
        <v/>
      </c>
      <c r="P66" s="417"/>
      <c r="Q66" s="417"/>
      <c r="R66" s="464"/>
      <c r="S66" s="417"/>
      <c r="T66" s="417"/>
      <c r="U66" s="417"/>
      <c r="V66" s="417"/>
      <c r="W66" s="417"/>
      <c r="X66" s="417"/>
      <c r="Y66" s="417"/>
      <c r="Z66" s="417"/>
      <c r="AA66" s="417"/>
      <c r="AB66" s="417"/>
      <c r="AC66" s="417"/>
      <c r="AD66" s="417"/>
      <c r="AE66" s="417"/>
      <c r="AF66" s="417"/>
      <c r="AG66" s="417"/>
      <c r="AH66" s="417"/>
      <c r="AI66" s="417"/>
      <c r="AJ66" s="417"/>
      <c r="AK66" s="417"/>
      <c r="AL66" s="417"/>
      <c r="AM66" s="417"/>
      <c r="AN66" s="417"/>
      <c r="AO66" s="417"/>
      <c r="AP66" s="417"/>
      <c r="AQ66" s="417"/>
      <c r="AR66" s="417"/>
      <c r="AS66" s="417"/>
      <c r="AT66" s="417"/>
      <c r="AU66" s="417"/>
      <c r="AV66" s="417"/>
      <c r="AW66" s="417"/>
      <c r="AX66" s="417"/>
      <c r="AY66" s="417"/>
      <c r="AZ66" s="417"/>
    </row>
    <row r="67" spans="1:52" s="392" customFormat="1" ht="14.25" customHeight="1" x14ac:dyDescent="0.2">
      <c r="A67" s="417"/>
      <c r="B67" s="417" t="s">
        <v>198</v>
      </c>
      <c r="C67" s="417"/>
      <c r="D67" s="699" t="str">
        <f ca="1">+IFERROR(-D130/D129,"")</f>
        <v/>
      </c>
      <c r="E67" s="699" t="str">
        <f t="shared" ref="E67:N67" si="35">+IFERROR(-E130/E129,"")</f>
        <v/>
      </c>
      <c r="F67" s="699" t="str">
        <f t="shared" si="35"/>
        <v/>
      </c>
      <c r="G67" s="699" t="str">
        <f t="shared" si="35"/>
        <v/>
      </c>
      <c r="H67" s="699" t="str">
        <f t="shared" si="35"/>
        <v/>
      </c>
      <c r="I67" s="699" t="str">
        <f t="shared" si="35"/>
        <v/>
      </c>
      <c r="J67" s="699" t="str">
        <f t="shared" si="35"/>
        <v/>
      </c>
      <c r="K67" s="699" t="str">
        <f t="shared" si="35"/>
        <v/>
      </c>
      <c r="L67" s="699" t="str">
        <f t="shared" si="35"/>
        <v/>
      </c>
      <c r="M67" s="699" t="str">
        <f t="shared" si="35"/>
        <v/>
      </c>
      <c r="N67" s="699" t="str">
        <f t="shared" si="35"/>
        <v/>
      </c>
      <c r="O67" s="699" t="str">
        <f ca="1">IFERROR(+AVERAGE(D67:N67),"")</f>
        <v/>
      </c>
      <c r="P67" s="417"/>
      <c r="Q67" s="417"/>
      <c r="R67" s="464"/>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row>
    <row r="68" spans="1:52" s="392" customFormat="1" ht="14.25" customHeight="1" x14ac:dyDescent="0.2">
      <c r="A68" s="417"/>
      <c r="B68" s="417" t="s">
        <v>199</v>
      </c>
      <c r="C68" s="417"/>
      <c r="D68" s="699" t="str">
        <f t="shared" ref="D68:N68" ca="1" si="36">IFERROR(-D131/D126,"")</f>
        <v/>
      </c>
      <c r="E68" s="699" t="str">
        <f t="shared" si="36"/>
        <v/>
      </c>
      <c r="F68" s="699" t="str">
        <f t="shared" si="36"/>
        <v/>
      </c>
      <c r="G68" s="699" t="str">
        <f t="shared" si="36"/>
        <v/>
      </c>
      <c r="H68" s="699" t="str">
        <f t="shared" si="36"/>
        <v/>
      </c>
      <c r="I68" s="699" t="str">
        <f t="shared" si="36"/>
        <v/>
      </c>
      <c r="J68" s="699" t="str">
        <f t="shared" si="36"/>
        <v/>
      </c>
      <c r="K68" s="699" t="str">
        <f t="shared" si="36"/>
        <v/>
      </c>
      <c r="L68" s="699" t="str">
        <f t="shared" si="36"/>
        <v/>
      </c>
      <c r="M68" s="699" t="str">
        <f t="shared" si="36"/>
        <v/>
      </c>
      <c r="N68" s="699" t="str">
        <f t="shared" si="36"/>
        <v/>
      </c>
      <c r="O68" s="699" t="str">
        <f t="shared" ca="1" si="30"/>
        <v/>
      </c>
      <c r="P68" s="417"/>
      <c r="Q68" s="417"/>
      <c r="R68" s="464"/>
      <c r="S68" s="417"/>
      <c r="T68" s="417"/>
      <c r="U68" s="417"/>
      <c r="V68" s="417"/>
      <c r="W68" s="417"/>
      <c r="X68" s="417"/>
      <c r="Y68" s="417"/>
      <c r="Z68" s="417"/>
      <c r="AA68" s="417"/>
      <c r="AB68" s="417"/>
      <c r="AC68" s="417"/>
      <c r="AD68" s="417"/>
      <c r="AE68" s="417"/>
      <c r="AF68" s="417"/>
      <c r="AG68" s="417"/>
      <c r="AH68" s="417"/>
      <c r="AI68" s="417"/>
      <c r="AJ68" s="417"/>
      <c r="AK68" s="417"/>
      <c r="AL68" s="417"/>
      <c r="AM68" s="417"/>
      <c r="AN68" s="417"/>
      <c r="AO68" s="417"/>
      <c r="AP68" s="417"/>
      <c r="AQ68" s="417"/>
      <c r="AR68" s="417"/>
      <c r="AS68" s="417"/>
      <c r="AT68" s="417"/>
      <c r="AU68" s="417"/>
      <c r="AV68" s="417"/>
      <c r="AW68" s="417"/>
      <c r="AX68" s="417"/>
      <c r="AY68" s="417"/>
      <c r="AZ68" s="417"/>
    </row>
    <row r="69" spans="1:52" s="392" customFormat="1" ht="14.25" customHeight="1" x14ac:dyDescent="0.2">
      <c r="A69" s="417"/>
      <c r="B69" s="417" t="s">
        <v>200</v>
      </c>
      <c r="C69" s="417"/>
      <c r="D69" s="467" t="e">
        <f>+_xll.BDP(Summary!D6, "TOTAL_PAYOUT_RATIO")/100</f>
        <v>#VALUE!</v>
      </c>
      <c r="E69" s="467" t="e">
        <f>+_xll.BDP(Summary!E6, "TOTAL_PAYOUT_RATIO")/100</f>
        <v>#VALUE!</v>
      </c>
      <c r="F69" s="467" t="e">
        <f>+_xll.BDP(Summary!F6, "TOTAL_PAYOUT_RATIO")/100</f>
        <v>#VALUE!</v>
      </c>
      <c r="G69" s="467" t="e">
        <f>+_xll.BDP(Summary!G6, "TOTAL_PAYOUT_RATIO")/100</f>
        <v>#VALUE!</v>
      </c>
      <c r="H69" s="467" t="e">
        <f>+_xll.BDP(Summary!H6, "TOTAL_PAYOUT_RATIO")/100</f>
        <v>#VALUE!</v>
      </c>
      <c r="I69" s="467" t="e">
        <f>+_xll.BDP(Summary!I6, "TOTAL_PAYOUT_RATIO")/100</f>
        <v>#VALUE!</v>
      </c>
      <c r="J69" s="467" t="e">
        <f>+_xll.BDP(Summary!J6, "TOTAL_PAYOUT_RATIO")/100</f>
        <v>#VALUE!</v>
      </c>
      <c r="K69" s="467" t="e">
        <f>+_xll.BDP(Summary!K6, "TOTAL_PAYOUT_RATIO")/100</f>
        <v>#VALUE!</v>
      </c>
      <c r="L69" s="467" t="e">
        <f>+_xll.BDP(Summary!L6, "TOTAL_PAYOUT_RATIO")/100</f>
        <v>#VALUE!</v>
      </c>
      <c r="M69" s="467" t="e">
        <f>+_xll.BDP(Summary!M6, "TOTAL_PAYOUT_RATIO")/100</f>
        <v>#VALUE!</v>
      </c>
      <c r="N69" s="467" t="e">
        <f>+_xll.BDP(Summary!N6, "TOTAL_PAYOUT_RATIO")/100</f>
        <v>#VALUE!</v>
      </c>
      <c r="O69" s="699" t="str">
        <f>IFERROR(+AVERAGE(D69:N69),"")</f>
        <v/>
      </c>
      <c r="P69" s="417"/>
      <c r="Q69" s="417"/>
      <c r="R69" s="464"/>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row>
    <row r="70" spans="1:52" s="392" customFormat="1" ht="3.75" customHeight="1" x14ac:dyDescent="0.2">
      <c r="A70" s="417"/>
      <c r="B70" s="417"/>
      <c r="C70" s="417"/>
      <c r="D70" s="417"/>
      <c r="E70" s="417"/>
      <c r="F70" s="417"/>
      <c r="G70" s="417"/>
      <c r="H70" s="417"/>
      <c r="I70" s="417"/>
      <c r="J70" s="417"/>
      <c r="K70" s="417"/>
      <c r="L70" s="417"/>
      <c r="M70" s="417"/>
      <c r="N70" s="417"/>
      <c r="O70" s="461"/>
      <c r="P70" s="417"/>
      <c r="Q70" s="417"/>
      <c r="R70" s="464"/>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17"/>
      <c r="AR70" s="417"/>
      <c r="AS70" s="417"/>
      <c r="AT70" s="417"/>
      <c r="AU70" s="417"/>
      <c r="AV70" s="417"/>
      <c r="AW70" s="417"/>
      <c r="AX70" s="417"/>
      <c r="AY70" s="417"/>
      <c r="AZ70" s="417"/>
    </row>
    <row r="71" spans="1:52" s="395" customFormat="1" ht="14.25" customHeight="1" x14ac:dyDescent="0.2">
      <c r="A71" s="426"/>
      <c r="B71" s="628" t="s">
        <v>201</v>
      </c>
      <c r="C71" s="629"/>
      <c r="D71" s="402" t="str">
        <f t="shared" ref="D71:O71" ca="1" si="37">+D29</f>
        <v/>
      </c>
      <c r="E71" s="402" t="str">
        <f t="shared" si="37"/>
        <v>PEER 1</v>
      </c>
      <c r="F71" s="402" t="str">
        <f t="shared" si="37"/>
        <v>PEER 2</v>
      </c>
      <c r="G71" s="402" t="str">
        <f t="shared" si="37"/>
        <v>PEER 3</v>
      </c>
      <c r="H71" s="402" t="str">
        <f t="shared" si="37"/>
        <v>PEER 4</v>
      </c>
      <c r="I71" s="402" t="str">
        <f t="shared" si="37"/>
        <v>PEER 5</v>
      </c>
      <c r="J71" s="402" t="str">
        <f t="shared" si="37"/>
        <v>PEER 6</v>
      </c>
      <c r="K71" s="402" t="str">
        <f t="shared" si="37"/>
        <v>PEER 7</v>
      </c>
      <c r="L71" s="402" t="str">
        <f t="shared" si="37"/>
        <v>PEER 8</v>
      </c>
      <c r="M71" s="402" t="str">
        <f t="shared" si="37"/>
        <v>PEER 9</v>
      </c>
      <c r="N71" s="402" t="str">
        <f t="shared" si="37"/>
        <v>PEER 10</v>
      </c>
      <c r="O71" s="402" t="str">
        <f t="shared" si="37"/>
        <v>Average</v>
      </c>
      <c r="P71" s="426"/>
      <c r="Q71" s="426"/>
      <c r="R71" s="630"/>
      <c r="S71" s="426"/>
      <c r="T71" s="426"/>
      <c r="U71" s="426"/>
      <c r="V71" s="426"/>
      <c r="W71" s="426"/>
      <c r="X71" s="426"/>
      <c r="Y71" s="426"/>
      <c r="Z71" s="426"/>
      <c r="AA71" s="426"/>
      <c r="AB71" s="426"/>
      <c r="AC71" s="426"/>
      <c r="AD71" s="426"/>
      <c r="AE71" s="426"/>
      <c r="AF71" s="426"/>
      <c r="AG71" s="426"/>
      <c r="AH71" s="426"/>
      <c r="AI71" s="426"/>
      <c r="AJ71" s="426"/>
      <c r="AK71" s="426"/>
      <c r="AL71" s="426"/>
      <c r="AM71" s="426"/>
      <c r="AN71" s="426"/>
      <c r="AO71" s="426"/>
      <c r="AP71" s="426"/>
      <c r="AQ71" s="426"/>
      <c r="AR71" s="426"/>
      <c r="AS71" s="426"/>
      <c r="AT71" s="426"/>
      <c r="AU71" s="426"/>
      <c r="AV71" s="426"/>
      <c r="AW71" s="426"/>
      <c r="AX71" s="426"/>
      <c r="AY71" s="426"/>
      <c r="AZ71" s="426"/>
    </row>
    <row r="72" spans="1:52" s="392" customFormat="1" ht="3.75" customHeight="1" x14ac:dyDescent="0.2">
      <c r="A72" s="417"/>
      <c r="B72" s="452"/>
      <c r="C72" s="452"/>
      <c r="D72" s="452"/>
      <c r="E72" s="452"/>
      <c r="F72" s="452"/>
      <c r="G72" s="452"/>
      <c r="H72" s="452"/>
      <c r="I72" s="452"/>
      <c r="J72" s="452"/>
      <c r="K72" s="452"/>
      <c r="L72" s="452"/>
      <c r="M72" s="452"/>
      <c r="N72" s="452"/>
      <c r="O72" s="463"/>
      <c r="P72" s="417"/>
      <c r="Q72" s="417"/>
      <c r="R72" s="464"/>
      <c r="S72" s="417"/>
      <c r="T72" s="417"/>
      <c r="U72" s="417"/>
      <c r="V72" s="417"/>
      <c r="W72" s="417"/>
      <c r="X72" s="417"/>
      <c r="Y72" s="417"/>
      <c r="Z72" s="417"/>
      <c r="AA72" s="417"/>
      <c r="AB72" s="417"/>
      <c r="AC72" s="417"/>
      <c r="AD72" s="417"/>
      <c r="AE72" s="417"/>
      <c r="AF72" s="417"/>
      <c r="AG72" s="417"/>
      <c r="AH72" s="417"/>
      <c r="AI72" s="417"/>
      <c r="AJ72" s="417"/>
      <c r="AK72" s="417"/>
      <c r="AL72" s="417"/>
      <c r="AM72" s="417"/>
      <c r="AN72" s="417"/>
      <c r="AO72" s="417"/>
      <c r="AP72" s="417"/>
      <c r="AQ72" s="417"/>
      <c r="AR72" s="417"/>
      <c r="AS72" s="417"/>
      <c r="AT72" s="417"/>
      <c r="AU72" s="417"/>
      <c r="AV72" s="417"/>
      <c r="AW72" s="417"/>
      <c r="AX72" s="417"/>
      <c r="AY72" s="417"/>
      <c r="AZ72" s="417"/>
    </row>
    <row r="73" spans="1:52" s="392" customFormat="1" ht="14.25" customHeight="1" x14ac:dyDescent="0.2">
      <c r="A73" s="417"/>
      <c r="B73" s="417" t="s">
        <v>202</v>
      </c>
      <c r="C73" s="417"/>
      <c r="D73" s="772" t="e">
        <f>+_xll.BDP(D91, "EQY_FREE_FLOAT_PCT")/100</f>
        <v>#VALUE!</v>
      </c>
      <c r="E73" s="772" t="e">
        <f>+_xll.BDP(E91, "EQY_FREE_FLOAT_PCT")/100</f>
        <v>#VALUE!</v>
      </c>
      <c r="F73" s="772" t="e">
        <f>+_xll.BDP(F91, "EQY_FREE_FLOAT_PCT")/100</f>
        <v>#VALUE!</v>
      </c>
      <c r="G73" s="772" t="e">
        <f>+_xll.BDP(G91, "EQY_FREE_FLOAT_PCT")/100</f>
        <v>#VALUE!</v>
      </c>
      <c r="H73" s="772" t="e">
        <f>+_xll.BDP(H91, "EQY_FREE_FLOAT_PCT")/100</f>
        <v>#VALUE!</v>
      </c>
      <c r="I73" s="772" t="e">
        <f>+_xll.BDP(I91, "EQY_FREE_FLOAT_PCT")/100</f>
        <v>#VALUE!</v>
      </c>
      <c r="J73" s="772" t="e">
        <f>+_xll.BDP(J91, "EQY_FREE_FLOAT_PCT")/100</f>
        <v>#VALUE!</v>
      </c>
      <c r="K73" s="772" t="e">
        <f>+_xll.BDP(K91, "EQY_FREE_FLOAT_PCT")/100</f>
        <v>#VALUE!</v>
      </c>
      <c r="L73" s="772" t="e">
        <f>+_xll.BDP(L91, "EQY_FREE_FLOAT_PCT")/100</f>
        <v>#VALUE!</v>
      </c>
      <c r="M73" s="772" t="e">
        <f>+_xll.BDP(M91, "EQY_FREE_FLOAT_PCT")/100</f>
        <v>#VALUE!</v>
      </c>
      <c r="N73" s="772" t="e">
        <f>+_xll.BDP(N91, "EQY_FREE_FLOAT_PCT")/100</f>
        <v>#VALUE!</v>
      </c>
      <c r="O73" s="773" t="str">
        <f>IFERROR(+AVERAGE(D73:N73),"")</f>
        <v/>
      </c>
      <c r="P73" s="417"/>
      <c r="Q73" s="417"/>
      <c r="R73" s="464"/>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row>
    <row r="74" spans="1:52" s="392" customFormat="1" ht="14.25" customHeight="1" x14ac:dyDescent="0.2">
      <c r="A74" s="417"/>
      <c r="B74" s="417" t="s">
        <v>203</v>
      </c>
      <c r="C74" s="417"/>
      <c r="D74" s="442" t="str">
        <f>+_xll.BDP(D91, "EQY_BETA")</f>
        <v>#N/A Invalid Security</v>
      </c>
      <c r="E74" s="442" t="str">
        <f>+_xll.BDP(E91, "EQY_BETA")</f>
        <v>#N/A Invalid Security</v>
      </c>
      <c r="F74" s="442" t="str">
        <f>+_xll.BDP(F91, "EQY_BETA")</f>
        <v>#N/A Invalid Security</v>
      </c>
      <c r="G74" s="442" t="str">
        <f>+_xll.BDP(G91, "EQY_BETA")</f>
        <v>#N/A Invalid Security</v>
      </c>
      <c r="H74" s="442" t="str">
        <f>+_xll.BDP(H91, "EQY_BETA")</f>
        <v>#N/A Invalid Security</v>
      </c>
      <c r="I74" s="442" t="str">
        <f>+_xll.BDP(I91, "EQY_BETA")</f>
        <v>#N/A Invalid Security</v>
      </c>
      <c r="J74" s="442" t="str">
        <f>+_xll.BDP(J91, "EQY_BETA")</f>
        <v>#N/A Invalid Security</v>
      </c>
      <c r="K74" s="442" t="str">
        <f>+_xll.BDP(K91, "EQY_BETA")</f>
        <v>#N/A Invalid Security</v>
      </c>
      <c r="L74" s="442" t="str">
        <f>+_xll.BDP(L91, "EQY_BETA")</f>
        <v>#N/A Invalid Security</v>
      </c>
      <c r="M74" s="442" t="str">
        <f>+_xll.BDP(M91, "EQY_BETA")</f>
        <v>#N/A Invalid Security</v>
      </c>
      <c r="N74" s="442" t="str">
        <f>+_xll.BDP(N91, "EQY_BETA")</f>
        <v>#N/A Invalid Security</v>
      </c>
      <c r="O74" s="700" t="str">
        <f t="shared" ref="O74:O75" si="38">IFERROR(+AVERAGE(D74:N74),"")</f>
        <v/>
      </c>
      <c r="P74" s="417"/>
      <c r="Q74" s="417"/>
      <c r="R74" s="464"/>
      <c r="S74" s="417"/>
      <c r="T74" s="417"/>
      <c r="U74" s="417"/>
      <c r="V74" s="417"/>
      <c r="W74" s="417"/>
      <c r="X74" s="417"/>
      <c r="Y74" s="417"/>
      <c r="Z74" s="417"/>
      <c r="AA74" s="417"/>
      <c r="AB74" s="417"/>
      <c r="AC74" s="417"/>
      <c r="AD74" s="417"/>
      <c r="AE74" s="417"/>
      <c r="AF74" s="417"/>
      <c r="AG74" s="417"/>
      <c r="AH74" s="417"/>
      <c r="AI74" s="417"/>
      <c r="AJ74" s="417"/>
      <c r="AK74" s="417"/>
      <c r="AL74" s="417"/>
      <c r="AM74" s="417"/>
      <c r="AN74" s="417"/>
      <c r="AO74" s="417"/>
      <c r="AP74" s="417"/>
      <c r="AQ74" s="417"/>
      <c r="AR74" s="417"/>
      <c r="AS74" s="417"/>
      <c r="AT74" s="417"/>
      <c r="AU74" s="417"/>
      <c r="AV74" s="417"/>
      <c r="AW74" s="417"/>
      <c r="AX74" s="417"/>
      <c r="AY74" s="417"/>
      <c r="AZ74" s="417"/>
    </row>
    <row r="75" spans="1:52" s="392" customFormat="1" ht="14.1" customHeight="1" x14ac:dyDescent="0.2">
      <c r="A75" s="417"/>
      <c r="B75" s="417" t="s">
        <v>204</v>
      </c>
      <c r="C75" s="417"/>
      <c r="D75" s="442" t="str">
        <f>+_xll.BDP(D91, "UNLEVERED_BETA")</f>
        <v>#N/A Invalid Security</v>
      </c>
      <c r="E75" s="442" t="str">
        <f>+_xll.BDP(E91, "UNLEVERED_BETA")</f>
        <v>#N/A Invalid Security</v>
      </c>
      <c r="F75" s="442" t="str">
        <f>+_xll.BDP(F91, "UNLEVERED_BETA")</f>
        <v>#N/A Invalid Security</v>
      </c>
      <c r="G75" s="442" t="str">
        <f>+_xll.BDP(G91, "UNLEVERED_BETA")</f>
        <v>#N/A Invalid Security</v>
      </c>
      <c r="H75" s="442" t="str">
        <f>+_xll.BDP(H91, "UNLEVERED_BETA")</f>
        <v>#N/A Invalid Security</v>
      </c>
      <c r="I75" s="442" t="str">
        <f>+_xll.BDP(I91, "UNLEVERED_BETA")</f>
        <v>#N/A Invalid Security</v>
      </c>
      <c r="J75" s="442" t="str">
        <f>+_xll.BDP(J91, "UNLEVERED_BETA")</f>
        <v>#N/A Invalid Security</v>
      </c>
      <c r="K75" s="442" t="str">
        <f>+_xll.BDP(K91, "UNLEVERED_BETA")</f>
        <v>#N/A Invalid Security</v>
      </c>
      <c r="L75" s="442" t="str">
        <f>+_xll.BDP(L91, "UNLEVERED_BETA")</f>
        <v>#N/A Invalid Security</v>
      </c>
      <c r="M75" s="442" t="str">
        <f>+_xll.BDP(M91, "UNLEVERED_BETA")</f>
        <v>#N/A Invalid Security</v>
      </c>
      <c r="N75" s="442" t="str">
        <f>+_xll.BDP(N91, "UNLEVERED_BETA")</f>
        <v>#N/A Invalid Security</v>
      </c>
      <c r="O75" s="700" t="str">
        <f t="shared" si="38"/>
        <v/>
      </c>
      <c r="P75" s="417"/>
      <c r="Q75" s="417"/>
      <c r="R75" s="464"/>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row>
    <row r="76" spans="1:52" s="392" customFormat="1" ht="14.25" customHeight="1" x14ac:dyDescent="0.2">
      <c r="A76" s="417"/>
      <c r="B76" s="417" t="s">
        <v>37</v>
      </c>
      <c r="C76" s="417"/>
      <c r="D76" s="774" t="e">
        <f>+_xll.BDP(D91, "PCT_INSIDER_SHARES_OUT")/100</f>
        <v>#VALUE!</v>
      </c>
      <c r="E76" s="774" t="e">
        <f>+_xll.BDP(E91, "PCT_INSIDER_SHARES_OUT")/100</f>
        <v>#VALUE!</v>
      </c>
      <c r="F76" s="774" t="e">
        <f>+_xll.BDP(F91, "PCT_INSIDER_SHARES_OUT")/100</f>
        <v>#VALUE!</v>
      </c>
      <c r="G76" s="774" t="e">
        <f>+_xll.BDP(G91, "PCT_INSIDER_SHARES_OUT")/100</f>
        <v>#VALUE!</v>
      </c>
      <c r="H76" s="774" t="e">
        <f>+_xll.BDP(H91, "PCT_INSIDER_SHARES_OUT")/100</f>
        <v>#VALUE!</v>
      </c>
      <c r="I76" s="774" t="e">
        <f>+_xll.BDP(I91, "PCT_INSIDER_SHARES_OUT")/100</f>
        <v>#VALUE!</v>
      </c>
      <c r="J76" s="774" t="e">
        <f>+_xll.BDP(J91, "PCT_INSIDER_SHARES_OUT")/100</f>
        <v>#VALUE!</v>
      </c>
      <c r="K76" s="774" t="e">
        <f>+_xll.BDP(K91, "PCT_INSIDER_SHARES_OUT")/100</f>
        <v>#VALUE!</v>
      </c>
      <c r="L76" s="774" t="e">
        <f>+_xll.BDP(L91, "PCT_INSIDER_SHARES_OUT")/100</f>
        <v>#VALUE!</v>
      </c>
      <c r="M76" s="774" t="e">
        <f>+_xll.BDP(M91, "PCT_INSIDER_SHARES_OUT")/100</f>
        <v>#VALUE!</v>
      </c>
      <c r="N76" s="774" t="e">
        <f>+_xll.BDP(N91, "PCT_INSIDER_SHARES_OUT")/100</f>
        <v>#VALUE!</v>
      </c>
      <c r="O76" s="775" t="str">
        <f t="shared" ref="O76:O78" si="39">IFERROR(+AVERAGE(D76:N76),"")</f>
        <v/>
      </c>
      <c r="P76" s="417"/>
      <c r="Q76" s="417"/>
      <c r="R76" s="464"/>
      <c r="S76" s="417"/>
      <c r="T76" s="417"/>
      <c r="U76" s="417"/>
      <c r="V76" s="417"/>
      <c r="W76" s="417"/>
      <c r="X76" s="417"/>
      <c r="Y76" s="417"/>
      <c r="Z76" s="417"/>
      <c r="AA76" s="417"/>
      <c r="AB76" s="417"/>
      <c r="AC76" s="417"/>
      <c r="AD76" s="417"/>
      <c r="AE76" s="417"/>
      <c r="AF76" s="417"/>
      <c r="AG76" s="417"/>
      <c r="AH76" s="417"/>
      <c r="AI76" s="417"/>
      <c r="AJ76" s="417"/>
      <c r="AK76" s="417"/>
      <c r="AL76" s="417"/>
      <c r="AM76" s="417"/>
      <c r="AN76" s="417"/>
      <c r="AO76" s="417"/>
      <c r="AP76" s="417"/>
      <c r="AQ76" s="417"/>
      <c r="AR76" s="417"/>
      <c r="AS76" s="417"/>
      <c r="AT76" s="417"/>
      <c r="AU76" s="417"/>
      <c r="AV76" s="417"/>
      <c r="AW76" s="417"/>
      <c r="AX76" s="417"/>
      <c r="AY76" s="417"/>
      <c r="AZ76" s="417"/>
    </row>
    <row r="77" spans="1:52" s="392" customFormat="1" ht="14.25" customHeight="1" x14ac:dyDescent="0.2">
      <c r="A77" s="417"/>
      <c r="B77" s="417" t="s">
        <v>38</v>
      </c>
      <c r="C77" s="417"/>
      <c r="D77" s="774" t="e">
        <f>+_xll.BDP(D91, "PCT_FLT_SHARES_INSTITUTIONS")/100</f>
        <v>#VALUE!</v>
      </c>
      <c r="E77" s="774" t="e">
        <f>+_xll.BDP(E91, "PCT_FLT_SHARES_INSTITUTIONS")/100</f>
        <v>#VALUE!</v>
      </c>
      <c r="F77" s="774" t="e">
        <f>+_xll.BDP(F91, "PCT_FLT_SHARES_INSTITUTIONS")/100</f>
        <v>#VALUE!</v>
      </c>
      <c r="G77" s="774" t="e">
        <f>+_xll.BDP(G91, "PCT_FLT_SHARES_INSTITUTIONS")/100</f>
        <v>#VALUE!</v>
      </c>
      <c r="H77" s="774" t="e">
        <f>+_xll.BDP(H91, "PCT_FLT_SHARES_INSTITUTIONS")/100</f>
        <v>#VALUE!</v>
      </c>
      <c r="I77" s="774" t="e">
        <f>+_xll.BDP(I91, "PCT_FLT_SHARES_INSTITUTIONS")/100</f>
        <v>#VALUE!</v>
      </c>
      <c r="J77" s="774" t="e">
        <f>+_xll.BDP(J91, "PCT_FLT_SHARES_INSTITUTIONS")/100</f>
        <v>#VALUE!</v>
      </c>
      <c r="K77" s="774" t="e">
        <f>+_xll.BDP(K91, "PCT_FLT_SHARES_INSTITUTIONS")/100</f>
        <v>#VALUE!</v>
      </c>
      <c r="L77" s="774" t="e">
        <f>+_xll.BDP(L91, "PCT_FLT_SHARES_INSTITUTIONS")/100</f>
        <v>#VALUE!</v>
      </c>
      <c r="M77" s="774" t="e">
        <f>+_xll.BDP(M91, "PCT_FLT_SHARES_INSTITUTIONS")/100</f>
        <v>#VALUE!</v>
      </c>
      <c r="N77" s="774" t="e">
        <f>+_xll.BDP(N91, "PCT_FLT_SHARES_INSTITUTIONS")/100</f>
        <v>#VALUE!</v>
      </c>
      <c r="O77" s="699" t="str">
        <f t="shared" si="39"/>
        <v/>
      </c>
      <c r="P77" s="417"/>
      <c r="Q77" s="417"/>
      <c r="R77" s="464"/>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row>
    <row r="78" spans="1:52" s="392" customFormat="1" ht="14.25" customHeight="1" x14ac:dyDescent="0.2">
      <c r="A78" s="417"/>
      <c r="B78" s="417" t="s">
        <v>205</v>
      </c>
      <c r="C78" s="417"/>
      <c r="D78" s="772" t="e">
        <f>+_xll.BDP(D91, "SI_PERCENT_EQUITY_FLOAT")/10</f>
        <v>#VALUE!</v>
      </c>
      <c r="E78" s="772" t="e">
        <f>+_xll.BDP(E91, "SI_PERCENT_EQUITY_FLOAT")/10</f>
        <v>#VALUE!</v>
      </c>
      <c r="F78" s="772" t="e">
        <f>+_xll.BDP(F91, "SI_PERCENT_EQUITY_FLOAT")/10</f>
        <v>#VALUE!</v>
      </c>
      <c r="G78" s="772" t="e">
        <f>+_xll.BDP(G91, "SI_PERCENT_EQUITY_FLOAT")/10</f>
        <v>#VALUE!</v>
      </c>
      <c r="H78" s="772" t="e">
        <f>+_xll.BDP(H91, "SI_PERCENT_EQUITY_FLOAT")/10</f>
        <v>#VALUE!</v>
      </c>
      <c r="I78" s="772" t="e">
        <f>+_xll.BDP(I91, "SI_PERCENT_EQUITY_FLOAT")/10</f>
        <v>#VALUE!</v>
      </c>
      <c r="J78" s="772" t="e">
        <f>+_xll.BDP(J91, "SI_PERCENT_EQUITY_FLOAT")/10</f>
        <v>#VALUE!</v>
      </c>
      <c r="K78" s="772" t="e">
        <f>+_xll.BDP(K91, "SI_PERCENT_EQUITY_FLOAT")/10</f>
        <v>#VALUE!</v>
      </c>
      <c r="L78" s="772" t="e">
        <f>+_xll.BDP(L91, "SI_PERCENT_EQUITY_FLOAT")/10</f>
        <v>#VALUE!</v>
      </c>
      <c r="M78" s="772" t="e">
        <f>+_xll.BDP(M91, "SI_PERCENT_EQUITY_FLOAT")/10</f>
        <v>#VALUE!</v>
      </c>
      <c r="N78" s="772" t="e">
        <f>+_xll.BDP(N91, "SI_PERCENT_EQUITY_FLOAT")/10</f>
        <v>#VALUE!</v>
      </c>
      <c r="O78" s="699" t="str">
        <f t="shared" si="39"/>
        <v/>
      </c>
      <c r="P78" s="417"/>
      <c r="Q78" s="417"/>
      <c r="R78" s="464"/>
      <c r="S78" s="417"/>
      <c r="T78" s="417"/>
      <c r="U78" s="417"/>
      <c r="V78" s="417"/>
      <c r="W78" s="417"/>
      <c r="X78" s="417"/>
      <c r="Y78" s="417"/>
      <c r="Z78" s="417"/>
      <c r="AA78" s="417"/>
      <c r="AB78" s="417"/>
      <c r="AC78" s="417"/>
      <c r="AD78" s="417"/>
      <c r="AE78" s="417"/>
      <c r="AF78" s="417"/>
      <c r="AG78" s="417"/>
      <c r="AH78" s="417"/>
      <c r="AI78" s="417"/>
      <c r="AJ78" s="417"/>
      <c r="AK78" s="417"/>
      <c r="AL78" s="417"/>
      <c r="AM78" s="417"/>
      <c r="AN78" s="417"/>
      <c r="AO78" s="417"/>
      <c r="AP78" s="417"/>
      <c r="AQ78" s="417"/>
      <c r="AR78" s="417"/>
      <c r="AS78" s="417"/>
      <c r="AT78" s="417"/>
      <c r="AU78" s="417"/>
      <c r="AV78" s="417"/>
      <c r="AW78" s="417"/>
      <c r="AX78" s="417"/>
      <c r="AY78" s="417"/>
      <c r="AZ78" s="417"/>
    </row>
    <row r="79" spans="1:52" s="392" customFormat="1" ht="3.75" customHeight="1" x14ac:dyDescent="0.2">
      <c r="A79" s="417"/>
      <c r="B79" s="417"/>
      <c r="C79" s="417"/>
      <c r="D79" s="417"/>
      <c r="E79" s="417"/>
      <c r="F79" s="417"/>
      <c r="G79" s="417"/>
      <c r="H79" s="417"/>
      <c r="I79" s="417"/>
      <c r="J79" s="417"/>
      <c r="K79" s="417"/>
      <c r="L79" s="417"/>
      <c r="M79" s="417"/>
      <c r="N79" s="417"/>
      <c r="O79" s="417"/>
      <c r="P79" s="417"/>
      <c r="Q79" s="417"/>
      <c r="R79" s="464"/>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row>
    <row r="80" spans="1:52" s="395" customFormat="1" ht="14.25" customHeight="1" x14ac:dyDescent="0.2">
      <c r="A80" s="426"/>
      <c r="B80" s="628" t="s">
        <v>69</v>
      </c>
      <c r="C80" s="629"/>
      <c r="D80" s="402" t="str">
        <f t="shared" ref="D80:O80" ca="1" si="40">+D29</f>
        <v/>
      </c>
      <c r="E80" s="402" t="str">
        <f t="shared" si="40"/>
        <v>PEER 1</v>
      </c>
      <c r="F80" s="402" t="str">
        <f t="shared" si="40"/>
        <v>PEER 2</v>
      </c>
      <c r="G80" s="402" t="str">
        <f t="shared" si="40"/>
        <v>PEER 3</v>
      </c>
      <c r="H80" s="402" t="str">
        <f t="shared" si="40"/>
        <v>PEER 4</v>
      </c>
      <c r="I80" s="402" t="str">
        <f t="shared" si="40"/>
        <v>PEER 5</v>
      </c>
      <c r="J80" s="402" t="str">
        <f t="shared" si="40"/>
        <v>PEER 6</v>
      </c>
      <c r="K80" s="402" t="str">
        <f t="shared" si="40"/>
        <v>PEER 7</v>
      </c>
      <c r="L80" s="402" t="str">
        <f t="shared" si="40"/>
        <v>PEER 8</v>
      </c>
      <c r="M80" s="402" t="str">
        <f t="shared" si="40"/>
        <v>PEER 9</v>
      </c>
      <c r="N80" s="402" t="str">
        <f t="shared" si="40"/>
        <v>PEER 10</v>
      </c>
      <c r="O80" s="402" t="str">
        <f t="shared" si="40"/>
        <v>Average</v>
      </c>
      <c r="P80" s="426"/>
      <c r="Q80" s="426"/>
      <c r="R80" s="630"/>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row>
    <row r="81" spans="1:52" s="392" customFormat="1" ht="3.75" customHeight="1" x14ac:dyDescent="0.2">
      <c r="A81" s="417"/>
      <c r="B81" s="452"/>
      <c r="C81" s="452"/>
      <c r="D81" s="452"/>
      <c r="E81" s="452"/>
      <c r="F81" s="452"/>
      <c r="G81" s="452"/>
      <c r="H81" s="452"/>
      <c r="I81" s="452"/>
      <c r="J81" s="452"/>
      <c r="K81" s="452"/>
      <c r="L81" s="452"/>
      <c r="M81" s="452"/>
      <c r="N81" s="452"/>
      <c r="O81" s="452"/>
      <c r="P81" s="417"/>
      <c r="Q81" s="417"/>
      <c r="R81" s="464"/>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row>
    <row r="82" spans="1:52" s="392" customFormat="1" ht="14.25" customHeight="1" x14ac:dyDescent="0.2">
      <c r="A82" s="417"/>
      <c r="B82" s="417" t="s">
        <v>206</v>
      </c>
      <c r="C82" s="417"/>
      <c r="D82" s="468" t="str" cm="1">
        <f t="array" aca="1" ref="D82" ca="1">IFERROR((D85/_xlfn.STOCKHISTORY(C6,TODAY()-1,TODAY()-1,0,0,1))-1,"Non-trading days")</f>
        <v>Non-trading days</v>
      </c>
      <c r="E82" s="468" t="str" cm="1">
        <f t="array" aca="1" ref="E82" ca="1">IFERROR((E85/_xlfn.STOCKHISTORY(C8,TODAY()-1,TODAY()-1,0,0,1))-1,"Non-trading days")</f>
        <v>Non-trading days</v>
      </c>
      <c r="F82" s="468" t="str" cm="1">
        <f t="array" aca="1" ref="F82" ca="1">IFERROR((F85/_xlfn.STOCKHISTORY(C9,TODAY()-1,TODAY()-1,0,0,1))-1,"Non-trading days")</f>
        <v>Non-trading days</v>
      </c>
      <c r="G82" s="468" t="str" cm="1">
        <f t="array" aca="1" ref="G82" ca="1">IFERROR((G85/_xlfn.STOCKHISTORY(C10,TODAY()-1,TODAY()-1,0,0,1))-1,"Non-trading days")</f>
        <v>Non-trading days</v>
      </c>
      <c r="H82" s="468" t="str" cm="1">
        <f t="array" aca="1" ref="H82" ca="1">IFERROR((K85/_xlfn.STOCKHISTORY(C11,TODAY()-1,TODAY()-1,0,0,1))-1,"Non-trading days")</f>
        <v>Non-trading days</v>
      </c>
      <c r="I82" s="468" t="str" cm="1">
        <f t="array" aca="1" ref="I82" ca="1">IFERROR((L85/_xlfn.STOCKHISTORY(C12,TODAY()-1,TODAY()-1,0,0,1))-1,"Non-trading days")</f>
        <v>Non-trading days</v>
      </c>
      <c r="J82" s="468" t="str" cm="1">
        <f t="array" aca="1" ref="J82" ca="1">IFERROR((M85/_xlfn.STOCKHISTORY(C13,TODAY()-1,TODAY()-1,0,0,1))-1,"Non-trading days")</f>
        <v>Non-trading days</v>
      </c>
      <c r="K82" s="468" t="str" cm="1">
        <f t="array" aca="1" ref="K82" ca="1">IFERROR((N85/_xlfn.STOCKHISTORY(C14,TODAY()-1,TODAY()-1,0,0,1))-1,"Non-trading days")</f>
        <v>Non-trading days</v>
      </c>
      <c r="L82" s="468" t="str" cm="1">
        <f t="array" aca="1" ref="L82" ca="1">IFERROR((L85/_xlfn.STOCKHISTORY(C15,TODAY()-1,TODAY()-1,0,0,1))-1,"Non-trading days")</f>
        <v>Non-trading days</v>
      </c>
      <c r="M82" s="468" t="str" cm="1">
        <f t="array" aca="1" ref="M82" ca="1">IFERROR((M85/_xlfn.STOCKHISTORY(C16,TODAY()-1,TODAY()-1,0,0,1))-1,"Non-trading days")</f>
        <v>Non-trading days</v>
      </c>
      <c r="N82" s="468" t="str" cm="1">
        <f t="array" aca="1" ref="N82" ca="1">IFERROR((N85/_xlfn.STOCKHISTORY(C17,TODAY()-1,TODAY()-1,0,0,1))-1,"Non-trading days")</f>
        <v>Non-trading days</v>
      </c>
      <c r="O82" s="465" t="str">
        <f ca="1">IFERROR(+AVERAGE(D82:N82),"")</f>
        <v/>
      </c>
      <c r="P82" s="417"/>
      <c r="Q82" s="417"/>
      <c r="R82" s="464"/>
      <c r="S82" s="417"/>
      <c r="T82" s="417"/>
      <c r="U82" s="417"/>
      <c r="V82" s="417"/>
      <c r="W82" s="417"/>
      <c r="X82" s="417"/>
      <c r="Y82" s="417"/>
      <c r="Z82" s="417"/>
      <c r="AA82" s="417"/>
      <c r="AB82" s="417"/>
      <c r="AC82" s="417"/>
      <c r="AD82" s="417"/>
      <c r="AE82" s="417"/>
      <c r="AF82" s="417"/>
      <c r="AG82" s="417"/>
      <c r="AH82" s="417"/>
      <c r="AI82" s="417"/>
      <c r="AJ82" s="417"/>
      <c r="AK82" s="417"/>
      <c r="AL82" s="417"/>
      <c r="AM82" s="417"/>
      <c r="AN82" s="417"/>
      <c r="AO82" s="417"/>
      <c r="AP82" s="417"/>
      <c r="AQ82" s="417"/>
      <c r="AR82" s="417"/>
      <c r="AS82" s="417"/>
      <c r="AT82" s="417"/>
      <c r="AU82" s="417"/>
      <c r="AV82" s="417"/>
      <c r="AW82" s="417"/>
      <c r="AX82" s="417"/>
      <c r="AY82" s="417"/>
      <c r="AZ82" s="417"/>
    </row>
    <row r="83" spans="1:52" s="392" customFormat="1" ht="14.25" customHeight="1" x14ac:dyDescent="0.2">
      <c r="A83" s="417"/>
      <c r="B83" s="417" t="s">
        <v>207</v>
      </c>
      <c r="C83" s="417"/>
      <c r="D83" s="468" t="str" cm="1">
        <f t="array" aca="1" ref="D83" ca="1">IFERROR((D85/_xlfn.STOCKHISTORY(C6,TODAY()-29,TODAY()-29,0,0,1))-1,"Non-trading days")</f>
        <v>Non-trading days</v>
      </c>
      <c r="E83" s="468" t="str" cm="1">
        <f t="array" aca="1" ref="E83" ca="1">IFERROR((E85/_xlfn.STOCKHISTORY(C8,TODAY()-29,TODAY()-29,0,0,1))-1,"Non-trading days")</f>
        <v>Non-trading days</v>
      </c>
      <c r="F83" s="468" t="str" cm="1">
        <f t="array" aca="1" ref="F83" ca="1">IFERROR((F85/_xlfn.STOCKHISTORY(C9,TODAY()-29,TODAY()-29,0,0,1))-1,"Non-trading days")</f>
        <v>Non-trading days</v>
      </c>
      <c r="G83" s="468" t="str" cm="1">
        <f t="array" aca="1" ref="G83" ca="1">IFERROR((G85/_xlfn.STOCKHISTORY(C10,TODAY()-29,TODAY()-29,0,0,1))-1,"Non-trading days")</f>
        <v>Non-trading days</v>
      </c>
      <c r="H83" s="468" t="str" cm="1">
        <f t="array" aca="1" ref="H83" ca="1">IFERROR((K85/_xlfn.STOCKHISTORY(C11,TODAY()-29,TODAY()-29,0,0,1))-1,"Non-trading days")</f>
        <v>Non-trading days</v>
      </c>
      <c r="I83" s="468" t="str" cm="1">
        <f t="array" aca="1" ref="I83" ca="1">IFERROR((L85/_xlfn.STOCKHISTORY(C12,TODAY()-29,TODAY()-29,0,0,1))-1,"Non-trading days")</f>
        <v>Non-trading days</v>
      </c>
      <c r="J83" s="468" t="str" cm="1">
        <f t="array" aca="1" ref="J83" ca="1">IFERROR((M85/_xlfn.STOCKHISTORY(C13,TODAY()-29,TODAY()-29,0,0,1))-1,"Non-trading days")</f>
        <v>Non-trading days</v>
      </c>
      <c r="K83" s="468" t="str" cm="1">
        <f t="array" aca="1" ref="K83" ca="1">IFERROR((N85/_xlfn.STOCKHISTORY(C14,TODAY()-29,TODAY()-29,0,0,1))-1,"Non-trading days")</f>
        <v>Non-trading days</v>
      </c>
      <c r="L83" s="468" t="str" cm="1">
        <f t="array" aca="1" ref="L83" ca="1">IFERROR((L85/_xlfn.STOCKHISTORY(C15,TODAY()-29,TODAY()-29,0,0,1))-1,"Non-trading days")</f>
        <v>Non-trading days</v>
      </c>
      <c r="M83" s="468" t="str" cm="1">
        <f t="array" aca="1" ref="M83" ca="1">IFERROR((M85/_xlfn.STOCKHISTORY(C16,TODAY()-29,TODAY()-29,0,0,1))-1,"Non-trading days")</f>
        <v>Non-trading days</v>
      </c>
      <c r="N83" s="468" t="str" cm="1">
        <f t="array" aca="1" ref="N83" ca="1">IFERROR((N85/_xlfn.STOCKHISTORY(C17,TODAY()-29,TODAY()-29,0,0,1))-1,"Non-trading days")</f>
        <v>Non-trading days</v>
      </c>
      <c r="O83" s="465" t="str">
        <f ca="1">IFERROR(AVERAGE(D83:N83),"")</f>
        <v/>
      </c>
      <c r="P83" s="417"/>
      <c r="Q83" s="417"/>
      <c r="R83" s="464"/>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row>
    <row r="84" spans="1:52" s="392" customFormat="1" ht="14.25" customHeight="1" x14ac:dyDescent="0.2">
      <c r="A84" s="417"/>
      <c r="B84" s="417" t="s">
        <v>208</v>
      </c>
      <c r="C84" s="417"/>
      <c r="D84" s="468" t="str" cm="1">
        <f t="array" aca="1" ref="D84" ca="1">IFERROR((D85/_xlfn.STOCKHISTORY(C6,"2025-01-02","2025-01-02",0,0,1))-1,"Non-trading days")</f>
        <v>Non-trading days</v>
      </c>
      <c r="E84" s="468" t="str" cm="1">
        <f t="array" aca="1" ref="E84" ca="1">IFERROR((E85/_xlfn.STOCKHISTORY(C8,"2025-01-02","2025-01-02",0,0,1))-1,"Non-trading days")</f>
        <v>Non-trading days</v>
      </c>
      <c r="F84" s="468" t="str" cm="1">
        <f t="array" aca="1" ref="F84" ca="1">IFERROR((F85/_xlfn.STOCKHISTORY(C9,"2025-01-02","2025-01-02",0,0,1))-1,"Non-trading days")</f>
        <v>Non-trading days</v>
      </c>
      <c r="G84" s="468" t="str" cm="1">
        <f t="array" aca="1" ref="G84" ca="1">IFERROR((G85/_xlfn.STOCKHISTORY(C10,"2025-01-02","2025-01-02",0,0,1))-1,"Non-trading days")</f>
        <v>Non-trading days</v>
      </c>
      <c r="H84" s="468" t="str" cm="1">
        <f t="array" aca="1" ref="H84" ca="1">IFERROR((K85/_xlfn.STOCKHISTORY(C11,"2025-01-02","2025-01-02",0,0,1))-1,"Non-trading days")</f>
        <v>Non-trading days</v>
      </c>
      <c r="I84" s="468" t="str" cm="1">
        <f t="array" aca="1" ref="I84" ca="1">IFERROR((L85/_xlfn.STOCKHISTORY(C12,"2025-01-02","2025-01-02",0,0,1))-1,"Non-trading days")</f>
        <v>Non-trading days</v>
      </c>
      <c r="J84" s="468" t="str" cm="1">
        <f t="array" aca="1" ref="J84" ca="1">IFERROR((M85/_xlfn.STOCKHISTORY(C13,"2025-01-02","2025-01-02",0,0,1))-1,"Non-trading days")</f>
        <v>Non-trading days</v>
      </c>
      <c r="K84" s="468" t="str" cm="1">
        <f t="array" aca="1" ref="K84" ca="1">IFERROR((N85/_xlfn.STOCKHISTORY(C14,"2025-01-02","2025-01-02",0,0,1))-1,"Non-trading days")</f>
        <v>Non-trading days</v>
      </c>
      <c r="L84" s="468" t="str" cm="1">
        <f t="array" aca="1" ref="L84" ca="1">IFERROR((L85/_xlfn.STOCKHISTORY(C15,"2025-01-02","2025-01-02",0,0,1))-1,"Non-trading days")</f>
        <v>Non-trading days</v>
      </c>
      <c r="M84" s="468" t="str" cm="1">
        <f t="array" aca="1" ref="M84" ca="1">IFERROR((M85/_xlfn.STOCKHISTORY(C16,"2025-01-02","2025-01-02",0,0,1))-1,"Non-trading days")</f>
        <v>Non-trading days</v>
      </c>
      <c r="N84" s="468" t="str" cm="1">
        <f t="array" aca="1" ref="N84" ca="1">IFERROR((N85/_xlfn.STOCKHISTORY(C17,"2025-01-02","2025-01-02",0,0,1))-1,"Non-trading days")</f>
        <v>Non-trading days</v>
      </c>
      <c r="O84" s="465" t="str">
        <f ca="1">IFERROR(AVERAGE(D84:N84),"")</f>
        <v/>
      </c>
      <c r="P84" s="417"/>
      <c r="Q84" s="417"/>
      <c r="R84" s="464"/>
      <c r="S84" s="417"/>
      <c r="T84" s="417"/>
      <c r="U84" s="417"/>
      <c r="V84" s="417"/>
      <c r="W84" s="417"/>
      <c r="X84" s="417"/>
      <c r="Y84" s="417"/>
      <c r="Z84" s="417"/>
      <c r="AA84" s="417"/>
      <c r="AB84" s="417"/>
      <c r="AC84" s="417"/>
      <c r="AD84" s="417"/>
      <c r="AE84" s="417"/>
      <c r="AF84" s="417"/>
      <c r="AG84" s="417"/>
      <c r="AH84" s="417"/>
      <c r="AI84" s="417"/>
      <c r="AJ84" s="417"/>
      <c r="AK84" s="417"/>
      <c r="AL84" s="417"/>
      <c r="AM84" s="417"/>
      <c r="AN84" s="417"/>
      <c r="AO84" s="417"/>
      <c r="AP84" s="417"/>
      <c r="AQ84" s="417"/>
      <c r="AR84" s="417"/>
      <c r="AS84" s="417"/>
      <c r="AT84" s="417"/>
      <c r="AU84" s="417"/>
      <c r="AV84" s="417"/>
      <c r="AW84" s="417"/>
      <c r="AX84" s="417"/>
      <c r="AY84" s="417"/>
      <c r="AZ84" s="417"/>
    </row>
    <row r="85" spans="1:52" s="392" customFormat="1" ht="14.25" customHeight="1" x14ac:dyDescent="0.2">
      <c r="A85" s="417"/>
      <c r="B85" s="417" t="s">
        <v>168</v>
      </c>
      <c r="C85" s="417"/>
      <c r="D85" s="460" t="str" cm="1">
        <f t="array" aca="1" ref="D85" ca="1">+IFERROR(_FV(D91,"Price"),"")</f>
        <v/>
      </c>
      <c r="E85" s="460" t="str" cm="1">
        <f t="array" aca="1" ref="E85" ca="1">+IFERROR(_FV(E91,"Price"),"")</f>
        <v/>
      </c>
      <c r="F85" s="460" t="str" cm="1">
        <f t="array" aca="1" ref="F85" ca="1">+IFERROR(_FV(F91,"Price"),"")</f>
        <v/>
      </c>
      <c r="G85" s="460" t="str" cm="1">
        <f t="array" aca="1" ref="G85" ca="1">+IFERROR(_FV(G91,"Price"),"")</f>
        <v/>
      </c>
      <c r="H85" s="460" t="str" cm="1">
        <f t="array" aca="1" ref="H85" ca="1">+IFERROR(_FV(H91,"Price"),"")</f>
        <v/>
      </c>
      <c r="I85" s="460" t="str" cm="1">
        <f t="array" aca="1" ref="I85" ca="1">+IFERROR(_FV(I91,"Price"),"")</f>
        <v/>
      </c>
      <c r="J85" s="460" t="str" cm="1">
        <f t="array" aca="1" ref="J85" ca="1">+IFERROR(_FV(J91,"Price"),"")</f>
        <v/>
      </c>
      <c r="K85" s="460" t="str" cm="1">
        <f t="array" aca="1" ref="K85" ca="1">+IFERROR(_FV(K91,"Price"),"")</f>
        <v/>
      </c>
      <c r="L85" s="460" t="str" cm="1">
        <f t="array" aca="1" ref="L85" ca="1">+IFERROR(_FV(L91,"Price"),"")</f>
        <v/>
      </c>
      <c r="M85" s="460" t="str" cm="1">
        <f t="array" aca="1" ref="M85" ca="1">+IFERROR(_FV(M91,"Price"),"")</f>
        <v/>
      </c>
      <c r="N85" s="460" t="str" cm="1">
        <f t="array" aca="1" ref="N85" ca="1">+IFERROR(_FV(N91,"Price"),"")</f>
        <v/>
      </c>
      <c r="O85" s="465" t="str">
        <f ca="1">IFERROR(AVERAGE(D85:N85),"")</f>
        <v/>
      </c>
      <c r="P85" s="417"/>
      <c r="Q85" s="417"/>
      <c r="R85" s="464"/>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row>
    <row r="86" spans="1:52" s="392" customFormat="1" ht="3.75" customHeight="1" x14ac:dyDescent="0.2">
      <c r="A86" s="417"/>
      <c r="B86" s="417"/>
      <c r="C86" s="417"/>
      <c r="D86" s="417"/>
      <c r="E86" s="417"/>
      <c r="F86" s="417"/>
      <c r="G86" s="417"/>
      <c r="H86" s="417"/>
      <c r="I86" s="417"/>
      <c r="J86" s="417"/>
      <c r="K86" s="417"/>
      <c r="L86" s="417"/>
      <c r="M86" s="417"/>
      <c r="N86" s="417"/>
      <c r="O86" s="417"/>
      <c r="P86" s="417"/>
      <c r="Q86" s="417"/>
      <c r="R86" s="464"/>
      <c r="S86" s="417"/>
      <c r="T86" s="417"/>
      <c r="U86" s="417"/>
      <c r="V86" s="417"/>
      <c r="W86" s="417"/>
      <c r="X86" s="417"/>
      <c r="Y86" s="417"/>
      <c r="Z86" s="417"/>
      <c r="AA86" s="417"/>
      <c r="AB86" s="417"/>
      <c r="AC86" s="417"/>
      <c r="AD86" s="417"/>
      <c r="AE86" s="417"/>
      <c r="AF86" s="417"/>
      <c r="AG86" s="417"/>
      <c r="AH86" s="417"/>
      <c r="AI86" s="417"/>
      <c r="AJ86" s="417"/>
      <c r="AK86" s="417"/>
      <c r="AL86" s="417"/>
      <c r="AM86" s="417"/>
      <c r="AN86" s="417"/>
      <c r="AO86" s="417"/>
      <c r="AP86" s="417"/>
      <c r="AQ86" s="417"/>
      <c r="AR86" s="417"/>
      <c r="AS86" s="417"/>
      <c r="AT86" s="417"/>
      <c r="AU86" s="417"/>
      <c r="AV86" s="417"/>
      <c r="AW86" s="417"/>
      <c r="AX86" s="417"/>
      <c r="AY86" s="417"/>
      <c r="AZ86" s="417"/>
    </row>
    <row r="87" spans="1:52" s="395" customFormat="1" ht="14.25" customHeight="1" x14ac:dyDescent="0.2">
      <c r="A87" s="426"/>
      <c r="B87" s="628" t="s">
        <v>209</v>
      </c>
      <c r="C87" s="629"/>
      <c r="D87" s="628"/>
      <c r="E87" s="628"/>
      <c r="F87" s="628"/>
      <c r="G87" s="628"/>
      <c r="H87" s="628"/>
      <c r="I87" s="628"/>
      <c r="J87" s="628"/>
      <c r="K87" s="628"/>
      <c r="L87" s="628"/>
      <c r="M87" s="628"/>
      <c r="N87" s="628"/>
      <c r="O87" s="628"/>
      <c r="P87" s="426"/>
      <c r="Q87" s="426"/>
      <c r="R87" s="630"/>
      <c r="S87" s="426"/>
      <c r="T87" s="426"/>
      <c r="U87" s="426"/>
      <c r="V87" s="426"/>
      <c r="W87" s="426"/>
      <c r="X87" s="426"/>
      <c r="Y87" s="426"/>
      <c r="Z87" s="426"/>
      <c r="AA87" s="426"/>
      <c r="AB87" s="426"/>
      <c r="AC87" s="426"/>
      <c r="AD87" s="426"/>
      <c r="AE87" s="426"/>
      <c r="AF87" s="426"/>
      <c r="AG87" s="426"/>
      <c r="AH87" s="426"/>
      <c r="AI87" s="426"/>
      <c r="AJ87" s="426"/>
      <c r="AK87" s="426"/>
      <c r="AL87" s="426"/>
      <c r="AM87" s="426"/>
      <c r="AN87" s="426"/>
      <c r="AO87" s="426"/>
      <c r="AP87" s="426"/>
      <c r="AQ87" s="426"/>
      <c r="AR87" s="426"/>
      <c r="AS87" s="426"/>
      <c r="AT87" s="426"/>
      <c r="AU87" s="426"/>
      <c r="AV87" s="426"/>
      <c r="AW87" s="426"/>
      <c r="AX87" s="426"/>
      <c r="AY87" s="426"/>
      <c r="AZ87" s="426"/>
    </row>
    <row r="88" spans="1:52" s="392" customFormat="1" ht="3.75" customHeight="1" x14ac:dyDescent="0.2">
      <c r="A88" s="417"/>
      <c r="B88" s="452"/>
      <c r="C88" s="452"/>
      <c r="D88" s="452"/>
      <c r="E88" s="452"/>
      <c r="F88" s="452"/>
      <c r="G88" s="452"/>
      <c r="H88" s="452"/>
      <c r="I88" s="452"/>
      <c r="J88" s="452"/>
      <c r="K88" s="452"/>
      <c r="L88" s="452"/>
      <c r="M88" s="452"/>
      <c r="N88" s="452"/>
      <c r="O88" s="452"/>
      <c r="P88" s="417"/>
      <c r="Q88" s="417"/>
      <c r="R88" s="464"/>
      <c r="S88" s="417"/>
      <c r="T88" s="417"/>
      <c r="U88" s="417"/>
      <c r="V88" s="417"/>
      <c r="W88" s="417"/>
      <c r="X88" s="417"/>
      <c r="Y88" s="417"/>
      <c r="Z88" s="417"/>
      <c r="AA88" s="417"/>
      <c r="AB88" s="417"/>
      <c r="AC88" s="417"/>
      <c r="AD88" s="417"/>
      <c r="AE88" s="417"/>
      <c r="AF88" s="417"/>
      <c r="AG88" s="417"/>
      <c r="AH88" s="417"/>
      <c r="AI88" s="417"/>
      <c r="AJ88" s="417"/>
      <c r="AK88" s="417"/>
      <c r="AL88" s="417"/>
      <c r="AM88" s="417"/>
      <c r="AN88" s="417"/>
      <c r="AO88" s="417"/>
      <c r="AP88" s="417"/>
      <c r="AQ88" s="417"/>
      <c r="AR88" s="417"/>
      <c r="AS88" s="417"/>
      <c r="AT88" s="417"/>
      <c r="AU88" s="417"/>
      <c r="AV88" s="417"/>
      <c r="AW88" s="417"/>
      <c r="AX88" s="417"/>
      <c r="AY88" s="417"/>
      <c r="AZ88" s="417"/>
    </row>
    <row r="89" spans="1:52" s="392" customFormat="1" ht="14.25" customHeight="1" x14ac:dyDescent="0.2">
      <c r="A89" s="417"/>
      <c r="B89" s="417" t="s">
        <v>210</v>
      </c>
      <c r="C89" s="417"/>
      <c r="D89" s="417"/>
      <c r="E89" s="417"/>
      <c r="F89" s="417"/>
      <c r="G89" s="417"/>
      <c r="H89" s="417"/>
      <c r="I89" s="417"/>
      <c r="J89" s="417"/>
      <c r="K89" s="417"/>
      <c r="L89" s="417"/>
      <c r="M89" s="417"/>
      <c r="N89" s="417"/>
      <c r="O89" s="417"/>
      <c r="P89" s="417"/>
      <c r="Q89" s="417"/>
      <c r="R89" s="464"/>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row>
    <row r="90" spans="1:52" s="392" customFormat="1" ht="5.25" customHeight="1" x14ac:dyDescent="0.2">
      <c r="A90" s="417"/>
      <c r="B90" s="417"/>
      <c r="C90" s="417"/>
      <c r="D90" s="417"/>
      <c r="E90" s="417"/>
      <c r="F90" s="417"/>
      <c r="G90" s="417"/>
      <c r="H90" s="417"/>
      <c r="I90" s="417"/>
      <c r="J90" s="417"/>
      <c r="K90" s="417"/>
      <c r="L90" s="417"/>
      <c r="M90" s="417"/>
      <c r="N90" s="417"/>
      <c r="O90" s="417"/>
      <c r="P90" s="417"/>
      <c r="Q90" s="417"/>
      <c r="R90" s="464"/>
      <c r="S90" s="417"/>
      <c r="T90" s="417"/>
      <c r="U90" s="417"/>
      <c r="V90" s="417"/>
      <c r="W90" s="417"/>
      <c r="X90" s="417"/>
      <c r="Y90" s="417"/>
      <c r="Z90" s="417"/>
      <c r="AA90" s="417"/>
      <c r="AB90" s="417"/>
      <c r="AC90" s="417"/>
      <c r="AD90" s="417"/>
      <c r="AE90" s="417"/>
      <c r="AF90" s="417"/>
      <c r="AG90" s="417"/>
      <c r="AH90" s="417"/>
      <c r="AI90" s="417"/>
      <c r="AJ90" s="417"/>
      <c r="AK90" s="417"/>
      <c r="AL90" s="417"/>
      <c r="AM90" s="417"/>
      <c r="AN90" s="417"/>
      <c r="AO90" s="417"/>
      <c r="AP90" s="417"/>
      <c r="AQ90" s="417"/>
      <c r="AR90" s="417"/>
      <c r="AS90" s="417"/>
      <c r="AT90" s="417"/>
      <c r="AU90" s="417"/>
      <c r="AV90" s="417"/>
      <c r="AW90" s="417"/>
      <c r="AX90" s="417"/>
      <c r="AY90" s="417"/>
      <c r="AZ90" s="417"/>
    </row>
    <row r="91" spans="1:52" s="392" customFormat="1" ht="24.75" customHeight="1" x14ac:dyDescent="0.2">
      <c r="A91" s="417"/>
      <c r="B91" s="469" t="s">
        <v>211</v>
      </c>
      <c r="C91" s="454"/>
      <c r="D91" s="403" t="str">
        <f>+Summary!D6</f>
        <v xml:space="preserve"> Equity</v>
      </c>
      <c r="E91" s="404" t="s">
        <v>212</v>
      </c>
      <c r="F91" s="406" t="s">
        <v>213</v>
      </c>
      <c r="G91" s="686" t="s">
        <v>214</v>
      </c>
      <c r="H91" s="692" t="s">
        <v>215</v>
      </c>
      <c r="I91" s="692" t="s">
        <v>216</v>
      </c>
      <c r="J91" s="692" t="s">
        <v>217</v>
      </c>
      <c r="K91" s="692" t="s">
        <v>218</v>
      </c>
      <c r="L91" s="692" t="s">
        <v>219</v>
      </c>
      <c r="M91" s="692" t="s">
        <v>220</v>
      </c>
      <c r="N91" s="405" t="s">
        <v>221</v>
      </c>
      <c r="O91" s="417"/>
      <c r="P91" s="417"/>
      <c r="Q91" s="417"/>
      <c r="R91" s="464"/>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row>
    <row r="92" spans="1:52" s="392" customFormat="1" ht="3.75" customHeight="1" x14ac:dyDescent="0.2">
      <c r="A92" s="417"/>
      <c r="B92" s="470"/>
      <c r="C92" s="458"/>
      <c r="D92" s="407"/>
      <c r="E92" s="408"/>
      <c r="F92" s="410"/>
      <c r="G92" s="687"/>
      <c r="H92" s="693"/>
      <c r="I92" s="693"/>
      <c r="J92" s="693"/>
      <c r="K92" s="693"/>
      <c r="L92" s="693"/>
      <c r="M92" s="693"/>
      <c r="N92" s="409"/>
      <c r="O92" s="417"/>
      <c r="P92" s="417"/>
      <c r="Q92" s="417"/>
      <c r="R92" s="464"/>
      <c r="S92" s="417"/>
      <c r="T92" s="417"/>
      <c r="U92" s="417"/>
      <c r="V92" s="417"/>
      <c r="W92" s="417"/>
      <c r="X92" s="417"/>
      <c r="Y92" s="417"/>
      <c r="Z92" s="417"/>
      <c r="AA92" s="417"/>
      <c r="AB92" s="417"/>
      <c r="AC92" s="417"/>
      <c r="AD92" s="417"/>
      <c r="AE92" s="417"/>
      <c r="AF92" s="417"/>
      <c r="AG92" s="417"/>
      <c r="AH92" s="417"/>
      <c r="AI92" s="417"/>
      <c r="AJ92" s="417"/>
      <c r="AK92" s="417"/>
      <c r="AL92" s="417"/>
      <c r="AM92" s="417"/>
      <c r="AN92" s="417"/>
      <c r="AO92" s="417"/>
      <c r="AP92" s="417"/>
      <c r="AQ92" s="417"/>
      <c r="AR92" s="417"/>
      <c r="AS92" s="417"/>
      <c r="AT92" s="417"/>
      <c r="AU92" s="417"/>
      <c r="AV92" s="417"/>
      <c r="AW92" s="417"/>
      <c r="AX92" s="417"/>
      <c r="AY92" s="417"/>
      <c r="AZ92" s="417"/>
    </row>
    <row r="93" spans="1:52" s="392" customFormat="1" ht="14.25" customHeight="1" x14ac:dyDescent="0.2">
      <c r="A93" s="417"/>
      <c r="B93" s="471" t="str">
        <f>+Inputs!$B$6&amp;" ("&amp;Inputs!O$4&amp;")"</f>
        <v>Revenue (Sales) (2022)</v>
      </c>
      <c r="C93" s="472"/>
      <c r="D93" s="473" t="e">
        <f ca="1">+_xlfn.XLOOKUP("Revenue (Sales)",Inputs!$B:$B,Inputs!O:O)</f>
        <v>#NAME?</v>
      </c>
      <c r="E93" s="474" t="str">
        <f>+_xll.BDH(E$91, "SALES_REV_TURN", "FY2022")</f>
        <v>#N/A Invalid Security</v>
      </c>
      <c r="F93" s="474" t="str">
        <f>+_xll.BDH(F$91, "SALES_REV_TURN", "FY2022")</f>
        <v>#N/A Invalid Security</v>
      </c>
      <c r="G93" s="474" t="str">
        <f>+_xll.BDH(G$91, "SALES_REV_TURN", "FY2022")</f>
        <v>#N/A Invalid Security</v>
      </c>
      <c r="H93" s="474" t="str">
        <f>+_xll.BDH(H$91, "SALES_REV_TURN", "FY2022")</f>
        <v>#N/A Invalid Security</v>
      </c>
      <c r="I93" s="474" t="str">
        <f>+_xll.BDH(I$91, "SALES_REV_TURN", "FY2022")</f>
        <v>#N/A Invalid Security</v>
      </c>
      <c r="J93" s="474" t="str">
        <f>+_xll.BDH(J$91, "SALES_REV_TURN", "FY2022")</f>
        <v>#N/A Invalid Security</v>
      </c>
      <c r="K93" s="474" t="str">
        <f>+_xll.BDH(K$91, "SALES_REV_TURN", "FY2022")</f>
        <v>#N/A Invalid Security</v>
      </c>
      <c r="L93" s="474" t="str">
        <f>+_xll.BDH(L$91, "SALES_REV_TURN", "FY2022")</f>
        <v>#N/A Invalid Security</v>
      </c>
      <c r="M93" s="474" t="str">
        <f>+_xll.BDH(M$91, "SALES_REV_TURN", "FY2022")</f>
        <v>#N/A Invalid Security</v>
      </c>
      <c r="N93" s="474" t="str">
        <f>+_xll.BDH(N$91, "SALES_REV_TURN", "FY2022")</f>
        <v>#N/A Invalid Security</v>
      </c>
      <c r="O93" s="417"/>
      <c r="P93" s="417"/>
      <c r="Q93" s="417"/>
      <c r="R93" s="464"/>
      <c r="S93" s="417"/>
      <c r="T93" s="417"/>
      <c r="U93" s="417"/>
      <c r="V93" s="417"/>
      <c r="W93" s="417"/>
      <c r="X93" s="417"/>
      <c r="Y93" s="417"/>
      <c r="Z93" s="417"/>
      <c r="AA93" s="417"/>
      <c r="AB93" s="417"/>
      <c r="AC93" s="417"/>
      <c r="AD93" s="417"/>
      <c r="AE93" s="417"/>
      <c r="AF93" s="417"/>
      <c r="AG93" s="417"/>
      <c r="AH93" s="417"/>
      <c r="AI93" s="417"/>
      <c r="AJ93" s="417"/>
      <c r="AK93" s="417"/>
      <c r="AL93" s="417"/>
      <c r="AM93" s="417"/>
      <c r="AN93" s="417"/>
      <c r="AO93" s="417"/>
      <c r="AP93" s="417"/>
      <c r="AQ93" s="417"/>
      <c r="AR93" s="417"/>
      <c r="AS93" s="417"/>
      <c r="AT93" s="417"/>
      <c r="AU93" s="417"/>
      <c r="AV93" s="417"/>
      <c r="AW93" s="417"/>
      <c r="AX93" s="417"/>
      <c r="AY93" s="417"/>
      <c r="AZ93" s="417"/>
    </row>
    <row r="94" spans="1:52" s="392" customFormat="1" ht="14.25" customHeight="1" x14ac:dyDescent="0.2">
      <c r="A94" s="417"/>
      <c r="B94" s="475" t="str">
        <f>+Inputs!$B$6&amp;" ("&amp;Inputs!P$4&amp;")"</f>
        <v>Revenue (Sales) (2023)</v>
      </c>
      <c r="C94" s="417"/>
      <c r="D94" s="476" t="e">
        <f ca="1">+_xlfn.XLOOKUP("Revenue (Sales)",Inputs!$B:$B,Inputs!P:P)</f>
        <v>#NAME?</v>
      </c>
      <c r="E94" s="477" t="str">
        <f>+_xll.BDH(E$91, "SALES_REV_TURN", "FY2023")</f>
        <v>#N/A Invalid Security</v>
      </c>
      <c r="F94" s="477" t="str">
        <f>+_xll.BDH(F$91, "SALES_REV_TURN", "FY2023")</f>
        <v>#N/A Invalid Security</v>
      </c>
      <c r="G94" s="477" t="str">
        <f>+_xll.BDH(G$91, "SALES_REV_TURN", "FY2023")</f>
        <v>#N/A Invalid Security</v>
      </c>
      <c r="H94" s="477" t="str">
        <f>+_xll.BDH(H$91, "SALES_REV_TURN", "FY2023")</f>
        <v>#N/A Invalid Security</v>
      </c>
      <c r="I94" s="477" t="str">
        <f>+_xll.BDH(I$91, "SALES_REV_TURN", "FY2023")</f>
        <v>#N/A Invalid Security</v>
      </c>
      <c r="J94" s="477" t="str">
        <f>+_xll.BDH(J$91, "SALES_REV_TURN", "FY2023")</f>
        <v>#N/A Invalid Security</v>
      </c>
      <c r="K94" s="477" t="str">
        <f>+_xll.BDH(K$91, "SALES_REV_TURN", "FY2023")</f>
        <v>#N/A Invalid Security</v>
      </c>
      <c r="L94" s="477" t="str">
        <f>+_xll.BDH(L$91, "SALES_REV_TURN", "FY2023")</f>
        <v>#N/A Invalid Security</v>
      </c>
      <c r="M94" s="477" t="str">
        <f>+_xll.BDH(M$91, "SALES_REV_TURN", "FY2023")</f>
        <v>#N/A Invalid Security</v>
      </c>
      <c r="N94" s="477" t="str">
        <f>+_xll.BDH(N$91, "SALES_REV_TURN", "FY2023")</f>
        <v>#N/A Invalid Security</v>
      </c>
      <c r="O94" s="417"/>
      <c r="P94" s="417"/>
      <c r="Q94" s="417"/>
      <c r="R94" s="464"/>
      <c r="S94" s="417"/>
      <c r="T94" s="417"/>
      <c r="U94" s="417"/>
      <c r="V94" s="417"/>
      <c r="W94" s="417"/>
      <c r="X94" s="417"/>
      <c r="Y94" s="417"/>
      <c r="Z94" s="417"/>
      <c r="AA94" s="417"/>
      <c r="AB94" s="417"/>
      <c r="AC94" s="417"/>
      <c r="AD94" s="417"/>
      <c r="AE94" s="417"/>
      <c r="AF94" s="417"/>
      <c r="AG94" s="417"/>
      <c r="AH94" s="417"/>
      <c r="AI94" s="417"/>
      <c r="AJ94" s="417"/>
      <c r="AK94" s="417"/>
      <c r="AL94" s="417"/>
      <c r="AM94" s="417"/>
      <c r="AN94" s="417"/>
      <c r="AO94" s="417"/>
      <c r="AP94" s="417"/>
      <c r="AQ94" s="417"/>
      <c r="AR94" s="417"/>
      <c r="AS94" s="417"/>
      <c r="AT94" s="417"/>
      <c r="AU94" s="417"/>
      <c r="AV94" s="417"/>
      <c r="AW94" s="417"/>
      <c r="AX94" s="417"/>
      <c r="AY94" s="417"/>
      <c r="AZ94" s="417"/>
    </row>
    <row r="95" spans="1:52" s="392" customFormat="1" ht="14.25" customHeight="1" x14ac:dyDescent="0.2">
      <c r="A95" s="417"/>
      <c r="B95" s="475" t="s">
        <v>222</v>
      </c>
      <c r="C95" s="417"/>
      <c r="D95" s="776" t="e">
        <f ca="1">+_xlfn.XLOOKUP("EBITDA",Inputs!$B:$B,Inputs!P:P)</f>
        <v>#NAME?</v>
      </c>
      <c r="E95" s="777" t="str">
        <f>+_xll.BDH(E$91, "EBITDA", "FY2023")</f>
        <v>#N/A Invalid Security</v>
      </c>
      <c r="F95" s="777" t="str">
        <f>+_xll.BDH(F$91, "EBITDA", "FY2023")</f>
        <v>#N/A Invalid Security</v>
      </c>
      <c r="G95" s="777" t="str">
        <f>+_xll.BDH(G$91, "EBITDA", "FY2023")</f>
        <v>#N/A Invalid Security</v>
      </c>
      <c r="H95" s="777" t="str">
        <f>+_xll.BDH(H$91, "EBITDA", "FY2023")</f>
        <v>#N/A Invalid Security</v>
      </c>
      <c r="I95" s="777" t="str">
        <f>+_xll.BDH(I$91, "EBITDA", "FY2023")</f>
        <v>#N/A Invalid Security</v>
      </c>
      <c r="J95" s="777" t="str">
        <f>+_xll.BDH(J$91, "EBITDA", "FY2023")</f>
        <v>#N/A Invalid Security</v>
      </c>
      <c r="K95" s="777" t="str">
        <f>+_xll.BDH(K$91, "EBITDA", "FY2023")</f>
        <v>#N/A Invalid Security</v>
      </c>
      <c r="L95" s="777" t="str">
        <f>+_xll.BDH(L$91, "EBITDA", "FY2023")</f>
        <v>#N/A Invalid Security</v>
      </c>
      <c r="M95" s="777" t="str">
        <f>+_xll.BDH(M$91, "EBITDA", "FY2023")</f>
        <v>#N/A Invalid Security</v>
      </c>
      <c r="N95" s="694" t="str">
        <f>+_xll.BDH(N$91, "EBITDA", "FY2023")</f>
        <v>#N/A Invalid Security</v>
      </c>
      <c r="O95" s="417"/>
      <c r="P95" s="417"/>
      <c r="Q95" s="417">
        <f>+_xll.BDH("AAPL US Equity", "NET_INCOME",  "FY2022")</f>
        <v>99803</v>
      </c>
      <c r="R95" s="464"/>
      <c r="S95" s="417"/>
      <c r="T95" s="417"/>
      <c r="U95" s="417"/>
      <c r="V95" s="417"/>
      <c r="W95" s="417"/>
      <c r="X95" s="417"/>
      <c r="Y95" s="417"/>
      <c r="Z95" s="417"/>
      <c r="AA95" s="417"/>
      <c r="AB95" s="417"/>
      <c r="AC95" s="417"/>
      <c r="AD95" s="417"/>
      <c r="AE95" s="417"/>
      <c r="AF95" s="417"/>
      <c r="AG95" s="417"/>
      <c r="AH95" s="417"/>
      <c r="AI95" s="417"/>
      <c r="AJ95" s="417"/>
      <c r="AK95" s="417"/>
      <c r="AL95" s="417"/>
      <c r="AM95" s="417"/>
      <c r="AN95" s="417"/>
      <c r="AO95" s="417"/>
      <c r="AP95" s="417"/>
      <c r="AQ95" s="417"/>
      <c r="AR95" s="417"/>
      <c r="AS95" s="417"/>
      <c r="AT95" s="417"/>
      <c r="AU95" s="417"/>
      <c r="AV95" s="417"/>
      <c r="AW95" s="417"/>
      <c r="AX95" s="417"/>
      <c r="AY95" s="417"/>
      <c r="AZ95" s="417"/>
    </row>
    <row r="96" spans="1:52" s="392" customFormat="1" ht="14.25" customHeight="1" x14ac:dyDescent="0.2">
      <c r="A96" s="417"/>
      <c r="B96" s="471" t="s">
        <v>223</v>
      </c>
      <c r="C96" s="472"/>
      <c r="D96" s="473" t="e">
        <f ca="1">+_xlfn.XLOOKUP("Net Income",Inputs!$B:$B,Inputs!P:P)</f>
        <v>#NAME?</v>
      </c>
      <c r="E96" s="474" t="str">
        <f>+_xll.BDH(E$91, "NET_INCOME", "FY2023")</f>
        <v>#N/A Invalid Security</v>
      </c>
      <c r="F96" s="474" t="str">
        <f>+_xll.BDH(F$91, "NET_INCOME", "FY2023")</f>
        <v>#N/A Invalid Security</v>
      </c>
      <c r="G96" s="474" t="str">
        <f>+_xll.BDH(G$91, "NET_INCOME", "FY2023")</f>
        <v>#N/A Invalid Security</v>
      </c>
      <c r="H96" s="474" t="str">
        <f>+_xll.BDH(H$91, "NET_INCOME", "FY2023")</f>
        <v>#N/A Invalid Security</v>
      </c>
      <c r="I96" s="474" t="str">
        <f>+_xll.BDH(I$91, "NET_INCOME", "FY2023")</f>
        <v>#N/A Invalid Security</v>
      </c>
      <c r="J96" s="474" t="str">
        <f>+_xll.BDH(J$91, "NET_INCOME", "FY2023")</f>
        <v>#N/A Invalid Security</v>
      </c>
      <c r="K96" s="474" t="str">
        <f>+_xll.BDH(K$91, "NET_INCOME", "FY2023")</f>
        <v>#N/A Invalid Security</v>
      </c>
      <c r="L96" s="474" t="str">
        <f>+_xll.BDH(L$91, "NET_INCOME", "FY2023")</f>
        <v>#N/A Invalid Security</v>
      </c>
      <c r="M96" s="474" t="str">
        <f>+_xll.BDH(M$91, "NET_INCOME", "FY2023")</f>
        <v>#N/A Invalid Security</v>
      </c>
      <c r="N96" s="474" t="str">
        <f>+_xll.BDH(N$91, "NET_INCOME", "FY2023")</f>
        <v>#N/A Invalid Security</v>
      </c>
      <c r="O96" s="417"/>
      <c r="P96" s="417"/>
      <c r="Q96" s="417"/>
      <c r="R96" s="464"/>
      <c r="S96" s="417"/>
      <c r="T96" s="417"/>
      <c r="U96" s="417"/>
      <c r="V96" s="417"/>
      <c r="W96" s="417"/>
      <c r="X96" s="417"/>
      <c r="Y96" s="417"/>
      <c r="Z96" s="417"/>
      <c r="AA96" s="417"/>
      <c r="AB96" s="417"/>
      <c r="AC96" s="417"/>
      <c r="AD96" s="417"/>
      <c r="AE96" s="417"/>
      <c r="AF96" s="417"/>
      <c r="AG96" s="417"/>
      <c r="AH96" s="417"/>
      <c r="AI96" s="417"/>
      <c r="AJ96" s="417"/>
      <c r="AK96" s="417"/>
      <c r="AL96" s="417"/>
      <c r="AM96" s="417"/>
      <c r="AN96" s="417"/>
      <c r="AO96" s="417"/>
      <c r="AP96" s="417"/>
      <c r="AQ96" s="417"/>
      <c r="AR96" s="417"/>
      <c r="AS96" s="417"/>
      <c r="AT96" s="417"/>
      <c r="AU96" s="417"/>
      <c r="AV96" s="417"/>
      <c r="AW96" s="417"/>
      <c r="AX96" s="417"/>
      <c r="AY96" s="417"/>
      <c r="AZ96" s="417"/>
    </row>
    <row r="97" spans="1:52" s="392" customFormat="1" ht="14.25" customHeight="1" x14ac:dyDescent="0.2">
      <c r="A97" s="417"/>
      <c r="B97" s="475" t="str">
        <f>+Inputs!$B$6&amp;" ("&amp;Inputs!Q$4&amp;")"</f>
        <v>Revenue (Sales) (2024)</v>
      </c>
      <c r="C97" s="417"/>
      <c r="D97" s="476" t="e">
        <f ca="1">+_xlfn.XLOOKUP("Revenue (Sales)",Inputs!$B:$B,Inputs!Q:Q)</f>
        <v>#NAME?</v>
      </c>
      <c r="E97" s="479" t="str">
        <f>+_xll.BDP(E91, "SALES_REV_TURN")</f>
        <v>#N/A Invalid Security</v>
      </c>
      <c r="F97" s="479" t="str">
        <f>+_xll.BDP(F91, "SALES_REV_TURN")</f>
        <v>#N/A Invalid Security</v>
      </c>
      <c r="G97" s="479" t="str">
        <f>+_xll.BDP(G91, "SALES_REV_TURN")</f>
        <v>#N/A Invalid Security</v>
      </c>
      <c r="H97" s="479" t="str">
        <f>+_xll.BDP(H91, "SALES_REV_TURN")</f>
        <v>#N/A Invalid Security</v>
      </c>
      <c r="I97" s="479" t="str">
        <f>+_xll.BDP(I91, "SALES_REV_TURN")</f>
        <v>#N/A Invalid Security</v>
      </c>
      <c r="J97" s="479" t="str">
        <f>+_xll.BDP(J91, "SALES_REV_TURN")</f>
        <v>#N/A Invalid Security</v>
      </c>
      <c r="K97" s="479" t="str">
        <f>+_xll.BDP(K91, "SALES_REV_TURN")</f>
        <v>#N/A Invalid Security</v>
      </c>
      <c r="L97" s="479" t="str">
        <f>+_xll.BDP(L91, "SALES_REV_TURN")</f>
        <v>#N/A Invalid Security</v>
      </c>
      <c r="M97" s="479" t="str">
        <f>+_xll.BDP(M91, "SALES_REV_TURN")</f>
        <v>#N/A Invalid Security</v>
      </c>
      <c r="N97" s="479" t="str">
        <f>+_xll.BDP(N91, "SALES_REV_TURN")</f>
        <v>#N/A Invalid Security</v>
      </c>
      <c r="O97" s="417"/>
      <c r="P97" s="417"/>
      <c r="Q97" s="417"/>
      <c r="R97" s="464"/>
      <c r="S97" s="417"/>
      <c r="T97" s="417"/>
      <c r="U97" s="417"/>
      <c r="V97" s="417"/>
      <c r="W97" s="417"/>
      <c r="X97" s="417"/>
      <c r="Y97" s="417"/>
      <c r="Z97" s="417"/>
      <c r="AA97" s="417"/>
      <c r="AB97" s="417"/>
      <c r="AC97" s="417"/>
      <c r="AD97" s="417"/>
      <c r="AE97" s="417"/>
      <c r="AF97" s="417"/>
      <c r="AG97" s="417"/>
      <c r="AH97" s="417"/>
      <c r="AI97" s="417"/>
      <c r="AJ97" s="417"/>
      <c r="AK97" s="417"/>
      <c r="AL97" s="417"/>
      <c r="AM97" s="417"/>
      <c r="AN97" s="417"/>
      <c r="AO97" s="417"/>
      <c r="AP97" s="417"/>
      <c r="AQ97" s="417"/>
      <c r="AR97" s="417"/>
      <c r="AS97" s="417"/>
      <c r="AT97" s="417"/>
      <c r="AU97" s="417"/>
      <c r="AV97" s="417"/>
      <c r="AW97" s="417"/>
      <c r="AX97" s="417"/>
      <c r="AY97" s="417"/>
      <c r="AZ97" s="417"/>
    </row>
    <row r="98" spans="1:52" s="392" customFormat="1" ht="14.25" customHeight="1" x14ac:dyDescent="0.2">
      <c r="A98" s="417"/>
      <c r="B98" s="480" t="s">
        <v>224</v>
      </c>
      <c r="C98" s="417"/>
      <c r="D98" s="476" t="e">
        <f ca="1">+_xlfn.XLOOKUP($B98,Inputs!$B:$B,Inputs!Q:Q)</f>
        <v>#NAME?</v>
      </c>
      <c r="E98" s="477" t="str">
        <f>+_xll.BDP(E91, "IS_COGS_TO_FE_AND_PP_AND_G")</f>
        <v>#N/A Invalid Security</v>
      </c>
      <c r="F98" s="477" t="str">
        <f>+_xll.BDP(F91, "IS_COGS_TO_FE_AND_PP_AND_G")</f>
        <v>#N/A Invalid Security</v>
      </c>
      <c r="G98" s="477" t="str">
        <f>+_xll.BDP(G91, "IS_COGS_TO_FE_AND_PP_AND_G")</f>
        <v>#N/A Invalid Security</v>
      </c>
      <c r="H98" s="477" t="str">
        <f>+_xll.BDP(H91, "IS_COGS_TO_FE_AND_PP_AND_G")</f>
        <v>#N/A Invalid Security</v>
      </c>
      <c r="I98" s="477" t="str">
        <f>+_xll.BDP(I91, "IS_COGS_TO_FE_AND_PP_AND_G")</f>
        <v>#N/A Invalid Security</v>
      </c>
      <c r="J98" s="477" t="str">
        <f>+_xll.BDP(J91, "IS_COGS_TO_FE_AND_PP_AND_G")</f>
        <v>#N/A Invalid Security</v>
      </c>
      <c r="K98" s="477" t="str">
        <f>+_xll.BDP(K91, "IS_COGS_TO_FE_AND_PP_AND_G")</f>
        <v>#N/A Invalid Security</v>
      </c>
      <c r="L98" s="477" t="str">
        <f>+_xll.BDP(L91, "IS_COGS_TO_FE_AND_PP_AND_G")</f>
        <v>#N/A Invalid Security</v>
      </c>
      <c r="M98" s="477" t="str">
        <f>+_xll.BDP(M91, "IS_COGS_TO_FE_AND_PP_AND_G")</f>
        <v>#N/A Invalid Security</v>
      </c>
      <c r="N98" s="477" t="str">
        <f>+_xll.BDP(N91, "IS_COGS_TO_FE_AND_PP_AND_G")</f>
        <v>#N/A Invalid Security</v>
      </c>
      <c r="O98" s="417"/>
      <c r="P98" s="417"/>
      <c r="Q98" s="417"/>
      <c r="R98" s="464"/>
      <c r="S98" s="417"/>
      <c r="T98" s="417"/>
      <c r="U98" s="417"/>
      <c r="V98" s="417"/>
      <c r="W98" s="417"/>
      <c r="X98" s="417"/>
      <c r="Y98" s="417"/>
      <c r="Z98" s="417"/>
      <c r="AA98" s="417"/>
      <c r="AB98" s="417"/>
      <c r="AC98" s="417"/>
      <c r="AD98" s="417"/>
      <c r="AE98" s="417"/>
      <c r="AF98" s="417"/>
      <c r="AG98" s="417"/>
      <c r="AH98" s="417"/>
      <c r="AI98" s="417"/>
      <c r="AJ98" s="417"/>
      <c r="AK98" s="417"/>
      <c r="AL98" s="417"/>
      <c r="AM98" s="417"/>
      <c r="AN98" s="417"/>
      <c r="AO98" s="417"/>
      <c r="AP98" s="417"/>
      <c r="AQ98" s="417"/>
      <c r="AR98" s="417"/>
      <c r="AS98" s="417"/>
      <c r="AT98" s="417"/>
      <c r="AU98" s="417"/>
      <c r="AV98" s="417"/>
      <c r="AW98" s="417"/>
      <c r="AX98" s="417"/>
      <c r="AY98" s="417"/>
      <c r="AZ98" s="417"/>
    </row>
    <row r="99" spans="1:52" s="392" customFormat="1" ht="14.25" customHeight="1" x14ac:dyDescent="0.2">
      <c r="A99" s="417"/>
      <c r="B99" s="481" t="s">
        <v>225</v>
      </c>
      <c r="C99" s="417"/>
      <c r="D99" s="476" t="e">
        <f ca="1">+_xlfn.XLOOKUP($B99,Inputs!$B:$B,Inputs!Q:Q)</f>
        <v>#NAME?</v>
      </c>
      <c r="E99" s="482" t="e">
        <f>+E97-E98</f>
        <v>#VALUE!</v>
      </c>
      <c r="F99" s="483" t="e">
        <f>+F97-F98</f>
        <v>#VALUE!</v>
      </c>
      <c r="G99" s="689" t="e">
        <f>G97-G98</f>
        <v>#VALUE!</v>
      </c>
      <c r="H99" s="695" t="e">
        <f>+H97-H98</f>
        <v>#VALUE!</v>
      </c>
      <c r="I99" s="697" t="e">
        <f>I97-I98</f>
        <v>#VALUE!</v>
      </c>
      <c r="J99" s="697" t="e">
        <f>+J97-J98</f>
        <v>#VALUE!</v>
      </c>
      <c r="K99" s="697" t="e">
        <f>+K97-K98</f>
        <v>#VALUE!</v>
      </c>
      <c r="L99" s="697" t="e">
        <f>+L97-L98</f>
        <v>#VALUE!</v>
      </c>
      <c r="M99" s="697" t="e">
        <f>+M97-M98</f>
        <v>#VALUE!</v>
      </c>
      <c r="N99" s="778" t="e">
        <f>+N97-N98</f>
        <v>#VALUE!</v>
      </c>
      <c r="O99" s="438"/>
      <c r="P99" s="438"/>
      <c r="Q99" s="438"/>
      <c r="R99" s="124"/>
      <c r="S99" s="417"/>
      <c r="T99" s="417"/>
      <c r="U99" s="417"/>
      <c r="V99" s="417"/>
      <c r="W99" s="417"/>
      <c r="X99" s="417"/>
      <c r="Y99" s="417"/>
      <c r="Z99" s="417"/>
      <c r="AA99" s="417"/>
      <c r="AB99" s="417"/>
      <c r="AC99" s="417"/>
      <c r="AD99" s="417"/>
      <c r="AE99" s="417"/>
      <c r="AF99" s="417"/>
      <c r="AG99" s="417"/>
      <c r="AH99" s="417"/>
      <c r="AI99" s="417"/>
      <c r="AJ99" s="417"/>
      <c r="AK99" s="417"/>
      <c r="AL99" s="417"/>
      <c r="AM99" s="417"/>
      <c r="AN99" s="417"/>
      <c r="AO99" s="417"/>
      <c r="AP99" s="417"/>
      <c r="AQ99" s="417"/>
      <c r="AR99" s="417"/>
      <c r="AS99" s="417"/>
      <c r="AT99" s="417"/>
      <c r="AU99" s="417"/>
      <c r="AV99" s="417"/>
      <c r="AW99" s="417"/>
      <c r="AX99" s="417"/>
      <c r="AY99" s="417"/>
      <c r="AZ99" s="417"/>
    </row>
    <row r="100" spans="1:52" s="392" customFormat="1" ht="14.25" customHeight="1" x14ac:dyDescent="0.2">
      <c r="A100" s="417"/>
      <c r="B100" s="480" t="s">
        <v>163</v>
      </c>
      <c r="C100" s="417"/>
      <c r="D100" s="476" t="e">
        <f ca="1">+_xlfn.XLOOKUP($B100,Inputs!$B:$B,Inputs!Q:Q)</f>
        <v>#NAME?</v>
      </c>
      <c r="E100" s="479" t="str">
        <f>+_xll.BDP(E91, "EBITDA")</f>
        <v>#N/A Invalid Security</v>
      </c>
      <c r="F100" s="479" t="str">
        <f>+_xll.BDP(F91, "EBITDA")</f>
        <v>#N/A Invalid Security</v>
      </c>
      <c r="G100" s="479" t="str">
        <f>+_xll.BDP(G91, "EBITDA")</f>
        <v>#N/A Invalid Security</v>
      </c>
      <c r="H100" s="479" t="str">
        <f>+_xll.BDP(H91, "EBITDA")</f>
        <v>#N/A Invalid Security</v>
      </c>
      <c r="I100" s="479" t="str">
        <f>+_xll.BDP(I91, "EBITDA")</f>
        <v>#N/A Invalid Security</v>
      </c>
      <c r="J100" s="479" t="str">
        <f>+_xll.BDP(J91, "EBITDA")</f>
        <v>#N/A Invalid Security</v>
      </c>
      <c r="K100" s="479" t="str">
        <f>+_xll.BDP(K91, "EBITDA")</f>
        <v>#N/A Invalid Security</v>
      </c>
      <c r="L100" s="479" t="str">
        <f>+_xll.BDP(L91, "EBITDA")</f>
        <v>#N/A Invalid Security</v>
      </c>
      <c r="M100" s="479" t="str">
        <f>+_xll.BDP(M91, "EBITDA")</f>
        <v>#N/A Invalid Security</v>
      </c>
      <c r="N100" s="479" t="str">
        <f>+_xll.BDP(N91, "EBITDA")</f>
        <v>#N/A Invalid Security</v>
      </c>
      <c r="O100" s="417"/>
      <c r="P100" s="417"/>
      <c r="Q100" s="417"/>
      <c r="R100" s="417"/>
      <c r="S100" s="417"/>
      <c r="T100" s="417"/>
      <c r="U100" s="417"/>
      <c r="V100" s="417"/>
      <c r="W100" s="417"/>
      <c r="X100" s="417"/>
      <c r="Y100" s="417"/>
      <c r="Z100" s="417"/>
      <c r="AA100" s="417"/>
      <c r="AB100" s="417"/>
      <c r="AC100" s="417"/>
      <c r="AD100" s="417"/>
      <c r="AE100" s="417"/>
      <c r="AF100" s="417"/>
      <c r="AG100" s="417"/>
      <c r="AH100" s="417"/>
      <c r="AI100" s="417"/>
      <c r="AJ100" s="417"/>
      <c r="AK100" s="417"/>
      <c r="AL100" s="417"/>
      <c r="AM100" s="417"/>
      <c r="AN100" s="417"/>
      <c r="AO100" s="417"/>
      <c r="AP100" s="417"/>
      <c r="AQ100" s="417"/>
      <c r="AR100" s="417"/>
      <c r="AS100" s="417"/>
      <c r="AT100" s="417"/>
      <c r="AU100" s="417"/>
      <c r="AV100" s="417"/>
      <c r="AW100" s="417"/>
      <c r="AX100" s="417"/>
      <c r="AY100" s="417"/>
      <c r="AZ100" s="417"/>
    </row>
    <row r="101" spans="1:52" s="392" customFormat="1" ht="14.25" customHeight="1" x14ac:dyDescent="0.2">
      <c r="A101" s="417"/>
      <c r="B101" s="480" t="s">
        <v>226</v>
      </c>
      <c r="C101" s="417"/>
      <c r="D101" s="476" t="e">
        <f ca="1">+_xlfn.XLOOKUP($B101,Inputs!$B:$B,Inputs!Q:Q)</f>
        <v>#NAME?</v>
      </c>
      <c r="E101" s="479" t="str">
        <f>+_xll.BDP(E91, "EBIT")</f>
        <v>#N/A Invalid Security</v>
      </c>
      <c r="F101" s="479" t="str">
        <f>+_xll.BDP(F92, "EBIT")</f>
        <v>#N/A Mandatory parameter [SECURITY] cannot be empty</v>
      </c>
      <c r="G101" s="479" t="str">
        <f>+_xll.BDP(G92, "EBIT")</f>
        <v>#N/A Mandatory parameter [SECURITY] cannot be empty</v>
      </c>
      <c r="H101" s="479" t="str">
        <f>+_xll.BDP(H92, "EBIT")</f>
        <v>#N/A Mandatory parameter [SECURITY] cannot be empty</v>
      </c>
      <c r="I101" s="479" t="str">
        <f>+_xll.BDP(I92, "EBIT")</f>
        <v>#N/A Mandatory parameter [SECURITY] cannot be empty</v>
      </c>
      <c r="J101" s="479" t="str">
        <f>+_xll.BDP(J92, "EBIT")</f>
        <v>#N/A Mandatory parameter [SECURITY] cannot be empty</v>
      </c>
      <c r="K101" s="479" t="str">
        <f>+_xll.BDP(K92, "EBIT")</f>
        <v>#N/A Mandatory parameter [SECURITY] cannot be empty</v>
      </c>
      <c r="L101" s="479" t="str">
        <f>+_xll.BDP(L92, "EBIT")</f>
        <v>#N/A Mandatory parameter [SECURITY] cannot be empty</v>
      </c>
      <c r="M101" s="479" t="str">
        <f>+_xll.BDP(M92, "EBIT")</f>
        <v>#N/A Mandatory parameter [SECURITY] cannot be empty</v>
      </c>
      <c r="N101" s="479" t="str">
        <f>+_xll.BDP(N92, "EBIT")</f>
        <v>#N/A Mandatory parameter [SECURITY] cannot be empty</v>
      </c>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row>
    <row r="102" spans="1:52" s="392" customFormat="1" ht="14.25" customHeight="1" x14ac:dyDescent="0.2">
      <c r="A102" s="417"/>
      <c r="B102" s="480" t="s">
        <v>227</v>
      </c>
      <c r="C102" s="417"/>
      <c r="D102" s="476" t="e">
        <f ca="1">+_xlfn.XLOOKUP($B102,Inputs!$B:$B,Inputs!Q:Q)</f>
        <v>#NAME?</v>
      </c>
      <c r="E102" s="479" t="str">
        <f>+_xll.BDP(E91, "IS_NET_INTEREST_EXPENSE")</f>
        <v>#N/A Invalid Security</v>
      </c>
      <c r="F102" s="479" t="str">
        <f>+_xll.BDP(F91, "NET_INT_INC")</f>
        <v>#N/A Invalid Security</v>
      </c>
      <c r="G102" s="479" t="str">
        <f>+_xll.BDP(G91, "NET_INT_INC")</f>
        <v>#N/A Invalid Security</v>
      </c>
      <c r="H102" s="479" t="str">
        <f>+_xll.BDP(H91, "NET_INT_INC")</f>
        <v>#N/A Invalid Security</v>
      </c>
      <c r="I102" s="479" t="str">
        <f>+_xll.BDP(I91, "NET_INT_INC")</f>
        <v>#N/A Invalid Security</v>
      </c>
      <c r="J102" s="479" t="str">
        <f>+_xll.BDP(J91, "NET_INT_INC")</f>
        <v>#N/A Invalid Security</v>
      </c>
      <c r="K102" s="479" t="str">
        <f>+_xll.BDP(K91, "NET_INT_INC")</f>
        <v>#N/A Invalid Security</v>
      </c>
      <c r="L102" s="479" t="str">
        <f>+_xll.BDP(L91, "NET_INT_INC")</f>
        <v>#N/A Invalid Security</v>
      </c>
      <c r="M102" s="479" t="str">
        <f>+_xll.BDP(M91, "NET_INT_INC")</f>
        <v>#N/A Invalid Security</v>
      </c>
      <c r="N102" s="479" t="str">
        <f>+_xll.BDP(N91, "NET_INT_INC")</f>
        <v>#N/A Invalid Security</v>
      </c>
      <c r="O102" s="417"/>
      <c r="P102" s="417"/>
      <c r="Q102" s="417"/>
      <c r="R102" s="417"/>
      <c r="S102" s="417"/>
      <c r="T102" s="417"/>
      <c r="U102" s="417"/>
      <c r="V102" s="417"/>
      <c r="W102" s="417"/>
      <c r="X102" s="417"/>
      <c r="Y102" s="417"/>
      <c r="Z102" s="417"/>
      <c r="AA102" s="417"/>
      <c r="AB102" s="417"/>
      <c r="AC102" s="417"/>
      <c r="AD102" s="417"/>
      <c r="AE102" s="417"/>
      <c r="AF102" s="417"/>
      <c r="AG102" s="417"/>
      <c r="AH102" s="417"/>
      <c r="AI102" s="417"/>
      <c r="AJ102" s="417"/>
      <c r="AK102" s="417"/>
      <c r="AL102" s="417"/>
      <c r="AM102" s="417"/>
      <c r="AN102" s="417"/>
      <c r="AO102" s="417"/>
      <c r="AP102" s="417"/>
      <c r="AQ102" s="417"/>
      <c r="AR102" s="417"/>
      <c r="AS102" s="417"/>
      <c r="AT102" s="417"/>
      <c r="AU102" s="417"/>
      <c r="AV102" s="417"/>
      <c r="AW102" s="417"/>
      <c r="AX102" s="417"/>
      <c r="AY102" s="417"/>
      <c r="AZ102" s="417"/>
    </row>
    <row r="103" spans="1:52" s="392" customFormat="1" ht="14.25" customHeight="1" x14ac:dyDescent="0.2">
      <c r="A103" s="417"/>
      <c r="B103" s="480" t="s">
        <v>228</v>
      </c>
      <c r="C103" s="417"/>
      <c r="D103" s="476" t="e">
        <f ca="1">+_xlfn.XLOOKUP($B103,Inputs!$B:$B,Inputs!Q:Q)</f>
        <v>#NAME?</v>
      </c>
      <c r="E103" s="479" t="str">
        <f>+_xll.BDP(E91, "PRETAX_INC")</f>
        <v>#N/A Invalid Security</v>
      </c>
      <c r="F103" s="479" t="str">
        <f>+_xll.BDP(F91, "EBT")</f>
        <v>#N/A Invalid Security</v>
      </c>
      <c r="G103" s="479" t="str">
        <f>+_xll.BDP(G91, "EBT")</f>
        <v>#N/A Invalid Security</v>
      </c>
      <c r="H103" s="479" t="str">
        <f>+_xll.BDP(H91, "EBT")</f>
        <v>#N/A Invalid Security</v>
      </c>
      <c r="I103" s="479" t="str">
        <f>+_xll.BDP(I91, "EBT")</f>
        <v>#N/A Invalid Security</v>
      </c>
      <c r="J103" s="479" t="str">
        <f>+_xll.BDP(J91, "EBT")</f>
        <v>#N/A Invalid Security</v>
      </c>
      <c r="K103" s="479" t="str">
        <f>+_xll.BDP(K91, "EBT")</f>
        <v>#N/A Invalid Security</v>
      </c>
      <c r="L103" s="479" t="str">
        <f>+_xll.BDP(L91, "EBT")</f>
        <v>#N/A Invalid Security</v>
      </c>
      <c r="M103" s="479" t="str">
        <f>+_xll.BDP(M91, "EBT")</f>
        <v>#N/A Invalid Security</v>
      </c>
      <c r="N103" s="479" t="str">
        <f>+_xll.BDP(N91, "EBT")</f>
        <v>#N/A Invalid Security</v>
      </c>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c r="AN103" s="417"/>
      <c r="AO103" s="417"/>
      <c r="AP103" s="417"/>
      <c r="AQ103" s="417"/>
      <c r="AR103" s="417"/>
      <c r="AS103" s="417"/>
      <c r="AT103" s="417"/>
      <c r="AU103" s="417"/>
      <c r="AV103" s="417"/>
      <c r="AW103" s="417"/>
      <c r="AX103" s="417"/>
      <c r="AY103" s="417"/>
      <c r="AZ103" s="417"/>
    </row>
    <row r="104" spans="1:52" s="392" customFormat="1" ht="14.25" customHeight="1" x14ac:dyDescent="0.2">
      <c r="A104" s="417"/>
      <c r="B104" s="480" t="s">
        <v>229</v>
      </c>
      <c r="C104" s="417"/>
      <c r="D104" s="476" t="e">
        <f ca="1">+_xlfn.XLOOKUP($B104,Inputs!$B:$B,Inputs!Q:Q)</f>
        <v>#NAME?</v>
      </c>
      <c r="E104" s="479" t="str">
        <f>+_xll.BDP(E91, "IS_INC_TAX_EXP")</f>
        <v>#N/A Invalid Security</v>
      </c>
      <c r="F104" s="479" t="str">
        <f>+_xll.BDP(F91, "IS_INC_TAX_EXP")</f>
        <v>#N/A Invalid Security</v>
      </c>
      <c r="G104" s="479" t="str">
        <f>+_xll.BDP(G91, "IS_INC_TAX_EXP")</f>
        <v>#N/A Invalid Security</v>
      </c>
      <c r="H104" s="479" t="str">
        <f>+_xll.BDP(H91, "IS_INC_TAX_EXP")</f>
        <v>#N/A Invalid Security</v>
      </c>
      <c r="I104" s="479" t="str">
        <f>+_xll.BDP(I91, "IS_INC_TAX_EXP")</f>
        <v>#N/A Invalid Security</v>
      </c>
      <c r="J104" s="479" t="str">
        <f>+_xll.BDP(J91, "IS_INC_TAX_EXP")</f>
        <v>#N/A Invalid Security</v>
      </c>
      <c r="K104" s="479" t="str">
        <f>+_xll.BDP(K91, "IS_INC_TAX_EXP")</f>
        <v>#N/A Invalid Security</v>
      </c>
      <c r="L104" s="479" t="str">
        <f>+_xll.BDP(L91, "IS_INC_TAX_EXP")</f>
        <v>#N/A Invalid Security</v>
      </c>
      <c r="M104" s="479" t="str">
        <f>+_xll.BDP(M91, "IS_INC_TAX_EXP")</f>
        <v>#N/A Invalid Security</v>
      </c>
      <c r="N104" s="479" t="str">
        <f>+_xll.BDP(N91, "IS_INC_TAX_EXP")</f>
        <v>#N/A Invalid Security</v>
      </c>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c r="AN104" s="417"/>
      <c r="AO104" s="417"/>
      <c r="AP104" s="417"/>
      <c r="AQ104" s="417"/>
      <c r="AR104" s="417"/>
      <c r="AS104" s="417"/>
      <c r="AT104" s="417"/>
      <c r="AU104" s="417"/>
      <c r="AV104" s="417"/>
      <c r="AW104" s="417"/>
      <c r="AX104" s="417"/>
      <c r="AY104" s="417"/>
      <c r="AZ104" s="417"/>
    </row>
    <row r="105" spans="1:52" s="392" customFormat="1" ht="14.25" customHeight="1" x14ac:dyDescent="0.2">
      <c r="A105" s="417"/>
      <c r="B105" s="480" t="s">
        <v>230</v>
      </c>
      <c r="C105" s="417"/>
      <c r="D105" s="476" t="e">
        <f ca="1">+_xlfn.XLOOKUP($B105,Inputs!$B:$B,Inputs!Q:Q)</f>
        <v>#NAME?</v>
      </c>
      <c r="E105" s="479" t="str">
        <f>+_xll.BDP(E91, "NET_INCOME")</f>
        <v>#N/A Invalid Security</v>
      </c>
      <c r="F105" s="479" t="str">
        <f>+_xll.BDP(F91, "NET_INCOME")</f>
        <v>#N/A Invalid Security</v>
      </c>
      <c r="G105" s="479" t="str">
        <f>+_xll.BDP(G91, "NET_INCOME")</f>
        <v>#N/A Invalid Security</v>
      </c>
      <c r="H105" s="479" t="str">
        <f>+_xll.BDP(H91, "NET_INCOME")</f>
        <v>#N/A Invalid Security</v>
      </c>
      <c r="I105" s="479" t="str">
        <f>+_xll.BDP(I91, "NET_INCOME")</f>
        <v>#N/A Invalid Security</v>
      </c>
      <c r="J105" s="479" t="str">
        <f>+_xll.BDP(J91, "NET_INCOME")</f>
        <v>#N/A Invalid Security</v>
      </c>
      <c r="K105" s="479" t="str">
        <f>+_xll.BDP(K91, "NET_INCOME")</f>
        <v>#N/A Invalid Security</v>
      </c>
      <c r="L105" s="479" t="str">
        <f>+_xll.BDP(L91, "NET_INCOME")</f>
        <v>#N/A Invalid Security</v>
      </c>
      <c r="M105" s="479" t="str">
        <f>+_xll.BDP(M91, "NET_INCOME")</f>
        <v>#N/A Invalid Security</v>
      </c>
      <c r="N105" s="479" t="str">
        <f>+_xll.BDP(N91, "NET_INCOME")</f>
        <v>#N/A Invalid Security</v>
      </c>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c r="AN105" s="417"/>
      <c r="AO105" s="417"/>
      <c r="AP105" s="417"/>
      <c r="AQ105" s="417"/>
      <c r="AR105" s="417"/>
      <c r="AS105" s="417"/>
      <c r="AT105" s="417"/>
      <c r="AU105" s="417"/>
      <c r="AV105" s="417"/>
      <c r="AW105" s="417"/>
      <c r="AX105" s="417"/>
      <c r="AY105" s="417"/>
      <c r="AZ105" s="417"/>
    </row>
    <row r="106" spans="1:52" s="392" customFormat="1" ht="14.25" customHeight="1" x14ac:dyDescent="0.2">
      <c r="A106" s="417"/>
      <c r="B106" s="480" t="s">
        <v>231</v>
      </c>
      <c r="C106" s="417"/>
      <c r="D106" s="476" t="e">
        <f ca="1">+_xlfn.XLOOKUP($B106,Inputs!$B:$B,Inputs!Q:Q)</f>
        <v>#NAME?</v>
      </c>
      <c r="E106" s="484" t="str">
        <f>+_xll.BDP(E91, "IS_EPS")</f>
        <v>#N/A Invalid Security</v>
      </c>
      <c r="F106" s="479" t="str">
        <f>+_xll.BDP(F91, "IS_EPS")</f>
        <v>#N/A Invalid Security</v>
      </c>
      <c r="G106" s="479" t="str">
        <f>+_xll.BDP(G91, "IS_EPS")</f>
        <v>#N/A Invalid Security</v>
      </c>
      <c r="H106" s="479" t="str">
        <f>+_xll.BDP(H91, "IS_EPS")</f>
        <v>#N/A Invalid Security</v>
      </c>
      <c r="I106" s="479" t="str">
        <f>+_xll.BDP(I91, "IS_EPS")</f>
        <v>#N/A Invalid Security</v>
      </c>
      <c r="J106" s="479" t="str">
        <f>+_xll.BDP(J91, "IS_EPS")</f>
        <v>#N/A Invalid Security</v>
      </c>
      <c r="K106" s="479" t="str">
        <f>+_xll.BDP(K91, "IS_EPS")</f>
        <v>#N/A Invalid Security</v>
      </c>
      <c r="L106" s="479" t="str">
        <f>+_xll.BDP(L91, "IS_EPS")</f>
        <v>#N/A Invalid Security</v>
      </c>
      <c r="M106" s="479" t="str">
        <f>+_xll.BDP(M91, "IS_EPS")</f>
        <v>#N/A Invalid Security</v>
      </c>
      <c r="N106" s="479" t="str">
        <f>+_xll.BDP(N91, "IS_EPS")</f>
        <v>#N/A Invalid Security</v>
      </c>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c r="AN106" s="417"/>
      <c r="AO106" s="417"/>
      <c r="AP106" s="417"/>
      <c r="AQ106" s="417"/>
      <c r="AR106" s="417"/>
      <c r="AS106" s="417"/>
      <c r="AT106" s="417"/>
      <c r="AU106" s="417"/>
      <c r="AV106" s="417"/>
      <c r="AW106" s="417"/>
      <c r="AX106" s="417"/>
      <c r="AY106" s="417"/>
      <c r="AZ106" s="417"/>
    </row>
    <row r="107" spans="1:52" s="392" customFormat="1" ht="14.25" customHeight="1" x14ac:dyDescent="0.2">
      <c r="A107" s="417"/>
      <c r="B107" s="480" t="s">
        <v>232</v>
      </c>
      <c r="C107" s="417"/>
      <c r="D107" s="476" t="e">
        <f ca="1">+_xlfn.XLOOKUP($B107,Inputs!$B:$B,Inputs!Q:Q)</f>
        <v>#NAME?</v>
      </c>
      <c r="E107" s="479" t="str">
        <f>+_xll.BDP(E91, "IS_RD_EXPEND")</f>
        <v>#N/A Invalid Security</v>
      </c>
      <c r="F107" s="479" t="str">
        <f>+_xll.BDP(F91, "IS_RD_EXPEND")</f>
        <v>#N/A Invalid Security</v>
      </c>
      <c r="G107" s="479" t="str">
        <f>+_xll.BDP(G91, "IS_RD_EXPEND")</f>
        <v>#N/A Invalid Security</v>
      </c>
      <c r="H107" s="479" t="str">
        <f>+_xll.BDP(H91, "IS_RD_EXPEND")</f>
        <v>#N/A Invalid Security</v>
      </c>
      <c r="I107" s="479" t="str">
        <f>+_xll.BDP(I91, "IS_RD_EXPEND")</f>
        <v>#N/A Invalid Security</v>
      </c>
      <c r="J107" s="479" t="str">
        <f>+_xll.BDP(J91, "IS_RD_EXPEND")</f>
        <v>#N/A Invalid Security</v>
      </c>
      <c r="K107" s="479" t="str">
        <f>+_xll.BDP(K91, "IS_RD_EXPEND")</f>
        <v>#N/A Invalid Security</v>
      </c>
      <c r="L107" s="479" t="str">
        <f>+_xll.BDP(L91, "IS_RD_EXPEND")</f>
        <v>#N/A Invalid Security</v>
      </c>
      <c r="M107" s="479" t="str">
        <f>+_xll.BDP(M91, "IS_RD_EXPEND")</f>
        <v>#N/A Invalid Security</v>
      </c>
      <c r="N107" s="479" t="str">
        <f>+_xll.BDP(N91, "IS_RD_EXPEND")</f>
        <v>#N/A Invalid Security</v>
      </c>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c r="AN107" s="417"/>
      <c r="AO107" s="417"/>
      <c r="AP107" s="417"/>
      <c r="AQ107" s="417"/>
      <c r="AR107" s="417"/>
      <c r="AS107" s="417"/>
      <c r="AT107" s="417"/>
      <c r="AU107" s="417"/>
      <c r="AV107" s="417"/>
      <c r="AW107" s="417"/>
      <c r="AX107" s="417"/>
      <c r="AY107" s="417"/>
      <c r="AZ107" s="417"/>
    </row>
    <row r="108" spans="1:52" s="392" customFormat="1" ht="3.75" customHeight="1" x14ac:dyDescent="0.2">
      <c r="A108" s="417"/>
      <c r="B108" s="480"/>
      <c r="C108" s="417"/>
      <c r="D108" s="485"/>
      <c r="E108" s="486"/>
      <c r="F108" s="487"/>
      <c r="G108" s="690"/>
      <c r="H108" s="696"/>
      <c r="I108" s="696"/>
      <c r="J108" s="696"/>
      <c r="K108" s="696"/>
      <c r="L108" s="696"/>
      <c r="M108" s="696"/>
      <c r="N108" s="461"/>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c r="AN108" s="417"/>
      <c r="AO108" s="417"/>
      <c r="AP108" s="417"/>
      <c r="AQ108" s="417"/>
      <c r="AR108" s="417"/>
      <c r="AS108" s="417"/>
      <c r="AT108" s="417"/>
      <c r="AU108" s="417"/>
      <c r="AV108" s="417"/>
      <c r="AW108" s="417"/>
      <c r="AX108" s="417"/>
      <c r="AY108" s="417"/>
      <c r="AZ108" s="417"/>
    </row>
    <row r="109" spans="1:52" s="392" customFormat="1" ht="14.25" customHeight="1" x14ac:dyDescent="0.2">
      <c r="A109" s="417"/>
      <c r="B109" s="469" t="s">
        <v>233</v>
      </c>
      <c r="C109" s="454"/>
      <c r="D109" s="488"/>
      <c r="E109" s="489"/>
      <c r="F109" s="490"/>
      <c r="G109" s="691"/>
      <c r="H109" s="684"/>
      <c r="I109" s="684"/>
      <c r="J109" s="684"/>
      <c r="K109" s="684"/>
      <c r="L109" s="684"/>
      <c r="M109" s="684"/>
      <c r="N109" s="491"/>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c r="AN109" s="417"/>
      <c r="AO109" s="417"/>
      <c r="AP109" s="417"/>
      <c r="AQ109" s="417"/>
      <c r="AR109" s="417"/>
      <c r="AS109" s="417"/>
      <c r="AT109" s="417"/>
      <c r="AU109" s="417"/>
      <c r="AV109" s="417"/>
      <c r="AW109" s="417"/>
      <c r="AX109" s="417"/>
      <c r="AY109" s="417"/>
      <c r="AZ109" s="417"/>
    </row>
    <row r="110" spans="1:52" s="392" customFormat="1" ht="3.75" customHeight="1" x14ac:dyDescent="0.2">
      <c r="A110" s="417"/>
      <c r="B110" s="470"/>
      <c r="C110" s="458"/>
      <c r="D110" s="492"/>
      <c r="E110" s="493"/>
      <c r="F110" s="494"/>
      <c r="G110" s="682"/>
      <c r="H110" s="685"/>
      <c r="I110" s="685"/>
      <c r="J110" s="685"/>
      <c r="K110" s="685"/>
      <c r="L110" s="685"/>
      <c r="M110" s="685"/>
      <c r="N110" s="463"/>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c r="AN110" s="417"/>
      <c r="AO110" s="417"/>
      <c r="AP110" s="417"/>
      <c r="AQ110" s="417"/>
      <c r="AR110" s="417"/>
      <c r="AS110" s="417"/>
      <c r="AT110" s="417"/>
      <c r="AU110" s="417"/>
      <c r="AV110" s="417"/>
      <c r="AW110" s="417"/>
      <c r="AX110" s="417"/>
      <c r="AY110" s="417"/>
      <c r="AZ110" s="417"/>
    </row>
    <row r="111" spans="1:52" s="392" customFormat="1" ht="14.25" customHeight="1" x14ac:dyDescent="0.2">
      <c r="A111" s="417"/>
      <c r="B111" s="480" t="s">
        <v>234</v>
      </c>
      <c r="C111" s="417"/>
      <c r="D111" s="476" t="e">
        <f ca="1">+_xlfn.XLOOKUP($B111,Inputs!$B:$B,Inputs!Q:Q)</f>
        <v>#NAME?</v>
      </c>
      <c r="E111" s="479" t="str">
        <f>+_xll.BDP($E$91, "BS_CASH_NEAR_CASH_ITEM")</f>
        <v>#N/A Invalid Security</v>
      </c>
      <c r="F111" s="479" t="str">
        <f>+_xll.BDP(F91, "(BS_CASH_NEAR_CASH_ITEM")</f>
        <v>#N/A Invalid Security</v>
      </c>
      <c r="G111" s="479" t="str">
        <f>+_xll.BDP(G91, "(BS_CASH_NEAR_CASH_ITEM")</f>
        <v>#N/A Invalid Security</v>
      </c>
      <c r="H111" s="479" t="str">
        <f>+_xll.BDP(H91, "(BS_CASH_NEAR_CASH_ITEM")</f>
        <v>#N/A Invalid Security</v>
      </c>
      <c r="I111" s="479" t="str">
        <f>+_xll.BDP(I91, "(BS_CASH_NEAR_CASH_ITEM")</f>
        <v>#N/A Invalid Security</v>
      </c>
      <c r="J111" s="479" t="str">
        <f>+_xll.BDP(J91, "(BS_CASH_NEAR_CASH_ITEM")</f>
        <v>#N/A Invalid Security</v>
      </c>
      <c r="K111" s="479" t="str">
        <f>+_xll.BDP(K91, "(BS_CASH_NEAR_CASH_ITEM")</f>
        <v>#N/A Invalid Security</v>
      </c>
      <c r="L111" s="479" t="str">
        <f>+_xll.BDP(L91, "(BS_CASH_NEAR_CASH_ITEM")</f>
        <v>#N/A Invalid Security</v>
      </c>
      <c r="M111" s="479" t="str">
        <f>+_xll.BDP(M91, "(BS_CASH_NEAR_CASH_ITEM")</f>
        <v>#N/A Invalid Security</v>
      </c>
      <c r="N111" s="479" t="str">
        <f>+_xll.BDP(N91, "(BS_CASH_NEAR_CASH_ITEM")</f>
        <v>#N/A Invalid Security</v>
      </c>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c r="AN111" s="417"/>
      <c r="AO111" s="417"/>
      <c r="AP111" s="417"/>
      <c r="AQ111" s="417"/>
      <c r="AR111" s="417"/>
      <c r="AS111" s="417"/>
      <c r="AT111" s="417"/>
      <c r="AU111" s="417"/>
      <c r="AV111" s="417"/>
      <c r="AW111" s="417"/>
      <c r="AX111" s="417"/>
      <c r="AY111" s="417"/>
      <c r="AZ111" s="417"/>
    </row>
    <row r="112" spans="1:52" s="392" customFormat="1" ht="14.25" customHeight="1" x14ac:dyDescent="0.2">
      <c r="A112" s="417"/>
      <c r="B112" s="480" t="s">
        <v>235</v>
      </c>
      <c r="C112" s="417"/>
      <c r="D112" s="476" t="e">
        <f ca="1">+_xlfn.XLOOKUP($B112,Inputs!$B:$B,Inputs!Q:Q)</f>
        <v>#NAME?</v>
      </c>
      <c r="E112" s="479" t="str">
        <f>+_xll.BDP(E$91, "BS_ACCT_NOTE_RCV")</f>
        <v>#N/A Invalid Security</v>
      </c>
      <c r="F112" s="479" t="str">
        <f>+_xll.BDP(F$91, "BS_ACCT_NOTE_RCV")</f>
        <v>#N/A Invalid Security</v>
      </c>
      <c r="G112" s="479" t="str">
        <f>+_xll.BDP(G$91, "BS_ACCT_NOTE_RCV")</f>
        <v>#N/A Invalid Security</v>
      </c>
      <c r="H112" s="479" t="str">
        <f>+_xll.BDP(H$91, "BS_ACCT_NOTE_RCV")</f>
        <v>#N/A Invalid Security</v>
      </c>
      <c r="I112" s="479" t="str">
        <f>+_xll.BDP(I$91, "BS_ACCT_NOTE_RCV")</f>
        <v>#N/A Invalid Security</v>
      </c>
      <c r="J112" s="479" t="str">
        <f>+_xll.BDP(J$91, "BS_ACCT_NOTE_RCV")</f>
        <v>#N/A Invalid Security</v>
      </c>
      <c r="K112" s="479" t="str">
        <f>+_xll.BDP(K$91, "BS_ACCT_NOTE_RCV")</f>
        <v>#N/A Invalid Security</v>
      </c>
      <c r="L112" s="479" t="str">
        <f>+_xll.BDP(L$91, "BS_ACCT_NOTE_RCV")</f>
        <v>#N/A Invalid Security</v>
      </c>
      <c r="M112" s="479" t="str">
        <f>+_xll.BDP(M$91, "BS_ACCT_NOTE_RCV")</f>
        <v>#N/A Invalid Security</v>
      </c>
      <c r="N112" s="479" t="str">
        <f>+_xll.BDP(N$91, "BS_ACCT_NOTE_RCV")</f>
        <v>#N/A Invalid Security</v>
      </c>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c r="AN112" s="417"/>
      <c r="AO112" s="417"/>
      <c r="AP112" s="417"/>
      <c r="AQ112" s="417"/>
      <c r="AR112" s="417"/>
      <c r="AS112" s="417"/>
      <c r="AT112" s="417"/>
      <c r="AU112" s="417"/>
      <c r="AV112" s="417"/>
      <c r="AW112" s="417"/>
      <c r="AX112" s="417"/>
      <c r="AY112" s="417"/>
      <c r="AZ112" s="417"/>
    </row>
    <row r="113" spans="1:52" s="392" customFormat="1" ht="14.25" customHeight="1" x14ac:dyDescent="0.2">
      <c r="A113" s="417"/>
      <c r="B113" s="480" t="s">
        <v>236</v>
      </c>
      <c r="C113" s="417"/>
      <c r="D113" s="476" t="e">
        <f ca="1">+_xlfn.XLOOKUP("Inventory",Inputs!$B:$B,Inputs!P:P)</f>
        <v>#NAME?</v>
      </c>
      <c r="E113" s="479" t="str">
        <f>+_xll.BDP(E$91, "ARD_BEGINNING_INVENTORY")</f>
        <v>#N/A Invalid Security</v>
      </c>
      <c r="F113" s="479" t="str">
        <f>+_xll.BDP(F$91, "ARD_BEGINNING_INVENTORY")</f>
        <v>#N/A Invalid Security</v>
      </c>
      <c r="G113" s="479" t="str">
        <f>+_xll.BDP(G$91, "ARD_BEGINNING_INVENTORY")</f>
        <v>#N/A Invalid Security</v>
      </c>
      <c r="H113" s="479" t="str">
        <f>+_xll.BDP(H$91, "ARD_BEGINNING_INVENTORY")</f>
        <v>#N/A Invalid Security</v>
      </c>
      <c r="I113" s="479" t="str">
        <f>+_xll.BDP(I$91, "ARD_BEGINNING_INVENTORY")</f>
        <v>#N/A Invalid Security</v>
      </c>
      <c r="J113" s="479" t="str">
        <f>+_xll.BDP(J$91, "ARD_BEGINNING_INVENTORY")</f>
        <v>#N/A Invalid Security</v>
      </c>
      <c r="K113" s="479" t="str">
        <f>+_xll.BDP(K$91, "ARD_BEGINNING_INVENTORY")</f>
        <v>#N/A Invalid Security</v>
      </c>
      <c r="L113" s="479" t="str">
        <f>+_xll.BDP(L$91, "ARD_BEGINNING_INVENTORY")</f>
        <v>#N/A Invalid Security</v>
      </c>
      <c r="M113" s="479" t="str">
        <f>+_xll.BDP(M$91, "ARD_BEGINNING_INVENTORY")</f>
        <v>#N/A Invalid Security</v>
      </c>
      <c r="N113" s="479" t="str">
        <f>+_xll.BDP(N$91, "ARD_BEGINNING_INVENTORY")</f>
        <v>#N/A Invalid Security</v>
      </c>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c r="AN113" s="417"/>
      <c r="AO113" s="417"/>
      <c r="AP113" s="417"/>
      <c r="AQ113" s="417"/>
      <c r="AR113" s="417"/>
      <c r="AS113" s="417"/>
      <c r="AT113" s="417"/>
      <c r="AU113" s="417"/>
      <c r="AV113" s="417"/>
      <c r="AW113" s="417"/>
      <c r="AX113" s="417"/>
      <c r="AY113" s="417"/>
      <c r="AZ113" s="417"/>
    </row>
    <row r="114" spans="1:52" s="392" customFormat="1" ht="14.25" customHeight="1" x14ac:dyDescent="0.2">
      <c r="A114" s="417"/>
      <c r="B114" s="480" t="s">
        <v>237</v>
      </c>
      <c r="C114" s="417"/>
      <c r="D114" s="476" t="e">
        <f ca="1">+_xlfn.XLOOKUP("Inventory",Inputs!$B:$B,Inputs!Q:Q)</f>
        <v>#NAME?</v>
      </c>
      <c r="E114" s="479" t="str">
        <f>+_xll.BDP(E$91, "ARD_ENDING_INVENTORY")</f>
        <v>#N/A Invalid Security</v>
      </c>
      <c r="F114" s="479" t="str">
        <f>+_xll.BDP(F$91, "ARD_ENDING_INVENTORY")</f>
        <v>#N/A Invalid Security</v>
      </c>
      <c r="G114" s="479" t="str">
        <f>+_xll.BDP(G$91, "ARD_ENDING_INVENTORY")</f>
        <v>#N/A Invalid Security</v>
      </c>
      <c r="H114" s="479" t="str">
        <f>+_xll.BDP(H$91, "ARD_ENDING_INVENTORY")</f>
        <v>#N/A Invalid Security</v>
      </c>
      <c r="I114" s="479" t="str">
        <f>+_xll.BDP(I$91, "ARD_ENDING_INVENTORY")</f>
        <v>#N/A Invalid Security</v>
      </c>
      <c r="J114" s="479" t="str">
        <f>+_xll.BDP(J$91, "ARD_ENDING_INVENTORY")</f>
        <v>#N/A Invalid Security</v>
      </c>
      <c r="K114" s="479" t="str">
        <f>+_xll.BDP(K$91, "ARD_ENDING_INVENTORY")</f>
        <v>#N/A Invalid Security</v>
      </c>
      <c r="L114" s="479" t="str">
        <f>+_xll.BDP(L$91, "ARD_ENDING_INVENTORY")</f>
        <v>#N/A Invalid Security</v>
      </c>
      <c r="M114" s="479" t="str">
        <f>+_xll.BDP(M$91, "ARD_ENDING_INVENTORY")</f>
        <v>#N/A Invalid Security</v>
      </c>
      <c r="N114" s="479" t="str">
        <f>+_xll.BDP(N$91, "ARD_ENDING_INVENTORY")</f>
        <v>#N/A Invalid Security</v>
      </c>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c r="AN114" s="417"/>
      <c r="AO114" s="417"/>
      <c r="AP114" s="417"/>
      <c r="AQ114" s="417"/>
      <c r="AR114" s="417"/>
      <c r="AS114" s="417"/>
      <c r="AT114" s="417"/>
      <c r="AU114" s="417"/>
      <c r="AV114" s="417"/>
      <c r="AW114" s="417"/>
      <c r="AX114" s="417"/>
      <c r="AY114" s="417"/>
      <c r="AZ114" s="417"/>
    </row>
    <row r="115" spans="1:52" s="392" customFormat="1" ht="14.25" customHeight="1" x14ac:dyDescent="0.2">
      <c r="A115" s="417"/>
      <c r="B115" s="480" t="s">
        <v>238</v>
      </c>
      <c r="C115" s="417"/>
      <c r="D115" s="476" t="e">
        <f ca="1">+_xlfn.XLOOKUP($B115,Inputs!$B:$B,Inputs!Q:Q)</f>
        <v>#NAME?</v>
      </c>
      <c r="E115" s="479" t="str">
        <f>+_xll.BDP(E$91, "BS_CUR_ASSET_REPORT")</f>
        <v>#N/A Invalid Security</v>
      </c>
      <c r="F115" s="479" t="str">
        <f>+_xll.BDP(F$91, "BS_CUR_ASSET_REPORT")</f>
        <v>#N/A Invalid Security</v>
      </c>
      <c r="G115" s="479" t="str">
        <f>+_xll.BDP(G$91, "BS_CUR_ASSET_REPORT")</f>
        <v>#N/A Invalid Security</v>
      </c>
      <c r="H115" s="479" t="str">
        <f>+_xll.BDP(H$91, "BS_CUR_ASSET_REPORT")</f>
        <v>#N/A Invalid Security</v>
      </c>
      <c r="I115" s="479" t="str">
        <f>+_xll.BDP(I$91, "BS_CUR_ASSET_REPORT")</f>
        <v>#N/A Invalid Security</v>
      </c>
      <c r="J115" s="479" t="str">
        <f>+_xll.BDP(J$91, "BS_CUR_ASSET_REPORT")</f>
        <v>#N/A Invalid Security</v>
      </c>
      <c r="K115" s="479" t="str">
        <f>+_xll.BDP(K$91, "BS_CUR_ASSET_REPORT")</f>
        <v>#N/A Invalid Security</v>
      </c>
      <c r="L115" s="479" t="str">
        <f>+_xll.BDP(L$91, "BS_CUR_ASSET_REPORT")</f>
        <v>#N/A Invalid Security</v>
      </c>
      <c r="M115" s="479" t="str">
        <f>+_xll.BDP(M$91, "BS_CUR_ASSET_REPORT")</f>
        <v>#N/A Invalid Security</v>
      </c>
      <c r="N115" s="479" t="str">
        <f>+_xll.BDP(N$91, "BS_CUR_ASSET_REPORT")</f>
        <v>#N/A Invalid Security</v>
      </c>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c r="AN115" s="417"/>
      <c r="AO115" s="417"/>
      <c r="AP115" s="417"/>
      <c r="AQ115" s="417"/>
      <c r="AR115" s="417"/>
      <c r="AS115" s="417"/>
      <c r="AT115" s="417"/>
      <c r="AU115" s="417"/>
      <c r="AV115" s="417"/>
      <c r="AW115" s="417"/>
      <c r="AX115" s="417"/>
      <c r="AY115" s="417"/>
      <c r="AZ115" s="417"/>
    </row>
    <row r="116" spans="1:52" s="392" customFormat="1" ht="14.25" customHeight="1" x14ac:dyDescent="0.2">
      <c r="A116" s="417"/>
      <c r="B116" s="480" t="s">
        <v>239</v>
      </c>
      <c r="C116" s="417"/>
      <c r="D116" s="476" t="e">
        <f ca="1">+_xlfn.XLOOKUP($B116,Inputs!$B:$B,Inputs!Q:Q)</f>
        <v>#NAME?</v>
      </c>
      <c r="E116" s="479" t="str">
        <f>+_xll.BDP(E$91, "ARD_PROPERTY_PLANT_EQUIP_NET")</f>
        <v>#N/A Invalid Security</v>
      </c>
      <c r="F116" s="479" t="str">
        <f>+_xll.BDP(F$91, "ARD_PROPERTY_PLANT_EQUIP_NET")</f>
        <v>#N/A Invalid Security</v>
      </c>
      <c r="G116" s="479" t="str">
        <f>+_xll.BDP(G$91, "ARD_PROPERTY_PLANT_EQUIP_NET")</f>
        <v>#N/A Invalid Security</v>
      </c>
      <c r="H116" s="479" t="str">
        <f>+_xll.BDP(H$91, "ARD_PROPERTY_PLANT_EQUIP_NET")</f>
        <v>#N/A Invalid Security</v>
      </c>
      <c r="I116" s="479" t="str">
        <f>+_xll.BDP(I$91, "ARD_PROPERTY_PLANT_EQUIP_NET")</f>
        <v>#N/A Invalid Security</v>
      </c>
      <c r="J116" s="479" t="str">
        <f>+_xll.BDP(J$91, "ARD_PROPERTY_PLANT_EQUIP_NET")</f>
        <v>#N/A Invalid Security</v>
      </c>
      <c r="K116" s="479" t="str">
        <f>+_xll.BDP(K$91, "ARD_PROPERTY_PLANT_EQUIP_NET")</f>
        <v>#N/A Invalid Security</v>
      </c>
      <c r="L116" s="479" t="str">
        <f>+_xll.BDP(L$91, "ARD_PROPERTY_PLANT_EQUIP_NET")</f>
        <v>#N/A Invalid Security</v>
      </c>
      <c r="M116" s="479" t="str">
        <f>+_xll.BDP(M$91, "ARD_PROPERTY_PLANT_EQUIP_NET")</f>
        <v>#N/A Invalid Security</v>
      </c>
      <c r="N116" s="479" t="str">
        <f>+_xll.BDP(N$91, "ARD_PROPERTY_PLANT_EQUIP_NET")</f>
        <v>#N/A Invalid Security</v>
      </c>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c r="AN116" s="417"/>
      <c r="AO116" s="417"/>
      <c r="AP116" s="417"/>
      <c r="AQ116" s="417"/>
      <c r="AR116" s="417"/>
      <c r="AS116" s="417"/>
      <c r="AT116" s="417"/>
      <c r="AU116" s="417"/>
      <c r="AV116" s="417"/>
      <c r="AW116" s="417"/>
      <c r="AX116" s="417"/>
      <c r="AY116" s="417"/>
      <c r="AZ116" s="417"/>
    </row>
    <row r="117" spans="1:52" s="392" customFormat="1" ht="14.25" customHeight="1" x14ac:dyDescent="0.2">
      <c r="A117" s="417"/>
      <c r="B117" s="480" t="s">
        <v>240</v>
      </c>
      <c r="C117" s="495"/>
      <c r="D117" s="496" t="e">
        <f ca="1">+_xlfn.XLOOKUP($B117,Inputs!$B:$B,Inputs!Q:Q)</f>
        <v>#NAME?</v>
      </c>
      <c r="E117" s="479" t="str">
        <f>+_xll.BDP(E$91, "BS_TOT_ASSET")</f>
        <v>#N/A Invalid Security</v>
      </c>
      <c r="F117" s="479" t="str">
        <f>+_xll.BDP(F$91, "BS_TOT_ASSET")</f>
        <v>#N/A Invalid Security</v>
      </c>
      <c r="G117" s="479" t="str">
        <f>+_xll.BDP(G$91, "BS_TOT_ASSET")</f>
        <v>#N/A Invalid Security</v>
      </c>
      <c r="H117" s="479" t="str">
        <f>+_xll.BDP(H$91, "BS_TOT_ASSET")</f>
        <v>#N/A Invalid Security</v>
      </c>
      <c r="I117" s="479" t="str">
        <f>+_xll.BDP(I$91, "BS_TOT_ASSET")</f>
        <v>#N/A Invalid Security</v>
      </c>
      <c r="J117" s="479" t="str">
        <f>+_xll.BDP(J$91, "BS_TOT_ASSET")</f>
        <v>#N/A Invalid Security</v>
      </c>
      <c r="K117" s="479" t="str">
        <f>+_xll.BDP(K$91, "BS_TOT_ASSET")</f>
        <v>#N/A Invalid Security</v>
      </c>
      <c r="L117" s="479" t="str">
        <f>+_xll.BDP(L$91, "BS_TOT_ASSET")</f>
        <v>#N/A Invalid Security</v>
      </c>
      <c r="M117" s="479" t="str">
        <f>+_xll.BDP(M$91, "BS_TOT_ASSET")</f>
        <v>#N/A Invalid Security</v>
      </c>
      <c r="N117" s="479" t="str">
        <f>+_xll.BDP(N$91, "BS_TOT_ASSET")</f>
        <v>#N/A Invalid Security</v>
      </c>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c r="AN117" s="417"/>
      <c r="AO117" s="417"/>
      <c r="AP117" s="417"/>
      <c r="AQ117" s="417"/>
      <c r="AR117" s="417"/>
      <c r="AS117" s="417"/>
      <c r="AT117" s="417"/>
      <c r="AU117" s="417"/>
      <c r="AV117" s="417"/>
      <c r="AW117" s="417"/>
      <c r="AX117" s="417"/>
      <c r="AY117" s="417"/>
      <c r="AZ117" s="417"/>
    </row>
    <row r="118" spans="1:52" s="392" customFormat="1" ht="14.25" customHeight="1" x14ac:dyDescent="0.2">
      <c r="A118" s="417"/>
      <c r="B118" s="480" t="s">
        <v>241</v>
      </c>
      <c r="C118" s="417"/>
      <c r="D118" s="476" t="e">
        <f ca="1">+_xlfn.XLOOKUP($B118,Inputs!$B:$B,Inputs!Q:Q)</f>
        <v>#NAME?</v>
      </c>
      <c r="E118" s="479" t="str">
        <f>+_xll.BDP(E$91, "BS_ACCT_PAYABLE")</f>
        <v>#N/A Invalid Security</v>
      </c>
      <c r="F118" s="479" t="str">
        <f>+_xll.BDP(F$91, "BS_ACCT_PAYABLET")</f>
        <v>#N/A Invalid Security</v>
      </c>
      <c r="G118" s="479" t="str">
        <f>+_xll.BDP(G$91, "BS_ACCT_PAYABLET")</f>
        <v>#N/A Invalid Security</v>
      </c>
      <c r="H118" s="479" t="str">
        <f>+_xll.BDP(H$91, "BS_ACCT_PAYABLET")</f>
        <v>#N/A Invalid Security</v>
      </c>
      <c r="I118" s="479" t="str">
        <f>+_xll.BDP(I$91, "BS_ACCT_PAYABLET")</f>
        <v>#N/A Invalid Security</v>
      </c>
      <c r="J118" s="479" t="str">
        <f>+_xll.BDP(J$91, "BS_ACCT_PAYABLET")</f>
        <v>#N/A Invalid Security</v>
      </c>
      <c r="K118" s="479" t="str">
        <f>+_xll.BDP(K$91, "BS_ACCT_PAYABLET")</f>
        <v>#N/A Invalid Security</v>
      </c>
      <c r="L118" s="479" t="str">
        <f>+_xll.BDP(L$91, "BS_ACCT_PAYABLET")</f>
        <v>#N/A Invalid Security</v>
      </c>
      <c r="M118" s="479" t="str">
        <f>+_xll.BDP(M$91, "BS_ACCT_PAYABLET")</f>
        <v>#N/A Invalid Security</v>
      </c>
      <c r="N118" s="479" t="str">
        <f>+_xll.BDP(N$91, "BS_ACCT_PAYABLET")</f>
        <v>#N/A Invalid Security</v>
      </c>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c r="AN118" s="417"/>
      <c r="AO118" s="417"/>
      <c r="AP118" s="417"/>
      <c r="AQ118" s="417"/>
      <c r="AR118" s="417"/>
      <c r="AS118" s="417"/>
      <c r="AT118" s="417"/>
      <c r="AU118" s="417"/>
      <c r="AV118" s="417"/>
      <c r="AW118" s="417"/>
      <c r="AX118" s="417"/>
      <c r="AY118" s="417"/>
      <c r="AZ118" s="417"/>
    </row>
    <row r="119" spans="1:52" s="392" customFormat="1" ht="14.25" customHeight="1" x14ac:dyDescent="0.2">
      <c r="A119" s="417"/>
      <c r="B119" s="480" t="s">
        <v>242</v>
      </c>
      <c r="C119" s="417"/>
      <c r="D119" s="476" t="e">
        <f ca="1">+_xlfn.XLOOKUP($B119,Inputs!$B:$B,Inputs!Q:Q)</f>
        <v>#NAME?</v>
      </c>
      <c r="E119" s="479" t="str">
        <f>+_xll.BDP(E$91, "BS_CUR_LIAB")</f>
        <v>#N/A Invalid Security</v>
      </c>
      <c r="F119" s="479" t="str">
        <f>+_xll.BDP(F$91, "BS_CUR_LIAB")</f>
        <v>#N/A Invalid Security</v>
      </c>
      <c r="G119" s="479" t="str">
        <f>+_xll.BDP(G$91, "BS_CUR_LIAB")</f>
        <v>#N/A Invalid Security</v>
      </c>
      <c r="H119" s="479" t="str">
        <f>+_xll.BDP(H$91, "BS_CUR_LIAB")</f>
        <v>#N/A Invalid Security</v>
      </c>
      <c r="I119" s="479" t="str">
        <f>+_xll.BDP(I$91, "BS_CUR_LIAB")</f>
        <v>#N/A Invalid Security</v>
      </c>
      <c r="J119" s="479" t="str">
        <f>+_xll.BDP(J$91, "BS_CUR_LIAB")</f>
        <v>#N/A Invalid Security</v>
      </c>
      <c r="K119" s="479" t="str">
        <f>+_xll.BDP(K$91, "BS_CUR_LIAB")</f>
        <v>#N/A Invalid Security</v>
      </c>
      <c r="L119" s="479" t="str">
        <f>+_xll.BDP(L$91, "BS_CUR_LIAB")</f>
        <v>#N/A Invalid Security</v>
      </c>
      <c r="M119" s="479" t="str">
        <f>+_xll.BDP(M$91, "BS_CUR_LIAB")</f>
        <v>#N/A Invalid Security</v>
      </c>
      <c r="N119" s="479" t="str">
        <f>+_xll.BDP(N$91, "BS_CUR_LIAB")</f>
        <v>#N/A Invalid Security</v>
      </c>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c r="AN119" s="417"/>
      <c r="AO119" s="417"/>
      <c r="AP119" s="417"/>
      <c r="AQ119" s="417"/>
      <c r="AR119" s="417"/>
      <c r="AS119" s="417"/>
      <c r="AT119" s="417"/>
      <c r="AU119" s="417"/>
      <c r="AV119" s="417"/>
      <c r="AW119" s="417"/>
      <c r="AX119" s="417"/>
      <c r="AY119" s="417"/>
      <c r="AZ119" s="417"/>
    </row>
    <row r="120" spans="1:52" s="392" customFormat="1" ht="14.25" customHeight="1" x14ac:dyDescent="0.2">
      <c r="A120" s="417"/>
      <c r="B120" s="480" t="s">
        <v>243</v>
      </c>
      <c r="C120" s="417"/>
      <c r="D120" s="476" t="e">
        <f ca="1">+_xlfn.XLOOKUP($B120,Inputs!$B:$B,Inputs!Q:Q)</f>
        <v>#NAME?</v>
      </c>
      <c r="E120" s="479" t="str">
        <f>+_xll.BDP(E$91, "BS_LT_BORROW")</f>
        <v>#N/A Invalid Security</v>
      </c>
      <c r="F120" s="479" t="str">
        <f>+_xll.BDP(F$91, "BS_LT_BORROW")</f>
        <v>#N/A Invalid Security</v>
      </c>
      <c r="G120" s="479" t="str">
        <f>+_xll.BDP(G$91, "BS_LT_BORROW")</f>
        <v>#N/A Invalid Security</v>
      </c>
      <c r="H120" s="479" t="str">
        <f>+_xll.BDP(H$91, "BS_LT_BORROW")</f>
        <v>#N/A Invalid Security</v>
      </c>
      <c r="I120" s="479" t="str">
        <f>+_xll.BDP(I$91, "BS_LT_BORROW")</f>
        <v>#N/A Invalid Security</v>
      </c>
      <c r="J120" s="479" t="str">
        <f>+_xll.BDP(J$91, "BS_LT_BORROW")</f>
        <v>#N/A Invalid Security</v>
      </c>
      <c r="K120" s="479" t="str">
        <f>+_xll.BDP(K$91, "BS_LT_BORROW")</f>
        <v>#N/A Invalid Security</v>
      </c>
      <c r="L120" s="479" t="str">
        <f>+_xll.BDP(L$91, "BS_LT_BORROW")</f>
        <v>#N/A Invalid Security</v>
      </c>
      <c r="M120" s="479" t="str">
        <f>+_xll.BDP(M$91, "BS_LT_BORROW")</f>
        <v>#N/A Invalid Security</v>
      </c>
      <c r="N120" s="479" t="str">
        <f>+_xll.BDP(N$91, "BS_LT_BORROW")</f>
        <v>#N/A Invalid Security</v>
      </c>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c r="AN120" s="417"/>
      <c r="AO120" s="417"/>
      <c r="AP120" s="417"/>
      <c r="AQ120" s="417"/>
      <c r="AR120" s="417"/>
      <c r="AS120" s="417"/>
      <c r="AT120" s="417"/>
      <c r="AU120" s="417"/>
      <c r="AV120" s="417"/>
      <c r="AW120" s="417"/>
      <c r="AX120" s="417"/>
      <c r="AY120" s="417"/>
      <c r="AZ120" s="417"/>
    </row>
    <row r="121" spans="1:52" s="392" customFormat="1" ht="14.25" customHeight="1" x14ac:dyDescent="0.2">
      <c r="A121" s="417"/>
      <c r="B121" s="480" t="s">
        <v>244</v>
      </c>
      <c r="C121" s="417"/>
      <c r="D121" s="476" t="e">
        <f ca="1">+_xlfn.XLOOKUP($B121,Inputs!$B:$B,Inputs!Q:Q,,,-1)</f>
        <v>#NAME?</v>
      </c>
      <c r="E121" s="479" t="str">
        <f>+_xll.BDP(E$91, "SHORT_AND_LONG_TERM_DEBT")</f>
        <v>#N/A Invalid Security</v>
      </c>
      <c r="F121" s="479" t="str">
        <f>+_xll.BDP(F$91, "SHORT_AND_LONG_TERM_DEBT")</f>
        <v>#N/A Invalid Security</v>
      </c>
      <c r="G121" s="479" t="str">
        <f>+_xll.BDP(G$91, "SHORT_AND_LONG_TERM_DEBT")</f>
        <v>#N/A Invalid Security</v>
      </c>
      <c r="H121" s="479" t="str">
        <f>+_xll.BDP(H$91, "SHORT_AND_LONG_TERM_DEBT")</f>
        <v>#N/A Invalid Security</v>
      </c>
      <c r="I121" s="479" t="str">
        <f>+_xll.BDP(I$91, "SHORT_AND_LONG_TERM_DEBT")</f>
        <v>#N/A Invalid Security</v>
      </c>
      <c r="J121" s="479" t="str">
        <f>+_xll.BDP(J$91, "SHORT_AND_LONG_TERM_DEBT")</f>
        <v>#N/A Invalid Security</v>
      </c>
      <c r="K121" s="479" t="str">
        <f>+_xll.BDP(K$91, "SHORT_AND_LONG_TERM_DEBT")</f>
        <v>#N/A Invalid Security</v>
      </c>
      <c r="L121" s="479" t="str">
        <f>+_xll.BDP(L$91, "SHORT_AND_LONG_TERM_DEBT")</f>
        <v>#N/A Invalid Security</v>
      </c>
      <c r="M121" s="479" t="str">
        <f>+_xll.BDP(M$91, "SHORT_AND_LONG_TERM_DEBT")</f>
        <v>#N/A Invalid Security</v>
      </c>
      <c r="N121" s="479" t="str">
        <f>+_xll.BDP(N$91, "SHORT_AND_LONG_TERM_DEBT")</f>
        <v>#N/A Invalid Security</v>
      </c>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c r="AN121" s="417"/>
      <c r="AO121" s="417"/>
      <c r="AP121" s="417"/>
      <c r="AQ121" s="417"/>
      <c r="AR121" s="417"/>
      <c r="AS121" s="417"/>
      <c r="AT121" s="417"/>
      <c r="AU121" s="417"/>
      <c r="AV121" s="417"/>
      <c r="AW121" s="417"/>
      <c r="AX121" s="417"/>
      <c r="AY121" s="417"/>
      <c r="AZ121" s="417"/>
    </row>
    <row r="122" spans="1:52" s="392" customFormat="1" ht="14.25" customHeight="1" x14ac:dyDescent="0.2">
      <c r="A122" s="417"/>
      <c r="B122" s="480" t="s">
        <v>245</v>
      </c>
      <c r="C122" s="417"/>
      <c r="D122" s="476" t="e">
        <f ca="1">+_xlfn.XLOOKUP($B122,Inputs!$B:$B,Inputs!Q:Q)</f>
        <v>#NAME?</v>
      </c>
      <c r="E122" s="479" t="str">
        <f>+_xll.BDP(E$91, "TOTAL_EQUITY")</f>
        <v>#N/A Invalid Security</v>
      </c>
      <c r="F122" s="479" t="str">
        <f>+_xll.BDP(F$91, "TOTAL_EQUITY")</f>
        <v>#N/A Invalid Security</v>
      </c>
      <c r="G122" s="479" t="str">
        <f>+_xll.BDP(G$91, "TOTAL_EQUITY")</f>
        <v>#N/A Invalid Security</v>
      </c>
      <c r="H122" s="479" t="str">
        <f>+_xll.BDP(H$91, "TOTAL_EQUITY")</f>
        <v>#N/A Invalid Security</v>
      </c>
      <c r="I122" s="479" t="str">
        <f>+_xll.BDP(I$91, "TOTAL_EQUITY")</f>
        <v>#N/A Invalid Security</v>
      </c>
      <c r="J122" s="479" t="str">
        <f>+_xll.BDP(J$91, "TOTAL_EQUITY")</f>
        <v>#N/A Invalid Security</v>
      </c>
      <c r="K122" s="479" t="str">
        <f>+_xll.BDP(K$91, "TOTAL_EQUITY")</f>
        <v>#N/A Invalid Security</v>
      </c>
      <c r="L122" s="479" t="str">
        <f>+_xll.BDP(L$91, "TOTAL_EQUITY")</f>
        <v>#N/A Invalid Security</v>
      </c>
      <c r="M122" s="479" t="str">
        <f>+_xll.BDP(M$91, "TOTAL_EQUITY")</f>
        <v>#N/A Invalid Security</v>
      </c>
      <c r="N122" s="479" t="str">
        <f>+_xll.BDP(N$91, "TOTAL_EQUITY")</f>
        <v>#N/A Invalid Security</v>
      </c>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c r="AN122" s="417"/>
      <c r="AO122" s="417"/>
      <c r="AP122" s="417"/>
      <c r="AQ122" s="417"/>
      <c r="AR122" s="417"/>
      <c r="AS122" s="417"/>
      <c r="AT122" s="417"/>
      <c r="AU122" s="417"/>
      <c r="AV122" s="417"/>
      <c r="AW122" s="417"/>
      <c r="AX122" s="417"/>
      <c r="AY122" s="417"/>
      <c r="AZ122" s="417"/>
    </row>
    <row r="123" spans="1:52" s="392" customFormat="1" ht="3.95" customHeight="1" x14ac:dyDescent="0.2">
      <c r="A123" s="417"/>
      <c r="B123" s="480"/>
      <c r="C123" s="417"/>
      <c r="D123" s="680"/>
      <c r="E123" s="683"/>
      <c r="F123" s="683"/>
      <c r="G123" s="688"/>
      <c r="H123" s="683"/>
      <c r="I123" s="683"/>
      <c r="J123" s="683"/>
      <c r="K123" s="683"/>
      <c r="L123" s="683"/>
      <c r="M123" s="683"/>
      <c r="N123" s="478"/>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row>
    <row r="124" spans="1:52" s="392" customFormat="1" ht="14.25" customHeight="1" x14ac:dyDescent="0.2">
      <c r="A124" s="417"/>
      <c r="B124" s="469" t="s">
        <v>246</v>
      </c>
      <c r="C124" s="454"/>
      <c r="D124" s="681"/>
      <c r="E124" s="684"/>
      <c r="F124" s="684"/>
      <c r="G124" s="691"/>
      <c r="H124" s="684"/>
      <c r="I124" s="684"/>
      <c r="J124" s="684"/>
      <c r="K124" s="684"/>
      <c r="L124" s="684"/>
      <c r="M124" s="684"/>
      <c r="N124" s="491"/>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c r="AN124" s="417"/>
      <c r="AO124" s="417"/>
      <c r="AP124" s="417"/>
      <c r="AQ124" s="417"/>
      <c r="AR124" s="417"/>
      <c r="AS124" s="417"/>
      <c r="AT124" s="417"/>
      <c r="AU124" s="417"/>
      <c r="AV124" s="417"/>
      <c r="AW124" s="417"/>
      <c r="AX124" s="417"/>
      <c r="AY124" s="417"/>
      <c r="AZ124" s="417"/>
    </row>
    <row r="125" spans="1:52" s="392" customFormat="1" ht="3.95" customHeight="1" x14ac:dyDescent="0.2">
      <c r="A125" s="417"/>
      <c r="B125" s="470"/>
      <c r="C125" s="458"/>
      <c r="D125" s="682"/>
      <c r="E125" s="682"/>
      <c r="F125" s="685"/>
      <c r="G125" s="682"/>
      <c r="H125" s="685"/>
      <c r="I125" s="685"/>
      <c r="J125" s="685"/>
      <c r="K125" s="685"/>
      <c r="L125" s="685"/>
      <c r="M125" s="685"/>
      <c r="N125" s="463"/>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c r="AN125" s="417"/>
      <c r="AO125" s="417"/>
      <c r="AP125" s="417"/>
      <c r="AQ125" s="417"/>
      <c r="AR125" s="417"/>
      <c r="AS125" s="417"/>
      <c r="AT125" s="417"/>
      <c r="AU125" s="417"/>
      <c r="AV125" s="417"/>
      <c r="AW125" s="417"/>
      <c r="AX125" s="417"/>
      <c r="AY125" s="417"/>
      <c r="AZ125" s="417"/>
    </row>
    <row r="126" spans="1:52" s="392" customFormat="1" ht="14.25" customHeight="1" x14ac:dyDescent="0.2">
      <c r="A126" s="417"/>
      <c r="B126" s="480" t="s">
        <v>247</v>
      </c>
      <c r="C126" s="417"/>
      <c r="D126" s="476" t="e">
        <f ca="1">+_xlfn.XLOOKUP($B126,Inputs!$B:$B,Inputs!Q:Q)</f>
        <v>#NAME?</v>
      </c>
      <c r="E126" s="479" t="str">
        <f>+_xll.BDP(E$91, "CF_NET_CASH_OPERATING_ACT_CB")</f>
        <v>#N/A Invalid Security</v>
      </c>
      <c r="F126" s="479" t="str">
        <f>+_xll.BDP(F$91, "CF_NET_CASH_OPERATING_ACT_CB")</f>
        <v>#N/A Invalid Security</v>
      </c>
      <c r="G126" s="479" t="str">
        <f>+_xll.BDP(G$91, "CF_NET_CASH_OPERATING_ACT_CB")</f>
        <v>#N/A Invalid Security</v>
      </c>
      <c r="H126" s="479" t="str">
        <f>+_xll.BDP(H$91, "CF_NET_CASH_OPERATING_ACT_CB")</f>
        <v>#N/A Invalid Security</v>
      </c>
      <c r="I126" s="479" t="str">
        <f>+_xll.BDP(I$91, "CF_NET_CASH_OPERATING_ACT_CB")</f>
        <v>#N/A Invalid Security</v>
      </c>
      <c r="J126" s="479" t="str">
        <f>+_xll.BDP(J$91, "CF_NET_CASH_OPERATING_ACT_CB")</f>
        <v>#N/A Invalid Security</v>
      </c>
      <c r="K126" s="479" t="str">
        <f>+_xll.BDP(K$91, "CF_NET_CASH_OPERATING_ACT_CB")</f>
        <v>#N/A Invalid Security</v>
      </c>
      <c r="L126" s="479" t="str">
        <f>+_xll.BDP(L$91, "CF_NET_CASH_OPERATING_ACT_CB")</f>
        <v>#N/A Invalid Security</v>
      </c>
      <c r="M126" s="479" t="str">
        <f>+_xll.BDP(M$91, "CF_NET_CASH_OPERATING_ACT_CB")</f>
        <v>#N/A Invalid Security</v>
      </c>
      <c r="N126" s="479" t="str">
        <f>+_xll.BDP(N$91, "CF_NET_CASH_OPERATING_ACT_CB")</f>
        <v>#N/A Invalid Security</v>
      </c>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c r="AN126" s="417"/>
      <c r="AO126" s="417"/>
      <c r="AP126" s="417"/>
      <c r="AQ126" s="417"/>
      <c r="AR126" s="417"/>
      <c r="AS126" s="417"/>
      <c r="AT126" s="417"/>
      <c r="AU126" s="417"/>
      <c r="AV126" s="417"/>
      <c r="AW126" s="417"/>
      <c r="AX126" s="417"/>
      <c r="AY126" s="417"/>
      <c r="AZ126" s="417"/>
    </row>
    <row r="127" spans="1:52" s="392" customFormat="1" ht="14.25" customHeight="1" x14ac:dyDescent="0.2">
      <c r="A127" s="417"/>
      <c r="B127" s="480" t="s">
        <v>23</v>
      </c>
      <c r="C127" s="417"/>
      <c r="D127" s="476" t="e">
        <f ca="1">+_xlfn.XLOOKUP($B127,Inputs!$B:$B,Inputs!Q:Q)</f>
        <v>#NAME?</v>
      </c>
      <c r="E127" s="479" t="str">
        <f>+_xll.BDP(E$91, "IS_CAPEX_AS_REPORTED")</f>
        <v>#N/A Invalid Security</v>
      </c>
      <c r="F127" s="479" t="str">
        <f>+_xll.BDP(F$91, "IS_CAPEX_AS_REPORTED")</f>
        <v>#N/A Invalid Security</v>
      </c>
      <c r="G127" s="479" t="str">
        <f>+_xll.BDP(G$91, "IS_CAPEX_AS_REPORTED")</f>
        <v>#N/A Invalid Security</v>
      </c>
      <c r="H127" s="479" t="str">
        <f>+_xll.BDP(H$91, "IS_CAPEX_AS_REPORTED")</f>
        <v>#N/A Invalid Security</v>
      </c>
      <c r="I127" s="479" t="str">
        <f>+_xll.BDP(I$91, "IS_CAPEX_AS_REPORTED")</f>
        <v>#N/A Invalid Security</v>
      </c>
      <c r="J127" s="479" t="str">
        <f>+_xll.BDP(J$91, "IS_CAPEX_AS_REPORTED")</f>
        <v>#N/A Invalid Security</v>
      </c>
      <c r="K127" s="479" t="str">
        <f>+_xll.BDP(K$91, "IS_CAPEX_AS_REPORTED")</f>
        <v>#N/A Invalid Security</v>
      </c>
      <c r="L127" s="479" t="str">
        <f>+_xll.BDP(L$91, "IS_CAPEX_AS_REPORTED")</f>
        <v>#N/A Invalid Security</v>
      </c>
      <c r="M127" s="479" t="str">
        <f>+_xll.BDP(M$91, "IS_CAPEX_AS_REPORTED")</f>
        <v>#N/A Invalid Security</v>
      </c>
      <c r="N127" s="479" t="str">
        <f>+_xll.BDP(N$91, "IS_CAPEX_AS_REPORTED")</f>
        <v>#N/A Invalid Security</v>
      </c>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c r="AN127" s="417"/>
      <c r="AO127" s="417"/>
      <c r="AP127" s="417"/>
      <c r="AQ127" s="417"/>
      <c r="AR127" s="417"/>
      <c r="AS127" s="417"/>
      <c r="AT127" s="417"/>
      <c r="AU127" s="417"/>
      <c r="AV127" s="417"/>
      <c r="AW127" s="417"/>
      <c r="AX127" s="417"/>
      <c r="AY127" s="417"/>
      <c r="AZ127" s="417"/>
    </row>
    <row r="128" spans="1:52" s="392" customFormat="1" ht="14.25" customHeight="1" x14ac:dyDescent="0.2">
      <c r="A128" s="417"/>
      <c r="B128" s="480" t="s">
        <v>248</v>
      </c>
      <c r="C128" s="417"/>
      <c r="D128" s="476" t="e">
        <f ca="1">+_xlfn.XLOOKUP($B128,Inputs!$B:$B,Inputs!Q:Q)</f>
        <v>#NAME?</v>
      </c>
      <c r="E128" s="479" t="str">
        <f>+_xll.BDP(E$91, "CF_NET_CASH_INVESTING_ACT_CB")</f>
        <v>#N/A Invalid Security</v>
      </c>
      <c r="F128" s="479" t="str">
        <f>+_xll.BDP(F$91, "CF_NET_CASH_INVESTING_ACT_CB")</f>
        <v>#N/A Invalid Security</v>
      </c>
      <c r="G128" s="479" t="str">
        <f>+_xll.BDP(G$91, "CF_NET_CASH_INVESTING_ACT_CB")</f>
        <v>#N/A Invalid Security</v>
      </c>
      <c r="H128" s="479" t="str">
        <f>+_xll.BDP(H$91, "CF_NET_CASH_INVESTING_ACT_CB")</f>
        <v>#N/A Invalid Security</v>
      </c>
      <c r="I128" s="479" t="str">
        <f>+_xll.BDP(I$91, "CF_NET_CASH_INVESTING_ACT_CB")</f>
        <v>#N/A Invalid Security</v>
      </c>
      <c r="J128" s="479" t="str">
        <f>+_xll.BDP(J$91, "CF_NET_CASH_INVESTING_ACT_CB")</f>
        <v>#N/A Invalid Security</v>
      </c>
      <c r="K128" s="479" t="str">
        <f>+_xll.BDP(K$91, "CF_NET_CASH_INVESTING_ACT_CB")</f>
        <v>#N/A Invalid Security</v>
      </c>
      <c r="L128" s="479" t="str">
        <f>+_xll.BDP(L$91, "CF_NET_CASH_INVESTING_ACT_CB")</f>
        <v>#N/A Invalid Security</v>
      </c>
      <c r="M128" s="479" t="str">
        <f>+_xll.BDP(M$91, "CF_NET_CASH_INVESTING_ACT_CB")</f>
        <v>#N/A Invalid Security</v>
      </c>
      <c r="N128" s="479" t="str">
        <f>+_xll.BDP(N$91, "CF_NET_CASH_INVESTING_ACT_CB")</f>
        <v>#N/A Invalid Security</v>
      </c>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c r="AN128" s="417"/>
      <c r="AO128" s="417"/>
      <c r="AP128" s="417"/>
      <c r="AQ128" s="417"/>
      <c r="AR128" s="417"/>
      <c r="AS128" s="417"/>
      <c r="AT128" s="417"/>
      <c r="AU128" s="417"/>
      <c r="AV128" s="417"/>
      <c r="AW128" s="417"/>
      <c r="AX128" s="417"/>
      <c r="AY128" s="417"/>
      <c r="AZ128" s="417"/>
    </row>
    <row r="129" spans="1:52" s="392" customFormat="1" ht="14.25" customHeight="1" x14ac:dyDescent="0.2">
      <c r="A129" s="417"/>
      <c r="B129" s="480" t="s">
        <v>249</v>
      </c>
      <c r="C129" s="417"/>
      <c r="D129" s="476" t="e">
        <f ca="1">+_xlfn.XLOOKUP($B129,Inputs!$B:$B,Inputs!Q:Q)</f>
        <v>#NAME?</v>
      </c>
      <c r="E129" s="479" t="str">
        <f>+_xll.BDP(E$91, "CF_INCR_LT_BORROW")</f>
        <v>#N/A Invalid Security</v>
      </c>
      <c r="F129" s="479" t="str">
        <f>+_xll.BDP(F$91, "CF_INCR_LT_BORROW")</f>
        <v>#N/A Invalid Security</v>
      </c>
      <c r="G129" s="479" t="str">
        <f>+_xll.BDP(G$91, "CF_INCR_LT_BORROW")</f>
        <v>#N/A Invalid Security</v>
      </c>
      <c r="H129" s="479" t="str">
        <f>+_xll.BDP(H$91, "CF_INCR_LT_BORROW")</f>
        <v>#N/A Invalid Security</v>
      </c>
      <c r="I129" s="479" t="str">
        <f>+_xll.BDP(I$91, "CF_INCR_LT_BORROW")</f>
        <v>#N/A Invalid Security</v>
      </c>
      <c r="J129" s="479" t="str">
        <f>+_xll.BDP(J$91, "CF_INCR_LT_BORROW")</f>
        <v>#N/A Invalid Security</v>
      </c>
      <c r="K129" s="479" t="str">
        <f>+_xll.BDP(K$91, "CF_INCR_LT_BORROW")</f>
        <v>#N/A Invalid Security</v>
      </c>
      <c r="L129" s="479" t="str">
        <f>+_xll.BDP(L$91, "CF_INCR_LT_BORROW")</f>
        <v>#N/A Invalid Security</v>
      </c>
      <c r="M129" s="479" t="str">
        <f>+_xll.BDP(M$91, "CF_INCR_LT_BORROW")</f>
        <v>#N/A Invalid Security</v>
      </c>
      <c r="N129" s="479" t="str">
        <f>+_xll.BDP(N$91, "CF_INCR_LT_BORROW")</f>
        <v>#N/A Invalid Security</v>
      </c>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row>
    <row r="130" spans="1:52" s="392" customFormat="1" ht="14.25" customHeight="1" x14ac:dyDescent="0.2">
      <c r="A130" s="417"/>
      <c r="B130" s="480" t="s">
        <v>250</v>
      </c>
      <c r="C130" s="417"/>
      <c r="D130" s="476" t="e">
        <f ca="1">+_xlfn.XLOOKUP($B130,Inputs!$B:$B,Inputs!Q:Q)</f>
        <v>#NAME?</v>
      </c>
      <c r="E130" s="479" t="str">
        <f>+_xll.BDP(E$91, "REPAYMENT_LONG_TERM_DEBT")</f>
        <v>#N/A Invalid Security</v>
      </c>
      <c r="F130" s="479" t="str">
        <f>+_xll.BDP(F$91, "REPAYMENT_LONG_TERM_DEBT")</f>
        <v>#N/A Invalid Security</v>
      </c>
      <c r="G130" s="479" t="str">
        <f>+_xll.BDP(G$91, "REPAYMENT_LONG_TERM_DEBT")</f>
        <v>#N/A Invalid Security</v>
      </c>
      <c r="H130" s="479" t="str">
        <f>+_xll.BDP(H$91, "REPAYMENT_LONG_TERM_DEBT")</f>
        <v>#N/A Invalid Security</v>
      </c>
      <c r="I130" s="479" t="str">
        <f>+_xll.BDP(I$91, "REPAYMENT_LONG_TERM_DEBT")</f>
        <v>#N/A Invalid Security</v>
      </c>
      <c r="J130" s="479" t="str">
        <f>+_xll.BDP(J$91, "REPAYMENT_LONG_TERM_DEBT")</f>
        <v>#N/A Invalid Security</v>
      </c>
      <c r="K130" s="479" t="str">
        <f>+_xll.BDP(K$91, "REPAYMENT_LONG_TERM_DEBT")</f>
        <v>#N/A Invalid Security</v>
      </c>
      <c r="L130" s="479" t="str">
        <f>+_xll.BDP(L$91, "REPAYMENT_LONG_TERM_DEBT")</f>
        <v>#N/A Invalid Security</v>
      </c>
      <c r="M130" s="479" t="str">
        <f>+_xll.BDP(M$91, "REPAYMENT_LONG_TERM_DEBT")</f>
        <v>#N/A Invalid Security</v>
      </c>
      <c r="N130" s="479" t="str">
        <f>+_xll.BDP(N$91, "REPAYMENT_LONG_TERM_DEBT")</f>
        <v>#N/A Invalid Security</v>
      </c>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c r="AN130" s="417"/>
      <c r="AO130" s="417"/>
      <c r="AP130" s="417"/>
      <c r="AQ130" s="417"/>
      <c r="AR130" s="417"/>
      <c r="AS130" s="417"/>
      <c r="AT130" s="417"/>
      <c r="AU130" s="417"/>
      <c r="AV130" s="417"/>
      <c r="AW130" s="417"/>
      <c r="AX130" s="417"/>
      <c r="AY130" s="417"/>
      <c r="AZ130" s="417"/>
    </row>
    <row r="131" spans="1:52" s="392" customFormat="1" ht="14.25" customHeight="1" x14ac:dyDescent="0.2">
      <c r="A131" s="417"/>
      <c r="B131" s="480" t="s">
        <v>251</v>
      </c>
      <c r="C131" s="417"/>
      <c r="D131" s="476" t="e">
        <f ca="1">+_xlfn.XLOOKUP($B131,Inputs!$B:$B,Inputs!Q:Q)</f>
        <v>#NAME?</v>
      </c>
      <c r="E131" s="479" t="str">
        <f>+_xll.BDP(E$91, "CF_NET_CASH_FINANCING_ACT_CB")</f>
        <v>#N/A Invalid Security</v>
      </c>
      <c r="F131" s="479" t="str">
        <f>+_xll.BDP(F$91, "CF_NET_CASH_FINANCING_ACT_CB")</f>
        <v>#N/A Invalid Security</v>
      </c>
      <c r="G131" s="479" t="str">
        <f>+_xll.BDP(G$91, "CF_NET_CASH_FINANCING_ACT_CB")</f>
        <v>#N/A Invalid Security</v>
      </c>
      <c r="H131" s="479" t="str">
        <f>+_xll.BDP(H$91, "CF_NET_CASH_FINANCING_ACT_CB")</f>
        <v>#N/A Invalid Security</v>
      </c>
      <c r="I131" s="479" t="str">
        <f>+_xll.BDP(I$91, "CF_NET_CASH_FINANCING_ACT_CB")</f>
        <v>#N/A Invalid Security</v>
      </c>
      <c r="J131" s="479" t="str">
        <f>+_xll.BDP(J$91, "CF_NET_CASH_FINANCING_ACT_CB")</f>
        <v>#N/A Invalid Security</v>
      </c>
      <c r="K131" s="479" t="str">
        <f>+_xll.BDP(K$91, "CF_NET_CASH_FINANCING_ACT_CB")</f>
        <v>#N/A Invalid Security</v>
      </c>
      <c r="L131" s="479" t="str">
        <f>+_xll.BDP(L$91, "CF_NET_CASH_FINANCING_ACT_CB")</f>
        <v>#N/A Invalid Security</v>
      </c>
      <c r="M131" s="479" t="str">
        <f>+_xll.BDP(M$91, "CF_NET_CASH_FINANCING_ACT_CB")</f>
        <v>#N/A Invalid Security</v>
      </c>
      <c r="N131" s="479" t="str">
        <f>+_xll.BDP(N$91, "CF_NET_CASH_FINANCING_ACT_CB")</f>
        <v>#N/A Invalid Security</v>
      </c>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c r="AN131" s="417"/>
      <c r="AO131" s="417"/>
      <c r="AP131" s="417"/>
      <c r="AQ131" s="417"/>
      <c r="AR131" s="417"/>
      <c r="AS131" s="417"/>
      <c r="AT131" s="417"/>
      <c r="AU131" s="417"/>
      <c r="AV131" s="417"/>
      <c r="AW131" s="417"/>
      <c r="AX131" s="417"/>
      <c r="AY131" s="417"/>
      <c r="AZ131" s="417"/>
    </row>
    <row r="132" spans="1:52" s="392" customFormat="1" ht="14.25" customHeight="1" x14ac:dyDescent="0.2">
      <c r="A132" s="417"/>
      <c r="B132" s="480" t="s">
        <v>252</v>
      </c>
      <c r="C132" s="417"/>
      <c r="D132" s="476" t="e">
        <f ca="1">+_xlfn.XLOOKUP($B132,Inputs!$B:$B,Inputs!Q:Q)</f>
        <v>#NAME?</v>
      </c>
      <c r="E132" s="479" t="str">
        <f>+_xll.BDP(E$91, "CF_NET_CHNG_CASH")</f>
        <v>#N/A Invalid Security</v>
      </c>
      <c r="F132" s="479" t="str">
        <f>+_xll.BDP(F$91, "CF_NET_CHNG_CASH")</f>
        <v>#N/A Invalid Security</v>
      </c>
      <c r="G132" s="479" t="str">
        <f>+_xll.BDP(G$91, "CF_NET_CHNG_CASH")</f>
        <v>#N/A Invalid Security</v>
      </c>
      <c r="H132" s="479" t="str">
        <f>+_xll.BDP(H$91, "CF_NET_CHNG_CASH")</f>
        <v>#N/A Invalid Security</v>
      </c>
      <c r="I132" s="479" t="str">
        <f>+_xll.BDP(I$91, "CF_NET_CHNG_CASH")</f>
        <v>#N/A Invalid Security</v>
      </c>
      <c r="J132" s="479" t="str">
        <f>+_xll.BDP(J$91, "CF_NET_CHNG_CASH")</f>
        <v>#N/A Invalid Security</v>
      </c>
      <c r="K132" s="479" t="str">
        <f>+_xll.BDP(K$91, "CF_NET_CHNG_CASH")</f>
        <v>#N/A Invalid Security</v>
      </c>
      <c r="L132" s="479" t="str">
        <f>+_xll.BDP(L$91, "CF_NET_CHNG_CASH")</f>
        <v>#N/A Invalid Security</v>
      </c>
      <c r="M132" s="479" t="str">
        <f>+_xll.BDP(M$91, "CF_NET_CHNG_CASH")</f>
        <v>#N/A Invalid Security</v>
      </c>
      <c r="N132" s="479" t="str">
        <f>+_xll.BDP(N$91, "CF_NET_CHNG_CASH")</f>
        <v>#N/A Invalid Security</v>
      </c>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c r="AN132" s="417"/>
      <c r="AO132" s="417"/>
      <c r="AP132" s="417"/>
      <c r="AQ132" s="417"/>
      <c r="AR132" s="417"/>
      <c r="AS132" s="417"/>
      <c r="AT132" s="417"/>
      <c r="AU132" s="417"/>
      <c r="AV132" s="417"/>
      <c r="AW132" s="417"/>
      <c r="AX132" s="417"/>
      <c r="AY132" s="417"/>
      <c r="AZ132" s="417"/>
    </row>
    <row r="133" spans="1:52" s="392" customFormat="1" ht="3.95" customHeight="1" x14ac:dyDescent="0.2">
      <c r="A133" s="417"/>
      <c r="B133" s="481"/>
      <c r="C133" s="417"/>
      <c r="D133" s="677"/>
      <c r="E133" s="678"/>
      <c r="F133" s="678"/>
      <c r="G133" s="678"/>
      <c r="H133" s="678"/>
      <c r="I133" s="678"/>
      <c r="J133" s="678"/>
      <c r="K133" s="678"/>
      <c r="L133" s="678"/>
      <c r="M133" s="678"/>
      <c r="N133" s="679"/>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c r="AN133" s="417"/>
      <c r="AO133" s="417"/>
      <c r="AP133" s="417"/>
      <c r="AQ133" s="417"/>
      <c r="AR133" s="417"/>
      <c r="AS133" s="417"/>
      <c r="AT133" s="417"/>
      <c r="AU133" s="417"/>
      <c r="AV133" s="417"/>
      <c r="AW133" s="417"/>
      <c r="AX133" s="417"/>
      <c r="AY133" s="417"/>
      <c r="AZ133" s="417"/>
    </row>
    <row r="134" spans="1:52" ht="14.25" customHeight="1" x14ac:dyDescent="0.25">
      <c r="B134" s="69" t="s">
        <v>85</v>
      </c>
      <c r="C134" s="70"/>
      <c r="D134" s="69"/>
      <c r="E134" s="70"/>
      <c r="F134" s="70"/>
      <c r="G134" s="70"/>
      <c r="H134" s="70"/>
      <c r="I134" s="70"/>
      <c r="J134" s="100"/>
      <c r="K134" s="101"/>
      <c r="L134" s="101"/>
      <c r="M134" s="101"/>
      <c r="N134" s="101"/>
      <c r="O134" s="101"/>
    </row>
    <row r="135" spans="1:52" ht="3.75" customHeight="1" x14ac:dyDescent="0.25">
      <c r="B135" s="71"/>
      <c r="C135" s="71"/>
      <c r="D135" s="71"/>
      <c r="E135" s="71"/>
      <c r="F135" s="71"/>
      <c r="G135" s="71"/>
      <c r="H135" s="71"/>
      <c r="I135" s="71"/>
      <c r="J135" s="102"/>
      <c r="K135" s="102"/>
      <c r="L135" s="102"/>
      <c r="M135" s="102"/>
      <c r="N135" s="102"/>
      <c r="O135" s="102"/>
    </row>
    <row r="143" spans="1:52" ht="14.25" customHeight="1" x14ac:dyDescent="0.25">
      <c r="B143" s="69" t="s">
        <v>92</v>
      </c>
      <c r="C143" s="70"/>
      <c r="D143" s="69"/>
      <c r="E143" s="70"/>
      <c r="F143" s="70"/>
      <c r="G143" s="70"/>
      <c r="H143" s="70"/>
      <c r="I143" s="70"/>
      <c r="J143" s="100"/>
      <c r="K143" s="101"/>
      <c r="L143" s="101"/>
      <c r="M143" s="101"/>
      <c r="N143" s="101"/>
      <c r="O143" s="101"/>
    </row>
    <row r="144" spans="1:52" ht="4.1500000000000004" customHeight="1" x14ac:dyDescent="0.25">
      <c r="B144" s="734"/>
      <c r="C144" s="734"/>
      <c r="D144" s="734"/>
      <c r="E144" s="734"/>
      <c r="F144" s="734"/>
      <c r="G144" s="734"/>
      <c r="H144" s="734"/>
      <c r="I144" s="734"/>
      <c r="J144" s="734"/>
      <c r="K144" s="734"/>
      <c r="L144" s="734"/>
      <c r="M144" s="734"/>
      <c r="N144" s="734"/>
      <c r="O144" s="734"/>
    </row>
  </sheetData>
  <mergeCells count="10">
    <mergeCell ref="D21:F21"/>
    <mergeCell ref="J21:L21"/>
    <mergeCell ref="M21:O21"/>
    <mergeCell ref="D2:E2"/>
    <mergeCell ref="H3:I3"/>
    <mergeCell ref="J3:K3"/>
    <mergeCell ref="F3:G3"/>
    <mergeCell ref="N3:O3"/>
    <mergeCell ref="D3:E3"/>
    <mergeCell ref="L3:M3"/>
  </mergeCells>
  <conditionalFormatting sqref="D8:D17 D6">
    <cfRule type="colorScale" priority="25">
      <colorScale>
        <cfvo type="min"/>
        <cfvo type="percentile" val="50"/>
        <cfvo type="max"/>
        <color rgb="FFF8696B"/>
        <color rgb="FFFFEB84"/>
        <color rgb="FF63BE7B"/>
      </colorScale>
    </cfRule>
  </conditionalFormatting>
  <conditionalFormatting sqref="E8:E17 E6">
    <cfRule type="colorScale" priority="24">
      <colorScale>
        <cfvo type="min"/>
        <cfvo type="percentile" val="50"/>
        <cfvo type="max"/>
        <color rgb="FFF8696B"/>
        <color rgb="FFFFEB84"/>
        <color rgb="FF63BE7B"/>
      </colorScale>
    </cfRule>
  </conditionalFormatting>
  <conditionalFormatting sqref="F8:G17 F6:G6">
    <cfRule type="colorScale" priority="22">
      <colorScale>
        <cfvo type="min"/>
        <cfvo type="percentile" val="50"/>
        <cfvo type="max"/>
        <color rgb="FFF8696B"/>
        <color rgb="FFFFEB84"/>
        <color rgb="FF63BE7B"/>
      </colorScale>
    </cfRule>
  </conditionalFormatting>
  <conditionalFormatting sqref="H6:H12">
    <cfRule type="colorScale" priority="28">
      <colorScale>
        <cfvo type="min"/>
        <cfvo type="percentile" val="50"/>
        <cfvo type="max"/>
        <color rgb="FF63BE7B"/>
        <color rgb="FFFFEB84"/>
        <color rgb="FFF8696B"/>
      </colorScale>
    </cfRule>
    <cfRule type="colorScale" priority="34">
      <colorScale>
        <cfvo type="min"/>
        <cfvo type="percentile" val="50"/>
        <cfvo type="max"/>
        <color rgb="FF63BE7B"/>
        <color rgb="FFFFEB84"/>
        <color rgb="FFF8696B"/>
      </colorScale>
    </cfRule>
  </conditionalFormatting>
  <conditionalFormatting sqref="H8:H17 H6">
    <cfRule type="colorScale" priority="21">
      <colorScale>
        <cfvo type="min"/>
        <cfvo type="percentile" val="50"/>
        <cfvo type="max"/>
        <color rgb="FFF8696B"/>
        <color rgb="FFFFEB84"/>
        <color rgb="FF63BE7B"/>
      </colorScale>
    </cfRule>
  </conditionalFormatting>
  <conditionalFormatting sqref="H13:H17">
    <cfRule type="colorScale" priority="58">
      <colorScale>
        <cfvo type="min"/>
        <cfvo type="percentile" val="50"/>
        <cfvo type="max"/>
        <color rgb="FFF8696B"/>
        <color rgb="FFFFEB84"/>
        <color rgb="FF63BE7B"/>
      </colorScale>
    </cfRule>
  </conditionalFormatting>
  <conditionalFormatting sqref="I7">
    <cfRule type="colorScale" priority="19">
      <colorScale>
        <cfvo type="min"/>
        <cfvo type="percentile" val="50"/>
        <cfvo type="max"/>
        <color rgb="FF63BE7B"/>
        <color rgb="FFFFEB84"/>
        <color rgb="FFF8696B"/>
      </colorScale>
    </cfRule>
    <cfRule type="colorScale" priority="20">
      <colorScale>
        <cfvo type="min"/>
        <cfvo type="percentile" val="50"/>
        <cfvo type="max"/>
        <color rgb="FF63BE7B"/>
        <color rgb="FFFFEB84"/>
        <color rgb="FFF8696B"/>
      </colorScale>
    </cfRule>
  </conditionalFormatting>
  <conditionalFormatting sqref="I8:I17 I6">
    <cfRule type="colorScale" priority="18">
      <colorScale>
        <cfvo type="min"/>
        <cfvo type="percentile" val="50"/>
        <cfvo type="max"/>
        <color rgb="FFF8696B"/>
        <color rgb="FFFFEB84"/>
        <color rgb="FF63BE7B"/>
      </colorScale>
    </cfRule>
    <cfRule type="colorScale" priority="75">
      <colorScale>
        <cfvo type="min"/>
        <cfvo type="percentile" val="50"/>
        <cfvo type="max"/>
        <color rgb="FF63BE7B"/>
        <color rgb="FFFFEB84"/>
        <color rgb="FFF8696B"/>
      </colorScale>
    </cfRule>
    <cfRule type="colorScale" priority="76">
      <colorScale>
        <cfvo type="min"/>
        <cfvo type="percentile" val="50"/>
        <cfvo type="max"/>
        <color rgb="FF63BE7B"/>
        <color rgb="FFFFEB84"/>
        <color rgb="FFF8696B"/>
      </colorScale>
    </cfRule>
  </conditionalFormatting>
  <conditionalFormatting sqref="J6:J17">
    <cfRule type="colorScale" priority="26">
      <colorScale>
        <cfvo type="min"/>
        <cfvo type="percentile" val="50"/>
        <cfvo type="max"/>
        <color rgb="FF63BE7B"/>
        <color rgb="FFFFEB84"/>
        <color rgb="FFF8696B"/>
      </colorScale>
    </cfRule>
    <cfRule type="colorScale" priority="32">
      <colorScale>
        <cfvo type="min"/>
        <cfvo type="percentile" val="50"/>
        <cfvo type="max"/>
        <color rgb="FF63BE7B"/>
        <color rgb="FFFFEB84"/>
        <color rgb="FFF8696B"/>
      </colorScale>
    </cfRule>
  </conditionalFormatting>
  <conditionalFormatting sqref="J13:J17">
    <cfRule type="colorScale" priority="56">
      <colorScale>
        <cfvo type="min"/>
        <cfvo type="percentile" val="50"/>
        <cfvo type="max"/>
        <color rgb="FFF8696B"/>
        <color rgb="FFFFEB84"/>
        <color rgb="FF63BE7B"/>
      </colorScale>
    </cfRule>
  </conditionalFormatting>
  <conditionalFormatting sqref="J8:K17 J6:K6">
    <cfRule type="colorScale" priority="17">
      <colorScale>
        <cfvo type="min"/>
        <cfvo type="percentile" val="50"/>
        <cfvo type="max"/>
        <color rgb="FF63BE7B"/>
        <color rgb="FFFFEB84"/>
        <color rgb="FFF8696B"/>
      </colorScale>
    </cfRule>
  </conditionalFormatting>
  <conditionalFormatting sqref="K6:K17">
    <cfRule type="colorScale" priority="10">
      <colorScale>
        <cfvo type="min"/>
        <cfvo type="percentile" val="50"/>
        <cfvo type="max"/>
        <color rgb="FF63BE7B"/>
        <color rgb="FFFFEB84"/>
        <color rgb="FFF8696B"/>
      </colorScale>
    </cfRule>
    <cfRule type="colorScale" priority="11">
      <colorScale>
        <cfvo type="min"/>
        <cfvo type="percentile" val="50"/>
        <cfvo type="max"/>
        <color rgb="FF63BE7B"/>
        <color rgb="FFFFEB84"/>
        <color rgb="FFF8696B"/>
      </colorScale>
    </cfRule>
  </conditionalFormatting>
  <conditionalFormatting sqref="K8:K17 K6">
    <cfRule type="colorScale" priority="9">
      <colorScale>
        <cfvo type="min"/>
        <cfvo type="percentile" val="50"/>
        <cfvo type="max"/>
        <color rgb="FF63BE7B"/>
        <color rgb="FFFFEB84"/>
        <color rgb="FFF8696B"/>
      </colorScale>
    </cfRule>
  </conditionalFormatting>
  <conditionalFormatting sqref="K13:K17">
    <cfRule type="colorScale" priority="12">
      <colorScale>
        <cfvo type="min"/>
        <cfvo type="percentile" val="50"/>
        <cfvo type="max"/>
        <color rgb="FFF8696B"/>
        <color rgb="FFFFEB84"/>
        <color rgb="FF63BE7B"/>
      </colorScale>
    </cfRule>
  </conditionalFormatting>
  <conditionalFormatting sqref="L8:L17 L6">
    <cfRule type="colorScale" priority="8">
      <colorScale>
        <cfvo type="min"/>
        <cfvo type="percentile" val="50"/>
        <cfvo type="max"/>
        <color rgb="FF63BE7B"/>
        <color rgb="FFFFEB84"/>
        <color rgb="FFF8696B"/>
      </colorScale>
    </cfRule>
  </conditionalFormatting>
  <conditionalFormatting sqref="L13:L17">
    <cfRule type="colorScale" priority="74">
      <colorScale>
        <cfvo type="min"/>
        <cfvo type="percentile" val="50"/>
        <cfvo type="max"/>
        <color rgb="FFF8696B"/>
        <color rgb="FFFFEB84"/>
        <color rgb="FF63BE7B"/>
      </colorScale>
    </cfRule>
  </conditionalFormatting>
  <conditionalFormatting sqref="M8:M17 M6">
    <cfRule type="colorScale" priority="7">
      <colorScale>
        <cfvo type="min"/>
        <cfvo type="percentile" val="50"/>
        <cfvo type="max"/>
        <color rgb="FF63BE7B"/>
        <color rgb="FFFFEB84"/>
        <color rgb="FFF8696B"/>
      </colorScale>
    </cfRule>
  </conditionalFormatting>
  <conditionalFormatting sqref="M13:M17">
    <cfRule type="colorScale" priority="73">
      <colorScale>
        <cfvo type="min"/>
        <cfvo type="percentile" val="50"/>
        <cfvo type="max"/>
        <color rgb="FFF8696B"/>
        <color rgb="FFFFEB84"/>
        <color rgb="FF63BE7B"/>
      </colorScale>
    </cfRule>
  </conditionalFormatting>
  <conditionalFormatting sqref="M24:O27">
    <cfRule type="colorScale" priority="1">
      <colorScale>
        <cfvo type="min"/>
        <cfvo type="num" val="0"/>
        <cfvo type="max"/>
        <color rgb="FFF8696B"/>
        <color rgb="FFFCFCFF"/>
        <color rgb="FF63BE7B"/>
      </colorScale>
    </cfRule>
  </conditionalFormatting>
  <conditionalFormatting sqref="N8:N17 N6">
    <cfRule type="colorScale" priority="6">
      <colorScale>
        <cfvo type="min"/>
        <cfvo type="percentile" val="50"/>
        <cfvo type="max"/>
        <color rgb="FF63BE7B"/>
        <color rgb="FFFFEB84"/>
        <color rgb="FFF8696B"/>
      </colorScale>
    </cfRule>
  </conditionalFormatting>
  <conditionalFormatting sqref="O8:O17 O6">
    <cfRule type="colorScale" priority="5">
      <colorScale>
        <cfvo type="min"/>
        <cfvo type="percentile" val="50"/>
        <cfvo type="max"/>
        <color rgb="FF63BE7B"/>
        <color rgb="FFFFEB84"/>
        <color rgb="FFF8696B"/>
      </colorScale>
    </cfRule>
  </conditionalFormatting>
  <conditionalFormatting sqref="P13:P17">
    <cfRule type="colorScale" priority="51">
      <colorScale>
        <cfvo type="min"/>
        <cfvo type="percentile" val="50"/>
        <cfvo type="max"/>
        <color rgb="FF63BE7B"/>
        <color rgb="FFFFEB84"/>
        <color rgb="FFF8696B"/>
      </colorScale>
    </cfRule>
  </conditionalFormatting>
  <conditionalFormatting sqref="Q13:Q17">
    <cfRule type="colorScale" priority="50">
      <colorScale>
        <cfvo type="min"/>
        <cfvo type="percentile" val="50"/>
        <cfvo type="max"/>
        <color rgb="FF63BE7B"/>
        <color rgb="FFFFEB84"/>
        <color rgb="FFF8696B"/>
      </colorScale>
    </cfRule>
  </conditionalFormatting>
  <conditionalFormatting sqref="R13:R17">
    <cfRule type="colorScale" priority="49">
      <colorScale>
        <cfvo type="min"/>
        <cfvo type="percentile" val="50"/>
        <cfvo type="max"/>
        <color rgb="FFF8696B"/>
        <color rgb="FFFFEB84"/>
        <color rgb="FF63BE7B"/>
      </colorScale>
    </cfRule>
  </conditionalFormatting>
  <conditionalFormatting sqref="T13:T17">
    <cfRule type="colorScale" priority="48">
      <colorScale>
        <cfvo type="min"/>
        <cfvo type="percentile" val="50"/>
        <cfvo type="max"/>
        <color rgb="FFF8696B"/>
        <color rgb="FFFFEB84"/>
        <color rgb="FF63BE7B"/>
      </colorScale>
    </cfRule>
    <cfRule type="colorScale" priority="68">
      <colorScale>
        <cfvo type="min"/>
        <cfvo type="percentile" val="50"/>
        <cfvo type="max"/>
        <color rgb="FFF8696B"/>
        <color rgb="FFFFEB84"/>
        <color rgb="FF63BE7B"/>
      </colorScale>
    </cfRule>
  </conditionalFormatting>
  <conditionalFormatting sqref="U13:U17">
    <cfRule type="colorScale" priority="47">
      <colorScale>
        <cfvo type="min"/>
        <cfvo type="percentile" val="50"/>
        <cfvo type="max"/>
        <color rgb="FFF8696B"/>
        <color rgb="FFFFEB84"/>
        <color rgb="FF63BE7B"/>
      </colorScale>
    </cfRule>
    <cfRule type="colorScale" priority="67">
      <colorScale>
        <cfvo type="min"/>
        <cfvo type="percentile" val="50"/>
        <cfvo type="max"/>
        <color rgb="FFF8696B"/>
        <color rgb="FFFFEB84"/>
        <color rgb="FF63BE7B"/>
      </colorScale>
    </cfRule>
  </conditionalFormatting>
  <conditionalFormatting sqref="W13:W17">
    <cfRule type="colorScale" priority="46">
      <colorScale>
        <cfvo type="min"/>
        <cfvo type="percentile" val="50"/>
        <cfvo type="max"/>
        <color rgb="FFF8696B"/>
        <color rgb="FFFFEB84"/>
        <color rgb="FF63BE7B"/>
      </colorScale>
    </cfRule>
    <cfRule type="colorScale" priority="66">
      <colorScale>
        <cfvo type="min"/>
        <cfvo type="percentile" val="50"/>
        <cfvo type="max"/>
        <color rgb="FFF8696B"/>
        <color rgb="FFFFEB84"/>
        <color rgb="FF63BE7B"/>
      </colorScale>
    </cfRule>
  </conditionalFormatting>
  <conditionalFormatting sqref="X13:X17">
    <cfRule type="colorScale" priority="45">
      <colorScale>
        <cfvo type="min"/>
        <cfvo type="percentile" val="50"/>
        <cfvo type="max"/>
        <color rgb="FFF8696B"/>
        <color rgb="FFFFEB84"/>
        <color rgb="FF63BE7B"/>
      </colorScale>
    </cfRule>
    <cfRule type="colorScale" priority="65">
      <colorScale>
        <cfvo type="min"/>
        <cfvo type="percentile" val="50"/>
        <cfvo type="max"/>
        <color rgb="FFF8696B"/>
        <color rgb="FFFFEB84"/>
        <color rgb="FF63BE7B"/>
      </colorScale>
    </cfRule>
  </conditionalFormatting>
  <conditionalFormatting sqref="Y13:Y17">
    <cfRule type="colorScale" priority="64">
      <colorScale>
        <cfvo type="min"/>
        <cfvo type="percentile" val="50"/>
        <cfvo type="max"/>
        <color rgb="FF63BE7B"/>
        <color rgb="FFFFEB84"/>
        <color rgb="FFF8696B"/>
      </colorScale>
    </cfRule>
  </conditionalFormatting>
  <conditionalFormatting sqref="Z13:Z17">
    <cfRule type="colorScale" priority="44">
      <colorScale>
        <cfvo type="min"/>
        <cfvo type="percentile" val="50"/>
        <cfvo type="max"/>
        <color rgb="FFF8696B"/>
        <color rgb="FFFFEB84"/>
        <color rgb="FF63BE7B"/>
      </colorScale>
    </cfRule>
    <cfRule type="colorScale" priority="63">
      <colorScale>
        <cfvo type="min"/>
        <cfvo type="percentile" val="50"/>
        <cfvo type="max"/>
        <color rgb="FFF8696B"/>
        <color rgb="FFFFEB84"/>
        <color rgb="FF63BE7B"/>
      </colorScale>
    </cfRule>
  </conditionalFormatting>
  <conditionalFormatting sqref="AA13:AA17">
    <cfRule type="colorScale" priority="43">
      <colorScale>
        <cfvo type="min"/>
        <cfvo type="percentile" val="50"/>
        <cfvo type="max"/>
        <color rgb="FFF8696B"/>
        <color rgb="FFFFEB84"/>
        <color rgb="FF63BE7B"/>
      </colorScale>
    </cfRule>
    <cfRule type="colorScale" priority="62">
      <colorScale>
        <cfvo type="min"/>
        <cfvo type="percentile" val="50"/>
        <cfvo type="max"/>
        <color rgb="FFF8696B"/>
        <color rgb="FFFFEB84"/>
        <color rgb="FF63BE7B"/>
      </colorScale>
    </cfRule>
  </conditionalFormatting>
  <conditionalFormatting sqref="AB13:AB17">
    <cfRule type="colorScale" priority="42">
      <colorScale>
        <cfvo type="min"/>
        <cfvo type="percentile" val="50"/>
        <cfvo type="max"/>
        <color rgb="FF63BE7B"/>
        <color rgb="FFFFEB84"/>
        <color rgb="FFF8696B"/>
      </colorScale>
    </cfRule>
  </conditionalFormatting>
  <conditionalFormatting sqref="AD6:AD17">
    <cfRule type="colorScale" priority="41">
      <colorScale>
        <cfvo type="min"/>
        <cfvo type="percentile" val="50"/>
        <cfvo type="max"/>
        <color rgb="FF63BE7B"/>
        <color rgb="FFFFEB84"/>
        <color rgb="FFF8696B"/>
      </colorScale>
    </cfRule>
    <cfRule type="colorScale" priority="61">
      <colorScale>
        <cfvo type="min"/>
        <cfvo type="percentile" val="50"/>
        <cfvo type="max"/>
        <color rgb="FF63BE7B"/>
        <color rgb="FFFFEB84"/>
        <color rgb="FFF8696B"/>
      </colorScale>
    </cfRule>
  </conditionalFormatting>
  <conditionalFormatting sqref="AE6:AE17">
    <cfRule type="colorScale" priority="40">
      <colorScale>
        <cfvo type="min"/>
        <cfvo type="percentile" val="50"/>
        <cfvo type="max"/>
        <color rgb="FF63BE7B"/>
        <color rgb="FFFFEB84"/>
        <color rgb="FFF8696B"/>
      </colorScale>
    </cfRule>
    <cfRule type="colorScale" priority="72">
      <colorScale>
        <cfvo type="min"/>
        <cfvo type="percentile" val="50"/>
        <cfvo type="max"/>
        <color rgb="FF63BE7B"/>
        <color rgb="FFFFEB84"/>
        <color rgb="FFF8696B"/>
      </colorScale>
    </cfRule>
  </conditionalFormatting>
  <conditionalFormatting sqref="AF6:AF17">
    <cfRule type="colorScale" priority="39">
      <colorScale>
        <cfvo type="min"/>
        <cfvo type="percentile" val="50"/>
        <cfvo type="max"/>
        <color rgb="FF63BE7B"/>
        <color rgb="FFFFEB84"/>
        <color rgb="FFF8696B"/>
      </colorScale>
    </cfRule>
    <cfRule type="colorScale" priority="71">
      <colorScale>
        <cfvo type="min"/>
        <cfvo type="percentile" val="50"/>
        <cfvo type="max"/>
        <color rgb="FF63BE7B"/>
        <color rgb="FFFFEB84"/>
        <color rgb="FFF8696B"/>
      </colorScale>
    </cfRule>
  </conditionalFormatting>
  <conditionalFormatting sqref="AG6:AG17">
    <cfRule type="colorScale" priority="38">
      <colorScale>
        <cfvo type="min"/>
        <cfvo type="percentile" val="50"/>
        <cfvo type="max"/>
        <color rgb="FF63BE7B"/>
        <color rgb="FFFFEB84"/>
        <color rgb="FFF8696B"/>
      </colorScale>
    </cfRule>
    <cfRule type="colorScale" priority="70">
      <colorScale>
        <cfvo type="min"/>
        <cfvo type="percentile" val="50"/>
        <cfvo type="max"/>
        <color rgb="FF63BE7B"/>
        <color rgb="FFFFEB84"/>
        <color rgb="FFF8696B"/>
      </colorScale>
    </cfRule>
  </conditionalFormatting>
  <conditionalFormatting sqref="AH6:AH17">
    <cfRule type="colorScale" priority="37">
      <colorScale>
        <cfvo type="min"/>
        <cfvo type="percentile" val="50"/>
        <cfvo type="max"/>
        <color rgb="FF63BE7B"/>
        <color rgb="FFFFEB84"/>
        <color rgb="FFF8696B"/>
      </colorScale>
    </cfRule>
    <cfRule type="colorScale" priority="69">
      <colorScale>
        <cfvo type="min"/>
        <cfvo type="percentile" val="50"/>
        <cfvo type="max"/>
        <color rgb="FF63BE7B"/>
        <color rgb="FFFFEB84"/>
        <color rgb="FFF8696B"/>
      </colorScale>
    </cfRule>
  </conditionalFormatting>
  <conditionalFormatting sqref="AN6:AN17">
    <cfRule type="colorScale" priority="36">
      <colorScale>
        <cfvo type="min"/>
        <cfvo type="percentile" val="50"/>
        <cfvo type="max"/>
        <color rgb="FFF8696B"/>
        <color rgb="FFFFEB84"/>
        <color rgb="FF63BE7B"/>
      </colorScale>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AD95"/>
  <sheetViews>
    <sheetView showGridLines="0" topLeftCell="B1" zoomScale="70" zoomScaleNormal="70" workbookViewId="0">
      <selection activeCell="E7" sqref="E7"/>
    </sheetView>
  </sheetViews>
  <sheetFormatPr defaultColWidth="7.75" defaultRowHeight="12.75" customHeight="1" x14ac:dyDescent="0.2"/>
  <cols>
    <col min="1" max="1" width="2" style="44" customWidth="1"/>
    <col min="2" max="2" width="26.375" style="44" customWidth="1"/>
    <col min="3" max="3" width="21.125" style="43" customWidth="1"/>
    <col min="4" max="4" width="4.125" style="44" customWidth="1"/>
    <col min="5" max="5" width="44.5" style="44" customWidth="1"/>
    <col min="6" max="6" width="3.375" style="44" customWidth="1"/>
    <col min="7" max="12" width="11.25" style="44" customWidth="1"/>
    <col min="13" max="13" width="4.25" style="44" customWidth="1"/>
    <col min="14" max="21" width="11.125" style="44" customWidth="1"/>
    <col min="22" max="22" width="12.5" style="44" customWidth="1"/>
    <col min="23" max="23" width="9.875" style="44" customWidth="1"/>
    <col min="24" max="24" width="14" style="44" customWidth="1"/>
    <col min="25" max="25" width="11.375" style="44" customWidth="1"/>
    <col min="26" max="26" width="14.25" style="44" customWidth="1"/>
    <col min="27" max="27" width="8" style="44" customWidth="1"/>
    <col min="28" max="28" width="8.75" style="44" bestFit="1" customWidth="1"/>
    <col min="29" max="29" width="6.375" style="44" customWidth="1"/>
    <col min="30" max="30" width="7.25" style="44" customWidth="1"/>
    <col min="31" max="31" width="8.75" style="44" customWidth="1"/>
    <col min="32" max="32" width="8.5" style="44" customWidth="1"/>
    <col min="33" max="33" width="9.75" style="44" customWidth="1"/>
    <col min="34" max="34" width="8.875" style="44" customWidth="1"/>
    <col min="35" max="35" width="7.75" style="44" customWidth="1"/>
    <col min="36" max="36" width="7.125" style="44" customWidth="1"/>
    <col min="37" max="37" width="7.25" style="44" customWidth="1"/>
    <col min="38" max="38" width="8.125" style="44" customWidth="1"/>
    <col min="39" max="39" width="7.625" style="44" customWidth="1"/>
    <col min="40" max="16384" width="7.75" style="44"/>
  </cols>
  <sheetData>
    <row r="1" spans="2:30" customFormat="1" ht="14.25" x14ac:dyDescent="0.2">
      <c r="Q1" s="6"/>
    </row>
    <row r="2" spans="2:30" s="41" customFormat="1" ht="20.100000000000001" customHeight="1" x14ac:dyDescent="0.3">
      <c r="B2" s="40" t="s">
        <v>253</v>
      </c>
      <c r="Q2" s="42"/>
    </row>
    <row r="3" spans="2:30" customFormat="1" ht="14.25" x14ac:dyDescent="0.2">
      <c r="Q3" s="6"/>
      <c r="Z3" s="44"/>
      <c r="AA3" s="44"/>
      <c r="AB3" s="44"/>
      <c r="AC3" s="44"/>
      <c r="AD3" s="44"/>
    </row>
    <row r="4" spans="2:30" ht="15.75" thickBot="1" x14ac:dyDescent="0.3">
      <c r="B4" s="1" t="s">
        <v>254</v>
      </c>
      <c r="E4" s="1" t="s">
        <v>255</v>
      </c>
      <c r="F4" s="1"/>
      <c r="G4" s="1"/>
      <c r="H4" s="1"/>
      <c r="I4" s="1"/>
      <c r="J4" s="1"/>
      <c r="N4" s="1" t="s">
        <v>256</v>
      </c>
      <c r="O4" s="1"/>
      <c r="P4" s="1"/>
      <c r="Q4" s="1"/>
      <c r="R4" s="1"/>
      <c r="S4" s="1"/>
    </row>
    <row r="5" spans="2:30" ht="15" x14ac:dyDescent="0.25">
      <c r="B5" s="45"/>
      <c r="C5" s="46"/>
      <c r="E5" s="47"/>
      <c r="F5" s="47"/>
      <c r="G5" s="814"/>
      <c r="H5" s="814"/>
      <c r="I5" s="814"/>
      <c r="J5" s="814"/>
      <c r="K5" s="814"/>
      <c r="L5" s="814"/>
      <c r="N5" s="815"/>
      <c r="O5" s="815"/>
      <c r="P5" s="815"/>
      <c r="Q5" s="815"/>
      <c r="R5" s="815"/>
      <c r="S5" s="815"/>
      <c r="T5" s="815"/>
      <c r="U5" s="815"/>
    </row>
    <row r="6" spans="2:30" ht="15.75" thickBot="1" x14ac:dyDescent="0.3">
      <c r="B6" s="1" t="s">
        <v>257</v>
      </c>
      <c r="C6" s="44"/>
      <c r="D6" s="44" t="s">
        <v>258</v>
      </c>
      <c r="G6" s="797"/>
      <c r="H6" s="797"/>
      <c r="I6" s="797"/>
      <c r="J6" s="797"/>
      <c r="K6" s="797"/>
      <c r="L6" s="797"/>
      <c r="N6" s="816"/>
      <c r="O6" s="816"/>
      <c r="P6" s="816"/>
      <c r="Q6" s="816"/>
      <c r="R6" s="816"/>
      <c r="S6" s="816"/>
      <c r="T6" s="816"/>
      <c r="U6" s="816"/>
    </row>
    <row r="7" spans="2:30" ht="15" x14ac:dyDescent="0.25">
      <c r="B7" s="45" t="s">
        <v>259</v>
      </c>
      <c r="C7" s="48"/>
      <c r="D7" s="44" t="s">
        <v>258</v>
      </c>
      <c r="E7" s="23"/>
      <c r="G7" s="797"/>
      <c r="H7" s="797"/>
      <c r="I7" s="797"/>
      <c r="J7" s="797"/>
      <c r="K7" s="797"/>
      <c r="L7" s="797"/>
      <c r="N7" s="816"/>
      <c r="O7" s="816"/>
      <c r="P7" s="816"/>
      <c r="Q7" s="816"/>
      <c r="R7" s="816"/>
      <c r="S7" s="816"/>
      <c r="T7" s="816"/>
      <c r="U7" s="816"/>
    </row>
    <row r="8" spans="2:30" ht="14.25" x14ac:dyDescent="0.2">
      <c r="B8" s="25" t="s">
        <v>260</v>
      </c>
      <c r="C8" s="39"/>
      <c r="G8" s="797"/>
      <c r="H8" s="797"/>
      <c r="I8" s="797"/>
      <c r="J8" s="797"/>
      <c r="K8" s="797"/>
      <c r="L8" s="797"/>
      <c r="N8" s="816"/>
      <c r="O8" s="816"/>
      <c r="P8" s="816"/>
      <c r="Q8" s="816"/>
      <c r="R8" s="816"/>
      <c r="S8" s="816"/>
      <c r="T8" s="816"/>
      <c r="U8" s="816"/>
    </row>
    <row r="9" spans="2:30" ht="15" customHeight="1" x14ac:dyDescent="0.25">
      <c r="B9" s="25" t="s">
        <v>261</v>
      </c>
      <c r="C9" s="26"/>
      <c r="E9" s="23"/>
      <c r="G9" s="797"/>
      <c r="H9" s="797"/>
      <c r="I9" s="797"/>
      <c r="J9" s="797"/>
      <c r="K9" s="797"/>
      <c r="L9" s="797"/>
      <c r="N9" s="816"/>
      <c r="O9" s="816"/>
      <c r="P9" s="816"/>
      <c r="Q9" s="816"/>
      <c r="R9" s="816"/>
      <c r="S9" s="816"/>
      <c r="T9" s="816"/>
      <c r="U9" s="816"/>
    </row>
    <row r="10" spans="2:30" ht="13.9" customHeight="1" x14ac:dyDescent="0.2">
      <c r="B10" s="25" t="s">
        <v>262</v>
      </c>
      <c r="C10" s="26"/>
      <c r="G10" s="797"/>
      <c r="H10" s="797"/>
      <c r="I10" s="797"/>
      <c r="J10" s="797"/>
      <c r="K10" s="797"/>
      <c r="L10" s="797"/>
      <c r="N10" s="816"/>
      <c r="O10" s="816"/>
      <c r="P10" s="816"/>
      <c r="Q10" s="816"/>
      <c r="R10" s="816"/>
      <c r="S10" s="816"/>
      <c r="T10" s="816"/>
      <c r="U10" s="816"/>
    </row>
    <row r="11" spans="2:30" ht="15" customHeight="1" x14ac:dyDescent="0.25">
      <c r="B11" s="23" t="s">
        <v>263</v>
      </c>
      <c r="C11" s="706"/>
      <c r="E11" s="23"/>
      <c r="G11" s="797"/>
      <c r="H11" s="797"/>
      <c r="I11" s="797"/>
      <c r="J11" s="797"/>
      <c r="K11" s="797"/>
      <c r="L11" s="797"/>
      <c r="N11" s="816"/>
      <c r="O11" s="816"/>
      <c r="P11" s="816"/>
      <c r="Q11" s="816"/>
      <c r="R11" s="816"/>
      <c r="S11" s="816"/>
      <c r="T11" s="816"/>
      <c r="U11" s="816"/>
    </row>
    <row r="12" spans="2:30" ht="13.9" customHeight="1" x14ac:dyDescent="0.2">
      <c r="B12" s="25"/>
      <c r="G12" s="797"/>
      <c r="H12" s="797"/>
      <c r="I12" s="797"/>
      <c r="J12" s="797"/>
      <c r="K12" s="797"/>
      <c r="L12" s="797"/>
      <c r="N12" s="816"/>
      <c r="O12" s="816"/>
      <c r="P12" s="816"/>
      <c r="Q12" s="816"/>
      <c r="R12" s="816"/>
      <c r="S12" s="816"/>
      <c r="T12" s="816"/>
      <c r="U12" s="816"/>
    </row>
    <row r="13" spans="2:30" ht="15" x14ac:dyDescent="0.25">
      <c r="B13" s="1" t="s">
        <v>264</v>
      </c>
      <c r="C13" s="44"/>
      <c r="E13" s="23"/>
      <c r="G13" s="797"/>
      <c r="H13" s="797"/>
      <c r="I13" s="797"/>
      <c r="J13" s="797"/>
      <c r="K13" s="797"/>
      <c r="L13" s="797"/>
      <c r="N13" s="816"/>
      <c r="O13" s="816"/>
      <c r="P13" s="816"/>
      <c r="Q13" s="816"/>
      <c r="R13" s="816"/>
      <c r="S13" s="816"/>
      <c r="T13" s="816"/>
      <c r="U13" s="816"/>
    </row>
    <row r="14" spans="2:30" ht="15" x14ac:dyDescent="0.25">
      <c r="B14" s="47" t="s">
        <v>71</v>
      </c>
      <c r="C14" s="736"/>
      <c r="G14" s="797"/>
      <c r="H14" s="797"/>
      <c r="I14" s="797"/>
      <c r="J14" s="797"/>
      <c r="K14" s="797"/>
      <c r="L14" s="797"/>
      <c r="N14" s="816"/>
      <c r="O14" s="816"/>
      <c r="P14" s="816"/>
      <c r="Q14" s="816"/>
      <c r="R14" s="816"/>
      <c r="S14" s="816"/>
      <c r="T14" s="816"/>
      <c r="U14" s="816"/>
    </row>
    <row r="15" spans="2:30" ht="14.25" x14ac:dyDescent="0.2">
      <c r="B15" s="25" t="s">
        <v>72</v>
      </c>
      <c r="C15" s="735"/>
    </row>
    <row r="16" spans="2:30" ht="15" x14ac:dyDescent="0.25">
      <c r="B16" s="25" t="s">
        <v>73</v>
      </c>
      <c r="C16" s="735"/>
      <c r="E16" s="1" t="s">
        <v>265</v>
      </c>
      <c r="F16" s="1"/>
      <c r="G16" s="1"/>
      <c r="H16" s="1"/>
      <c r="I16" s="1"/>
      <c r="J16" s="1"/>
      <c r="N16" s="1" t="s">
        <v>266</v>
      </c>
      <c r="O16" s="1"/>
      <c r="P16" s="1"/>
      <c r="Q16" s="1"/>
      <c r="R16" s="1"/>
      <c r="S16" s="1"/>
    </row>
    <row r="17" spans="2:22" ht="15" x14ac:dyDescent="0.25">
      <c r="B17" s="25" t="s">
        <v>74</v>
      </c>
      <c r="C17" s="735"/>
      <c r="E17" s="47"/>
      <c r="F17" s="47"/>
      <c r="G17" s="814"/>
      <c r="H17" s="814"/>
      <c r="I17" s="814"/>
      <c r="J17" s="814"/>
      <c r="K17" s="814"/>
      <c r="L17" s="814"/>
      <c r="N17" s="47"/>
      <c r="O17" s="47"/>
      <c r="P17" s="47"/>
      <c r="Q17" s="47"/>
      <c r="R17" s="47"/>
      <c r="S17" s="47"/>
      <c r="T17" s="47"/>
      <c r="U17" s="47"/>
      <c r="V17" s="47"/>
    </row>
    <row r="18" spans="2:22" ht="15" x14ac:dyDescent="0.25">
      <c r="B18" s="23" t="s">
        <v>75</v>
      </c>
      <c r="C18" s="737"/>
      <c r="G18" s="797"/>
      <c r="H18" s="797"/>
      <c r="I18" s="797"/>
      <c r="J18" s="797"/>
      <c r="K18" s="797"/>
      <c r="L18" s="797"/>
      <c r="O18" s="666"/>
      <c r="P18" s="666"/>
      <c r="Q18" s="666"/>
      <c r="R18" s="666"/>
      <c r="S18" s="666"/>
      <c r="T18" s="666"/>
      <c r="U18" s="666"/>
      <c r="V18" s="666"/>
    </row>
    <row r="19" spans="2:22" ht="15" x14ac:dyDescent="0.25">
      <c r="B19" s="25" t="s">
        <v>76</v>
      </c>
      <c r="C19" s="44"/>
      <c r="E19" s="23"/>
      <c r="G19" s="797"/>
      <c r="H19" s="797"/>
      <c r="I19" s="797"/>
      <c r="J19" s="797"/>
      <c r="K19" s="797"/>
      <c r="L19" s="797"/>
      <c r="N19" s="23"/>
      <c r="P19" s="666"/>
      <c r="Q19" s="666"/>
      <c r="R19" s="666"/>
      <c r="S19" s="666"/>
      <c r="T19" s="666"/>
      <c r="U19" s="666"/>
      <c r="V19" s="666"/>
    </row>
    <row r="20" spans="2:22" ht="14.25" x14ac:dyDescent="0.2">
      <c r="B20" s="25" t="s">
        <v>77</v>
      </c>
      <c r="C20" s="44"/>
      <c r="G20" s="797"/>
      <c r="H20" s="797"/>
      <c r="I20" s="797"/>
      <c r="J20" s="797"/>
      <c r="K20" s="797"/>
      <c r="L20" s="797"/>
      <c r="P20" s="666"/>
      <c r="Q20" s="666"/>
      <c r="R20" s="666"/>
      <c r="S20" s="666"/>
      <c r="T20" s="666"/>
      <c r="U20" s="666"/>
    </row>
    <row r="21" spans="2:22" ht="15" x14ac:dyDescent="0.25">
      <c r="B21" s="25" t="s">
        <v>78</v>
      </c>
      <c r="C21" s="44"/>
      <c r="E21" s="23"/>
      <c r="G21" s="797"/>
      <c r="H21" s="797"/>
      <c r="I21" s="797"/>
      <c r="J21" s="797"/>
      <c r="K21" s="797"/>
      <c r="L21" s="797"/>
      <c r="N21" s="23"/>
      <c r="P21" s="797"/>
      <c r="Q21" s="797"/>
      <c r="R21" s="797"/>
      <c r="S21" s="797"/>
      <c r="T21" s="797"/>
      <c r="U21" s="797"/>
    </row>
    <row r="22" spans="2:22" ht="15" x14ac:dyDescent="0.25">
      <c r="B22" s="23" t="s">
        <v>79</v>
      </c>
      <c r="C22" s="49"/>
      <c r="G22" s="797"/>
      <c r="H22" s="797"/>
      <c r="I22" s="797"/>
      <c r="J22" s="797"/>
      <c r="K22" s="797"/>
      <c r="L22" s="797"/>
      <c r="P22" s="797"/>
      <c r="Q22" s="797"/>
      <c r="R22" s="797"/>
      <c r="S22" s="797"/>
      <c r="T22" s="797"/>
      <c r="U22" s="797"/>
    </row>
    <row r="23" spans="2:22" ht="15" x14ac:dyDescent="0.25">
      <c r="B23" s="23" t="s">
        <v>80</v>
      </c>
      <c r="C23" s="50"/>
      <c r="E23" s="23"/>
      <c r="G23" s="797"/>
      <c r="H23" s="797"/>
      <c r="I23" s="797"/>
      <c r="J23" s="797"/>
      <c r="K23" s="797"/>
      <c r="L23" s="797"/>
      <c r="N23" s="23"/>
      <c r="P23" s="797"/>
      <c r="Q23" s="797"/>
      <c r="R23" s="797"/>
      <c r="S23" s="797"/>
      <c r="T23" s="797"/>
      <c r="U23" s="797"/>
    </row>
    <row r="24" spans="2:22" ht="14.25" x14ac:dyDescent="0.2">
      <c r="B24" s="25" t="s">
        <v>81</v>
      </c>
      <c r="C24" s="44"/>
    </row>
    <row r="25" spans="2:22" ht="14.25" x14ac:dyDescent="0.2">
      <c r="B25" s="25" t="s">
        <v>82</v>
      </c>
    </row>
    <row r="26" spans="2:22" ht="15" x14ac:dyDescent="0.25">
      <c r="B26" s="23" t="s">
        <v>83</v>
      </c>
      <c r="C26" s="759"/>
    </row>
    <row r="29" spans="2:22" ht="15.75" thickBot="1" x14ac:dyDescent="0.3">
      <c r="B29" s="1" t="s">
        <v>267</v>
      </c>
    </row>
    <row r="30" spans="2:22" ht="14.45" customHeight="1" x14ac:dyDescent="0.2">
      <c r="B30" s="812"/>
      <c r="C30" s="812"/>
    </row>
    <row r="31" spans="2:22" x14ac:dyDescent="0.2">
      <c r="B31" s="813"/>
      <c r="C31" s="813"/>
    </row>
    <row r="32" spans="2:22" x14ac:dyDescent="0.2">
      <c r="B32" s="813"/>
      <c r="C32" s="813"/>
    </row>
    <row r="33" spans="2:22" ht="15.75" x14ac:dyDescent="0.25">
      <c r="B33" s="813"/>
      <c r="C33" s="813"/>
      <c r="E33" s="52" t="s">
        <v>268</v>
      </c>
      <c r="F33" s="52"/>
      <c r="G33" s="52"/>
      <c r="H33" s="52"/>
      <c r="I33" s="52"/>
      <c r="J33" s="52"/>
      <c r="K33" s="52"/>
      <c r="L33" s="52"/>
      <c r="M33" s="52"/>
      <c r="N33" s="52"/>
      <c r="O33" s="52"/>
      <c r="P33" s="52"/>
      <c r="Q33" s="52"/>
      <c r="R33" s="52"/>
      <c r="S33" s="52"/>
      <c r="T33" s="52"/>
      <c r="U33" s="52"/>
      <c r="V33" s="52"/>
    </row>
    <row r="34" spans="2:22" customFormat="1" ht="3.95" customHeight="1" x14ac:dyDescent="0.2">
      <c r="B34" s="813"/>
      <c r="C34" s="813"/>
      <c r="D34" s="44"/>
      <c r="E34" s="53"/>
      <c r="F34" s="53"/>
      <c r="G34" s="53"/>
      <c r="H34" s="53"/>
      <c r="I34" s="53"/>
      <c r="J34" s="53"/>
      <c r="K34" s="53"/>
      <c r="L34" s="53"/>
      <c r="M34" s="53"/>
      <c r="N34" s="53"/>
      <c r="O34" s="53"/>
      <c r="P34" s="53"/>
      <c r="Q34" s="53"/>
      <c r="R34" s="53"/>
      <c r="S34" s="53"/>
      <c r="T34" s="53"/>
      <c r="U34" s="53"/>
      <c r="V34" s="53"/>
    </row>
    <row r="35" spans="2:22" x14ac:dyDescent="0.2">
      <c r="B35" s="813"/>
      <c r="C35" s="813"/>
      <c r="E35" s="54"/>
      <c r="F35" s="54"/>
      <c r="G35" s="55" t="s">
        <v>257</v>
      </c>
      <c r="H35" s="55" t="s">
        <v>269</v>
      </c>
      <c r="I35" s="55"/>
      <c r="J35" s="55"/>
      <c r="K35" s="55" t="s">
        <v>270</v>
      </c>
      <c r="L35" s="55"/>
      <c r="M35" s="55"/>
      <c r="N35" s="55"/>
      <c r="O35" s="55" t="s">
        <v>271</v>
      </c>
      <c r="P35" s="54"/>
      <c r="Q35" s="54"/>
      <c r="R35" s="54"/>
      <c r="S35" s="54"/>
      <c r="T35" s="54"/>
      <c r="U35" s="54"/>
      <c r="V35" s="54"/>
    </row>
    <row r="36" spans="2:22" ht="20.25" customHeight="1" x14ac:dyDescent="0.25">
      <c r="B36" s="813"/>
      <c r="C36" s="813"/>
      <c r="E36" s="23" t="s">
        <v>272</v>
      </c>
      <c r="G36" s="807"/>
      <c r="H36" s="808"/>
      <c r="I36" s="808"/>
      <c r="J36" s="808"/>
      <c r="K36" s="808"/>
      <c r="L36" s="808"/>
      <c r="M36" s="808"/>
      <c r="N36" s="808"/>
      <c r="O36" s="807"/>
      <c r="P36" s="807"/>
      <c r="Q36" s="807"/>
      <c r="R36" s="807"/>
      <c r="S36" s="807"/>
      <c r="T36" s="807"/>
      <c r="U36" s="807"/>
      <c r="V36" s="807"/>
    </row>
    <row r="37" spans="2:22" ht="20.25" customHeight="1" x14ac:dyDescent="0.2">
      <c r="B37" s="813"/>
      <c r="C37" s="813"/>
      <c r="G37" s="807"/>
      <c r="H37" s="808"/>
      <c r="I37" s="808"/>
      <c r="J37" s="808"/>
      <c r="K37" s="808"/>
      <c r="L37" s="808"/>
      <c r="M37" s="808"/>
      <c r="N37" s="808"/>
      <c r="O37" s="807"/>
      <c r="P37" s="807"/>
      <c r="Q37" s="807"/>
      <c r="R37" s="807"/>
      <c r="S37" s="807"/>
      <c r="T37" s="807"/>
      <c r="U37" s="807"/>
      <c r="V37" s="807"/>
    </row>
    <row r="38" spans="2:22" ht="22.5" customHeight="1" x14ac:dyDescent="0.25">
      <c r="B38" s="813"/>
      <c r="C38" s="813"/>
      <c r="E38" s="23" t="s">
        <v>273</v>
      </c>
      <c r="G38" s="807"/>
      <c r="H38" s="808"/>
      <c r="I38" s="808"/>
      <c r="J38" s="808"/>
      <c r="K38" s="808"/>
      <c r="L38" s="808"/>
      <c r="M38" s="808"/>
      <c r="N38" s="808"/>
      <c r="O38" s="807"/>
      <c r="P38" s="807"/>
      <c r="Q38" s="807"/>
      <c r="R38" s="807"/>
      <c r="S38" s="807"/>
      <c r="T38" s="807"/>
      <c r="U38" s="807"/>
      <c r="V38" s="807"/>
    </row>
    <row r="39" spans="2:22" ht="19.5" customHeight="1" x14ac:dyDescent="0.2">
      <c r="B39" s="813"/>
      <c r="C39" s="813"/>
      <c r="G39" s="807"/>
      <c r="H39" s="808"/>
      <c r="I39" s="808"/>
      <c r="J39" s="808"/>
      <c r="K39" s="808"/>
      <c r="L39" s="808"/>
      <c r="M39" s="808"/>
      <c r="N39" s="808"/>
      <c r="O39" s="807"/>
      <c r="P39" s="807"/>
      <c r="Q39" s="807"/>
      <c r="R39" s="807"/>
      <c r="S39" s="807"/>
      <c r="T39" s="807"/>
      <c r="U39" s="807"/>
      <c r="V39" s="807"/>
    </row>
    <row r="40" spans="2:22" ht="15" x14ac:dyDescent="0.25">
      <c r="B40" s="813"/>
      <c r="C40" s="813"/>
      <c r="E40" s="23" t="s">
        <v>274</v>
      </c>
      <c r="G40" s="807"/>
      <c r="H40" s="808"/>
      <c r="I40" s="808"/>
      <c r="J40" s="808"/>
      <c r="K40" s="808"/>
      <c r="L40" s="808"/>
      <c r="M40" s="808"/>
      <c r="N40" s="808"/>
      <c r="O40" s="807"/>
      <c r="P40" s="807"/>
      <c r="Q40" s="807"/>
      <c r="R40" s="807"/>
      <c r="S40" s="807"/>
      <c r="T40" s="807"/>
      <c r="U40" s="807"/>
      <c r="V40" s="807"/>
    </row>
    <row r="41" spans="2:22" x14ac:dyDescent="0.2">
      <c r="B41" s="813"/>
      <c r="C41" s="813"/>
      <c r="G41" s="807"/>
      <c r="H41" s="808"/>
      <c r="I41" s="808"/>
      <c r="J41" s="808"/>
      <c r="K41" s="808"/>
      <c r="L41" s="808"/>
      <c r="M41" s="808"/>
      <c r="N41" s="808"/>
      <c r="O41" s="807"/>
      <c r="P41" s="807"/>
      <c r="Q41" s="807"/>
      <c r="R41" s="807"/>
      <c r="S41" s="807"/>
      <c r="T41" s="807"/>
      <c r="U41" s="807"/>
      <c r="V41" s="807"/>
    </row>
    <row r="42" spans="2:22" ht="15" x14ac:dyDescent="0.25">
      <c r="B42" s="813"/>
      <c r="C42" s="813"/>
      <c r="E42" s="23" t="s">
        <v>275</v>
      </c>
      <c r="G42" s="807"/>
      <c r="H42" s="808"/>
      <c r="I42" s="808"/>
      <c r="J42" s="808"/>
      <c r="K42" s="808"/>
      <c r="L42" s="808"/>
      <c r="M42" s="808"/>
      <c r="N42" s="808"/>
      <c r="O42" s="807"/>
      <c r="P42" s="807"/>
      <c r="Q42" s="807"/>
      <c r="R42" s="807"/>
      <c r="S42" s="807"/>
      <c r="T42" s="807"/>
      <c r="U42" s="807"/>
      <c r="V42" s="807"/>
    </row>
    <row r="43" spans="2:22" x14ac:dyDescent="0.2">
      <c r="B43" s="813"/>
      <c r="C43" s="813"/>
      <c r="G43" s="807"/>
      <c r="H43" s="808"/>
      <c r="I43" s="808"/>
      <c r="J43" s="808"/>
      <c r="K43" s="808"/>
      <c r="L43" s="808"/>
      <c r="M43" s="808"/>
      <c r="N43" s="808"/>
      <c r="O43" s="807"/>
      <c r="P43" s="807"/>
      <c r="Q43" s="807"/>
      <c r="R43" s="807"/>
      <c r="S43" s="807"/>
      <c r="T43" s="807"/>
      <c r="U43" s="807"/>
      <c r="V43" s="807"/>
    </row>
    <row r="44" spans="2:22" ht="15" x14ac:dyDescent="0.25">
      <c r="B44" s="813"/>
      <c r="C44" s="813"/>
      <c r="E44" s="23" t="s">
        <v>276</v>
      </c>
      <c r="G44" s="807"/>
      <c r="H44" s="808"/>
      <c r="I44" s="808"/>
      <c r="J44" s="808"/>
      <c r="K44" s="808"/>
      <c r="L44" s="808"/>
      <c r="M44" s="808"/>
      <c r="N44" s="808"/>
      <c r="O44" s="808"/>
      <c r="P44" s="808"/>
      <c r="Q44" s="808"/>
      <c r="R44" s="808"/>
      <c r="S44" s="808"/>
      <c r="T44" s="808"/>
      <c r="U44" s="808"/>
      <c r="V44" s="808"/>
    </row>
    <row r="45" spans="2:22" x14ac:dyDescent="0.2">
      <c r="B45" s="813"/>
      <c r="C45" s="813"/>
      <c r="G45" s="807"/>
      <c r="H45" s="808"/>
      <c r="I45" s="808"/>
      <c r="J45" s="808"/>
      <c r="K45" s="808"/>
      <c r="L45" s="808"/>
      <c r="M45" s="808"/>
      <c r="N45" s="808"/>
      <c r="O45" s="808"/>
      <c r="P45" s="808"/>
      <c r="Q45" s="808"/>
      <c r="R45" s="808"/>
      <c r="S45" s="808"/>
      <c r="T45" s="808"/>
      <c r="U45" s="808"/>
      <c r="V45" s="808"/>
    </row>
    <row r="46" spans="2:22" ht="15.75" x14ac:dyDescent="0.25">
      <c r="E46" s="52" t="s">
        <v>277</v>
      </c>
      <c r="F46" s="52"/>
      <c r="G46" s="52"/>
      <c r="H46" s="52"/>
      <c r="I46" s="52"/>
      <c r="J46" s="52"/>
      <c r="K46" s="52"/>
      <c r="L46" s="52"/>
      <c r="M46" s="52"/>
      <c r="N46" s="52"/>
      <c r="O46" s="52"/>
      <c r="P46" s="52"/>
      <c r="Q46" s="52"/>
      <c r="R46" s="52"/>
      <c r="S46" s="52"/>
      <c r="T46" s="52"/>
      <c r="U46" s="52"/>
      <c r="V46" s="52"/>
    </row>
    <row r="47" spans="2:22" customFormat="1" ht="3.95" customHeight="1" x14ac:dyDescent="0.2">
      <c r="B47" s="44"/>
      <c r="C47" s="43"/>
      <c r="D47" s="44"/>
      <c r="E47" s="53"/>
      <c r="F47" s="53"/>
      <c r="G47" s="53"/>
      <c r="H47" s="53"/>
      <c r="I47" s="53"/>
      <c r="J47" s="53"/>
      <c r="K47" s="53"/>
      <c r="L47" s="53"/>
      <c r="M47" s="53"/>
      <c r="N47" s="53"/>
      <c r="O47" s="53"/>
      <c r="P47" s="53"/>
      <c r="Q47" s="53"/>
      <c r="R47" s="53"/>
      <c r="S47" s="53"/>
      <c r="T47" s="53"/>
      <c r="U47" s="53"/>
      <c r="V47" s="53"/>
    </row>
    <row r="48" spans="2:22" ht="15.75" thickBot="1" x14ac:dyDescent="0.3">
      <c r="B48" s="1" t="s">
        <v>278</v>
      </c>
      <c r="C48" s="44"/>
      <c r="E48" s="54"/>
      <c r="F48" s="54"/>
      <c r="G48" s="55" t="s">
        <v>257</v>
      </c>
      <c r="H48" s="55" t="s">
        <v>269</v>
      </c>
      <c r="I48" s="55"/>
      <c r="J48" s="55"/>
      <c r="K48" s="55" t="s">
        <v>270</v>
      </c>
      <c r="L48" s="55"/>
      <c r="M48" s="55"/>
      <c r="N48" s="55"/>
      <c r="O48" s="55" t="s">
        <v>271</v>
      </c>
      <c r="P48" s="54"/>
      <c r="Q48" s="54"/>
      <c r="R48" s="54"/>
      <c r="S48" s="54"/>
      <c r="T48" s="54"/>
      <c r="U48" s="54"/>
      <c r="V48" s="54"/>
    </row>
    <row r="49" spans="2:22" ht="15" x14ac:dyDescent="0.25">
      <c r="B49" s="45" t="s">
        <v>279</v>
      </c>
      <c r="C49" s="46"/>
      <c r="E49" s="23" t="s">
        <v>280</v>
      </c>
      <c r="G49" s="810"/>
      <c r="H49" s="811"/>
      <c r="I49" s="811"/>
      <c r="J49" s="811"/>
      <c r="K49" s="811"/>
      <c r="L49" s="811"/>
      <c r="M49" s="811"/>
      <c r="N49" s="811"/>
      <c r="O49" s="811"/>
      <c r="P49" s="811"/>
      <c r="Q49" s="811"/>
      <c r="R49" s="811"/>
      <c r="S49" s="811"/>
      <c r="T49" s="811"/>
      <c r="U49" s="811"/>
      <c r="V49" s="811"/>
    </row>
    <row r="50" spans="2:22" ht="14.25" x14ac:dyDescent="0.2">
      <c r="B50" s="25" t="s">
        <v>281</v>
      </c>
      <c r="C50" s="61"/>
      <c r="D50" s="44" t="s">
        <v>258</v>
      </c>
      <c r="G50" s="807"/>
      <c r="H50" s="808"/>
      <c r="I50" s="808"/>
      <c r="J50" s="808"/>
      <c r="K50" s="808"/>
      <c r="L50" s="808"/>
      <c r="M50" s="808"/>
      <c r="N50" s="808"/>
      <c r="O50" s="808"/>
      <c r="P50" s="808"/>
      <c r="Q50" s="808"/>
      <c r="R50" s="808"/>
      <c r="S50" s="808"/>
      <c r="T50" s="808"/>
      <c r="U50" s="808"/>
      <c r="V50" s="808"/>
    </row>
    <row r="51" spans="2:22" ht="15" x14ac:dyDescent="0.25">
      <c r="B51" s="25" t="s">
        <v>282</v>
      </c>
      <c r="C51" s="61"/>
      <c r="D51" s="44" t="s">
        <v>258</v>
      </c>
      <c r="E51" s="23" t="s">
        <v>283</v>
      </c>
      <c r="G51" s="807"/>
      <c r="H51" s="808"/>
      <c r="I51" s="808"/>
      <c r="J51" s="808"/>
      <c r="K51" s="808"/>
      <c r="L51" s="808"/>
      <c r="M51" s="808"/>
      <c r="N51" s="808"/>
      <c r="O51" s="808"/>
      <c r="P51" s="808"/>
      <c r="Q51" s="808"/>
      <c r="R51" s="808"/>
      <c r="S51" s="808"/>
      <c r="T51" s="808"/>
      <c r="U51" s="808"/>
      <c r="V51" s="808"/>
    </row>
    <row r="52" spans="2:22" x14ac:dyDescent="0.2">
      <c r="G52" s="807"/>
      <c r="H52" s="808"/>
      <c r="I52" s="808"/>
      <c r="J52" s="808"/>
      <c r="K52" s="808"/>
      <c r="L52" s="808"/>
      <c r="M52" s="808"/>
      <c r="N52" s="808"/>
      <c r="O52" s="808"/>
      <c r="P52" s="808"/>
      <c r="Q52" s="808"/>
      <c r="R52" s="808"/>
      <c r="S52" s="808"/>
      <c r="T52" s="808"/>
      <c r="U52" s="808"/>
      <c r="V52" s="808"/>
    </row>
    <row r="53" spans="2:22" ht="15" x14ac:dyDescent="0.25">
      <c r="E53" s="23" t="s">
        <v>284</v>
      </c>
      <c r="G53" s="807"/>
      <c r="H53" s="808"/>
      <c r="I53" s="808"/>
      <c r="J53" s="808"/>
      <c r="K53" s="808"/>
      <c r="L53" s="808"/>
      <c r="M53" s="808"/>
      <c r="N53" s="808"/>
      <c r="O53" s="808"/>
      <c r="P53" s="808"/>
      <c r="Q53" s="808"/>
      <c r="R53" s="808"/>
      <c r="S53" s="808"/>
      <c r="T53" s="808"/>
      <c r="U53" s="808"/>
      <c r="V53" s="808"/>
    </row>
    <row r="54" spans="2:22" x14ac:dyDescent="0.2">
      <c r="G54" s="807"/>
      <c r="H54" s="808"/>
      <c r="I54" s="808"/>
      <c r="J54" s="808"/>
      <c r="K54" s="808"/>
      <c r="L54" s="808"/>
      <c r="M54" s="808"/>
      <c r="N54" s="808"/>
      <c r="O54" s="808"/>
      <c r="P54" s="808"/>
      <c r="Q54" s="808"/>
      <c r="R54" s="808"/>
      <c r="S54" s="808"/>
      <c r="T54" s="808"/>
      <c r="U54" s="808"/>
      <c r="V54" s="808"/>
    </row>
    <row r="55" spans="2:22" ht="15" x14ac:dyDescent="0.25">
      <c r="E55" s="23" t="s">
        <v>285</v>
      </c>
      <c r="G55" s="807"/>
      <c r="H55" s="808"/>
      <c r="I55" s="808"/>
      <c r="J55" s="808"/>
      <c r="K55" s="808"/>
      <c r="L55" s="808"/>
      <c r="M55" s="808"/>
      <c r="N55" s="808"/>
      <c r="O55" s="808"/>
      <c r="P55" s="808"/>
      <c r="Q55" s="808"/>
      <c r="R55" s="808"/>
      <c r="S55" s="808"/>
      <c r="T55" s="808"/>
      <c r="U55" s="808"/>
      <c r="V55" s="808"/>
    </row>
    <row r="56" spans="2:22" x14ac:dyDescent="0.2">
      <c r="G56" s="807"/>
      <c r="H56" s="808"/>
      <c r="I56" s="808"/>
      <c r="J56" s="808"/>
      <c r="K56" s="808"/>
      <c r="L56" s="808"/>
      <c r="M56" s="808"/>
      <c r="N56" s="808"/>
      <c r="O56" s="808"/>
      <c r="P56" s="808"/>
      <c r="Q56" s="808"/>
      <c r="R56" s="808"/>
      <c r="S56" s="808"/>
      <c r="T56" s="808"/>
      <c r="U56" s="808"/>
      <c r="V56" s="808"/>
    </row>
    <row r="57" spans="2:22" ht="32.25" customHeight="1" x14ac:dyDescent="0.25">
      <c r="E57" s="23" t="s">
        <v>286</v>
      </c>
      <c r="G57" s="807"/>
      <c r="H57" s="808"/>
      <c r="I57" s="808"/>
      <c r="J57" s="808"/>
      <c r="K57" s="808"/>
      <c r="L57" s="808"/>
      <c r="M57" s="808"/>
      <c r="N57" s="808"/>
      <c r="O57" s="808"/>
      <c r="P57" s="808"/>
      <c r="Q57" s="808"/>
      <c r="R57" s="808"/>
      <c r="S57" s="808"/>
      <c r="T57" s="808"/>
      <c r="U57" s="808"/>
      <c r="V57" s="808"/>
    </row>
    <row r="58" spans="2:22" x14ac:dyDescent="0.2">
      <c r="G58" s="807"/>
      <c r="H58" s="808"/>
      <c r="I58" s="808"/>
      <c r="J58" s="808"/>
      <c r="K58" s="808"/>
      <c r="L58" s="808"/>
      <c r="M58" s="808"/>
      <c r="N58" s="808"/>
      <c r="O58" s="808"/>
      <c r="P58" s="808"/>
      <c r="Q58" s="808"/>
      <c r="R58" s="808"/>
      <c r="S58" s="808"/>
      <c r="T58" s="808"/>
      <c r="U58" s="808"/>
      <c r="V58" s="808"/>
    </row>
    <row r="59" spans="2:22" ht="20.25" customHeight="1" x14ac:dyDescent="0.25">
      <c r="E59" s="23" t="s">
        <v>287</v>
      </c>
      <c r="G59" s="807"/>
      <c r="H59" s="808"/>
      <c r="I59" s="808"/>
      <c r="J59" s="808"/>
      <c r="K59" s="808"/>
      <c r="L59" s="808"/>
      <c r="M59" s="808"/>
      <c r="N59" s="808"/>
      <c r="O59" s="808"/>
      <c r="P59" s="808"/>
      <c r="Q59" s="808"/>
      <c r="R59" s="808"/>
      <c r="S59" s="808"/>
      <c r="T59" s="808"/>
      <c r="U59" s="808"/>
      <c r="V59" s="808"/>
    </row>
    <row r="60" spans="2:22" ht="20.25" customHeight="1" x14ac:dyDescent="0.2">
      <c r="G60" s="807"/>
      <c r="H60" s="808"/>
      <c r="I60" s="808"/>
      <c r="J60" s="808"/>
      <c r="K60" s="808"/>
      <c r="L60" s="808"/>
      <c r="M60" s="808"/>
      <c r="N60" s="808"/>
      <c r="O60" s="808"/>
      <c r="P60" s="808"/>
      <c r="Q60" s="808"/>
      <c r="R60" s="808"/>
      <c r="S60" s="808"/>
      <c r="T60" s="808"/>
      <c r="U60" s="808"/>
      <c r="V60" s="808"/>
    </row>
    <row r="61" spans="2:22" ht="15" customHeight="1" x14ac:dyDescent="0.25">
      <c r="E61" s="23" t="s">
        <v>288</v>
      </c>
      <c r="G61" s="807"/>
      <c r="H61" s="808"/>
      <c r="I61" s="808"/>
      <c r="J61" s="808"/>
      <c r="K61" s="808"/>
      <c r="L61" s="808"/>
      <c r="M61" s="808"/>
      <c r="N61" s="808"/>
      <c r="O61" s="807"/>
      <c r="P61" s="807"/>
      <c r="Q61" s="807"/>
      <c r="R61" s="807"/>
      <c r="S61" s="807"/>
      <c r="T61" s="807"/>
      <c r="U61" s="807"/>
      <c r="V61" s="807"/>
    </row>
    <row r="62" spans="2:22" x14ac:dyDescent="0.2">
      <c r="G62" s="807"/>
      <c r="H62" s="808"/>
      <c r="I62" s="808"/>
      <c r="J62" s="808"/>
      <c r="K62" s="808"/>
      <c r="L62" s="808"/>
      <c r="M62" s="808"/>
      <c r="N62" s="808"/>
      <c r="O62" s="807"/>
      <c r="P62" s="807"/>
      <c r="Q62" s="807"/>
      <c r="R62" s="807"/>
      <c r="S62" s="807"/>
      <c r="T62" s="807"/>
      <c r="U62" s="807"/>
      <c r="V62" s="807"/>
    </row>
    <row r="63" spans="2:22" ht="27.75" customHeight="1" x14ac:dyDescent="0.25">
      <c r="E63" s="23" t="s">
        <v>289</v>
      </c>
      <c r="G63" s="807"/>
      <c r="H63" s="808"/>
      <c r="I63" s="808"/>
      <c r="J63" s="808"/>
      <c r="K63" s="808"/>
      <c r="L63" s="808"/>
      <c r="M63" s="808"/>
      <c r="N63" s="808"/>
      <c r="O63" s="808"/>
      <c r="P63" s="808"/>
      <c r="Q63" s="808"/>
      <c r="R63" s="808"/>
      <c r="S63" s="808"/>
      <c r="T63" s="808"/>
      <c r="U63" s="808"/>
      <c r="V63" s="808"/>
    </row>
    <row r="64" spans="2:22" ht="27.75" customHeight="1" x14ac:dyDescent="0.2">
      <c r="G64" s="807"/>
      <c r="H64" s="808"/>
      <c r="I64" s="808"/>
      <c r="J64" s="808"/>
      <c r="K64" s="808"/>
      <c r="L64" s="808"/>
      <c r="M64" s="808"/>
      <c r="N64" s="808"/>
      <c r="O64" s="808"/>
      <c r="P64" s="808"/>
      <c r="Q64" s="808"/>
      <c r="R64" s="808"/>
      <c r="S64" s="808"/>
      <c r="T64" s="808"/>
      <c r="U64" s="808"/>
      <c r="V64" s="808"/>
    </row>
    <row r="65" spans="2:22" ht="24" customHeight="1" x14ac:dyDescent="0.25">
      <c r="E65" s="23" t="s">
        <v>290</v>
      </c>
      <c r="G65" s="807"/>
      <c r="H65" s="808"/>
      <c r="I65" s="808"/>
      <c r="J65" s="808"/>
      <c r="K65" s="808"/>
      <c r="L65" s="808"/>
      <c r="M65" s="808"/>
      <c r="N65" s="808"/>
      <c r="O65" s="808"/>
      <c r="P65" s="808"/>
      <c r="Q65" s="808"/>
      <c r="R65" s="808"/>
      <c r="S65" s="808"/>
      <c r="T65" s="808"/>
      <c r="U65" s="808"/>
      <c r="V65" s="808"/>
    </row>
    <row r="66" spans="2:22" ht="32.25" customHeight="1" x14ac:dyDescent="0.2">
      <c r="G66" s="807"/>
      <c r="H66" s="808"/>
      <c r="I66" s="808"/>
      <c r="J66" s="808"/>
      <c r="K66" s="808"/>
      <c r="L66" s="808"/>
      <c r="M66" s="808"/>
      <c r="N66" s="808"/>
      <c r="O66" s="808"/>
      <c r="P66" s="808"/>
      <c r="Q66" s="808"/>
      <c r="R66" s="808"/>
      <c r="S66" s="808"/>
      <c r="T66" s="808"/>
      <c r="U66" s="808"/>
      <c r="V66" s="808"/>
    </row>
    <row r="67" spans="2:22" ht="15" x14ac:dyDescent="0.25">
      <c r="E67" s="23" t="s">
        <v>291</v>
      </c>
      <c r="G67" s="807"/>
      <c r="H67" s="808"/>
      <c r="I67" s="808"/>
      <c r="J67" s="808"/>
      <c r="K67" s="808"/>
      <c r="L67" s="808"/>
      <c r="M67" s="808"/>
      <c r="N67" s="808"/>
      <c r="O67" s="808"/>
      <c r="P67" s="808"/>
      <c r="Q67" s="808"/>
      <c r="R67" s="808"/>
      <c r="S67" s="808"/>
      <c r="T67" s="808"/>
      <c r="U67" s="808"/>
      <c r="V67" s="808"/>
    </row>
    <row r="68" spans="2:22" ht="15" x14ac:dyDescent="0.25">
      <c r="E68" s="23"/>
      <c r="G68" s="807"/>
      <c r="H68" s="808"/>
      <c r="I68" s="808"/>
      <c r="J68" s="808"/>
      <c r="K68" s="808"/>
      <c r="L68" s="808"/>
      <c r="M68" s="808"/>
      <c r="N68" s="808"/>
      <c r="O68" s="808"/>
      <c r="P68" s="808"/>
      <c r="Q68" s="808"/>
      <c r="R68" s="808"/>
      <c r="S68" s="808"/>
      <c r="T68" s="808"/>
      <c r="U68" s="808"/>
      <c r="V68" s="808"/>
    </row>
    <row r="69" spans="2:22" ht="33" customHeight="1" x14ac:dyDescent="0.25">
      <c r="E69" s="23" t="s">
        <v>292</v>
      </c>
      <c r="G69" s="807"/>
      <c r="H69" s="808"/>
      <c r="I69" s="808"/>
      <c r="J69" s="808"/>
      <c r="K69" s="808"/>
      <c r="L69" s="808"/>
      <c r="M69" s="808"/>
      <c r="N69" s="808"/>
      <c r="O69" s="808"/>
      <c r="P69" s="808"/>
      <c r="Q69" s="808"/>
      <c r="R69" s="808"/>
      <c r="S69" s="808"/>
      <c r="T69" s="808"/>
      <c r="U69" s="808"/>
      <c r="V69" s="808"/>
    </row>
    <row r="70" spans="2:22" x14ac:dyDescent="0.2">
      <c r="G70" s="807"/>
      <c r="H70" s="808"/>
      <c r="I70" s="808"/>
      <c r="J70" s="808"/>
      <c r="K70" s="808"/>
      <c r="L70" s="808"/>
      <c r="M70" s="808"/>
      <c r="N70" s="808"/>
      <c r="O70" s="808"/>
      <c r="P70" s="808"/>
      <c r="Q70" s="808"/>
      <c r="R70" s="808"/>
      <c r="S70" s="808"/>
      <c r="T70" s="808"/>
      <c r="U70" s="808"/>
      <c r="V70" s="808"/>
    </row>
    <row r="71" spans="2:22" ht="15.75" x14ac:dyDescent="0.25">
      <c r="E71" s="52" t="s">
        <v>293</v>
      </c>
      <c r="F71" s="52"/>
      <c r="G71" s="52"/>
      <c r="H71" s="52"/>
      <c r="I71" s="52"/>
      <c r="J71" s="52"/>
      <c r="K71" s="52"/>
      <c r="L71" s="52"/>
      <c r="M71" s="52"/>
      <c r="N71" s="52"/>
      <c r="O71" s="52"/>
      <c r="P71" s="52"/>
      <c r="Q71" s="52"/>
      <c r="R71" s="52"/>
      <c r="S71" s="52"/>
      <c r="T71" s="52"/>
      <c r="U71" s="52"/>
      <c r="V71" s="52"/>
    </row>
    <row r="72" spans="2:22" customFormat="1" ht="3.95" customHeight="1" x14ac:dyDescent="0.2">
      <c r="B72" s="44"/>
      <c r="C72" s="43"/>
      <c r="D72" s="44"/>
      <c r="E72" s="53"/>
      <c r="F72" s="53"/>
      <c r="G72" s="53"/>
      <c r="H72" s="53"/>
      <c r="I72" s="53"/>
      <c r="J72" s="53"/>
      <c r="K72" s="53"/>
      <c r="L72" s="53"/>
      <c r="M72" s="53"/>
      <c r="N72" s="53"/>
      <c r="O72" s="53"/>
      <c r="P72" s="53"/>
      <c r="Q72" s="53"/>
      <c r="R72" s="53"/>
      <c r="S72" s="53"/>
      <c r="T72" s="53"/>
      <c r="U72" s="53"/>
      <c r="V72" s="53"/>
    </row>
    <row r="73" spans="2:22" ht="13.5" thickBot="1" x14ac:dyDescent="0.25">
      <c r="E73" s="54"/>
      <c r="F73" s="54"/>
      <c r="G73" s="55" t="s">
        <v>257</v>
      </c>
      <c r="H73" s="55" t="s">
        <v>269</v>
      </c>
      <c r="I73" s="55"/>
      <c r="J73" s="55"/>
      <c r="K73" s="55" t="s">
        <v>270</v>
      </c>
      <c r="L73" s="55"/>
      <c r="M73" s="55"/>
      <c r="N73" s="55"/>
      <c r="O73" s="55" t="s">
        <v>271</v>
      </c>
      <c r="P73" s="54"/>
      <c r="Q73" s="54"/>
      <c r="R73" s="54"/>
      <c r="S73" s="54"/>
      <c r="T73" s="54"/>
      <c r="U73" s="54"/>
      <c r="V73" s="54"/>
    </row>
    <row r="74" spans="2:22" ht="25.5" customHeight="1" x14ac:dyDescent="0.25">
      <c r="E74" s="23" t="s">
        <v>294</v>
      </c>
      <c r="G74" s="810"/>
      <c r="H74" s="811"/>
      <c r="I74" s="811"/>
      <c r="J74" s="811"/>
      <c r="K74" s="811"/>
      <c r="L74" s="811"/>
      <c r="M74" s="811"/>
      <c r="N74" s="811"/>
      <c r="O74" s="811"/>
      <c r="P74" s="811"/>
      <c r="Q74" s="811"/>
      <c r="R74" s="811"/>
      <c r="S74" s="811"/>
      <c r="T74" s="811"/>
      <c r="U74" s="811"/>
      <c r="V74" s="811"/>
    </row>
    <row r="75" spans="2:22" ht="25.5" customHeight="1" x14ac:dyDescent="0.2">
      <c r="G75" s="807"/>
      <c r="H75" s="808"/>
      <c r="I75" s="808"/>
      <c r="J75" s="808"/>
      <c r="K75" s="808"/>
      <c r="L75" s="808"/>
      <c r="M75" s="808"/>
      <c r="N75" s="808"/>
      <c r="O75" s="808"/>
      <c r="P75" s="808"/>
      <c r="Q75" s="808"/>
      <c r="R75" s="808"/>
      <c r="S75" s="808"/>
      <c r="T75" s="808"/>
      <c r="U75" s="808"/>
      <c r="V75" s="808"/>
    </row>
    <row r="76" spans="2:22" ht="14.1" customHeight="1" x14ac:dyDescent="0.25">
      <c r="E76" s="23" t="s">
        <v>295</v>
      </c>
      <c r="G76" s="807"/>
      <c r="H76" s="808"/>
      <c r="I76" s="808"/>
      <c r="J76" s="808"/>
      <c r="K76" s="808"/>
      <c r="L76" s="808"/>
      <c r="M76" s="808"/>
      <c r="N76" s="808"/>
      <c r="O76" s="807"/>
      <c r="P76" s="807"/>
      <c r="Q76" s="807"/>
      <c r="R76" s="807"/>
      <c r="S76" s="807"/>
      <c r="T76" s="807"/>
      <c r="U76" s="807"/>
      <c r="V76" s="807"/>
    </row>
    <row r="77" spans="2:22" ht="12.4" customHeight="1" x14ac:dyDescent="0.2">
      <c r="G77" s="807"/>
      <c r="H77" s="808"/>
      <c r="I77" s="808"/>
      <c r="J77" s="808"/>
      <c r="K77" s="808"/>
      <c r="L77" s="808"/>
      <c r="M77" s="808"/>
      <c r="N77" s="808"/>
      <c r="O77" s="807"/>
      <c r="P77" s="807"/>
      <c r="Q77" s="807"/>
      <c r="R77" s="807"/>
      <c r="S77" s="807"/>
      <c r="T77" s="807"/>
      <c r="U77" s="807"/>
      <c r="V77" s="807"/>
    </row>
    <row r="78" spans="2:22" ht="14.1" customHeight="1" x14ac:dyDescent="0.25">
      <c r="E78" s="23" t="s">
        <v>296</v>
      </c>
      <c r="G78" s="807"/>
      <c r="H78" s="808"/>
      <c r="I78" s="808"/>
      <c r="J78" s="808"/>
      <c r="K78" s="808"/>
      <c r="L78" s="808"/>
      <c r="M78" s="808"/>
      <c r="N78" s="808"/>
      <c r="O78" s="807"/>
      <c r="P78" s="807"/>
      <c r="Q78" s="807"/>
      <c r="R78" s="807"/>
      <c r="S78" s="807"/>
      <c r="T78" s="807"/>
      <c r="U78" s="807"/>
      <c r="V78" s="807"/>
    </row>
    <row r="79" spans="2:22" ht="12.4" customHeight="1" x14ac:dyDescent="0.2">
      <c r="G79" s="807"/>
      <c r="H79" s="808"/>
      <c r="I79" s="808"/>
      <c r="J79" s="808"/>
      <c r="K79" s="808"/>
      <c r="L79" s="808"/>
      <c r="M79" s="808"/>
      <c r="N79" s="808"/>
      <c r="O79" s="807"/>
      <c r="P79" s="807"/>
      <c r="Q79" s="807"/>
      <c r="R79" s="807"/>
      <c r="S79" s="807"/>
      <c r="T79" s="807"/>
      <c r="U79" s="807"/>
      <c r="V79" s="807"/>
    </row>
    <row r="80" spans="2:22" ht="14.1" customHeight="1" x14ac:dyDescent="0.25">
      <c r="E80" s="23" t="s">
        <v>297</v>
      </c>
      <c r="G80" s="807"/>
      <c r="H80" s="808"/>
      <c r="I80" s="808"/>
      <c r="J80" s="808"/>
      <c r="K80" s="808"/>
      <c r="L80" s="808"/>
      <c r="M80" s="808"/>
      <c r="N80" s="808"/>
      <c r="O80" s="807"/>
      <c r="P80" s="807"/>
      <c r="Q80" s="807"/>
      <c r="R80" s="807"/>
      <c r="S80" s="807"/>
      <c r="T80" s="807"/>
      <c r="U80" s="807"/>
      <c r="V80" s="807"/>
    </row>
    <row r="81" spans="5:22" ht="12.4" customHeight="1" x14ac:dyDescent="0.2">
      <c r="G81" s="807"/>
      <c r="H81" s="808"/>
      <c r="I81" s="808"/>
      <c r="J81" s="808"/>
      <c r="K81" s="808"/>
      <c r="L81" s="808"/>
      <c r="M81" s="808"/>
      <c r="N81" s="808"/>
      <c r="O81" s="807"/>
      <c r="P81" s="807"/>
      <c r="Q81" s="807"/>
      <c r="R81" s="807"/>
      <c r="S81" s="807"/>
      <c r="T81" s="807"/>
      <c r="U81" s="807"/>
      <c r="V81" s="807"/>
    </row>
    <row r="82" spans="5:22" ht="15" x14ac:dyDescent="0.25">
      <c r="E82" s="23" t="s">
        <v>298</v>
      </c>
      <c r="G82" s="809"/>
      <c r="H82" s="808"/>
      <c r="I82" s="808"/>
      <c r="J82" s="808"/>
      <c r="K82" s="808"/>
      <c r="L82" s="808"/>
      <c r="M82" s="808"/>
      <c r="N82" s="808"/>
      <c r="O82" s="807"/>
      <c r="P82" s="807"/>
      <c r="Q82" s="807"/>
      <c r="R82" s="807"/>
      <c r="S82" s="807"/>
      <c r="T82" s="807"/>
      <c r="U82" s="807"/>
      <c r="V82" s="807"/>
    </row>
    <row r="83" spans="5:22" x14ac:dyDescent="0.2">
      <c r="G83" s="809"/>
      <c r="H83" s="808"/>
      <c r="I83" s="808"/>
      <c r="J83" s="808"/>
      <c r="K83" s="808"/>
      <c r="L83" s="808"/>
      <c r="M83" s="808"/>
      <c r="N83" s="808"/>
      <c r="O83" s="807"/>
      <c r="P83" s="807"/>
      <c r="Q83" s="807"/>
      <c r="R83" s="807"/>
      <c r="S83" s="807"/>
      <c r="T83" s="807"/>
      <c r="U83" s="807"/>
      <c r="V83" s="807"/>
    </row>
    <row r="84" spans="5:22" ht="14.1" customHeight="1" x14ac:dyDescent="0.25">
      <c r="E84" s="23" t="s">
        <v>299</v>
      </c>
      <c r="G84" s="807"/>
      <c r="H84" s="808"/>
      <c r="I84" s="808"/>
      <c r="J84" s="808"/>
      <c r="K84" s="808"/>
      <c r="L84" s="808"/>
      <c r="M84" s="808"/>
      <c r="N84" s="808"/>
      <c r="O84" s="807"/>
      <c r="P84" s="807"/>
      <c r="Q84" s="807"/>
      <c r="R84" s="807"/>
      <c r="S84" s="807"/>
      <c r="T84" s="807"/>
      <c r="U84" s="807"/>
      <c r="V84" s="807"/>
    </row>
    <row r="85" spans="5:22" ht="12.4" customHeight="1" x14ac:dyDescent="0.2">
      <c r="G85" s="807"/>
      <c r="H85" s="808"/>
      <c r="I85" s="808"/>
      <c r="J85" s="808"/>
      <c r="K85" s="808"/>
      <c r="L85" s="808"/>
      <c r="M85" s="808"/>
      <c r="N85" s="808"/>
      <c r="O85" s="807"/>
      <c r="P85" s="807"/>
      <c r="Q85" s="807"/>
      <c r="R85" s="807"/>
      <c r="S85" s="807"/>
      <c r="T85" s="807"/>
      <c r="U85" s="807"/>
      <c r="V85" s="807"/>
    </row>
    <row r="86" spans="5:22" ht="14.1" customHeight="1" x14ac:dyDescent="0.25">
      <c r="E86" s="23" t="s">
        <v>300</v>
      </c>
      <c r="G86" s="807"/>
      <c r="H86" s="808"/>
      <c r="I86" s="808"/>
      <c r="J86" s="808"/>
      <c r="K86" s="808"/>
      <c r="L86" s="808"/>
      <c r="M86" s="808"/>
      <c r="N86" s="808"/>
      <c r="O86" s="807"/>
      <c r="P86" s="807"/>
      <c r="Q86" s="807"/>
      <c r="R86" s="807"/>
      <c r="S86" s="807"/>
      <c r="T86" s="807"/>
      <c r="U86" s="807"/>
      <c r="V86" s="807"/>
    </row>
    <row r="87" spans="5:22" ht="12.4" customHeight="1" x14ac:dyDescent="0.2">
      <c r="G87" s="807"/>
      <c r="H87" s="808"/>
      <c r="I87" s="808"/>
      <c r="J87" s="808"/>
      <c r="K87" s="808"/>
      <c r="L87" s="808"/>
      <c r="M87" s="808"/>
      <c r="N87" s="808"/>
      <c r="O87" s="807"/>
      <c r="P87" s="807"/>
      <c r="Q87" s="807"/>
      <c r="R87" s="807"/>
      <c r="S87" s="807"/>
      <c r="T87" s="807"/>
      <c r="U87" s="807"/>
      <c r="V87" s="807"/>
    </row>
    <row r="88" spans="5:22" ht="13.9" customHeight="1" x14ac:dyDescent="0.25">
      <c r="E88" s="23" t="s">
        <v>301</v>
      </c>
      <c r="G88" s="807"/>
      <c r="H88" s="808"/>
      <c r="I88" s="808"/>
      <c r="J88" s="808"/>
      <c r="K88" s="808"/>
      <c r="L88" s="808"/>
      <c r="M88" s="808"/>
      <c r="N88" s="808"/>
      <c r="O88" s="807"/>
      <c r="P88" s="807"/>
      <c r="Q88" s="807"/>
      <c r="R88" s="807"/>
      <c r="S88" s="807"/>
      <c r="T88" s="807"/>
      <c r="U88" s="807"/>
      <c r="V88" s="807"/>
    </row>
    <row r="89" spans="5:22" ht="13.15" customHeight="1" x14ac:dyDescent="0.25">
      <c r="E89" s="23"/>
      <c r="G89" s="807"/>
      <c r="H89" s="808"/>
      <c r="I89" s="808"/>
      <c r="J89" s="808"/>
      <c r="K89" s="808"/>
      <c r="L89" s="808"/>
      <c r="M89" s="808"/>
      <c r="N89" s="808"/>
      <c r="O89" s="807"/>
      <c r="P89" s="807"/>
      <c r="Q89" s="807"/>
      <c r="R89" s="807"/>
      <c r="S89" s="807"/>
      <c r="T89" s="807"/>
      <c r="U89" s="807"/>
      <c r="V89" s="807"/>
    </row>
    <row r="90" spans="5:22" ht="14.1" customHeight="1" x14ac:dyDescent="0.25">
      <c r="E90" s="23" t="s">
        <v>302</v>
      </c>
      <c r="G90" s="807"/>
      <c r="H90" s="808"/>
      <c r="I90" s="808"/>
      <c r="J90" s="808"/>
      <c r="K90" s="808"/>
      <c r="L90" s="808"/>
      <c r="M90" s="808"/>
      <c r="N90" s="808"/>
      <c r="O90" s="807"/>
      <c r="P90" s="807"/>
      <c r="Q90" s="807"/>
      <c r="R90" s="807"/>
      <c r="S90" s="807"/>
      <c r="T90" s="807"/>
      <c r="U90" s="807"/>
      <c r="V90" s="807"/>
    </row>
    <row r="91" spans="5:22" ht="14.1" customHeight="1" x14ac:dyDescent="0.25">
      <c r="E91" s="23"/>
      <c r="G91" s="807"/>
      <c r="H91" s="808"/>
      <c r="I91" s="808"/>
      <c r="J91" s="808"/>
      <c r="K91" s="808"/>
      <c r="L91" s="808"/>
      <c r="M91" s="808"/>
      <c r="N91" s="808"/>
      <c r="O91" s="807"/>
      <c r="P91" s="807"/>
      <c r="Q91" s="807"/>
      <c r="R91" s="807"/>
      <c r="S91" s="807"/>
      <c r="T91" s="807"/>
      <c r="U91" s="807"/>
      <c r="V91" s="807"/>
    </row>
    <row r="92" spans="5:22" ht="14.1" customHeight="1" x14ac:dyDescent="0.25">
      <c r="E92" s="23" t="s">
        <v>303</v>
      </c>
      <c r="G92" s="807"/>
      <c r="H92" s="808"/>
      <c r="I92" s="808"/>
      <c r="J92" s="808"/>
      <c r="K92" s="808"/>
      <c r="L92" s="808"/>
      <c r="M92" s="808"/>
      <c r="N92" s="808"/>
      <c r="O92" s="807"/>
      <c r="P92" s="807"/>
      <c r="Q92" s="807"/>
      <c r="R92" s="807"/>
      <c r="S92" s="807"/>
      <c r="T92" s="807"/>
      <c r="U92" s="807"/>
      <c r="V92" s="807"/>
    </row>
    <row r="93" spans="5:22" ht="12.4" customHeight="1" x14ac:dyDescent="0.2">
      <c r="G93" s="807"/>
      <c r="H93" s="808"/>
      <c r="I93" s="808"/>
      <c r="J93" s="808"/>
      <c r="K93" s="808"/>
      <c r="L93" s="808"/>
      <c r="M93" s="808"/>
      <c r="N93" s="808"/>
      <c r="O93" s="807"/>
      <c r="P93" s="807"/>
      <c r="Q93" s="807"/>
      <c r="R93" s="807"/>
      <c r="S93" s="807"/>
      <c r="T93" s="807"/>
      <c r="U93" s="807"/>
      <c r="V93" s="807"/>
    </row>
    <row r="94" spans="5:22" ht="14.1" customHeight="1" x14ac:dyDescent="0.25">
      <c r="E94" s="23" t="s">
        <v>304</v>
      </c>
      <c r="G94" s="807"/>
      <c r="H94" s="808"/>
      <c r="I94" s="808"/>
      <c r="J94" s="808"/>
      <c r="K94" s="808"/>
      <c r="L94" s="808"/>
      <c r="M94" s="808"/>
      <c r="N94" s="808"/>
      <c r="O94" s="807"/>
      <c r="P94" s="807"/>
      <c r="Q94" s="807"/>
      <c r="R94" s="807"/>
      <c r="S94" s="807"/>
      <c r="T94" s="807"/>
      <c r="U94" s="807"/>
      <c r="V94" s="807"/>
    </row>
    <row r="95" spans="5:22" ht="12.4" customHeight="1" x14ac:dyDescent="0.2">
      <c r="G95" s="807"/>
      <c r="H95" s="808"/>
      <c r="I95" s="808"/>
      <c r="J95" s="808"/>
      <c r="K95" s="808"/>
      <c r="L95" s="808"/>
      <c r="M95" s="808"/>
      <c r="N95" s="808"/>
      <c r="O95" s="807"/>
      <c r="P95" s="807"/>
      <c r="Q95" s="807"/>
      <c r="R95" s="807"/>
      <c r="S95" s="807"/>
      <c r="T95" s="807"/>
      <c r="U95" s="807"/>
      <c r="V95" s="807"/>
    </row>
  </sheetData>
  <mergeCells count="122">
    <mergeCell ref="G17:L18"/>
    <mergeCell ref="G19:L20"/>
    <mergeCell ref="G21:L22"/>
    <mergeCell ref="P21:U22"/>
    <mergeCell ref="G5:L6"/>
    <mergeCell ref="N5:Q14"/>
    <mergeCell ref="R5:U14"/>
    <mergeCell ref="G7:L8"/>
    <mergeCell ref="G9:L10"/>
    <mergeCell ref="G11:L12"/>
    <mergeCell ref="G13:L14"/>
    <mergeCell ref="G23:L23"/>
    <mergeCell ref="P23:U23"/>
    <mergeCell ref="B30:C45"/>
    <mergeCell ref="G36:G37"/>
    <mergeCell ref="H36:J37"/>
    <mergeCell ref="K36:N37"/>
    <mergeCell ref="O36:V37"/>
    <mergeCell ref="G38:G39"/>
    <mergeCell ref="H38:J39"/>
    <mergeCell ref="K38:N39"/>
    <mergeCell ref="G44:G45"/>
    <mergeCell ref="H44:J45"/>
    <mergeCell ref="K44:N45"/>
    <mergeCell ref="O44:V45"/>
    <mergeCell ref="O38:V39"/>
    <mergeCell ref="G40:G41"/>
    <mergeCell ref="H40:J41"/>
    <mergeCell ref="K40:N41"/>
    <mergeCell ref="O40:V41"/>
    <mergeCell ref="G42:G43"/>
    <mergeCell ref="H42:J43"/>
    <mergeCell ref="K42:N43"/>
    <mergeCell ref="O42:V43"/>
    <mergeCell ref="G51:G52"/>
    <mergeCell ref="H51:J52"/>
    <mergeCell ref="K51:N52"/>
    <mergeCell ref="O51:V52"/>
    <mergeCell ref="G53:G54"/>
    <mergeCell ref="H53:J54"/>
    <mergeCell ref="K53:N54"/>
    <mergeCell ref="O53:V54"/>
    <mergeCell ref="G49:G50"/>
    <mergeCell ref="H49:J50"/>
    <mergeCell ref="K49:N50"/>
    <mergeCell ref="O49:V50"/>
    <mergeCell ref="G59:G60"/>
    <mergeCell ref="H59:J60"/>
    <mergeCell ref="K59:N60"/>
    <mergeCell ref="O59:V60"/>
    <mergeCell ref="G61:G62"/>
    <mergeCell ref="H61:J62"/>
    <mergeCell ref="K61:N62"/>
    <mergeCell ref="O61:V62"/>
    <mergeCell ref="G55:G56"/>
    <mergeCell ref="H55:J56"/>
    <mergeCell ref="K55:N56"/>
    <mergeCell ref="O55:V56"/>
    <mergeCell ref="G57:G58"/>
    <mergeCell ref="H57:J58"/>
    <mergeCell ref="K57:N58"/>
    <mergeCell ref="O57:V58"/>
    <mergeCell ref="G67:G68"/>
    <mergeCell ref="H67:J68"/>
    <mergeCell ref="K67:N68"/>
    <mergeCell ref="O67:V68"/>
    <mergeCell ref="G69:G70"/>
    <mergeCell ref="H69:J70"/>
    <mergeCell ref="K69:N70"/>
    <mergeCell ref="O69:V70"/>
    <mergeCell ref="G63:G64"/>
    <mergeCell ref="H63:J64"/>
    <mergeCell ref="K63:N64"/>
    <mergeCell ref="O63:V64"/>
    <mergeCell ref="G65:G66"/>
    <mergeCell ref="H65:J66"/>
    <mergeCell ref="K65:N66"/>
    <mergeCell ref="O65:V66"/>
    <mergeCell ref="G78:G79"/>
    <mergeCell ref="H78:J79"/>
    <mergeCell ref="K78:N79"/>
    <mergeCell ref="O78:V79"/>
    <mergeCell ref="G80:G81"/>
    <mergeCell ref="H80:J81"/>
    <mergeCell ref="K80:N81"/>
    <mergeCell ref="O80:V81"/>
    <mergeCell ref="G74:G75"/>
    <mergeCell ref="H74:J75"/>
    <mergeCell ref="K74:N75"/>
    <mergeCell ref="O74:V75"/>
    <mergeCell ref="G76:G77"/>
    <mergeCell ref="H76:J77"/>
    <mergeCell ref="K76:N77"/>
    <mergeCell ref="O76:V77"/>
    <mergeCell ref="G86:G87"/>
    <mergeCell ref="H86:J87"/>
    <mergeCell ref="K86:N87"/>
    <mergeCell ref="O86:V87"/>
    <mergeCell ref="G88:G89"/>
    <mergeCell ref="H88:J89"/>
    <mergeCell ref="K88:N89"/>
    <mergeCell ref="O88:V89"/>
    <mergeCell ref="G82:G83"/>
    <mergeCell ref="H82:J83"/>
    <mergeCell ref="K82:N83"/>
    <mergeCell ref="O82:V83"/>
    <mergeCell ref="G84:G85"/>
    <mergeCell ref="H84:J85"/>
    <mergeCell ref="K84:N85"/>
    <mergeCell ref="O84:V85"/>
    <mergeCell ref="G94:G95"/>
    <mergeCell ref="H94:J95"/>
    <mergeCell ref="K94:N95"/>
    <mergeCell ref="O94:V95"/>
    <mergeCell ref="G90:G91"/>
    <mergeCell ref="H90:J91"/>
    <mergeCell ref="K90:N91"/>
    <mergeCell ref="O90:V91"/>
    <mergeCell ref="G92:G93"/>
    <mergeCell ref="H92:J93"/>
    <mergeCell ref="K92:N93"/>
    <mergeCell ref="O92:V93"/>
  </mergeCells>
  <dataValidations count="1">
    <dataValidation type="list" allowBlank="1" showInputMessage="1" showErrorMessage="1" sqref="F6">
      <formula1>#REF!</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R86"/>
  <sheetViews>
    <sheetView showGridLines="0" zoomScale="65" zoomScaleNormal="85" workbookViewId="0">
      <selection activeCell="G78" sqref="G78"/>
    </sheetView>
  </sheetViews>
  <sheetFormatPr defaultRowHeight="14.25" x14ac:dyDescent="0.2"/>
  <cols>
    <col min="1" max="1" width="2.625" customWidth="1"/>
    <col min="5" max="5" width="30.625" customWidth="1"/>
    <col min="6" max="6" width="13.125" customWidth="1"/>
    <col min="7" max="17" width="11.125" customWidth="1"/>
    <col min="18" max="18" width="20.625" style="6" customWidth="1"/>
  </cols>
  <sheetData>
    <row r="2" spans="1:18" s="38" customFormat="1" ht="20.25" customHeight="1" x14ac:dyDescent="0.3">
      <c r="B2" s="667" t="s">
        <v>305</v>
      </c>
      <c r="R2" s="702"/>
    </row>
    <row r="4" spans="1:18" ht="15.75" x14ac:dyDescent="0.25">
      <c r="A4" t="s">
        <v>306</v>
      </c>
      <c r="B4" s="234" t="s">
        <v>307</v>
      </c>
      <c r="C4" s="56"/>
      <c r="D4" s="56"/>
      <c r="E4" s="56"/>
      <c r="F4" s="56"/>
      <c r="G4" s="235">
        <v>2014</v>
      </c>
      <c r="H4" s="235">
        <f>+G4+1</f>
        <v>2015</v>
      </c>
      <c r="I4" s="235">
        <f t="shared" ref="I4:M4" si="0">+H4+1</f>
        <v>2016</v>
      </c>
      <c r="J4" s="235">
        <f t="shared" si="0"/>
        <v>2017</v>
      </c>
      <c r="K4" s="235">
        <f t="shared" si="0"/>
        <v>2018</v>
      </c>
      <c r="L4" s="235">
        <f t="shared" si="0"/>
        <v>2019</v>
      </c>
      <c r="M4" s="235">
        <f t="shared" si="0"/>
        <v>2020</v>
      </c>
      <c r="N4" s="235">
        <f>+M4+1</f>
        <v>2021</v>
      </c>
      <c r="O4" s="235">
        <f>+N4+1</f>
        <v>2022</v>
      </c>
      <c r="P4" s="235">
        <f t="shared" ref="P4" si="1">+O4+1</f>
        <v>2023</v>
      </c>
      <c r="Q4" s="235">
        <f>+P4+1</f>
        <v>2024</v>
      </c>
      <c r="R4" s="58" t="str">
        <f>"CAGR "&amp;$G$4&amp;" - "&amp;$Q$4</f>
        <v>CAGR 2014 - 2024</v>
      </c>
    </row>
    <row r="5" spans="1:18" ht="3.75" customHeight="1" x14ac:dyDescent="0.2">
      <c r="B5" s="53"/>
      <c r="C5" s="53"/>
      <c r="D5" s="53"/>
      <c r="E5" s="53"/>
      <c r="F5" s="53"/>
      <c r="G5" s="236"/>
      <c r="H5" s="236"/>
      <c r="I5" s="236"/>
      <c r="J5" s="236"/>
      <c r="K5" s="236"/>
      <c r="L5" s="236"/>
      <c r="M5" s="236"/>
      <c r="N5" s="236"/>
      <c r="O5" s="236"/>
      <c r="P5" s="236"/>
      <c r="Q5" s="236"/>
      <c r="R5" s="60"/>
    </row>
    <row r="6" spans="1:18" x14ac:dyDescent="0.2">
      <c r="B6" t="str">
        <f ca="1">+Peers!B6</f>
        <v/>
      </c>
      <c r="G6" s="214"/>
      <c r="H6" s="214"/>
      <c r="I6" s="214"/>
      <c r="J6" s="214"/>
      <c r="K6" s="214"/>
      <c r="L6" s="214"/>
      <c r="M6" s="214"/>
      <c r="N6" s="214"/>
      <c r="O6" s="214"/>
      <c r="P6" s="214"/>
      <c r="Q6" s="214"/>
      <c r="R6" s="703" t="str">
        <f t="shared" ref="R6:R16" si="2">IFERROR((Q6/G6)^(1/COUNT($G$4:$Q$4))-1,"")</f>
        <v/>
      </c>
    </row>
    <row r="7" spans="1:18" x14ac:dyDescent="0.2">
      <c r="B7" s="672" t="str">
        <f ca="1">+Peers!B8</f>
        <v/>
      </c>
      <c r="C7" s="672"/>
      <c r="D7" s="672"/>
      <c r="E7" s="672"/>
      <c r="F7" s="672"/>
      <c r="G7" s="673"/>
      <c r="H7" s="673"/>
      <c r="I7" s="673"/>
      <c r="J7" s="673"/>
      <c r="K7" s="673"/>
      <c r="L7" s="673"/>
      <c r="M7" s="673"/>
      <c r="N7" s="673"/>
      <c r="O7" s="673"/>
      <c r="P7" s="673"/>
      <c r="Q7" s="673"/>
      <c r="R7" s="704" t="str">
        <f t="shared" si="2"/>
        <v/>
      </c>
    </row>
    <row r="8" spans="1:18" x14ac:dyDescent="0.2">
      <c r="B8" t="str">
        <f ca="1">+Peers!B9</f>
        <v/>
      </c>
      <c r="G8" s="214"/>
      <c r="H8" s="214"/>
      <c r="I8" s="214"/>
      <c r="J8" s="214"/>
      <c r="K8" s="214"/>
      <c r="L8" s="214"/>
      <c r="M8" s="214"/>
      <c r="N8" s="214"/>
      <c r="O8" s="214"/>
      <c r="P8" s="214"/>
      <c r="Q8" s="214"/>
      <c r="R8" s="703" t="str">
        <f t="shared" si="2"/>
        <v/>
      </c>
    </row>
    <row r="9" spans="1:18" x14ac:dyDescent="0.2">
      <c r="B9" s="672" t="str">
        <f ca="1">+Peers!B10</f>
        <v/>
      </c>
      <c r="C9" s="672"/>
      <c r="D9" s="672"/>
      <c r="E9" s="672"/>
      <c r="F9" s="672"/>
      <c r="G9" s="673"/>
      <c r="H9" s="673"/>
      <c r="I9" s="673"/>
      <c r="J9" s="673"/>
      <c r="K9" s="673"/>
      <c r="L9" s="673"/>
      <c r="M9" s="673"/>
      <c r="N9" s="673"/>
      <c r="O9" s="673"/>
      <c r="P9" s="673"/>
      <c r="Q9" s="672"/>
      <c r="R9" s="704" t="str">
        <f t="shared" si="2"/>
        <v/>
      </c>
    </row>
    <row r="10" spans="1:18" x14ac:dyDescent="0.2">
      <c r="B10" t="str">
        <f ca="1">+Peers!B11</f>
        <v/>
      </c>
      <c r="G10" s="214"/>
      <c r="H10" s="214"/>
      <c r="I10" s="214"/>
      <c r="J10" s="214"/>
      <c r="K10" s="214"/>
      <c r="L10" s="214"/>
      <c r="M10" s="214"/>
      <c r="N10" s="214"/>
      <c r="O10" s="214"/>
      <c r="P10" s="214"/>
      <c r="Q10" s="214"/>
      <c r="R10" s="703" t="str">
        <f t="shared" si="2"/>
        <v/>
      </c>
    </row>
    <row r="11" spans="1:18" x14ac:dyDescent="0.2">
      <c r="B11" s="672" t="str">
        <f ca="1">+Peers!B12</f>
        <v/>
      </c>
      <c r="C11" s="672"/>
      <c r="D11" s="672"/>
      <c r="E11" s="672"/>
      <c r="F11" s="672"/>
      <c r="G11" s="673"/>
      <c r="H11" s="673"/>
      <c r="I11" s="673"/>
      <c r="J11" s="673"/>
      <c r="K11" s="673"/>
      <c r="L11" s="673"/>
      <c r="M11" s="673"/>
      <c r="N11" s="673"/>
      <c r="O11" s="673"/>
      <c r="P11" s="673"/>
      <c r="Q11" s="673"/>
      <c r="R11" s="704" t="str">
        <f t="shared" si="2"/>
        <v/>
      </c>
    </row>
    <row r="12" spans="1:18" x14ac:dyDescent="0.2">
      <c r="B12" t="str">
        <f ca="1">+Peers!B13</f>
        <v/>
      </c>
      <c r="G12" s="214"/>
      <c r="H12" s="214"/>
      <c r="I12" s="214"/>
      <c r="J12" s="214"/>
      <c r="K12" s="214"/>
      <c r="L12" s="214"/>
      <c r="M12" s="214"/>
      <c r="N12" s="214"/>
      <c r="O12" s="214"/>
      <c r="P12" s="214"/>
      <c r="Q12" s="214"/>
      <c r="R12" s="703" t="str">
        <f t="shared" si="2"/>
        <v/>
      </c>
    </row>
    <row r="13" spans="1:18" x14ac:dyDescent="0.2">
      <c r="B13" s="672" t="str">
        <f ca="1">+Peers!B14</f>
        <v/>
      </c>
      <c r="C13" s="672"/>
      <c r="D13" s="672"/>
      <c r="E13" s="672"/>
      <c r="F13" s="672"/>
      <c r="G13" s="673"/>
      <c r="H13" s="673"/>
      <c r="I13" s="673"/>
      <c r="J13" s="673"/>
      <c r="K13" s="673"/>
      <c r="L13" s="673"/>
      <c r="M13" s="673"/>
      <c r="N13" s="673"/>
      <c r="O13" s="673"/>
      <c r="P13" s="673"/>
      <c r="Q13" s="673"/>
      <c r="R13" s="704" t="str">
        <f t="shared" si="2"/>
        <v/>
      </c>
    </row>
    <row r="14" spans="1:18" x14ac:dyDescent="0.2">
      <c r="B14" t="str">
        <f ca="1">+Peers!B15</f>
        <v/>
      </c>
      <c r="G14" s="214"/>
      <c r="H14" s="214"/>
      <c r="I14" s="214"/>
      <c r="J14" s="214"/>
      <c r="K14" s="214"/>
      <c r="L14" s="214"/>
      <c r="M14" s="214"/>
      <c r="N14" s="214"/>
      <c r="O14" s="214"/>
      <c r="P14" s="214"/>
      <c r="Q14" s="214"/>
      <c r="R14" s="703" t="str">
        <f t="shared" si="2"/>
        <v/>
      </c>
    </row>
    <row r="15" spans="1:18" x14ac:dyDescent="0.2">
      <c r="B15" s="672" t="str">
        <f ca="1">+Peers!B16</f>
        <v/>
      </c>
      <c r="C15" s="672"/>
      <c r="D15" s="672"/>
      <c r="E15" s="672"/>
      <c r="F15" s="672"/>
      <c r="G15" s="673"/>
      <c r="H15" s="673"/>
      <c r="I15" s="673"/>
      <c r="J15" s="673"/>
      <c r="K15" s="673"/>
      <c r="L15" s="673"/>
      <c r="M15" s="673"/>
      <c r="N15" s="673"/>
      <c r="O15" s="673"/>
      <c r="P15" s="673"/>
      <c r="Q15" s="673"/>
      <c r="R15" s="704" t="str">
        <f t="shared" si="2"/>
        <v/>
      </c>
    </row>
    <row r="16" spans="1:18" x14ac:dyDescent="0.2">
      <c r="B16" t="str">
        <f ca="1">+Peers!B17</f>
        <v/>
      </c>
      <c r="G16" s="214"/>
      <c r="H16" s="214"/>
      <c r="I16" s="214"/>
      <c r="J16" s="214"/>
      <c r="K16" s="214"/>
      <c r="L16" s="214"/>
      <c r="M16" s="214"/>
      <c r="N16" s="214"/>
      <c r="O16" s="214"/>
      <c r="P16" s="214"/>
      <c r="Q16" s="214"/>
      <c r="R16" s="703" t="str">
        <f t="shared" si="2"/>
        <v/>
      </c>
    </row>
    <row r="17" spans="1:18" x14ac:dyDescent="0.2">
      <c r="G17" s="214"/>
      <c r="H17" s="214"/>
      <c r="I17" s="214"/>
      <c r="J17" s="214"/>
      <c r="K17" s="214"/>
      <c r="L17" s="214"/>
      <c r="M17" s="214"/>
      <c r="N17" s="214"/>
      <c r="O17" s="214"/>
      <c r="P17" s="214"/>
      <c r="Q17" s="214"/>
    </row>
    <row r="18" spans="1:18" ht="15.75" x14ac:dyDescent="0.25">
      <c r="A18" t="s">
        <v>306</v>
      </c>
      <c r="B18" s="234" t="s">
        <v>308</v>
      </c>
      <c r="C18" s="56"/>
      <c r="D18" s="56"/>
      <c r="E18" s="56"/>
      <c r="F18" s="56"/>
      <c r="G18" s="235">
        <v>2014</v>
      </c>
      <c r="H18" s="235">
        <f t="shared" ref="H18:Q18" si="3">+G18+1</f>
        <v>2015</v>
      </c>
      <c r="I18" s="235">
        <f t="shared" si="3"/>
        <v>2016</v>
      </c>
      <c r="J18" s="235">
        <f t="shared" si="3"/>
        <v>2017</v>
      </c>
      <c r="K18" s="235">
        <f t="shared" si="3"/>
        <v>2018</v>
      </c>
      <c r="L18" s="235">
        <f t="shared" si="3"/>
        <v>2019</v>
      </c>
      <c r="M18" s="235">
        <f t="shared" si="3"/>
        <v>2020</v>
      </c>
      <c r="N18" s="235">
        <f t="shared" si="3"/>
        <v>2021</v>
      </c>
      <c r="O18" s="235">
        <f t="shared" si="3"/>
        <v>2022</v>
      </c>
      <c r="P18" s="235">
        <f t="shared" si="3"/>
        <v>2023</v>
      </c>
      <c r="Q18" s="235">
        <f t="shared" si="3"/>
        <v>2024</v>
      </c>
      <c r="R18" s="58" t="str">
        <f>"CAGR "&amp;$G$4&amp;" - "&amp;$Q$4</f>
        <v>CAGR 2014 - 2024</v>
      </c>
    </row>
    <row r="19" spans="1:18" s="98" customFormat="1" ht="3.75" customHeight="1" x14ac:dyDescent="0.2">
      <c r="B19" s="668"/>
      <c r="C19" s="668"/>
      <c r="D19" s="668"/>
      <c r="E19" s="668"/>
      <c r="F19" s="668"/>
      <c r="G19" s="669"/>
      <c r="H19" s="669"/>
      <c r="I19" s="669"/>
      <c r="J19" s="669"/>
      <c r="K19" s="669"/>
      <c r="L19" s="669"/>
      <c r="M19" s="669"/>
      <c r="N19" s="669"/>
      <c r="O19" s="669"/>
      <c r="P19" s="669"/>
      <c r="Q19" s="669"/>
      <c r="R19" s="670"/>
    </row>
    <row r="20" spans="1:18" x14ac:dyDescent="0.2">
      <c r="B20" t="str">
        <f ca="1">+$B$6</f>
        <v/>
      </c>
      <c r="G20" s="214"/>
      <c r="H20" s="214"/>
      <c r="I20" s="214"/>
      <c r="J20" s="214"/>
      <c r="K20" s="214"/>
      <c r="L20" s="214"/>
      <c r="M20" s="214"/>
      <c r="N20" s="214"/>
      <c r="O20" s="214"/>
      <c r="P20" s="214"/>
      <c r="Q20" s="214"/>
      <c r="R20" s="703" t="str">
        <f t="shared" ref="R20:R30" si="4">IFERROR((Q20/G20)^(1/COUNT($G$4:$Q$4))-1,"")</f>
        <v/>
      </c>
    </row>
    <row r="21" spans="1:18" x14ac:dyDescent="0.2">
      <c r="B21" s="672" t="str">
        <f ca="1">+$B$7</f>
        <v/>
      </c>
      <c r="C21" s="672"/>
      <c r="D21" s="672"/>
      <c r="E21" s="672"/>
      <c r="F21" s="672"/>
      <c r="G21" s="673"/>
      <c r="H21" s="673"/>
      <c r="I21" s="673"/>
      <c r="J21" s="673"/>
      <c r="K21" s="673"/>
      <c r="L21" s="673"/>
      <c r="M21" s="673"/>
      <c r="N21" s="673"/>
      <c r="O21" s="673"/>
      <c r="P21" s="673"/>
      <c r="Q21" s="673"/>
      <c r="R21" s="704" t="str">
        <f t="shared" si="4"/>
        <v/>
      </c>
    </row>
    <row r="22" spans="1:18" x14ac:dyDescent="0.2">
      <c r="B22" t="str">
        <f ca="1">+$B$8</f>
        <v/>
      </c>
      <c r="G22" s="214"/>
      <c r="H22" s="214"/>
      <c r="I22" s="214"/>
      <c r="J22" s="214"/>
      <c r="K22" s="214"/>
      <c r="L22" s="214"/>
      <c r="M22" s="214"/>
      <c r="N22" s="214"/>
      <c r="O22" s="214"/>
      <c r="P22" s="214"/>
      <c r="Q22" s="214"/>
      <c r="R22" s="703" t="str">
        <f t="shared" si="4"/>
        <v/>
      </c>
    </row>
    <row r="23" spans="1:18" x14ac:dyDescent="0.2">
      <c r="B23" s="672" t="str">
        <f ca="1">+$B$9</f>
        <v/>
      </c>
      <c r="C23" s="672"/>
      <c r="D23" s="672"/>
      <c r="E23" s="672"/>
      <c r="F23" s="672"/>
      <c r="G23" s="674"/>
      <c r="H23" s="674"/>
      <c r="I23" s="674"/>
      <c r="J23" s="673"/>
      <c r="K23" s="673"/>
      <c r="L23" s="673"/>
      <c r="M23" s="673"/>
      <c r="N23" s="673"/>
      <c r="O23" s="673"/>
      <c r="P23" s="673"/>
      <c r="Q23" s="672"/>
      <c r="R23" s="704" t="str">
        <f t="shared" si="4"/>
        <v/>
      </c>
    </row>
    <row r="24" spans="1:18" x14ac:dyDescent="0.2">
      <c r="B24" t="str">
        <f ca="1">+$B$10</f>
        <v/>
      </c>
      <c r="G24" s="214"/>
      <c r="H24" s="214"/>
      <c r="I24" s="214"/>
      <c r="J24" s="214"/>
      <c r="K24" s="214"/>
      <c r="L24" s="214"/>
      <c r="M24" s="214"/>
      <c r="N24" s="214"/>
      <c r="O24" s="214"/>
      <c r="P24" s="214"/>
      <c r="Q24" s="214"/>
      <c r="R24" s="703" t="str">
        <f t="shared" si="4"/>
        <v/>
      </c>
    </row>
    <row r="25" spans="1:18" x14ac:dyDescent="0.2">
      <c r="B25" s="672" t="str">
        <f ca="1">+$B$11</f>
        <v/>
      </c>
      <c r="C25" s="672"/>
      <c r="D25" s="672"/>
      <c r="E25" s="672"/>
      <c r="F25" s="672"/>
      <c r="G25" s="673"/>
      <c r="H25" s="673"/>
      <c r="I25" s="673"/>
      <c r="J25" s="673"/>
      <c r="K25" s="673"/>
      <c r="L25" s="673"/>
      <c r="M25" s="673"/>
      <c r="N25" s="673"/>
      <c r="O25" s="673"/>
      <c r="P25" s="673"/>
      <c r="Q25" s="673"/>
      <c r="R25" s="704" t="str">
        <f t="shared" si="4"/>
        <v/>
      </c>
    </row>
    <row r="26" spans="1:18" x14ac:dyDescent="0.2">
      <c r="B26" t="str">
        <f ca="1">+$B$12</f>
        <v/>
      </c>
      <c r="G26" s="214"/>
      <c r="H26" s="214"/>
      <c r="I26" s="214"/>
      <c r="J26" s="214"/>
      <c r="K26" s="214"/>
      <c r="L26" s="214"/>
      <c r="M26" s="214"/>
      <c r="N26" s="214"/>
      <c r="O26" s="214"/>
      <c r="P26" s="214"/>
      <c r="Q26" s="214"/>
      <c r="R26" s="703" t="str">
        <f t="shared" si="4"/>
        <v/>
      </c>
    </row>
    <row r="27" spans="1:18" x14ac:dyDescent="0.2">
      <c r="B27" s="672" t="str">
        <f ca="1">+$B$13</f>
        <v/>
      </c>
      <c r="C27" s="672"/>
      <c r="D27" s="672"/>
      <c r="E27" s="672"/>
      <c r="F27" s="672"/>
      <c r="G27" s="673"/>
      <c r="H27" s="673"/>
      <c r="I27" s="673"/>
      <c r="J27" s="673"/>
      <c r="K27" s="673"/>
      <c r="L27" s="673"/>
      <c r="M27" s="673"/>
      <c r="N27" s="673"/>
      <c r="O27" s="673"/>
      <c r="P27" s="673"/>
      <c r="Q27" s="673"/>
      <c r="R27" s="704" t="str">
        <f t="shared" si="4"/>
        <v/>
      </c>
    </row>
    <row r="28" spans="1:18" x14ac:dyDescent="0.2">
      <c r="B28" t="str">
        <f ca="1">+$B$14</f>
        <v/>
      </c>
      <c r="G28" s="214"/>
      <c r="H28" s="214"/>
      <c r="I28" s="214"/>
      <c r="J28" s="214"/>
      <c r="K28" s="214"/>
      <c r="L28" s="214"/>
      <c r="M28" s="214"/>
      <c r="N28" s="214"/>
      <c r="O28" s="214"/>
      <c r="P28" s="214"/>
      <c r="Q28" s="214"/>
      <c r="R28" s="703" t="str">
        <f t="shared" si="4"/>
        <v/>
      </c>
    </row>
    <row r="29" spans="1:18" x14ac:dyDescent="0.2">
      <c r="B29" s="672" t="str">
        <f ca="1">+$B$15</f>
        <v/>
      </c>
      <c r="C29" s="672"/>
      <c r="D29" s="672"/>
      <c r="E29" s="672"/>
      <c r="F29" s="672"/>
      <c r="G29" s="673"/>
      <c r="H29" s="673"/>
      <c r="I29" s="673"/>
      <c r="J29" s="673"/>
      <c r="K29" s="673"/>
      <c r="L29" s="673"/>
      <c r="M29" s="673"/>
      <c r="N29" s="673"/>
      <c r="O29" s="673"/>
      <c r="P29" s="673"/>
      <c r="Q29" s="673"/>
      <c r="R29" s="704" t="str">
        <f t="shared" si="4"/>
        <v/>
      </c>
    </row>
    <row r="30" spans="1:18" x14ac:dyDescent="0.2">
      <c r="B30" t="str">
        <f ca="1">+$B$16</f>
        <v/>
      </c>
      <c r="G30" s="214"/>
      <c r="H30" s="214"/>
      <c r="I30" s="214"/>
      <c r="J30" s="214"/>
      <c r="K30" s="214"/>
      <c r="L30" s="214"/>
      <c r="M30" s="214"/>
      <c r="N30" s="214"/>
      <c r="O30" s="214"/>
      <c r="P30" s="214"/>
      <c r="Q30" s="214"/>
      <c r="R30" s="703" t="str">
        <f t="shared" si="4"/>
        <v/>
      </c>
    </row>
    <row r="31" spans="1:18" x14ac:dyDescent="0.2">
      <c r="G31" s="214"/>
      <c r="H31" s="214"/>
      <c r="I31" s="214"/>
      <c r="J31" s="214"/>
      <c r="K31" s="214"/>
      <c r="L31" s="214"/>
      <c r="M31" s="214"/>
      <c r="N31" s="214"/>
      <c r="O31" s="214"/>
      <c r="P31" s="214"/>
      <c r="Q31" s="214"/>
    </row>
    <row r="32" spans="1:18" ht="15.75" x14ac:dyDescent="0.25">
      <c r="A32" t="s">
        <v>306</v>
      </c>
      <c r="B32" s="234" t="s">
        <v>309</v>
      </c>
      <c r="C32" s="56"/>
      <c r="D32" s="56"/>
      <c r="E32" s="56"/>
      <c r="F32" s="56"/>
      <c r="G32" s="235">
        <v>2014</v>
      </c>
      <c r="H32" s="235">
        <f t="shared" ref="H32:Q32" si="5">+G32+1</f>
        <v>2015</v>
      </c>
      <c r="I32" s="235">
        <f t="shared" si="5"/>
        <v>2016</v>
      </c>
      <c r="J32" s="235">
        <f t="shared" si="5"/>
        <v>2017</v>
      </c>
      <c r="K32" s="235">
        <f t="shared" si="5"/>
        <v>2018</v>
      </c>
      <c r="L32" s="235">
        <f t="shared" si="5"/>
        <v>2019</v>
      </c>
      <c r="M32" s="235">
        <f t="shared" si="5"/>
        <v>2020</v>
      </c>
      <c r="N32" s="235">
        <f t="shared" si="5"/>
        <v>2021</v>
      </c>
      <c r="O32" s="235">
        <f t="shared" si="5"/>
        <v>2022</v>
      </c>
      <c r="P32" s="235">
        <f t="shared" si="5"/>
        <v>2023</v>
      </c>
      <c r="Q32" s="235">
        <f t="shared" si="5"/>
        <v>2024</v>
      </c>
      <c r="R32" s="58" t="str">
        <f>"CAGR "&amp;$G$4&amp;" - "&amp;$Q$4</f>
        <v>CAGR 2014 - 2024</v>
      </c>
    </row>
    <row r="33" spans="1:18" ht="3.75" customHeight="1" x14ac:dyDescent="0.2">
      <c r="B33" s="53"/>
      <c r="C33" s="53"/>
      <c r="D33" s="53"/>
      <c r="E33" s="53"/>
      <c r="F33" s="53"/>
      <c r="G33" s="236"/>
      <c r="H33" s="236"/>
      <c r="I33" s="236"/>
      <c r="J33" s="236"/>
      <c r="K33" s="236"/>
      <c r="L33" s="236"/>
      <c r="M33" s="236"/>
      <c r="N33" s="236"/>
      <c r="O33" s="236"/>
      <c r="P33" s="236"/>
      <c r="Q33" s="236"/>
      <c r="R33" s="60"/>
    </row>
    <row r="34" spans="1:18" x14ac:dyDescent="0.2">
      <c r="B34" t="str">
        <f ca="1">+$B$6</f>
        <v/>
      </c>
      <c r="G34" s="214"/>
      <c r="H34" s="214"/>
      <c r="I34" s="214"/>
      <c r="J34" s="214"/>
      <c r="K34" s="214"/>
      <c r="L34" s="214"/>
      <c r="M34" s="214"/>
      <c r="N34" s="214"/>
      <c r="O34" s="214"/>
      <c r="P34" s="214"/>
      <c r="Q34" s="214"/>
      <c r="R34" s="703" t="str">
        <f t="shared" ref="R34:R44" si="6">IFERROR((Q34/G34)^(1/COUNT($G$4:$Q$4))-1,"")</f>
        <v/>
      </c>
    </row>
    <row r="35" spans="1:18" x14ac:dyDescent="0.2">
      <c r="B35" s="672" t="str">
        <f ca="1">+$B$7</f>
        <v/>
      </c>
      <c r="C35" s="672"/>
      <c r="D35" s="672"/>
      <c r="E35" s="672"/>
      <c r="F35" s="672"/>
      <c r="G35" s="673"/>
      <c r="H35" s="673"/>
      <c r="I35" s="673"/>
      <c r="J35" s="673"/>
      <c r="K35" s="673"/>
      <c r="L35" s="673"/>
      <c r="M35" s="673"/>
      <c r="N35" s="673"/>
      <c r="O35" s="673"/>
      <c r="P35" s="673"/>
      <c r="Q35" s="673"/>
      <c r="R35" s="704" t="str">
        <f t="shared" si="6"/>
        <v/>
      </c>
    </row>
    <row r="36" spans="1:18" x14ac:dyDescent="0.2">
      <c r="B36" t="str">
        <f ca="1">+$B$8</f>
        <v/>
      </c>
      <c r="G36" s="214"/>
      <c r="H36" s="214"/>
      <c r="I36" s="214"/>
      <c r="J36" s="214"/>
      <c r="K36" s="214"/>
      <c r="L36" s="214"/>
      <c r="M36" s="214"/>
      <c r="N36" s="214"/>
      <c r="O36" s="214"/>
      <c r="P36" s="214"/>
      <c r="Q36" s="214"/>
      <c r="R36" s="703" t="str">
        <f t="shared" si="6"/>
        <v/>
      </c>
    </row>
    <row r="37" spans="1:18" x14ac:dyDescent="0.2">
      <c r="B37" s="672" t="str">
        <f ca="1">+$B$9</f>
        <v/>
      </c>
      <c r="C37" s="672"/>
      <c r="D37" s="672"/>
      <c r="E37" s="672"/>
      <c r="F37" s="672"/>
      <c r="G37" s="674"/>
      <c r="H37" s="674"/>
      <c r="I37" s="674"/>
      <c r="J37" s="674"/>
      <c r="K37" s="673"/>
      <c r="L37" s="673"/>
      <c r="M37" s="673"/>
      <c r="N37" s="673"/>
      <c r="O37" s="673"/>
      <c r="P37" s="673"/>
      <c r="Q37" s="672"/>
      <c r="R37" s="704" t="str">
        <f t="shared" si="6"/>
        <v/>
      </c>
    </row>
    <row r="38" spans="1:18" x14ac:dyDescent="0.2">
      <c r="B38" t="str">
        <f ca="1">+$B$10</f>
        <v/>
      </c>
      <c r="G38" s="214"/>
      <c r="H38" s="214"/>
      <c r="I38" s="214"/>
      <c r="J38" s="214"/>
      <c r="K38" s="214"/>
      <c r="L38" s="214"/>
      <c r="M38" s="214"/>
      <c r="N38" s="214"/>
      <c r="O38" s="214"/>
      <c r="P38" s="214"/>
      <c r="Q38" s="214"/>
      <c r="R38" s="703" t="str">
        <f t="shared" si="6"/>
        <v/>
      </c>
    </row>
    <row r="39" spans="1:18" x14ac:dyDescent="0.2">
      <c r="B39" s="672" t="str">
        <f ca="1">+$B$11</f>
        <v/>
      </c>
      <c r="C39" s="672"/>
      <c r="D39" s="672"/>
      <c r="E39" s="672"/>
      <c r="F39" s="672"/>
      <c r="G39" s="673"/>
      <c r="H39" s="673"/>
      <c r="I39" s="673"/>
      <c r="J39" s="673"/>
      <c r="K39" s="673"/>
      <c r="L39" s="673"/>
      <c r="M39" s="673"/>
      <c r="N39" s="673"/>
      <c r="O39" s="673"/>
      <c r="P39" s="673"/>
      <c r="Q39" s="673"/>
      <c r="R39" s="704" t="str">
        <f t="shared" si="6"/>
        <v/>
      </c>
    </row>
    <row r="40" spans="1:18" x14ac:dyDescent="0.2">
      <c r="B40" t="str">
        <f ca="1">+$B$12</f>
        <v/>
      </c>
      <c r="G40" s="214"/>
      <c r="H40" s="214"/>
      <c r="I40" s="214"/>
      <c r="J40" s="214"/>
      <c r="K40" s="214"/>
      <c r="L40" s="214"/>
      <c r="M40" s="214"/>
      <c r="N40" s="214"/>
      <c r="O40" s="214"/>
      <c r="P40" s="214"/>
      <c r="Q40" s="214"/>
      <c r="R40" s="703" t="str">
        <f t="shared" si="6"/>
        <v/>
      </c>
    </row>
    <row r="41" spans="1:18" x14ac:dyDescent="0.2">
      <c r="B41" s="672" t="str">
        <f ca="1">+$B$13</f>
        <v/>
      </c>
      <c r="C41" s="672"/>
      <c r="D41" s="672"/>
      <c r="E41" s="672"/>
      <c r="F41" s="672"/>
      <c r="G41" s="673"/>
      <c r="H41" s="673"/>
      <c r="I41" s="673"/>
      <c r="J41" s="673"/>
      <c r="K41" s="673"/>
      <c r="L41" s="673"/>
      <c r="M41" s="673"/>
      <c r="N41" s="673"/>
      <c r="O41" s="673"/>
      <c r="P41" s="673"/>
      <c r="Q41" s="673"/>
      <c r="R41" s="704" t="str">
        <f t="shared" si="6"/>
        <v/>
      </c>
    </row>
    <row r="42" spans="1:18" x14ac:dyDescent="0.2">
      <c r="B42" t="str">
        <f ca="1">+$B$14</f>
        <v/>
      </c>
      <c r="G42" s="214"/>
      <c r="H42" s="214"/>
      <c r="I42" s="214"/>
      <c r="J42" s="214"/>
      <c r="K42" s="214"/>
      <c r="L42" s="214"/>
      <c r="M42" s="214"/>
      <c r="N42" s="214"/>
      <c r="O42" s="214"/>
      <c r="P42" s="214"/>
      <c r="Q42" s="214"/>
      <c r="R42" s="703" t="str">
        <f t="shared" si="6"/>
        <v/>
      </c>
    </row>
    <row r="43" spans="1:18" x14ac:dyDescent="0.2">
      <c r="B43" s="672" t="str">
        <f ca="1">+$B$15</f>
        <v/>
      </c>
      <c r="C43" s="672"/>
      <c r="D43" s="672"/>
      <c r="E43" s="672"/>
      <c r="F43" s="672"/>
      <c r="G43" s="673"/>
      <c r="H43" s="673"/>
      <c r="I43" s="673"/>
      <c r="J43" s="673"/>
      <c r="K43" s="673"/>
      <c r="L43" s="673"/>
      <c r="M43" s="673"/>
      <c r="N43" s="673"/>
      <c r="O43" s="673"/>
      <c r="P43" s="673"/>
      <c r="Q43" s="673"/>
      <c r="R43" s="704" t="str">
        <f t="shared" si="6"/>
        <v/>
      </c>
    </row>
    <row r="44" spans="1:18" x14ac:dyDescent="0.2">
      <c r="B44" t="str">
        <f ca="1">+$B$16</f>
        <v/>
      </c>
      <c r="G44" s="214"/>
      <c r="H44" s="214"/>
      <c r="I44" s="214"/>
      <c r="J44" s="214"/>
      <c r="K44" s="214"/>
      <c r="L44" s="214"/>
      <c r="M44" s="214"/>
      <c r="N44" s="214"/>
      <c r="O44" s="214"/>
      <c r="P44" s="214"/>
      <c r="Q44" s="214"/>
      <c r="R44" s="703" t="str">
        <f t="shared" si="6"/>
        <v/>
      </c>
    </row>
    <row r="45" spans="1:18" x14ac:dyDescent="0.2">
      <c r="G45" s="214"/>
      <c r="H45" s="214"/>
      <c r="I45" s="214"/>
      <c r="J45" s="214"/>
      <c r="K45" s="214"/>
      <c r="L45" s="214"/>
      <c r="M45" s="214"/>
      <c r="N45" s="214"/>
      <c r="O45" s="214"/>
      <c r="P45" s="214"/>
      <c r="Q45" s="214"/>
    </row>
    <row r="46" spans="1:18" ht="15.75" x14ac:dyDescent="0.25">
      <c r="A46" t="s">
        <v>306</v>
      </c>
      <c r="B46" s="234" t="s">
        <v>310</v>
      </c>
      <c r="C46" s="56"/>
      <c r="D46" s="56"/>
      <c r="E46" s="56"/>
      <c r="F46" s="56"/>
      <c r="G46" s="235">
        <v>2014</v>
      </c>
      <c r="H46" s="235">
        <f t="shared" ref="H46:Q46" si="7">+G46+1</f>
        <v>2015</v>
      </c>
      <c r="I46" s="235">
        <f t="shared" si="7"/>
        <v>2016</v>
      </c>
      <c r="J46" s="235">
        <f t="shared" si="7"/>
        <v>2017</v>
      </c>
      <c r="K46" s="235">
        <f t="shared" si="7"/>
        <v>2018</v>
      </c>
      <c r="L46" s="235">
        <f t="shared" si="7"/>
        <v>2019</v>
      </c>
      <c r="M46" s="235">
        <f t="shared" si="7"/>
        <v>2020</v>
      </c>
      <c r="N46" s="235">
        <f t="shared" si="7"/>
        <v>2021</v>
      </c>
      <c r="O46" s="235">
        <f t="shared" si="7"/>
        <v>2022</v>
      </c>
      <c r="P46" s="235">
        <f t="shared" si="7"/>
        <v>2023</v>
      </c>
      <c r="Q46" s="235">
        <f t="shared" si="7"/>
        <v>2024</v>
      </c>
      <c r="R46" s="58" t="str">
        <f>"CAGR "&amp;$G$4&amp;" - "&amp;$Q$4</f>
        <v>CAGR 2014 - 2024</v>
      </c>
    </row>
    <row r="47" spans="1:18" ht="3.75" customHeight="1" x14ac:dyDescent="0.2">
      <c r="B47" s="53"/>
      <c r="C47" s="53"/>
      <c r="D47" s="53"/>
      <c r="E47" s="53"/>
      <c r="F47" s="53"/>
      <c r="G47" s="236"/>
      <c r="H47" s="236"/>
      <c r="I47" s="236"/>
      <c r="J47" s="236"/>
      <c r="K47" s="236"/>
      <c r="L47" s="236"/>
      <c r="M47" s="236"/>
      <c r="N47" s="236"/>
      <c r="O47" s="236"/>
      <c r="P47" s="236"/>
      <c r="Q47" s="236"/>
      <c r="R47" s="60"/>
    </row>
    <row r="48" spans="1:18" x14ac:dyDescent="0.2">
      <c r="B48" t="str">
        <f ca="1">+$B$6</f>
        <v/>
      </c>
      <c r="G48" s="214"/>
      <c r="H48" s="214"/>
      <c r="I48" s="214"/>
      <c r="J48" s="214"/>
      <c r="K48" s="214"/>
      <c r="L48" s="214"/>
      <c r="M48" s="214"/>
      <c r="N48" s="214"/>
      <c r="O48" s="214"/>
      <c r="P48" s="214"/>
      <c r="Q48" s="214"/>
      <c r="R48" s="703" t="str">
        <f t="shared" ref="R48:R58" si="8">IFERROR((Q48/G48)^(1/COUNT($G$4:$Q$4))-1,"")</f>
        <v/>
      </c>
    </row>
    <row r="49" spans="1:18" x14ac:dyDescent="0.2">
      <c r="B49" s="672" t="str">
        <f ca="1">+$B$7</f>
        <v/>
      </c>
      <c r="C49" s="672"/>
      <c r="D49" s="672"/>
      <c r="E49" s="672"/>
      <c r="F49" s="672"/>
      <c r="G49" s="673"/>
      <c r="H49" s="673"/>
      <c r="I49" s="673"/>
      <c r="J49" s="673"/>
      <c r="K49" s="673"/>
      <c r="L49" s="673"/>
      <c r="M49" s="673"/>
      <c r="N49" s="673"/>
      <c r="O49" s="673"/>
      <c r="P49" s="673"/>
      <c r="Q49" s="673"/>
      <c r="R49" s="704" t="str">
        <f t="shared" si="8"/>
        <v/>
      </c>
    </row>
    <row r="50" spans="1:18" x14ac:dyDescent="0.2">
      <c r="B50" t="str">
        <f ca="1">+$B$8</f>
        <v/>
      </c>
      <c r="G50" s="214"/>
      <c r="H50" s="214"/>
      <c r="I50" s="214"/>
      <c r="J50" s="214"/>
      <c r="K50" s="214"/>
      <c r="L50" s="214"/>
      <c r="M50" s="214"/>
      <c r="N50" s="214"/>
      <c r="O50" s="214"/>
      <c r="P50" s="214"/>
      <c r="Q50" s="214"/>
      <c r="R50" s="703" t="str">
        <f t="shared" si="8"/>
        <v/>
      </c>
    </row>
    <row r="51" spans="1:18" x14ac:dyDescent="0.2">
      <c r="B51" s="672" t="str">
        <f ca="1">+$B$9</f>
        <v/>
      </c>
      <c r="C51" s="672"/>
      <c r="D51" s="672"/>
      <c r="E51" s="672"/>
      <c r="F51" s="672"/>
      <c r="G51" s="673"/>
      <c r="H51" s="673"/>
      <c r="I51" s="673"/>
      <c r="J51" s="673"/>
      <c r="K51" s="673"/>
      <c r="L51" s="673"/>
      <c r="M51" s="673"/>
      <c r="N51" s="673"/>
      <c r="O51" s="673"/>
      <c r="P51" s="673"/>
      <c r="Q51" s="673"/>
      <c r="R51" s="704" t="str">
        <f t="shared" si="8"/>
        <v/>
      </c>
    </row>
    <row r="52" spans="1:18" x14ac:dyDescent="0.2">
      <c r="B52" t="str">
        <f ca="1">+$B$10</f>
        <v/>
      </c>
      <c r="G52" s="214"/>
      <c r="H52" s="214"/>
      <c r="I52" s="214"/>
      <c r="J52" s="214"/>
      <c r="K52" s="214"/>
      <c r="L52" s="214"/>
      <c r="M52" s="214"/>
      <c r="N52" s="214"/>
      <c r="O52" s="214"/>
      <c r="P52" s="214"/>
      <c r="Q52" s="214"/>
      <c r="R52" s="703" t="str">
        <f t="shared" si="8"/>
        <v/>
      </c>
    </row>
    <row r="53" spans="1:18" x14ac:dyDescent="0.2">
      <c r="B53" s="672" t="str">
        <f ca="1">+$B$11</f>
        <v/>
      </c>
      <c r="C53" s="672"/>
      <c r="D53" s="672"/>
      <c r="E53" s="672"/>
      <c r="F53" s="672"/>
      <c r="G53" s="673"/>
      <c r="H53" s="673"/>
      <c r="I53" s="673"/>
      <c r="J53" s="673"/>
      <c r="K53" s="673"/>
      <c r="L53" s="674"/>
      <c r="M53" s="674"/>
      <c r="N53" s="674"/>
      <c r="O53" s="674"/>
      <c r="P53" s="673"/>
      <c r="Q53" s="673"/>
      <c r="R53" s="704" t="str">
        <f t="shared" si="8"/>
        <v/>
      </c>
    </row>
    <row r="54" spans="1:18" x14ac:dyDescent="0.2">
      <c r="B54" t="str">
        <f ca="1">+$B$12</f>
        <v/>
      </c>
      <c r="G54" s="214"/>
      <c r="H54" s="214"/>
      <c r="I54" s="214"/>
      <c r="J54" s="214"/>
      <c r="K54" s="214"/>
      <c r="L54" s="214"/>
      <c r="M54" s="214"/>
      <c r="N54" s="214"/>
      <c r="O54" s="214"/>
      <c r="P54" s="214"/>
      <c r="Q54" s="214"/>
      <c r="R54" s="703" t="str">
        <f t="shared" si="8"/>
        <v/>
      </c>
    </row>
    <row r="55" spans="1:18" x14ac:dyDescent="0.2">
      <c r="B55" s="672" t="str">
        <f ca="1">+$B$13</f>
        <v/>
      </c>
      <c r="C55" s="672"/>
      <c r="D55" s="672"/>
      <c r="E55" s="672"/>
      <c r="F55" s="672"/>
      <c r="G55" s="673"/>
      <c r="H55" s="673"/>
      <c r="I55" s="673"/>
      <c r="J55" s="673"/>
      <c r="K55" s="673"/>
      <c r="L55" s="673"/>
      <c r="M55" s="673"/>
      <c r="N55" s="673"/>
      <c r="O55" s="673"/>
      <c r="P55" s="673"/>
      <c r="Q55" s="673"/>
      <c r="R55" s="704" t="str">
        <f t="shared" si="8"/>
        <v/>
      </c>
    </row>
    <row r="56" spans="1:18" x14ac:dyDescent="0.2">
      <c r="B56" t="str">
        <f ca="1">+$B$14</f>
        <v/>
      </c>
      <c r="G56" s="214"/>
      <c r="H56" s="214"/>
      <c r="I56" s="214"/>
      <c r="J56" s="214"/>
      <c r="K56" s="214"/>
      <c r="L56" s="214"/>
      <c r="M56" s="214"/>
      <c r="N56" s="214"/>
      <c r="O56" s="214"/>
      <c r="P56" s="214"/>
      <c r="Q56" s="214"/>
      <c r="R56" s="703" t="str">
        <f t="shared" si="8"/>
        <v/>
      </c>
    </row>
    <row r="57" spans="1:18" x14ac:dyDescent="0.2">
      <c r="B57" s="672" t="str">
        <f ca="1">+$B$15</f>
        <v/>
      </c>
      <c r="C57" s="672"/>
      <c r="D57" s="672"/>
      <c r="E57" s="672"/>
      <c r="F57" s="672"/>
      <c r="G57" s="673"/>
      <c r="H57" s="673"/>
      <c r="I57" s="673"/>
      <c r="J57" s="673"/>
      <c r="K57" s="673"/>
      <c r="L57" s="673"/>
      <c r="M57" s="673"/>
      <c r="N57" s="673"/>
      <c r="O57" s="673"/>
      <c r="P57" s="673"/>
      <c r="Q57" s="673"/>
      <c r="R57" s="704" t="str">
        <f t="shared" si="8"/>
        <v/>
      </c>
    </row>
    <row r="58" spans="1:18" x14ac:dyDescent="0.2">
      <c r="B58" t="str">
        <f ca="1">+$B$16</f>
        <v/>
      </c>
      <c r="G58" s="214"/>
      <c r="H58" s="214"/>
      <c r="I58" s="214"/>
      <c r="J58" s="214"/>
      <c r="K58" s="214"/>
      <c r="L58" s="214"/>
      <c r="M58" s="214"/>
      <c r="N58" s="214"/>
      <c r="O58" s="214"/>
      <c r="P58" s="214"/>
      <c r="Q58" s="214"/>
      <c r="R58" s="703" t="str">
        <f t="shared" si="8"/>
        <v/>
      </c>
    </row>
    <row r="60" spans="1:18" ht="15.75" x14ac:dyDescent="0.25">
      <c r="A60" t="s">
        <v>306</v>
      </c>
      <c r="B60" s="234" t="s">
        <v>311</v>
      </c>
      <c r="C60" s="56"/>
      <c r="D60" s="56"/>
      <c r="E60" s="56"/>
      <c r="F60" s="56"/>
      <c r="G60" s="235">
        <v>2014</v>
      </c>
      <c r="H60" s="235">
        <f t="shared" ref="H60:Q60" si="9">+G60+1</f>
        <v>2015</v>
      </c>
      <c r="I60" s="235">
        <f t="shared" si="9"/>
        <v>2016</v>
      </c>
      <c r="J60" s="235">
        <f t="shared" si="9"/>
        <v>2017</v>
      </c>
      <c r="K60" s="235">
        <f t="shared" si="9"/>
        <v>2018</v>
      </c>
      <c r="L60" s="235">
        <f t="shared" si="9"/>
        <v>2019</v>
      </c>
      <c r="M60" s="235">
        <f t="shared" si="9"/>
        <v>2020</v>
      </c>
      <c r="N60" s="235">
        <f t="shared" si="9"/>
        <v>2021</v>
      </c>
      <c r="O60" s="235">
        <f t="shared" si="9"/>
        <v>2022</v>
      </c>
      <c r="P60" s="235">
        <f t="shared" si="9"/>
        <v>2023</v>
      </c>
      <c r="Q60" s="235">
        <f t="shared" si="9"/>
        <v>2024</v>
      </c>
      <c r="R60" s="58" t="str">
        <f>"CAGR "&amp;$G$4&amp;" - "&amp;$Q$4</f>
        <v>CAGR 2014 - 2024</v>
      </c>
    </row>
    <row r="61" spans="1:18" ht="3.75" customHeight="1" x14ac:dyDescent="0.2">
      <c r="B61" s="53"/>
      <c r="C61" s="53"/>
      <c r="D61" s="53"/>
      <c r="E61" s="53"/>
      <c r="F61" s="53"/>
      <c r="G61" s="236"/>
      <c r="H61" s="236"/>
      <c r="I61" s="236"/>
      <c r="J61" s="236"/>
      <c r="K61" s="236"/>
      <c r="L61" s="236"/>
      <c r="M61" s="236"/>
      <c r="N61" s="236"/>
      <c r="O61" s="236"/>
      <c r="P61" s="236"/>
      <c r="Q61" s="236"/>
      <c r="R61" s="60"/>
    </row>
    <row r="62" spans="1:18" x14ac:dyDescent="0.2">
      <c r="B62" t="str">
        <f ca="1">+$B$6</f>
        <v/>
      </c>
      <c r="G62" s="214"/>
      <c r="H62" s="214"/>
      <c r="I62" s="214"/>
      <c r="J62" s="214"/>
      <c r="K62" s="214"/>
      <c r="L62" s="214"/>
      <c r="M62" s="214"/>
      <c r="N62" s="214"/>
      <c r="O62" s="214"/>
      <c r="P62" s="214"/>
      <c r="Q62" s="214"/>
      <c r="R62" s="703" t="str">
        <f t="shared" ref="R62:R72" si="10">IFERROR((Q62/G62)^(1/COUNT($G$4:$Q$4))-1,"")</f>
        <v/>
      </c>
    </row>
    <row r="63" spans="1:18" x14ac:dyDescent="0.2">
      <c r="B63" s="672" t="str">
        <f ca="1">+$B$7</f>
        <v/>
      </c>
      <c r="C63" s="672"/>
      <c r="D63" s="672"/>
      <c r="E63" s="672"/>
      <c r="F63" s="672"/>
      <c r="G63" s="673"/>
      <c r="H63" s="673"/>
      <c r="I63" s="673"/>
      <c r="J63" s="673"/>
      <c r="K63" s="673"/>
      <c r="L63" s="673"/>
      <c r="M63" s="673"/>
      <c r="N63" s="673"/>
      <c r="O63" s="673"/>
      <c r="P63" s="673"/>
      <c r="Q63" s="673"/>
      <c r="R63" s="704" t="str">
        <f t="shared" si="10"/>
        <v/>
      </c>
    </row>
    <row r="64" spans="1:18" x14ac:dyDescent="0.2">
      <c r="B64" t="str">
        <f ca="1">+$B$8</f>
        <v/>
      </c>
      <c r="G64" s="671"/>
      <c r="H64" s="214"/>
      <c r="I64" s="214"/>
      <c r="J64" s="214"/>
      <c r="K64" s="214"/>
      <c r="L64" s="214"/>
      <c r="M64" s="214"/>
      <c r="N64" s="214"/>
      <c r="O64" s="214"/>
      <c r="P64" s="214"/>
      <c r="Q64" s="214"/>
      <c r="R64" s="703" t="str">
        <f t="shared" si="10"/>
        <v/>
      </c>
    </row>
    <row r="65" spans="1:18" x14ac:dyDescent="0.2">
      <c r="B65" s="672" t="str">
        <f ca="1">+$B$9</f>
        <v/>
      </c>
      <c r="C65" s="672"/>
      <c r="D65" s="672"/>
      <c r="E65" s="672"/>
      <c r="F65" s="672"/>
      <c r="G65" s="673"/>
      <c r="H65" s="673"/>
      <c r="I65" s="673"/>
      <c r="J65" s="673"/>
      <c r="K65" s="673"/>
      <c r="L65" s="673"/>
      <c r="M65" s="672"/>
      <c r="N65" s="672"/>
      <c r="O65" s="672"/>
      <c r="P65" s="672"/>
      <c r="Q65" s="672"/>
      <c r="R65" s="704" t="str">
        <f t="shared" si="10"/>
        <v/>
      </c>
    </row>
    <row r="66" spans="1:18" x14ac:dyDescent="0.2">
      <c r="B66" t="str">
        <f ca="1">+$B$10</f>
        <v/>
      </c>
      <c r="G66" s="214"/>
      <c r="H66" s="214"/>
      <c r="I66" s="214"/>
      <c r="J66" s="214"/>
      <c r="K66" s="214"/>
      <c r="L66" s="214"/>
      <c r="M66" s="214"/>
      <c r="N66" s="214"/>
      <c r="O66" s="214"/>
      <c r="P66" s="214"/>
      <c r="Q66" s="214"/>
      <c r="R66" s="703" t="str">
        <f t="shared" si="10"/>
        <v/>
      </c>
    </row>
    <row r="67" spans="1:18" x14ac:dyDescent="0.2">
      <c r="B67" s="672" t="str">
        <f ca="1">+$B$11</f>
        <v/>
      </c>
      <c r="C67" s="672"/>
      <c r="D67" s="672"/>
      <c r="E67" s="672"/>
      <c r="F67" s="672"/>
      <c r="G67" s="673"/>
      <c r="H67" s="673"/>
      <c r="I67" s="673"/>
      <c r="J67" s="673"/>
      <c r="K67" s="673"/>
      <c r="L67" s="673"/>
      <c r="M67" s="673"/>
      <c r="N67" s="673"/>
      <c r="O67" s="673"/>
      <c r="P67" s="673"/>
      <c r="Q67" s="673"/>
      <c r="R67" s="704" t="str">
        <f t="shared" si="10"/>
        <v/>
      </c>
    </row>
    <row r="68" spans="1:18" x14ac:dyDescent="0.2">
      <c r="B68" t="str">
        <f ca="1">+$B$12</f>
        <v/>
      </c>
      <c r="G68" s="214"/>
      <c r="H68" s="214"/>
      <c r="I68" s="214"/>
      <c r="J68" s="214"/>
      <c r="K68" s="214"/>
      <c r="L68" s="214"/>
      <c r="M68" s="214"/>
      <c r="N68" s="214"/>
      <c r="O68" s="214"/>
      <c r="P68" s="214"/>
      <c r="Q68" s="214"/>
      <c r="R68" s="703" t="str">
        <f t="shared" si="10"/>
        <v/>
      </c>
    </row>
    <row r="69" spans="1:18" x14ac:dyDescent="0.2">
      <c r="B69" s="672" t="str">
        <f ca="1">+$B$13</f>
        <v/>
      </c>
      <c r="C69" s="672"/>
      <c r="D69" s="672"/>
      <c r="E69" s="672"/>
      <c r="F69" s="672"/>
      <c r="G69" s="673"/>
      <c r="H69" s="673"/>
      <c r="I69" s="673"/>
      <c r="J69" s="673"/>
      <c r="K69" s="673"/>
      <c r="L69" s="673"/>
      <c r="M69" s="673"/>
      <c r="N69" s="673"/>
      <c r="O69" s="673"/>
      <c r="P69" s="673"/>
      <c r="Q69" s="673"/>
      <c r="R69" s="704" t="str">
        <f t="shared" si="10"/>
        <v/>
      </c>
    </row>
    <row r="70" spans="1:18" x14ac:dyDescent="0.2">
      <c r="B70" t="str">
        <f ca="1">+$B$14</f>
        <v/>
      </c>
      <c r="G70" s="214"/>
      <c r="H70" s="214"/>
      <c r="I70" s="214"/>
      <c r="J70" s="214"/>
      <c r="K70" s="214"/>
      <c r="L70" s="214"/>
      <c r="M70" s="214"/>
      <c r="N70" s="214"/>
      <c r="O70" s="214"/>
      <c r="P70" s="214"/>
      <c r="Q70" s="214"/>
      <c r="R70" s="703" t="str">
        <f t="shared" si="10"/>
        <v/>
      </c>
    </row>
    <row r="71" spans="1:18" x14ac:dyDescent="0.2">
      <c r="B71" s="672" t="str">
        <f ca="1">+$B$15</f>
        <v/>
      </c>
      <c r="C71" s="672"/>
      <c r="D71" s="672"/>
      <c r="E71" s="672"/>
      <c r="F71" s="672"/>
      <c r="G71" s="673"/>
      <c r="H71" s="673"/>
      <c r="I71" s="673"/>
      <c r="J71" s="673"/>
      <c r="K71" s="673"/>
      <c r="L71" s="673"/>
      <c r="M71" s="673"/>
      <c r="N71" s="673"/>
      <c r="O71" s="673"/>
      <c r="P71" s="673"/>
      <c r="Q71" s="673"/>
      <c r="R71" s="704" t="str">
        <f t="shared" si="10"/>
        <v/>
      </c>
    </row>
    <row r="72" spans="1:18" x14ac:dyDescent="0.2">
      <c r="B72" t="str">
        <f ca="1">+$B$16</f>
        <v/>
      </c>
      <c r="G72" s="214"/>
      <c r="H72" s="214"/>
      <c r="I72" s="214"/>
      <c r="J72" s="214"/>
      <c r="K72" s="214"/>
      <c r="L72" s="214"/>
      <c r="M72" s="214"/>
      <c r="N72" s="214"/>
      <c r="O72" s="214"/>
      <c r="P72" s="214"/>
      <c r="Q72" s="214"/>
      <c r="R72" s="703" t="str">
        <f t="shared" si="10"/>
        <v/>
      </c>
    </row>
    <row r="73" spans="1:18" x14ac:dyDescent="0.2">
      <c r="G73" s="214"/>
      <c r="H73" s="214"/>
      <c r="I73" s="214"/>
      <c r="J73" s="214"/>
      <c r="K73" s="214"/>
      <c r="L73" s="214"/>
      <c r="M73" s="214"/>
      <c r="N73" s="214"/>
      <c r="O73" s="214"/>
      <c r="P73" s="214"/>
      <c r="Q73" s="214"/>
    </row>
    <row r="74" spans="1:18" ht="15.75" x14ac:dyDescent="0.25">
      <c r="A74" t="s">
        <v>306</v>
      </c>
      <c r="B74" s="234" t="s">
        <v>312</v>
      </c>
      <c r="C74" s="56"/>
      <c r="D74" s="56"/>
      <c r="E74" s="56"/>
      <c r="F74" s="56"/>
      <c r="G74" s="235">
        <v>2014</v>
      </c>
      <c r="H74" s="235">
        <f t="shared" ref="H74" si="11">+G74+1</f>
        <v>2015</v>
      </c>
      <c r="I74" s="235">
        <f t="shared" ref="I74" si="12">+H74+1</f>
        <v>2016</v>
      </c>
      <c r="J74" s="235">
        <f t="shared" ref="J74" si="13">+I74+1</f>
        <v>2017</v>
      </c>
      <c r="K74" s="235">
        <f t="shared" ref="K74" si="14">+J74+1</f>
        <v>2018</v>
      </c>
      <c r="L74" s="235">
        <f t="shared" ref="L74" si="15">+K74+1</f>
        <v>2019</v>
      </c>
      <c r="M74" s="235">
        <f t="shared" ref="M74" si="16">+L74+1</f>
        <v>2020</v>
      </c>
      <c r="N74" s="235">
        <f t="shared" ref="N74" si="17">+M74+1</f>
        <v>2021</v>
      </c>
      <c r="O74" s="235">
        <f t="shared" ref="O74" si="18">+N74+1</f>
        <v>2022</v>
      </c>
      <c r="P74" s="235">
        <f t="shared" ref="P74" si="19">+O74+1</f>
        <v>2023</v>
      </c>
      <c r="Q74" s="235">
        <f t="shared" ref="Q74" si="20">+P74+1</f>
        <v>2024</v>
      </c>
      <c r="R74" s="58" t="str">
        <f>"CAGR "&amp;$G$4&amp;" - "&amp;$Q$4</f>
        <v>CAGR 2014 - 2024</v>
      </c>
    </row>
    <row r="75" spans="1:18" ht="3.95" customHeight="1" x14ac:dyDescent="0.2">
      <c r="B75" s="53"/>
      <c r="C75" s="53"/>
      <c r="D75" s="53"/>
      <c r="E75" s="53"/>
      <c r="F75" s="53"/>
      <c r="G75" s="236"/>
      <c r="H75" s="236"/>
      <c r="I75" s="236"/>
      <c r="J75" s="236"/>
      <c r="K75" s="236"/>
      <c r="L75" s="236"/>
      <c r="M75" s="236"/>
      <c r="N75" s="236"/>
      <c r="O75" s="236"/>
      <c r="P75" s="236"/>
      <c r="Q75" s="236"/>
      <c r="R75" s="60"/>
    </row>
    <row r="76" spans="1:18" x14ac:dyDescent="0.2">
      <c r="B76" t="str">
        <f ca="1">+$B$6</f>
        <v/>
      </c>
      <c r="G76" s="10">
        <f>+G6+G20</f>
        <v>0</v>
      </c>
      <c r="H76" s="10">
        <f t="shared" ref="H76:Q76" si="21">+H6+H20</f>
        <v>0</v>
      </c>
      <c r="I76" s="10">
        <f t="shared" si="21"/>
        <v>0</v>
      </c>
      <c r="J76" s="10">
        <f t="shared" si="21"/>
        <v>0</v>
      </c>
      <c r="K76" s="10">
        <f t="shared" si="21"/>
        <v>0</v>
      </c>
      <c r="L76" s="10">
        <f t="shared" si="21"/>
        <v>0</v>
      </c>
      <c r="M76" s="10">
        <f t="shared" si="21"/>
        <v>0</v>
      </c>
      <c r="N76" s="10">
        <f t="shared" si="21"/>
        <v>0</v>
      </c>
      <c r="O76" s="10">
        <f t="shared" si="21"/>
        <v>0</v>
      </c>
      <c r="P76" s="10">
        <f t="shared" si="21"/>
        <v>0</v>
      </c>
      <c r="Q76" s="10">
        <f t="shared" si="21"/>
        <v>0</v>
      </c>
      <c r="R76" s="703" t="str">
        <f t="shared" ref="R76:R86" si="22">IFERROR((Q76/G76)^(1/COUNT($G$4:$Q$4))-1,"")</f>
        <v/>
      </c>
    </row>
    <row r="77" spans="1:18" x14ac:dyDescent="0.2">
      <c r="B77" s="672" t="str">
        <f ca="1">+$B$7</f>
        <v/>
      </c>
      <c r="C77" s="672"/>
      <c r="D77" s="672"/>
      <c r="E77" s="672"/>
      <c r="F77" s="672"/>
      <c r="G77" s="701">
        <f t="shared" ref="G77:Q77" si="23">+G7+G21</f>
        <v>0</v>
      </c>
      <c r="H77" s="701">
        <f t="shared" si="23"/>
        <v>0</v>
      </c>
      <c r="I77" s="701">
        <f t="shared" si="23"/>
        <v>0</v>
      </c>
      <c r="J77" s="701">
        <f t="shared" si="23"/>
        <v>0</v>
      </c>
      <c r="K77" s="701">
        <f t="shared" si="23"/>
        <v>0</v>
      </c>
      <c r="L77" s="701">
        <f t="shared" si="23"/>
        <v>0</v>
      </c>
      <c r="M77" s="701">
        <f t="shared" si="23"/>
        <v>0</v>
      </c>
      <c r="N77" s="701">
        <f t="shared" si="23"/>
        <v>0</v>
      </c>
      <c r="O77" s="701">
        <f t="shared" si="23"/>
        <v>0</v>
      </c>
      <c r="P77" s="701">
        <f t="shared" si="23"/>
        <v>0</v>
      </c>
      <c r="Q77" s="701">
        <f t="shared" si="23"/>
        <v>0</v>
      </c>
      <c r="R77" s="704" t="str">
        <f t="shared" si="22"/>
        <v/>
      </c>
    </row>
    <row r="78" spans="1:18" x14ac:dyDescent="0.2">
      <c r="B78" t="str">
        <f ca="1">+$B$8</f>
        <v/>
      </c>
      <c r="G78" s="769">
        <f t="shared" ref="G78:Q78" si="24">+G8+G22</f>
        <v>0</v>
      </c>
      <c r="H78" s="10">
        <f t="shared" si="24"/>
        <v>0</v>
      </c>
      <c r="I78" s="10">
        <f t="shared" si="24"/>
        <v>0</v>
      </c>
      <c r="J78" s="10">
        <f t="shared" si="24"/>
        <v>0</v>
      </c>
      <c r="K78" s="10">
        <f t="shared" si="24"/>
        <v>0</v>
      </c>
      <c r="L78" s="10">
        <f t="shared" si="24"/>
        <v>0</v>
      </c>
      <c r="M78" s="10">
        <f t="shared" si="24"/>
        <v>0</v>
      </c>
      <c r="N78" s="10">
        <f t="shared" si="24"/>
        <v>0</v>
      </c>
      <c r="O78" s="10">
        <f t="shared" si="24"/>
        <v>0</v>
      </c>
      <c r="P78" s="10">
        <f t="shared" si="24"/>
        <v>0</v>
      </c>
      <c r="Q78" s="10">
        <f t="shared" si="24"/>
        <v>0</v>
      </c>
      <c r="R78" s="703" t="str">
        <f t="shared" si="22"/>
        <v/>
      </c>
    </row>
    <row r="79" spans="1:18" x14ac:dyDescent="0.2">
      <c r="B79" s="672" t="str">
        <f ca="1">+$B$9</f>
        <v/>
      </c>
      <c r="C79" s="672"/>
      <c r="D79" s="672"/>
      <c r="E79" s="672"/>
      <c r="F79" s="672"/>
      <c r="G79" s="701">
        <f t="shared" ref="G79:Q79" si="25">+G9+G23</f>
        <v>0</v>
      </c>
      <c r="H79" s="701">
        <f t="shared" si="25"/>
        <v>0</v>
      </c>
      <c r="I79" s="701">
        <f t="shared" si="25"/>
        <v>0</v>
      </c>
      <c r="J79" s="701">
        <f t="shared" si="25"/>
        <v>0</v>
      </c>
      <c r="K79" s="701">
        <f t="shared" si="25"/>
        <v>0</v>
      </c>
      <c r="L79" s="701">
        <f t="shared" si="25"/>
        <v>0</v>
      </c>
      <c r="M79" s="701">
        <f t="shared" si="25"/>
        <v>0</v>
      </c>
      <c r="N79" s="701">
        <f t="shared" si="25"/>
        <v>0</v>
      </c>
      <c r="O79" s="701">
        <f t="shared" si="25"/>
        <v>0</v>
      </c>
      <c r="P79" s="701">
        <f t="shared" si="25"/>
        <v>0</v>
      </c>
      <c r="Q79" s="701">
        <f t="shared" si="25"/>
        <v>0</v>
      </c>
      <c r="R79" s="704" t="str">
        <f t="shared" si="22"/>
        <v/>
      </c>
    </row>
    <row r="80" spans="1:18" x14ac:dyDescent="0.2">
      <c r="B80" t="str">
        <f ca="1">+$B$10</f>
        <v/>
      </c>
      <c r="G80" s="10">
        <f t="shared" ref="G80:Q80" si="26">+G10+G24</f>
        <v>0</v>
      </c>
      <c r="H80" s="10">
        <f t="shared" si="26"/>
        <v>0</v>
      </c>
      <c r="I80" s="10">
        <f t="shared" si="26"/>
        <v>0</v>
      </c>
      <c r="J80" s="10">
        <f t="shared" si="26"/>
        <v>0</v>
      </c>
      <c r="K80" s="10">
        <f t="shared" si="26"/>
        <v>0</v>
      </c>
      <c r="L80" s="10">
        <f t="shared" si="26"/>
        <v>0</v>
      </c>
      <c r="M80" s="10">
        <f t="shared" si="26"/>
        <v>0</v>
      </c>
      <c r="N80" s="10">
        <f t="shared" si="26"/>
        <v>0</v>
      </c>
      <c r="O80" s="10">
        <f t="shared" si="26"/>
        <v>0</v>
      </c>
      <c r="P80" s="10">
        <f t="shared" si="26"/>
        <v>0</v>
      </c>
      <c r="Q80" s="10">
        <f t="shared" si="26"/>
        <v>0</v>
      </c>
      <c r="R80" s="703" t="str">
        <f t="shared" si="22"/>
        <v/>
      </c>
    </row>
    <row r="81" spans="2:18" x14ac:dyDescent="0.2">
      <c r="B81" s="672" t="str">
        <f ca="1">+$B$11</f>
        <v/>
      </c>
      <c r="C81" s="672"/>
      <c r="D81" s="672"/>
      <c r="E81" s="672"/>
      <c r="F81" s="672"/>
      <c r="G81" s="701">
        <f t="shared" ref="G81:Q81" si="27">+G11+G25</f>
        <v>0</v>
      </c>
      <c r="H81" s="701">
        <f t="shared" si="27"/>
        <v>0</v>
      </c>
      <c r="I81" s="701">
        <f t="shared" si="27"/>
        <v>0</v>
      </c>
      <c r="J81" s="701">
        <f t="shared" si="27"/>
        <v>0</v>
      </c>
      <c r="K81" s="701">
        <f t="shared" si="27"/>
        <v>0</v>
      </c>
      <c r="L81" s="701">
        <f t="shared" si="27"/>
        <v>0</v>
      </c>
      <c r="M81" s="701">
        <f t="shared" si="27"/>
        <v>0</v>
      </c>
      <c r="N81" s="701">
        <f t="shared" si="27"/>
        <v>0</v>
      </c>
      <c r="O81" s="701">
        <f t="shared" si="27"/>
        <v>0</v>
      </c>
      <c r="P81" s="701">
        <f t="shared" si="27"/>
        <v>0</v>
      </c>
      <c r="Q81" s="701">
        <f t="shared" si="27"/>
        <v>0</v>
      </c>
      <c r="R81" s="704" t="str">
        <f t="shared" si="22"/>
        <v/>
      </c>
    </row>
    <row r="82" spans="2:18" x14ac:dyDescent="0.2">
      <c r="B82" t="str">
        <f ca="1">+$B$12</f>
        <v/>
      </c>
      <c r="G82" s="10">
        <f t="shared" ref="G82:Q82" si="28">+G12+G26</f>
        <v>0</v>
      </c>
      <c r="H82" s="10">
        <f t="shared" si="28"/>
        <v>0</v>
      </c>
      <c r="I82" s="10">
        <f t="shared" si="28"/>
        <v>0</v>
      </c>
      <c r="J82" s="10">
        <f t="shared" si="28"/>
        <v>0</v>
      </c>
      <c r="K82" s="10">
        <f t="shared" si="28"/>
        <v>0</v>
      </c>
      <c r="L82" s="10">
        <f t="shared" si="28"/>
        <v>0</v>
      </c>
      <c r="M82" s="10">
        <f t="shared" si="28"/>
        <v>0</v>
      </c>
      <c r="N82" s="10">
        <f t="shared" si="28"/>
        <v>0</v>
      </c>
      <c r="O82" s="10">
        <f t="shared" si="28"/>
        <v>0</v>
      </c>
      <c r="P82" s="10">
        <f t="shared" si="28"/>
        <v>0</v>
      </c>
      <c r="Q82" s="10">
        <f t="shared" si="28"/>
        <v>0</v>
      </c>
      <c r="R82" s="703" t="str">
        <f t="shared" si="22"/>
        <v/>
      </c>
    </row>
    <row r="83" spans="2:18" x14ac:dyDescent="0.2">
      <c r="B83" s="672" t="str">
        <f ca="1">+$B$13</f>
        <v/>
      </c>
      <c r="C83" s="672"/>
      <c r="D83" s="672"/>
      <c r="E83" s="672"/>
      <c r="F83" s="672"/>
      <c r="G83" s="701">
        <f t="shared" ref="G83:Q83" si="29">+G13+G27</f>
        <v>0</v>
      </c>
      <c r="H83" s="701">
        <f t="shared" si="29"/>
        <v>0</v>
      </c>
      <c r="I83" s="701">
        <f t="shared" si="29"/>
        <v>0</v>
      </c>
      <c r="J83" s="701">
        <f t="shared" si="29"/>
        <v>0</v>
      </c>
      <c r="K83" s="701">
        <f t="shared" si="29"/>
        <v>0</v>
      </c>
      <c r="L83" s="701">
        <f t="shared" si="29"/>
        <v>0</v>
      </c>
      <c r="M83" s="701">
        <f t="shared" si="29"/>
        <v>0</v>
      </c>
      <c r="N83" s="701">
        <f t="shared" si="29"/>
        <v>0</v>
      </c>
      <c r="O83" s="701">
        <f t="shared" si="29"/>
        <v>0</v>
      </c>
      <c r="P83" s="701">
        <f t="shared" si="29"/>
        <v>0</v>
      </c>
      <c r="Q83" s="701">
        <f t="shared" si="29"/>
        <v>0</v>
      </c>
      <c r="R83" s="704" t="str">
        <f t="shared" si="22"/>
        <v/>
      </c>
    </row>
    <row r="84" spans="2:18" x14ac:dyDescent="0.2">
      <c r="B84" t="str">
        <f ca="1">+$B$14</f>
        <v/>
      </c>
      <c r="G84" s="10">
        <f t="shared" ref="G84:Q84" si="30">+G14+G28</f>
        <v>0</v>
      </c>
      <c r="H84" s="10">
        <f t="shared" si="30"/>
        <v>0</v>
      </c>
      <c r="I84" s="10">
        <f t="shared" si="30"/>
        <v>0</v>
      </c>
      <c r="J84" s="10">
        <f t="shared" si="30"/>
        <v>0</v>
      </c>
      <c r="K84" s="10">
        <f t="shared" si="30"/>
        <v>0</v>
      </c>
      <c r="L84" s="10">
        <f t="shared" si="30"/>
        <v>0</v>
      </c>
      <c r="M84" s="10">
        <f t="shared" si="30"/>
        <v>0</v>
      </c>
      <c r="N84" s="10">
        <f t="shared" si="30"/>
        <v>0</v>
      </c>
      <c r="O84" s="10">
        <f t="shared" si="30"/>
        <v>0</v>
      </c>
      <c r="P84" s="10">
        <f t="shared" si="30"/>
        <v>0</v>
      </c>
      <c r="Q84" s="10">
        <f t="shared" si="30"/>
        <v>0</v>
      </c>
      <c r="R84" s="703" t="str">
        <f t="shared" si="22"/>
        <v/>
      </c>
    </row>
    <row r="85" spans="2:18" x14ac:dyDescent="0.2">
      <c r="B85" s="672" t="str">
        <f ca="1">+$B$15</f>
        <v/>
      </c>
      <c r="C85" s="672"/>
      <c r="D85" s="672"/>
      <c r="E85" s="672"/>
      <c r="F85" s="672"/>
      <c r="G85" s="701">
        <f t="shared" ref="G85:Q85" si="31">+G15+G29</f>
        <v>0</v>
      </c>
      <c r="H85" s="701">
        <f t="shared" si="31"/>
        <v>0</v>
      </c>
      <c r="I85" s="701">
        <f t="shared" si="31"/>
        <v>0</v>
      </c>
      <c r="J85" s="701">
        <f t="shared" si="31"/>
        <v>0</v>
      </c>
      <c r="K85" s="701">
        <f t="shared" si="31"/>
        <v>0</v>
      </c>
      <c r="L85" s="701">
        <f t="shared" si="31"/>
        <v>0</v>
      </c>
      <c r="M85" s="701">
        <f t="shared" si="31"/>
        <v>0</v>
      </c>
      <c r="N85" s="701">
        <f t="shared" si="31"/>
        <v>0</v>
      </c>
      <c r="O85" s="701">
        <f t="shared" si="31"/>
        <v>0</v>
      </c>
      <c r="P85" s="701">
        <f t="shared" si="31"/>
        <v>0</v>
      </c>
      <c r="Q85" s="701">
        <f t="shared" si="31"/>
        <v>0</v>
      </c>
      <c r="R85" s="704" t="str">
        <f t="shared" si="22"/>
        <v/>
      </c>
    </row>
    <row r="86" spans="2:18" x14ac:dyDescent="0.2">
      <c r="B86" t="str">
        <f ca="1">+$B$16</f>
        <v/>
      </c>
      <c r="G86" s="10">
        <f t="shared" ref="G86:Q86" si="32">+G16+G30</f>
        <v>0</v>
      </c>
      <c r="H86" s="10">
        <f t="shared" si="32"/>
        <v>0</v>
      </c>
      <c r="I86" s="10">
        <f t="shared" si="32"/>
        <v>0</v>
      </c>
      <c r="J86" s="10">
        <f t="shared" si="32"/>
        <v>0</v>
      </c>
      <c r="K86" s="10">
        <f t="shared" si="32"/>
        <v>0</v>
      </c>
      <c r="L86" s="10">
        <f t="shared" si="32"/>
        <v>0</v>
      </c>
      <c r="M86" s="10">
        <f t="shared" si="32"/>
        <v>0</v>
      </c>
      <c r="N86" s="10">
        <f t="shared" si="32"/>
        <v>0</v>
      </c>
      <c r="O86" s="10">
        <f t="shared" si="32"/>
        <v>0</v>
      </c>
      <c r="P86" s="10">
        <f t="shared" si="32"/>
        <v>0</v>
      </c>
      <c r="Q86" s="10">
        <f t="shared" si="32"/>
        <v>0</v>
      </c>
      <c r="R86" s="703" t="str">
        <f t="shared" si="22"/>
        <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2:AW1773"/>
  <sheetViews>
    <sheetView showGridLines="0" zoomScale="106" zoomScaleNormal="106" workbookViewId="0">
      <selection activeCell="R5" sqref="R5"/>
    </sheetView>
  </sheetViews>
  <sheetFormatPr defaultColWidth="9" defaultRowHeight="15" customHeight="1" x14ac:dyDescent="0.2"/>
  <cols>
    <col min="1" max="1" width="2.375" style="132" customWidth="1"/>
    <col min="2" max="2" width="45" style="132" customWidth="1"/>
    <col min="3" max="3" width="14" style="132" customWidth="1"/>
    <col min="4" max="4" width="3.5" style="132" customWidth="1"/>
    <col min="5" max="7" width="13.375" style="132" customWidth="1"/>
    <col min="8" max="17" width="12.875" style="132" customWidth="1"/>
    <col min="18" max="18" width="11.75" style="132" customWidth="1"/>
    <col min="19" max="19" width="29.25" style="132" customWidth="1"/>
    <col min="20" max="20" width="16.625" style="132" customWidth="1"/>
    <col min="21" max="21" width="32.125" style="132" hidden="1" customWidth="1"/>
    <col min="22" max="22" width="11.125" style="132" hidden="1" customWidth="1"/>
    <col min="23" max="35" width="9" style="132" hidden="1" customWidth="1"/>
    <col min="36" max="37" width="9" style="132" customWidth="1"/>
    <col min="38" max="38" width="8.625" style="132" customWidth="1"/>
    <col min="39" max="39" width="2.625" style="132" customWidth="1"/>
    <col min="40" max="16384" width="9" style="132"/>
  </cols>
  <sheetData>
    <row r="2" spans="1:36" s="41" customFormat="1" ht="20.100000000000001" customHeight="1" x14ac:dyDescent="0.3">
      <c r="B2" s="40" t="s">
        <v>313</v>
      </c>
    </row>
    <row r="4" spans="1:36" ht="15.75" x14ac:dyDescent="0.25">
      <c r="A4" s="132" t="s">
        <v>306</v>
      </c>
      <c r="B4" s="52" t="s">
        <v>314</v>
      </c>
      <c r="C4" s="56"/>
      <c r="D4" s="56"/>
      <c r="E4" s="56"/>
      <c r="F4" s="56"/>
      <c r="G4" s="56"/>
      <c r="H4" s="56"/>
      <c r="I4" s="56"/>
      <c r="J4" s="56"/>
      <c r="K4" s="56"/>
      <c r="L4" s="56"/>
      <c r="M4" s="56"/>
      <c r="N4" s="56"/>
      <c r="O4" s="56"/>
      <c r="P4" s="56"/>
      <c r="Q4" s="56"/>
      <c r="R4" s="779"/>
      <c r="S4" s="414" t="s">
        <v>514</v>
      </c>
      <c r="T4" s="133"/>
      <c r="U4" s="133"/>
    </row>
    <row r="5" spans="1:36" ht="3.95" customHeight="1" x14ac:dyDescent="0.25">
      <c r="B5" s="134"/>
      <c r="C5" s="135"/>
      <c r="D5" s="135"/>
      <c r="E5" s="135"/>
      <c r="F5" s="135"/>
      <c r="G5" s="135"/>
      <c r="H5" s="135"/>
      <c r="I5" s="135"/>
      <c r="J5" s="135"/>
      <c r="K5" s="135"/>
      <c r="L5" s="135"/>
      <c r="M5" s="135"/>
      <c r="N5" s="135"/>
      <c r="O5" s="135"/>
      <c r="P5" s="135"/>
      <c r="Q5" s="135"/>
      <c r="S5" s="133"/>
      <c r="T5" s="133"/>
      <c r="U5" s="133"/>
    </row>
    <row r="6" spans="1:36" ht="15.75" x14ac:dyDescent="0.25">
      <c r="B6" s="136" t="s">
        <v>315</v>
      </c>
      <c r="C6" s="137"/>
      <c r="D6" s="137"/>
      <c r="E6" s="136" t="s">
        <v>316</v>
      </c>
      <c r="F6" s="137"/>
      <c r="G6" s="137"/>
      <c r="H6" s="136" t="s">
        <v>317</v>
      </c>
      <c r="J6" s="137"/>
      <c r="K6" s="136" t="s">
        <v>318</v>
      </c>
      <c r="L6" s="137"/>
      <c r="P6" s="137"/>
      <c r="Q6" s="137"/>
      <c r="X6" s="132" t="s">
        <v>22</v>
      </c>
      <c r="Y6" s="132" t="s">
        <v>319</v>
      </c>
      <c r="Z6" s="132" t="s">
        <v>320</v>
      </c>
      <c r="AA6" s="132" t="s">
        <v>321</v>
      </c>
      <c r="AB6" s="132" t="s">
        <v>322</v>
      </c>
      <c r="AC6" s="132" t="s">
        <v>249</v>
      </c>
      <c r="AD6" s="132" t="s">
        <v>323</v>
      </c>
      <c r="AE6" s="132" t="s">
        <v>240</v>
      </c>
      <c r="AF6" s="132" t="s">
        <v>324</v>
      </c>
      <c r="AG6" s="132" t="s">
        <v>245</v>
      </c>
      <c r="AH6" s="132" t="s">
        <v>242</v>
      </c>
      <c r="AI6" s="132" t="s">
        <v>238</v>
      </c>
    </row>
    <row r="7" spans="1:36" x14ac:dyDescent="0.2">
      <c r="B7" s="137" t="s">
        <v>162</v>
      </c>
      <c r="C7" s="618"/>
      <c r="D7" s="137"/>
      <c r="E7" s="132" t="s">
        <v>162</v>
      </c>
      <c r="F7" s="622"/>
      <c r="H7" s="132" t="s">
        <v>162</v>
      </c>
      <c r="K7" s="132" t="s">
        <v>162</v>
      </c>
      <c r="L7" s="622"/>
      <c r="P7" s="137"/>
      <c r="S7" s="132" t="s">
        <v>325</v>
      </c>
      <c r="T7" s="364"/>
      <c r="W7" s="132">
        <v>2022</v>
      </c>
      <c r="X7" s="183" t="str">
        <f ca="1">+E192</f>
        <v/>
      </c>
      <c r="Y7" s="183" t="e">
        <f ca="1">+E244</f>
        <v>#NAME?</v>
      </c>
      <c r="Z7" s="183" t="str">
        <f ca="1">+H216</f>
        <v/>
      </c>
      <c r="AA7" s="183" t="e">
        <f ca="1">+E257</f>
        <v>#NAME?</v>
      </c>
      <c r="AB7" s="183" t="str">
        <f ca="1">+E182</f>
        <v/>
      </c>
      <c r="AC7" s="222" t="e">
        <f ca="1">+E242</f>
        <v>#NAME?</v>
      </c>
      <c r="AD7" s="183" t="e">
        <f ca="1">+E88</f>
        <v>#NAME?</v>
      </c>
      <c r="AH7" s="183"/>
    </row>
    <row r="8" spans="1:36" x14ac:dyDescent="0.2">
      <c r="B8" s="137" t="s">
        <v>326</v>
      </c>
      <c r="C8" s="618"/>
      <c r="D8" s="137"/>
      <c r="E8" s="132" t="s">
        <v>326</v>
      </c>
      <c r="F8" s="622"/>
      <c r="H8" s="132" t="s">
        <v>326</v>
      </c>
      <c r="K8" s="132" t="s">
        <v>326</v>
      </c>
      <c r="L8" s="622"/>
      <c r="P8" s="137"/>
      <c r="S8" s="132" t="s">
        <v>327</v>
      </c>
      <c r="T8" s="365"/>
      <c r="W8" s="132">
        <f t="shared" ref="W8:W14" si="0">+W7+1</f>
        <v>2023</v>
      </c>
      <c r="X8" s="183" t="str">
        <f ca="1">+F192</f>
        <v/>
      </c>
      <c r="Y8" s="183" t="e">
        <f ca="1">+F244</f>
        <v>#NAME?</v>
      </c>
      <c r="Z8" s="183" t="str">
        <f ca="1">+I216</f>
        <v/>
      </c>
      <c r="AA8" s="183" t="e">
        <f ca="1">+F257</f>
        <v>#NAME?</v>
      </c>
      <c r="AB8" s="183" t="str">
        <f ca="1">+F182</f>
        <v/>
      </c>
      <c r="AC8" s="222" t="e">
        <f ca="1">+F242</f>
        <v>#NAME?</v>
      </c>
      <c r="AD8" s="183" t="e">
        <f ca="1">+F88</f>
        <v>#NAME?</v>
      </c>
    </row>
    <row r="9" spans="1:36" x14ac:dyDescent="0.2">
      <c r="B9" s="137" t="s">
        <v>328</v>
      </c>
      <c r="C9" s="618"/>
      <c r="D9" s="137"/>
      <c r="E9" s="137" t="s">
        <v>328</v>
      </c>
      <c r="F9" s="620" t="str">
        <f ca="1">IFERROR(+I9+0.5%,"")</f>
        <v/>
      </c>
      <c r="H9" s="137" t="s">
        <v>328</v>
      </c>
      <c r="I9" s="621" t="str">
        <f ca="1">WACC!G25</f>
        <v/>
      </c>
      <c r="J9" s="137"/>
      <c r="K9" s="137" t="s">
        <v>328</v>
      </c>
      <c r="L9" s="623" t="str">
        <f ca="1">IFERROR(I9-0.5%,"")</f>
        <v/>
      </c>
      <c r="M9" s="137"/>
      <c r="P9" s="137"/>
      <c r="Q9" s="137"/>
      <c r="S9" s="132" t="s">
        <v>329</v>
      </c>
      <c r="T9" s="365"/>
      <c r="W9" s="132">
        <f t="shared" si="0"/>
        <v>2024</v>
      </c>
      <c r="X9" s="183" t="str">
        <f ca="1">+G192</f>
        <v/>
      </c>
      <c r="Y9" s="183" t="e">
        <f ca="1">+G244</f>
        <v>#NAME?</v>
      </c>
      <c r="Z9" s="183" t="str">
        <f ca="1">+J216</f>
        <v/>
      </c>
      <c r="AA9" s="183" t="e">
        <f ca="1">+G257</f>
        <v>#NAME?</v>
      </c>
      <c r="AB9" s="183" t="str">
        <f ca="1">+G182</f>
        <v/>
      </c>
      <c r="AC9" s="222" t="e">
        <f ca="1">+G242</f>
        <v>#NAME?</v>
      </c>
      <c r="AD9" s="183" t="e">
        <f ca="1">+G88</f>
        <v>#NAME?</v>
      </c>
      <c r="AE9" s="222">
        <f>Inputs!Q48</f>
        <v>0</v>
      </c>
      <c r="AF9" s="222">
        <f>+Inputs!Q60</f>
        <v>0</v>
      </c>
      <c r="AG9" s="222">
        <f>+AE9-AF9</f>
        <v>0</v>
      </c>
      <c r="AH9" s="222">
        <f>+Inputs!Q54</f>
        <v>0</v>
      </c>
      <c r="AI9" s="222">
        <f>+Inputs!Q38</f>
        <v>0</v>
      </c>
    </row>
    <row r="10" spans="1:36" x14ac:dyDescent="0.2">
      <c r="B10" s="137" t="s">
        <v>330</v>
      </c>
      <c r="C10" s="618"/>
      <c r="D10" s="137"/>
      <c r="E10" s="137" t="s">
        <v>330</v>
      </c>
      <c r="F10" s="620">
        <f>+I10-0.5%</f>
        <v>-5.0000000000000001E-3</v>
      </c>
      <c r="H10" s="137" t="s">
        <v>330</v>
      </c>
      <c r="I10" s="622"/>
      <c r="J10" s="137"/>
      <c r="K10" s="137" t="s">
        <v>330</v>
      </c>
      <c r="L10" s="620">
        <f>+I10+0.5%</f>
        <v>5.0000000000000001E-3</v>
      </c>
      <c r="M10" s="137"/>
      <c r="P10" s="137"/>
      <c r="S10" s="132" t="s">
        <v>331</v>
      </c>
      <c r="T10" s="365"/>
      <c r="W10" s="132">
        <f t="shared" si="0"/>
        <v>2025</v>
      </c>
      <c r="X10" s="183" t="str">
        <f ca="1">+H192</f>
        <v/>
      </c>
      <c r="Y10" s="183" t="str">
        <f ca="1">+H244</f>
        <v/>
      </c>
      <c r="Z10" s="183" t="str">
        <f ca="1">+K216</f>
        <v/>
      </c>
      <c r="AA10" s="183" t="str">
        <f ca="1">+H257</f>
        <v/>
      </c>
      <c r="AB10" s="183" t="str">
        <f ca="1">+H182</f>
        <v/>
      </c>
      <c r="AC10" s="222" t="str">
        <f ca="1">+H242</f>
        <v/>
      </c>
      <c r="AD10" s="183" t="str">
        <f ca="1">+H88</f>
        <v/>
      </c>
      <c r="AE10" s="222" t="e">
        <f ca="1">Inputs!Q48+DCF!H88+DCF!H90+DCF!H93+DCF!H96+DCF!H99+DCF!H105-DCF!G88-DCF!G90-DCF!G93-DCF!G96-DCF!G99-DCF!G105</f>
        <v>#VALUE!</v>
      </c>
      <c r="AF10" s="222" t="e">
        <f ca="1">+Inputs!Q60+(DCF!H110+DCF!H113+DCF!H116+DCF!H118*DCF!G110*DCF!G113*DCF!G116*DCF!G118)</f>
        <v>#VALUE!</v>
      </c>
      <c r="AG10" s="222" t="e">
        <f ca="1">+AE10-AF10</f>
        <v>#VALUE!</v>
      </c>
      <c r="AH10" s="183" t="e">
        <f ca="1">+AH9+H110+H113-G110-G113</f>
        <v>#VALUE!</v>
      </c>
      <c r="AI10" s="183" t="e">
        <f ca="1">+H88+H90+H93+H96</f>
        <v>#VALUE!</v>
      </c>
    </row>
    <row r="11" spans="1:36" ht="9.9499999999999993" customHeight="1" x14ac:dyDescent="0.2">
      <c r="B11" s="137"/>
      <c r="C11" s="137"/>
      <c r="D11" s="137"/>
      <c r="E11" s="137"/>
      <c r="G11" s="137"/>
      <c r="K11" s="137"/>
      <c r="M11" s="137"/>
      <c r="P11" s="137"/>
      <c r="W11" s="132">
        <f t="shared" si="0"/>
        <v>2026</v>
      </c>
      <c r="X11" s="183" t="str">
        <f ca="1">+I192</f>
        <v/>
      </c>
      <c r="Y11" s="183" t="str">
        <f ca="1">+I244</f>
        <v/>
      </c>
      <c r="Z11" s="183" t="str">
        <f ca="1">+L216</f>
        <v/>
      </c>
      <c r="AA11" s="183" t="str">
        <f ca="1">+I257</f>
        <v/>
      </c>
      <c r="AB11" s="183" t="str">
        <f ca="1">+I182</f>
        <v/>
      </c>
      <c r="AC11" s="222" t="str">
        <f ca="1">+I242</f>
        <v/>
      </c>
      <c r="AD11" s="183" t="str">
        <f ca="1">+I88</f>
        <v/>
      </c>
      <c r="AE11" s="222" t="e">
        <f ca="1">AE10+DCF!I88+DCF!I90+DCF!I93+DCF!I96+DCF!I99+DCF!I105-DCF!H88-DCF!H90-DCF!H93-DCF!H96-DCF!H99-DCF!H105</f>
        <v>#VALUE!</v>
      </c>
      <c r="AF11" s="222" t="e">
        <f ca="1">AF10+(DCF!I110+DCF!I113+DCF!I116+DCF!I118*DCF!H110*DCF!H113*DCF!H116*DCF!H118)</f>
        <v>#VALUE!</v>
      </c>
      <c r="AG11" s="222" t="e">
        <f ca="1">+AE11-AF11</f>
        <v>#VALUE!</v>
      </c>
      <c r="AH11" s="183" t="e">
        <f ca="1">+AH10+I110+I113-H110-H113</f>
        <v>#VALUE!</v>
      </c>
      <c r="AI11" s="183" t="e">
        <f ca="1">+I88+I90+I93+I96</f>
        <v>#VALUE!</v>
      </c>
      <c r="AJ11" s="183"/>
    </row>
    <row r="12" spans="1:36" ht="13.5" customHeight="1" x14ac:dyDescent="0.2">
      <c r="B12" s="137" t="s">
        <v>328</v>
      </c>
      <c r="C12" s="619" t="e">
        <f>CHOOSE(C9,F9,I9,L9)</f>
        <v>#VALUE!</v>
      </c>
      <c r="D12" s="137"/>
      <c r="E12" s="137"/>
      <c r="G12" s="137"/>
      <c r="K12" s="137"/>
      <c r="P12" s="137"/>
      <c r="S12" s="138"/>
      <c r="T12" s="139"/>
      <c r="W12" s="132">
        <f t="shared" si="0"/>
        <v>2027</v>
      </c>
      <c r="X12" s="183" t="str">
        <f ca="1">+J192</f>
        <v/>
      </c>
      <c r="Y12" s="183" t="str">
        <f ca="1">+J244</f>
        <v/>
      </c>
      <c r="Z12" s="183" t="str">
        <f ca="1">+M216</f>
        <v/>
      </c>
      <c r="AA12" s="183" t="str">
        <f ca="1">+J257</f>
        <v/>
      </c>
      <c r="AB12" s="183" t="str">
        <f ca="1">+J182</f>
        <v/>
      </c>
      <c r="AC12" s="222" t="str">
        <f ca="1">+J242</f>
        <v/>
      </c>
      <c r="AD12" s="183" t="str">
        <f ca="1">+J88</f>
        <v/>
      </c>
    </row>
    <row r="13" spans="1:36" x14ac:dyDescent="0.2">
      <c r="B13" s="137" t="s">
        <v>330</v>
      </c>
      <c r="C13" s="619" t="e">
        <f>CHOOSE(C10,F10,I10,L10)</f>
        <v>#VALUE!</v>
      </c>
      <c r="D13" s="137"/>
      <c r="E13" s="137"/>
      <c r="G13" s="140"/>
      <c r="H13" s="137"/>
      <c r="I13" s="137"/>
      <c r="J13" s="137"/>
      <c r="K13" s="137"/>
      <c r="L13" s="137"/>
      <c r="M13" s="137"/>
      <c r="O13" s="137"/>
      <c r="P13" s="137"/>
      <c r="Q13" s="137"/>
      <c r="R13" s="137"/>
      <c r="W13" s="132">
        <f t="shared" si="0"/>
        <v>2028</v>
      </c>
      <c r="X13" s="183" t="str">
        <f ca="1">+K192</f>
        <v/>
      </c>
      <c r="Y13" s="183" t="str">
        <f ca="1">+K244</f>
        <v/>
      </c>
      <c r="Z13" s="183" t="str">
        <f ca="1">+N216</f>
        <v/>
      </c>
      <c r="AA13" s="183" t="str">
        <f ca="1">+K257</f>
        <v/>
      </c>
      <c r="AB13" s="183" t="str">
        <f ca="1">+K182</f>
        <v/>
      </c>
      <c r="AC13" s="222" t="str">
        <f ca="1">+K242</f>
        <v/>
      </c>
      <c r="AD13" s="183" t="str">
        <f ca="1">+K88</f>
        <v/>
      </c>
    </row>
    <row r="14" spans="1:36" x14ac:dyDescent="0.2">
      <c r="B14" s="137"/>
      <c r="C14" s="141"/>
      <c r="D14" s="137" t="s">
        <v>441</v>
      </c>
      <c r="E14" s="142"/>
      <c r="F14" s="142"/>
      <c r="G14" s="142"/>
      <c r="H14" s="137"/>
      <c r="I14" s="137"/>
      <c r="J14" s="137"/>
      <c r="K14" s="137"/>
      <c r="L14" s="137"/>
      <c r="M14" s="137"/>
      <c r="O14" s="137"/>
      <c r="P14" s="137"/>
      <c r="Q14" s="137"/>
      <c r="R14" s="137"/>
      <c r="W14" s="132">
        <f t="shared" si="0"/>
        <v>2029</v>
      </c>
      <c r="X14" s="183" t="str">
        <f ca="1">+L192</f>
        <v/>
      </c>
      <c r="Y14" s="183" t="str">
        <f ca="1">+L244</f>
        <v/>
      </c>
      <c r="Z14" s="183" t="str">
        <f ca="1">+O216</f>
        <v/>
      </c>
      <c r="AA14" s="183" t="str">
        <f ca="1">+L257</f>
        <v/>
      </c>
      <c r="AB14" s="183" t="str">
        <f ca="1">+L182</f>
        <v/>
      </c>
      <c r="AC14" s="222" t="str">
        <f ca="1">+L242</f>
        <v/>
      </c>
      <c r="AD14" s="183" t="str">
        <f ca="1">+L88</f>
        <v/>
      </c>
    </row>
    <row r="15" spans="1:36" ht="15.75" x14ac:dyDescent="0.25">
      <c r="A15" s="132" t="s">
        <v>306</v>
      </c>
      <c r="B15" s="52" t="s">
        <v>332</v>
      </c>
      <c r="C15" s="56"/>
      <c r="D15" s="56"/>
      <c r="E15" s="143">
        <v>2022</v>
      </c>
      <c r="F15" s="143">
        <f>+E15+1</f>
        <v>2023</v>
      </c>
      <c r="G15" s="144">
        <f>+F15+1</f>
        <v>2024</v>
      </c>
      <c r="H15" s="105">
        <f t="shared" ref="H15:J15" si="1">+G15+1</f>
        <v>2025</v>
      </c>
      <c r="I15" s="105">
        <f t="shared" si="1"/>
        <v>2026</v>
      </c>
      <c r="J15" s="105">
        <f t="shared" si="1"/>
        <v>2027</v>
      </c>
      <c r="K15" s="105">
        <f>+J15+1</f>
        <v>2028</v>
      </c>
      <c r="L15" s="105">
        <f t="shared" ref="L15:Q15" si="2">+K15+1</f>
        <v>2029</v>
      </c>
      <c r="M15" s="105">
        <f t="shared" si="2"/>
        <v>2030</v>
      </c>
      <c r="N15" s="105">
        <f t="shared" si="2"/>
        <v>2031</v>
      </c>
      <c r="O15" s="105">
        <f t="shared" si="2"/>
        <v>2032</v>
      </c>
      <c r="P15" s="105">
        <f t="shared" si="2"/>
        <v>2033</v>
      </c>
      <c r="Q15" s="105">
        <f t="shared" si="2"/>
        <v>2034</v>
      </c>
      <c r="R15" s="137"/>
    </row>
    <row r="16" spans="1:36" ht="3.75" customHeight="1" x14ac:dyDescent="0.2">
      <c r="B16" s="70"/>
      <c r="C16" s="70"/>
      <c r="D16" s="70"/>
      <c r="E16" s="70"/>
      <c r="F16" s="70"/>
      <c r="G16" s="145"/>
      <c r="H16" s="70"/>
      <c r="I16" s="70"/>
      <c r="J16" s="70"/>
      <c r="K16" s="70"/>
      <c r="L16" s="70"/>
      <c r="M16" s="70"/>
      <c r="N16" s="70"/>
      <c r="O16" s="70"/>
      <c r="P16" s="70"/>
      <c r="Q16" s="70"/>
      <c r="R16" s="137"/>
    </row>
    <row r="17" spans="1:34" x14ac:dyDescent="0.2">
      <c r="B17" s="137" t="s">
        <v>333</v>
      </c>
      <c r="C17" s="141"/>
      <c r="D17" s="137"/>
      <c r="E17" s="146"/>
      <c r="F17" s="146"/>
      <c r="G17" s="147"/>
      <c r="H17" s="148"/>
      <c r="I17" s="148"/>
      <c r="J17" s="148"/>
      <c r="K17" s="148"/>
      <c r="L17" s="148"/>
      <c r="M17" s="148"/>
      <c r="N17" s="148"/>
      <c r="O17" s="148"/>
      <c r="P17" s="148"/>
      <c r="Q17" s="148"/>
      <c r="R17" s="137"/>
    </row>
    <row r="18" spans="1:34" x14ac:dyDescent="0.2">
      <c r="B18" s="137" t="s">
        <v>334</v>
      </c>
      <c r="C18" s="141"/>
      <c r="D18" s="137"/>
      <c r="E18" s="302"/>
      <c r="F18" s="302"/>
      <c r="G18" s="303"/>
      <c r="H18" s="149"/>
      <c r="I18" s="149"/>
      <c r="J18" s="149"/>
      <c r="K18" s="149"/>
      <c r="L18" s="149"/>
      <c r="M18" s="149"/>
      <c r="N18" s="149"/>
      <c r="O18" s="149"/>
      <c r="P18" s="149"/>
      <c r="Q18" s="149"/>
      <c r="R18" s="137"/>
      <c r="AE18" s="222"/>
      <c r="AF18" s="222"/>
      <c r="AG18" s="222"/>
      <c r="AH18" s="222"/>
    </row>
    <row r="19" spans="1:34" x14ac:dyDescent="0.2">
      <c r="B19" s="150" t="s">
        <v>335</v>
      </c>
      <c r="C19" s="141"/>
      <c r="D19" s="137"/>
      <c r="E19" s="151"/>
      <c r="F19" s="151"/>
      <c r="G19" s="152"/>
      <c r="H19" s="153"/>
      <c r="I19" s="153"/>
      <c r="J19" s="153"/>
      <c r="K19" s="153"/>
      <c r="L19" s="153"/>
      <c r="M19" s="153"/>
      <c r="N19" s="153"/>
      <c r="O19" s="153"/>
      <c r="P19" s="153"/>
      <c r="Q19" s="153"/>
      <c r="R19" s="137"/>
      <c r="AD19" s="183"/>
      <c r="AE19" s="183"/>
      <c r="AF19" s="183"/>
      <c r="AG19" s="183"/>
    </row>
    <row r="20" spans="1:34" x14ac:dyDescent="0.2">
      <c r="B20" s="634" t="s">
        <v>336</v>
      </c>
      <c r="C20" s="141"/>
      <c r="D20" s="137"/>
      <c r="E20" s="635"/>
      <c r="F20" s="635"/>
      <c r="G20" s="636"/>
      <c r="H20" s="137"/>
      <c r="I20" s="137"/>
      <c r="J20" s="137"/>
      <c r="K20" s="137"/>
      <c r="L20" s="137"/>
      <c r="M20" s="137"/>
      <c r="O20" s="137"/>
      <c r="P20" s="137"/>
      <c r="Q20" s="137"/>
      <c r="R20" s="137"/>
      <c r="S20" s="32"/>
      <c r="T20" s="98"/>
      <c r="U20" s="98"/>
      <c r="V20" s="98"/>
      <c r="W20" s="98"/>
      <c r="X20" s="98"/>
    </row>
    <row r="21" spans="1:34" x14ac:dyDescent="0.2">
      <c r="B21" s="634" t="s">
        <v>337</v>
      </c>
      <c r="C21" s="141"/>
      <c r="D21" s="137"/>
      <c r="E21" s="635"/>
      <c r="F21" s="635"/>
      <c r="G21" s="636"/>
      <c r="H21" s="137"/>
      <c r="I21" s="137"/>
      <c r="J21" s="137"/>
      <c r="K21" s="137"/>
      <c r="L21" s="137"/>
      <c r="M21" s="137"/>
      <c r="O21" s="137"/>
      <c r="P21" s="137"/>
      <c r="Q21" s="137"/>
      <c r="R21" s="137"/>
      <c r="S21" s="98"/>
      <c r="T21"/>
      <c r="U21"/>
      <c r="V21"/>
      <c r="W21"/>
      <c r="X21"/>
    </row>
    <row r="22" spans="1:34" x14ac:dyDescent="0.2">
      <c r="B22" s="137" t="s">
        <v>338</v>
      </c>
      <c r="C22" s="141"/>
      <c r="D22" s="137"/>
      <c r="E22" s="146"/>
      <c r="F22" s="146"/>
      <c r="G22" s="147"/>
      <c r="H22" s="148"/>
      <c r="I22" s="148"/>
      <c r="J22" s="148"/>
      <c r="K22" s="148"/>
      <c r="L22" s="148"/>
      <c r="N22" s="148"/>
      <c r="O22" s="148"/>
      <c r="P22" s="148"/>
      <c r="Q22" s="148"/>
      <c r="R22" s="137"/>
      <c r="S22" s="98"/>
      <c r="T22"/>
      <c r="U22"/>
      <c r="V22"/>
      <c r="W22"/>
      <c r="X22"/>
    </row>
    <row r="23" spans="1:34" x14ac:dyDescent="0.2">
      <c r="B23" s="137" t="s">
        <v>339</v>
      </c>
      <c r="C23" s="141"/>
      <c r="D23" s="137"/>
      <c r="E23" s="154"/>
      <c r="F23" s="154"/>
      <c r="G23" s="155"/>
      <c r="H23" s="156"/>
      <c r="I23" s="156"/>
      <c r="J23" s="156"/>
      <c r="K23" s="156"/>
      <c r="L23" s="156"/>
      <c r="N23" s="148"/>
      <c r="O23" s="156"/>
      <c r="P23" s="156"/>
      <c r="Q23" s="156"/>
      <c r="R23" s="137"/>
      <c r="S23" s="98"/>
      <c r="T23"/>
      <c r="U23"/>
      <c r="V23"/>
      <c r="W23"/>
      <c r="X23"/>
    </row>
    <row r="24" spans="1:34" x14ac:dyDescent="0.2">
      <c r="B24" s="137" t="s">
        <v>340</v>
      </c>
      <c r="C24" s="141"/>
      <c r="D24" s="137"/>
      <c r="E24" s="632"/>
      <c r="F24" s="632"/>
      <c r="G24" s="633"/>
      <c r="H24" s="320"/>
      <c r="I24" s="320"/>
      <c r="J24" s="320"/>
      <c r="K24" s="320"/>
      <c r="L24" s="320"/>
      <c r="M24" s="320"/>
      <c r="N24" s="320"/>
      <c r="O24" s="320"/>
      <c r="P24" s="320"/>
      <c r="Q24" s="320"/>
      <c r="R24" s="186"/>
      <c r="S24" s="98"/>
      <c r="T24"/>
      <c r="U24"/>
      <c r="V24"/>
      <c r="W24"/>
      <c r="X24"/>
    </row>
    <row r="25" spans="1:34" x14ac:dyDescent="0.2">
      <c r="B25" s="137" t="s">
        <v>341</v>
      </c>
      <c r="C25" s="141"/>
      <c r="D25" s="137"/>
      <c r="E25" s="158"/>
      <c r="F25" s="158"/>
      <c r="G25" s="159"/>
      <c r="H25" s="148"/>
      <c r="I25" s="148"/>
      <c r="J25" s="148"/>
      <c r="K25" s="148"/>
      <c r="L25" s="148"/>
      <c r="M25" s="148"/>
      <c r="N25" s="148"/>
      <c r="O25" s="148"/>
      <c r="P25" s="148"/>
      <c r="Q25" s="148"/>
      <c r="R25" s="137"/>
      <c r="S25" s="98"/>
      <c r="T25"/>
      <c r="U25"/>
      <c r="V25"/>
      <c r="W25"/>
      <c r="X25"/>
    </row>
    <row r="26" spans="1:34" x14ac:dyDescent="0.2">
      <c r="B26" s="137" t="s">
        <v>342</v>
      </c>
      <c r="C26" s="141"/>
      <c r="D26" s="137"/>
      <c r="E26" s="148"/>
      <c r="F26" s="148"/>
      <c r="G26" s="160"/>
      <c r="H26" s="148"/>
      <c r="I26" s="148"/>
      <c r="J26" s="148"/>
      <c r="K26" s="148"/>
      <c r="L26" s="148"/>
      <c r="M26" s="148"/>
      <c r="N26" s="148"/>
      <c r="O26" s="148"/>
      <c r="P26" s="148"/>
      <c r="Q26" s="148"/>
      <c r="R26" s="137"/>
      <c r="S26" s="98"/>
      <c r="T26"/>
      <c r="U26"/>
      <c r="V26"/>
      <c r="W26"/>
      <c r="X26"/>
    </row>
    <row r="27" spans="1:34" x14ac:dyDescent="0.2">
      <c r="B27" s="161" t="s">
        <v>343</v>
      </c>
      <c r="G27" s="162"/>
      <c r="S27" s="98"/>
    </row>
    <row r="28" spans="1:34" ht="15.75" x14ac:dyDescent="0.25">
      <c r="A28" s="132" t="s">
        <v>306</v>
      </c>
      <c r="B28" s="52" t="s">
        <v>211</v>
      </c>
      <c r="C28" s="56"/>
      <c r="D28" s="56"/>
      <c r="E28" s="143">
        <v>2022</v>
      </c>
      <c r="F28" s="143">
        <f>+E28+1</f>
        <v>2023</v>
      </c>
      <c r="G28" s="144">
        <f>+F28+1</f>
        <v>2024</v>
      </c>
      <c r="H28" s="105">
        <f t="shared" ref="H28:Q28" si="3">+G28+1</f>
        <v>2025</v>
      </c>
      <c r="I28" s="105">
        <f t="shared" si="3"/>
        <v>2026</v>
      </c>
      <c r="J28" s="105">
        <f t="shared" si="3"/>
        <v>2027</v>
      </c>
      <c r="K28" s="105">
        <f>+J28+1</f>
        <v>2028</v>
      </c>
      <c r="L28" s="105">
        <f t="shared" si="3"/>
        <v>2029</v>
      </c>
      <c r="M28" s="105">
        <f t="shared" si="3"/>
        <v>2030</v>
      </c>
      <c r="N28" s="105">
        <f t="shared" si="3"/>
        <v>2031</v>
      </c>
      <c r="O28" s="105">
        <f t="shared" si="3"/>
        <v>2032</v>
      </c>
      <c r="P28" s="105">
        <f t="shared" si="3"/>
        <v>2033</v>
      </c>
      <c r="Q28" s="105">
        <f t="shared" si="3"/>
        <v>2034</v>
      </c>
      <c r="R28" s="163"/>
      <c r="S28" s="133"/>
      <c r="T28" s="133"/>
      <c r="U28" s="133"/>
    </row>
    <row r="29" spans="1:34" ht="3.95" customHeight="1" x14ac:dyDescent="0.2">
      <c r="B29" s="70"/>
      <c r="C29" s="70"/>
      <c r="D29" s="70"/>
      <c r="E29" s="70"/>
      <c r="F29" s="70"/>
      <c r="G29" s="145"/>
      <c r="H29" s="70"/>
      <c r="I29" s="70"/>
      <c r="J29" s="70"/>
      <c r="K29" s="70"/>
      <c r="L29" s="70"/>
      <c r="M29" s="70"/>
      <c r="N29" s="70"/>
      <c r="O29" s="70"/>
      <c r="P29" s="70"/>
      <c r="Q29" s="70"/>
    </row>
    <row r="30" spans="1:34" x14ac:dyDescent="0.2">
      <c r="B30" s="132" t="s">
        <v>344</v>
      </c>
      <c r="D30" s="316" t="e">
        <f ca="1">+_xlfn.XLOOKUP($B30,Inputs!$B:$B,Inputs!N:N)</f>
        <v>#NAME?</v>
      </c>
      <c r="E30" s="165" t="e">
        <f ca="1">+_xlfn.XLOOKUP($B30,Inputs!$B:$B,Inputs!O:O)</f>
        <v>#NAME?</v>
      </c>
      <c r="F30" s="165" t="e">
        <f ca="1">+_xlfn.XLOOKUP($B30,Inputs!$B:$B,Inputs!P:P)</f>
        <v>#NAME?</v>
      </c>
      <c r="G30" s="280" t="e">
        <f ca="1">+_xlfn.XLOOKUP($B30,Inputs!$B:$B,Inputs!Q:Q)</f>
        <v>#NAME?</v>
      </c>
      <c r="H30" s="166">
        <f t="shared" ref="H30:Q30" si="4">+H25+H26</f>
        <v>0</v>
      </c>
      <c r="I30" s="166">
        <f t="shared" si="4"/>
        <v>0</v>
      </c>
      <c r="J30" s="166">
        <f t="shared" si="4"/>
        <v>0</v>
      </c>
      <c r="K30" s="166">
        <f t="shared" si="4"/>
        <v>0</v>
      </c>
      <c r="L30" s="166">
        <f t="shared" si="4"/>
        <v>0</v>
      </c>
      <c r="M30" s="166">
        <f t="shared" si="4"/>
        <v>0</v>
      </c>
      <c r="N30" s="166">
        <f t="shared" si="4"/>
        <v>0</v>
      </c>
      <c r="O30" s="166">
        <f t="shared" si="4"/>
        <v>0</v>
      </c>
      <c r="P30" s="166">
        <f t="shared" si="4"/>
        <v>0</v>
      </c>
      <c r="Q30" s="166">
        <f t="shared" si="4"/>
        <v>0</v>
      </c>
    </row>
    <row r="31" spans="1:34" s="288" customFormat="1" ht="14.25" x14ac:dyDescent="0.2">
      <c r="B31" s="289" t="s">
        <v>345</v>
      </c>
      <c r="E31" s="291" t="str">
        <f ca="1">IFERROR((E30-D30)/D30,"")</f>
        <v/>
      </c>
      <c r="F31" s="291" t="str">
        <f ca="1">IFERROR((F30-E30)/E30,"")</f>
        <v/>
      </c>
      <c r="G31" s="292" t="str">
        <f ca="1">IFERROR((G30-F30)/F30,"")</f>
        <v/>
      </c>
      <c r="H31" s="293" t="str">
        <f ca="1">IFERROR(H30/G30-1,"")</f>
        <v/>
      </c>
      <c r="I31" s="293" t="str">
        <f t="shared" ref="I31:Q31" si="5">IFERROR(I30/H30-1,"")</f>
        <v/>
      </c>
      <c r="J31" s="293" t="str">
        <f t="shared" si="5"/>
        <v/>
      </c>
      <c r="K31" s="293" t="str">
        <f t="shared" si="5"/>
        <v/>
      </c>
      <c r="L31" s="293" t="str">
        <f t="shared" si="5"/>
        <v/>
      </c>
      <c r="M31" s="293" t="str">
        <f t="shared" si="5"/>
        <v/>
      </c>
      <c r="N31" s="293" t="str">
        <f t="shared" si="5"/>
        <v/>
      </c>
      <c r="O31" s="293" t="str">
        <f t="shared" si="5"/>
        <v/>
      </c>
      <c r="P31" s="293" t="str">
        <f t="shared" si="5"/>
        <v/>
      </c>
      <c r="Q31" s="293" t="str">
        <f t="shared" si="5"/>
        <v/>
      </c>
    </row>
    <row r="32" spans="1:34" ht="3.75" customHeight="1" x14ac:dyDescent="0.2">
      <c r="B32" s="167"/>
      <c r="E32" s="169"/>
      <c r="F32" s="169"/>
      <c r="G32" s="170"/>
      <c r="H32" s="168"/>
      <c r="I32" s="168"/>
      <c r="J32" s="168"/>
      <c r="K32" s="168"/>
      <c r="L32" s="168"/>
      <c r="O32" s="171"/>
      <c r="P32" s="171"/>
      <c r="Q32" s="171"/>
    </row>
    <row r="33" spans="2:17" x14ac:dyDescent="0.2">
      <c r="B33" s="287" t="s">
        <v>224</v>
      </c>
      <c r="E33" s="165" t="e">
        <f ca="1">+_xlfn.XLOOKUP($B33,Inputs!$B:$B,Inputs!O:O)</f>
        <v>#NAME?</v>
      </c>
      <c r="F33" s="165" t="e">
        <f ca="1">+_xlfn.XLOOKUP($B33,Inputs!$B:$B,Inputs!P:P)</f>
        <v>#NAME?</v>
      </c>
      <c r="G33" s="280" t="e">
        <f ca="1">+_xlfn.XLOOKUP($B33,Inputs!$B:$B,Inputs!Q:Q)</f>
        <v>#NAME?</v>
      </c>
      <c r="H33" s="172">
        <f t="shared" ref="H33:Q33" si="6">H34*H$30</f>
        <v>0</v>
      </c>
      <c r="I33" s="172">
        <f t="shared" si="6"/>
        <v>0</v>
      </c>
      <c r="J33" s="172">
        <f t="shared" si="6"/>
        <v>0</v>
      </c>
      <c r="K33" s="172">
        <f t="shared" si="6"/>
        <v>0</v>
      </c>
      <c r="L33" s="172">
        <f t="shared" si="6"/>
        <v>0</v>
      </c>
      <c r="M33" s="172">
        <f t="shared" si="6"/>
        <v>0</v>
      </c>
      <c r="N33" s="172">
        <f t="shared" si="6"/>
        <v>0</v>
      </c>
      <c r="O33" s="172">
        <f t="shared" si="6"/>
        <v>0</v>
      </c>
      <c r="P33" s="172">
        <f t="shared" si="6"/>
        <v>0</v>
      </c>
      <c r="Q33" s="172">
        <f t="shared" si="6"/>
        <v>0</v>
      </c>
    </row>
    <row r="34" spans="2:17" s="288" customFormat="1" ht="14.25" x14ac:dyDescent="0.2">
      <c r="B34" s="297" t="s">
        <v>346</v>
      </c>
      <c r="E34" s="290" t="str">
        <f ca="1">IFERROR(E33/E$30,"")</f>
        <v/>
      </c>
      <c r="F34" s="290" t="str">
        <f t="shared" ref="F34:G34" ca="1" si="7">IFERROR(F33/F$30,"")</f>
        <v/>
      </c>
      <c r="G34" s="294" t="str">
        <f t="shared" ca="1" si="7"/>
        <v/>
      </c>
      <c r="H34" s="317"/>
      <c r="I34" s="317"/>
      <c r="J34" s="317"/>
      <c r="K34" s="317"/>
      <c r="L34" s="317"/>
      <c r="M34" s="317"/>
      <c r="N34" s="317"/>
      <c r="O34" s="317"/>
      <c r="P34" s="317"/>
      <c r="Q34" s="317"/>
    </row>
    <row r="35" spans="2:17" ht="5.25" customHeight="1" x14ac:dyDescent="0.2">
      <c r="B35" s="167"/>
      <c r="E35" s="169"/>
      <c r="F35" s="169"/>
      <c r="G35" s="170"/>
      <c r="H35" s="175"/>
      <c r="I35" s="175"/>
      <c r="J35" s="175"/>
      <c r="K35" s="175"/>
      <c r="L35" s="175"/>
      <c r="M35" s="175"/>
      <c r="N35" s="175"/>
      <c r="O35" s="175"/>
      <c r="P35" s="175"/>
      <c r="Q35" s="175"/>
    </row>
    <row r="36" spans="2:17" x14ac:dyDescent="0.2">
      <c r="B36" s="132" t="s">
        <v>225</v>
      </c>
      <c r="E36" s="165" t="e">
        <f ca="1">+_xlfn.XLOOKUP($B36,Inputs!$B:$B,Inputs!O:O)</f>
        <v>#NAME?</v>
      </c>
      <c r="F36" s="165" t="e">
        <f ca="1">+_xlfn.XLOOKUP($B36,Inputs!$B:$B,Inputs!P:P)</f>
        <v>#NAME?</v>
      </c>
      <c r="G36" s="280" t="e">
        <f ca="1">+_xlfn.XLOOKUP($B36,Inputs!$B:$B,Inputs!Q:Q)</f>
        <v>#NAME?</v>
      </c>
      <c r="H36" s="172">
        <f>+H30-H33</f>
        <v>0</v>
      </c>
      <c r="I36" s="172">
        <f t="shared" ref="I36:Q36" si="8">+I30-I33</f>
        <v>0</v>
      </c>
      <c r="J36" s="172">
        <f t="shared" si="8"/>
        <v>0</v>
      </c>
      <c r="K36" s="172">
        <f t="shared" si="8"/>
        <v>0</v>
      </c>
      <c r="L36" s="172">
        <f t="shared" si="8"/>
        <v>0</v>
      </c>
      <c r="M36" s="172">
        <f t="shared" si="8"/>
        <v>0</v>
      </c>
      <c r="N36" s="172">
        <f t="shared" si="8"/>
        <v>0</v>
      </c>
      <c r="O36" s="172">
        <f t="shared" si="8"/>
        <v>0</v>
      </c>
      <c r="P36" s="172">
        <f t="shared" si="8"/>
        <v>0</v>
      </c>
      <c r="Q36" s="172">
        <f t="shared" si="8"/>
        <v>0</v>
      </c>
    </row>
    <row r="37" spans="2:17" s="288" customFormat="1" ht="14.25" x14ac:dyDescent="0.2">
      <c r="B37" s="288" t="s">
        <v>32</v>
      </c>
      <c r="E37" s="290" t="str">
        <f ca="1">IFERROR(E36/E$30,"")</f>
        <v/>
      </c>
      <c r="F37" s="290" t="str">
        <f t="shared" ref="F37:Q37" ca="1" si="9">IFERROR(F36/F$30,"")</f>
        <v/>
      </c>
      <c r="G37" s="294" t="str">
        <f t="shared" ref="G37" ca="1" si="10">IFERROR(G36/G$30,"")</f>
        <v/>
      </c>
      <c r="H37" s="290" t="str">
        <f t="shared" si="9"/>
        <v/>
      </c>
      <c r="I37" s="290" t="str">
        <f t="shared" si="9"/>
        <v/>
      </c>
      <c r="J37" s="290" t="str">
        <f t="shared" si="9"/>
        <v/>
      </c>
      <c r="K37" s="290" t="str">
        <f t="shared" si="9"/>
        <v/>
      </c>
      <c r="L37" s="290" t="str">
        <f t="shared" si="9"/>
        <v/>
      </c>
      <c r="M37" s="290" t="str">
        <f t="shared" si="9"/>
        <v/>
      </c>
      <c r="N37" s="290" t="str">
        <f t="shared" si="9"/>
        <v/>
      </c>
      <c r="O37" s="290" t="str">
        <f t="shared" si="9"/>
        <v/>
      </c>
      <c r="P37" s="290" t="str">
        <f t="shared" si="9"/>
        <v/>
      </c>
      <c r="Q37" s="290" t="str">
        <f t="shared" si="9"/>
        <v/>
      </c>
    </row>
    <row r="38" spans="2:17" ht="3.75" customHeight="1" x14ac:dyDescent="0.2">
      <c r="G38" s="173"/>
      <c r="H38" s="137"/>
      <c r="I38" s="137"/>
      <c r="J38" s="137"/>
      <c r="K38" s="137"/>
      <c r="L38" s="137"/>
      <c r="O38" s="137"/>
      <c r="P38" s="137"/>
      <c r="Q38" s="137"/>
    </row>
    <row r="39" spans="2:17" ht="14.25" customHeight="1" x14ac:dyDescent="0.2">
      <c r="B39" s="287" t="s">
        <v>347</v>
      </c>
      <c r="E39" s="165" t="e">
        <f ca="1">+_xlfn.XLOOKUP($B39,Inputs!$B:$B,Inputs!O:O)</f>
        <v>#NAME?</v>
      </c>
      <c r="F39" s="165" t="e">
        <f ca="1">+_xlfn.XLOOKUP($B39,Inputs!$B:$B,Inputs!P:P)</f>
        <v>#NAME?</v>
      </c>
      <c r="G39" s="280" t="e">
        <f ca="1">+_xlfn.XLOOKUP($B39,Inputs!$B:$B,Inputs!Q:Q)</f>
        <v>#NAME?</v>
      </c>
      <c r="H39" s="172" t="str">
        <f ca="1">IFERROR(G39*(1+H31),"")</f>
        <v/>
      </c>
      <c r="I39" s="172" t="str">
        <f t="shared" ref="I39:Q39" ca="1" si="11">IFERROR(H39*(1+I31),"")</f>
        <v/>
      </c>
      <c r="J39" s="172" t="str">
        <f t="shared" ca="1" si="11"/>
        <v/>
      </c>
      <c r="K39" s="172" t="str">
        <f t="shared" ca="1" si="11"/>
        <v/>
      </c>
      <c r="L39" s="172" t="str">
        <f t="shared" ca="1" si="11"/>
        <v/>
      </c>
      <c r="M39" s="172" t="str">
        <f t="shared" ca="1" si="11"/>
        <v/>
      </c>
      <c r="N39" s="172" t="str">
        <f t="shared" ca="1" si="11"/>
        <v/>
      </c>
      <c r="O39" s="172" t="str">
        <f t="shared" ca="1" si="11"/>
        <v/>
      </c>
      <c r="P39" s="172" t="str">
        <f t="shared" ca="1" si="11"/>
        <v/>
      </c>
      <c r="Q39" s="172" t="str">
        <f t="shared" ca="1" si="11"/>
        <v/>
      </c>
    </row>
    <row r="40" spans="2:17" s="288" customFormat="1" ht="14.25" x14ac:dyDescent="0.2">
      <c r="B40" s="297" t="s">
        <v>34</v>
      </c>
      <c r="E40" s="290" t="str">
        <f ca="1">IFERROR(E39/E$30,"")</f>
        <v/>
      </c>
      <c r="F40" s="290" t="str">
        <f t="shared" ref="F40:G40" ca="1" si="12">IFERROR(F39/F$30,"")</f>
        <v/>
      </c>
      <c r="G40" s="295" t="str">
        <f t="shared" ca="1" si="12"/>
        <v/>
      </c>
      <c r="H40" s="317" t="str">
        <f ca="1">IFERROR(AVERAGE(E40:G40),"")</f>
        <v/>
      </c>
      <c r="I40" s="317" t="str">
        <f t="shared" ref="I40:Q40" ca="1" si="13">IFERROR(AVERAGE(F40:H40),"")</f>
        <v/>
      </c>
      <c r="J40" s="317" t="str">
        <f t="shared" ca="1" si="13"/>
        <v/>
      </c>
      <c r="K40" s="317" t="str">
        <f t="shared" ca="1" si="13"/>
        <v/>
      </c>
      <c r="L40" s="317" t="str">
        <f t="shared" ca="1" si="13"/>
        <v/>
      </c>
      <c r="M40" s="317" t="str">
        <f t="shared" ca="1" si="13"/>
        <v/>
      </c>
      <c r="N40" s="317" t="str">
        <f t="shared" ca="1" si="13"/>
        <v/>
      </c>
      <c r="O40" s="317" t="str">
        <f t="shared" ca="1" si="13"/>
        <v/>
      </c>
      <c r="P40" s="317" t="str">
        <f t="shared" ca="1" si="13"/>
        <v/>
      </c>
      <c r="Q40" s="317" t="str">
        <f t="shared" ca="1" si="13"/>
        <v/>
      </c>
    </row>
    <row r="41" spans="2:17" ht="3.75" customHeight="1" x14ac:dyDescent="0.2">
      <c r="B41" s="167"/>
      <c r="E41" s="169"/>
      <c r="F41" s="169"/>
      <c r="G41" s="170"/>
      <c r="H41" s="168"/>
      <c r="I41" s="168"/>
      <c r="J41" s="168"/>
      <c r="K41" s="168"/>
      <c r="L41" s="168"/>
      <c r="O41" s="137"/>
      <c r="P41" s="137"/>
      <c r="Q41" s="137"/>
    </row>
    <row r="42" spans="2:17" x14ac:dyDescent="0.2">
      <c r="B42" s="287" t="s">
        <v>232</v>
      </c>
      <c r="E42" s="165" t="e">
        <f ca="1">+_xlfn.XLOOKUP($B42,Inputs!$B:$B,Inputs!O:O)</f>
        <v>#NAME?</v>
      </c>
      <c r="F42" s="165" t="e">
        <f ca="1">+_xlfn.XLOOKUP($B42,Inputs!$B:$B,Inputs!P:P)</f>
        <v>#NAME?</v>
      </c>
      <c r="G42" s="280" t="e">
        <f ca="1">+_xlfn.XLOOKUP($B42,Inputs!$B:$B,Inputs!Q:Q)</f>
        <v>#NAME?</v>
      </c>
      <c r="H42" s="172">
        <f>H43*H$30</f>
        <v>0</v>
      </c>
      <c r="I42" s="172">
        <f t="shared" ref="I42:Q42" si="14">I43*I$30</f>
        <v>0</v>
      </c>
      <c r="J42" s="172">
        <f t="shared" si="14"/>
        <v>0</v>
      </c>
      <c r="K42" s="172">
        <f t="shared" si="14"/>
        <v>0</v>
      </c>
      <c r="L42" s="172">
        <f t="shared" si="14"/>
        <v>0</v>
      </c>
      <c r="M42" s="172">
        <f t="shared" si="14"/>
        <v>0</v>
      </c>
      <c r="N42" s="172">
        <f t="shared" si="14"/>
        <v>0</v>
      </c>
      <c r="O42" s="172">
        <f t="shared" si="14"/>
        <v>0</v>
      </c>
      <c r="P42" s="172">
        <f t="shared" si="14"/>
        <v>0</v>
      </c>
      <c r="Q42" s="172">
        <f t="shared" si="14"/>
        <v>0</v>
      </c>
    </row>
    <row r="43" spans="2:17" s="288" customFormat="1" ht="14.25" x14ac:dyDescent="0.2">
      <c r="B43" s="297" t="s">
        <v>346</v>
      </c>
      <c r="E43" s="290" t="str">
        <f ca="1">IFERROR(E42/E30,"")</f>
        <v/>
      </c>
      <c r="F43" s="290" t="str">
        <f ca="1">IFERROR(F42/F30,"")</f>
        <v/>
      </c>
      <c r="G43" s="295" t="str">
        <f ca="1">IFERROR(G42/G30,"")</f>
        <v/>
      </c>
      <c r="H43" s="317"/>
      <c r="I43" s="317"/>
      <c r="J43" s="317"/>
      <c r="K43" s="317"/>
      <c r="L43" s="317"/>
      <c r="M43" s="317"/>
      <c r="N43" s="317"/>
      <c r="O43" s="317"/>
      <c r="P43" s="317"/>
      <c r="Q43" s="317"/>
    </row>
    <row r="44" spans="2:17" s="256" customFormat="1" ht="5.25" customHeight="1" x14ac:dyDescent="0.2">
      <c r="B44" s="281"/>
      <c r="E44" s="282"/>
      <c r="F44" s="282"/>
      <c r="G44" s="283"/>
      <c r="H44" s="284"/>
      <c r="I44" s="284"/>
      <c r="J44" s="284"/>
      <c r="K44" s="284"/>
      <c r="L44" s="284"/>
      <c r="O44" s="285"/>
      <c r="P44" s="285"/>
      <c r="Q44" s="285"/>
    </row>
    <row r="45" spans="2:17" x14ac:dyDescent="0.2">
      <c r="B45" s="497" t="s">
        <v>348</v>
      </c>
      <c r="E45" s="165" t="e">
        <f ca="1">+_xlfn.XLOOKUP($B45,Inputs!$B:$B,Inputs!O:O)</f>
        <v>#NAME?</v>
      </c>
      <c r="F45" s="165" t="e">
        <f ca="1">+_xlfn.XLOOKUP($B45,Inputs!$B:$B,Inputs!P:P)</f>
        <v>#NAME?</v>
      </c>
      <c r="G45" s="280" t="e">
        <f ca="1">+_xlfn.XLOOKUP($B45,Inputs!$B:$B,Inputs!Q:Q)</f>
        <v>#NAME?</v>
      </c>
      <c r="H45" s="172" t="str">
        <f ca="1">IFERROR(AVERAGE(E45:G45)*(1+H31),"")</f>
        <v/>
      </c>
      <c r="I45" s="172" t="str">
        <f t="shared" ref="I45:Q45" ca="1" si="15">IFERROR(AVERAGE(F45:H45)*(1+I31),"")</f>
        <v/>
      </c>
      <c r="J45" s="172" t="str">
        <f t="shared" ca="1" si="15"/>
        <v/>
      </c>
      <c r="K45" s="172" t="str">
        <f t="shared" ca="1" si="15"/>
        <v/>
      </c>
      <c r="L45" s="172" t="str">
        <f t="shared" ca="1" si="15"/>
        <v/>
      </c>
      <c r="M45" s="172" t="str">
        <f t="shared" ca="1" si="15"/>
        <v/>
      </c>
      <c r="N45" s="172" t="str">
        <f t="shared" ca="1" si="15"/>
        <v/>
      </c>
      <c r="O45" s="172" t="str">
        <f t="shared" ca="1" si="15"/>
        <v/>
      </c>
      <c r="P45" s="172" t="str">
        <f t="shared" ca="1" si="15"/>
        <v/>
      </c>
      <c r="Q45" s="172" t="str">
        <f t="shared" ca="1" si="15"/>
        <v/>
      </c>
    </row>
    <row r="46" spans="2:17" ht="5.25" customHeight="1" x14ac:dyDescent="0.2">
      <c r="B46" s="213"/>
      <c r="E46" s="165"/>
      <c r="F46" s="165"/>
      <c r="G46" s="280"/>
      <c r="H46" s="175"/>
      <c r="I46" s="175"/>
      <c r="J46" s="175"/>
      <c r="K46" s="175"/>
      <c r="L46" s="175"/>
      <c r="O46" s="174"/>
      <c r="P46" s="174"/>
      <c r="Q46" s="174"/>
    </row>
    <row r="47" spans="2:17" x14ac:dyDescent="0.2">
      <c r="B47" s="213" t="s">
        <v>163</v>
      </c>
      <c r="E47" s="165" t="e">
        <f ca="1">+_xlfn.XLOOKUP($B47,Inputs!$B:$B,Inputs!O:O)</f>
        <v>#NAME?</v>
      </c>
      <c r="F47" s="165" t="e">
        <f ca="1">+_xlfn.XLOOKUP($B47,Inputs!$B:$B,Inputs!P:P)</f>
        <v>#NAME?</v>
      </c>
      <c r="G47" s="280" t="e">
        <f ca="1">+_xlfn.XLOOKUP($B47,Inputs!$B:$B,Inputs!Q:Q)</f>
        <v>#NAME?</v>
      </c>
      <c r="H47" s="172" t="str">
        <f ca="1">IFERROR(H36-H39-H42-H45,"")</f>
        <v/>
      </c>
      <c r="I47" s="172" t="str">
        <f t="shared" ref="I47:Q47" ca="1" si="16">IFERROR(I36-I39-I42-I45,"")</f>
        <v/>
      </c>
      <c r="J47" s="172" t="str">
        <f t="shared" ca="1" si="16"/>
        <v/>
      </c>
      <c r="K47" s="172" t="str">
        <f t="shared" ca="1" si="16"/>
        <v/>
      </c>
      <c r="L47" s="172" t="str">
        <f t="shared" ca="1" si="16"/>
        <v/>
      </c>
      <c r="M47" s="172" t="str">
        <f t="shared" ca="1" si="16"/>
        <v/>
      </c>
      <c r="N47" s="172" t="str">
        <f t="shared" ca="1" si="16"/>
        <v/>
      </c>
      <c r="O47" s="172" t="str">
        <f t="shared" ca="1" si="16"/>
        <v/>
      </c>
      <c r="P47" s="172" t="str">
        <f t="shared" ca="1" si="16"/>
        <v/>
      </c>
      <c r="Q47" s="172" t="str">
        <f t="shared" ca="1" si="16"/>
        <v/>
      </c>
    </row>
    <row r="48" spans="2:17" s="288" customFormat="1" ht="14.25" x14ac:dyDescent="0.2">
      <c r="B48" s="288" t="s">
        <v>30</v>
      </c>
      <c r="E48" s="290" t="str">
        <f ca="1">IFERROR(E47/E$30,"")</f>
        <v/>
      </c>
      <c r="F48" s="290" t="str">
        <f t="shared" ref="F48:Q48" ca="1" si="17">IFERROR(F47/F$30,"")</f>
        <v/>
      </c>
      <c r="G48" s="294" t="str">
        <f t="shared" ca="1" si="17"/>
        <v/>
      </c>
      <c r="H48" s="290" t="str">
        <f t="shared" ca="1" si="17"/>
        <v/>
      </c>
      <c r="I48" s="290" t="str">
        <f t="shared" ca="1" si="17"/>
        <v/>
      </c>
      <c r="J48" s="290" t="str">
        <f t="shared" ca="1" si="17"/>
        <v/>
      </c>
      <c r="K48" s="290" t="str">
        <f t="shared" ca="1" si="17"/>
        <v/>
      </c>
      <c r="L48" s="290" t="str">
        <f t="shared" ca="1" si="17"/>
        <v/>
      </c>
      <c r="M48" s="290" t="str">
        <f t="shared" ca="1" si="17"/>
        <v/>
      </c>
      <c r="N48" s="290" t="str">
        <f t="shared" ca="1" si="17"/>
        <v/>
      </c>
      <c r="O48" s="290" t="str">
        <f t="shared" ca="1" si="17"/>
        <v/>
      </c>
      <c r="P48" s="290" t="str">
        <f t="shared" ca="1" si="17"/>
        <v/>
      </c>
      <c r="Q48" s="290" t="str">
        <f t="shared" ca="1" si="17"/>
        <v/>
      </c>
    </row>
    <row r="49" spans="2:17" ht="3.75" customHeight="1" x14ac:dyDescent="0.2">
      <c r="B49" s="167"/>
      <c r="E49" s="169"/>
      <c r="F49" s="169"/>
      <c r="G49" s="177"/>
      <c r="H49" s="169"/>
      <c r="I49" s="169"/>
      <c r="J49" s="169"/>
      <c r="K49" s="169"/>
      <c r="L49" s="169"/>
      <c r="O49" s="174"/>
      <c r="P49" s="174"/>
      <c r="Q49" s="174"/>
    </row>
    <row r="50" spans="2:17" ht="13.5" customHeight="1" x14ac:dyDescent="0.2">
      <c r="B50" s="287" t="s">
        <v>349</v>
      </c>
      <c r="E50" s="165" t="e">
        <f ca="1">+_xlfn.XLOOKUP($B50,Inputs!$B:$B,Inputs!O:O)</f>
        <v>#NAME?</v>
      </c>
      <c r="F50" s="165" t="e">
        <f ca="1">+_xlfn.XLOOKUP($B50,Inputs!$B:$B,Inputs!P:P)</f>
        <v>#NAME?</v>
      </c>
      <c r="G50" s="280" t="e">
        <f ca="1">+_xlfn.XLOOKUP($B50,Inputs!$B:$B,Inputs!Q:Q)</f>
        <v>#NAME?</v>
      </c>
      <c r="H50" s="189" t="str">
        <f ca="1">+IFERROR(H53+H56,"")</f>
        <v/>
      </c>
      <c r="I50" s="189" t="str">
        <f t="shared" ref="I50:Q50" ca="1" si="18">+IFERROR(I53+I56,"")</f>
        <v/>
      </c>
      <c r="J50" s="189" t="str">
        <f t="shared" ca="1" si="18"/>
        <v/>
      </c>
      <c r="K50" s="189" t="str">
        <f t="shared" ca="1" si="18"/>
        <v/>
      </c>
      <c r="L50" s="189" t="str">
        <f t="shared" ca="1" si="18"/>
        <v/>
      </c>
      <c r="M50" s="189" t="str">
        <f t="shared" ca="1" si="18"/>
        <v/>
      </c>
      <c r="N50" s="189" t="str">
        <f t="shared" ca="1" si="18"/>
        <v/>
      </c>
      <c r="O50" s="189" t="str">
        <f t="shared" ca="1" si="18"/>
        <v/>
      </c>
      <c r="P50" s="189" t="str">
        <f t="shared" ca="1" si="18"/>
        <v/>
      </c>
      <c r="Q50" s="189" t="str">
        <f t="shared" ca="1" si="18"/>
        <v/>
      </c>
    </row>
    <row r="51" spans="2:17" ht="13.5" customHeight="1" x14ac:dyDescent="0.2">
      <c r="B51" s="297" t="s">
        <v>350</v>
      </c>
      <c r="E51" s="309" t="str">
        <f ca="1">IFERROR(E50/AVERAGE(Inputs!O39+Inputs!O42+Inputs!O44,Inputs!N39+Inputs!N42+Inputs!N44),"")</f>
        <v/>
      </c>
      <c r="F51" s="309" t="str">
        <f ca="1">IFERROR(F50/AVERAGE(Inputs!P39+Inputs!P42+Inputs!P44,Inputs!O39+Inputs!O42+Inputs!O44),"")</f>
        <v/>
      </c>
      <c r="G51" s="294" t="str">
        <f ca="1">IFERROR(G50/AVERAGE(Inputs!Q39+Inputs!Q42+Inputs!Q44,Inputs!P39+Inputs!P42+Inputs!P44),"")</f>
        <v/>
      </c>
      <c r="H51" s="169" t="str">
        <f ca="1">IFERROR(H50/(G99+G105),"")</f>
        <v/>
      </c>
      <c r="I51" s="169" t="str">
        <f t="shared" ref="I51:Q51" ca="1" si="19">IFERROR(I50/(H99+H105),"")</f>
        <v/>
      </c>
      <c r="J51" s="169" t="str">
        <f t="shared" ca="1" si="19"/>
        <v/>
      </c>
      <c r="K51" s="169" t="str">
        <f t="shared" ca="1" si="19"/>
        <v/>
      </c>
      <c r="L51" s="169" t="str">
        <f t="shared" ca="1" si="19"/>
        <v/>
      </c>
      <c r="M51" s="169" t="str">
        <f t="shared" ca="1" si="19"/>
        <v/>
      </c>
      <c r="N51" s="169" t="str">
        <f t="shared" ca="1" si="19"/>
        <v/>
      </c>
      <c r="O51" s="169" t="str">
        <f t="shared" ca="1" si="19"/>
        <v/>
      </c>
      <c r="P51" s="169" t="str">
        <f t="shared" ca="1" si="19"/>
        <v/>
      </c>
      <c r="Q51" s="169" t="str">
        <f t="shared" ca="1" si="19"/>
        <v/>
      </c>
    </row>
    <row r="52" spans="2:17" ht="5.25" customHeight="1" x14ac:dyDescent="0.2">
      <c r="B52" s="167"/>
      <c r="E52" s="169"/>
      <c r="F52" s="169"/>
      <c r="G52" s="177"/>
      <c r="H52" s="169"/>
      <c r="I52" s="169"/>
      <c r="J52" s="169"/>
      <c r="K52" s="169"/>
      <c r="L52" s="169"/>
      <c r="O52" s="174"/>
      <c r="P52" s="174"/>
      <c r="Q52" s="174"/>
    </row>
    <row r="53" spans="2:17" s="167" customFormat="1" x14ac:dyDescent="0.2">
      <c r="B53" s="312" t="s">
        <v>351</v>
      </c>
      <c r="E53" s="313" t="e">
        <f ca="1">+_xlfn.XLOOKUP($B53,Inputs!$B:$B,Inputs!O:O)</f>
        <v>#NAME?</v>
      </c>
      <c r="F53" s="313" t="e">
        <f ca="1">+_xlfn.XLOOKUP($B53,Inputs!$B:$B,Inputs!P:P)</f>
        <v>#NAME?</v>
      </c>
      <c r="G53" s="314" t="e">
        <f ca="1">+_xlfn.XLOOKUP($B53,Inputs!$B:$B,Inputs!Q:Q)</f>
        <v>#NAME?</v>
      </c>
      <c r="H53" s="315" t="str">
        <f ca="1">IFERROR(H54*(G100+G101),"")</f>
        <v/>
      </c>
      <c r="I53" s="315" t="str">
        <f t="shared" ref="I53:Q53" ca="1" si="20">IFERROR(I54*(H100+H101),"")</f>
        <v/>
      </c>
      <c r="J53" s="315" t="str">
        <f t="shared" ca="1" si="20"/>
        <v/>
      </c>
      <c r="K53" s="315" t="str">
        <f t="shared" ca="1" si="20"/>
        <v/>
      </c>
      <c r="L53" s="315" t="str">
        <f t="shared" ca="1" si="20"/>
        <v/>
      </c>
      <c r="M53" s="315" t="str">
        <f t="shared" ca="1" si="20"/>
        <v/>
      </c>
      <c r="N53" s="315" t="str">
        <f t="shared" ca="1" si="20"/>
        <v/>
      </c>
      <c r="O53" s="315" t="str">
        <f t="shared" ca="1" si="20"/>
        <v/>
      </c>
      <c r="P53" s="315" t="str">
        <f t="shared" ca="1" si="20"/>
        <v/>
      </c>
      <c r="Q53" s="315" t="str">
        <f t="shared" ca="1" si="20"/>
        <v/>
      </c>
    </row>
    <row r="54" spans="2:17" s="288" customFormat="1" ht="14.25" x14ac:dyDescent="0.2">
      <c r="B54" s="311" t="s">
        <v>352</v>
      </c>
      <c r="E54" s="309" t="str">
        <f ca="1">IFERROR(E53/AVERAGE(Inputs!O40+Inputs!O42,Inputs!N40+Inputs!N42),"")</f>
        <v/>
      </c>
      <c r="F54" s="309" t="str">
        <f ca="1">IFERROR(F53/AVERAGE(Inputs!P40+Inputs!P42,Inputs!O40+Inputs!O42),"")</f>
        <v/>
      </c>
      <c r="G54" s="294" t="str">
        <f ca="1">IFERROR(G53/AVERAGE(Inputs!Q40+Inputs!Q42,Inputs!P40+Inputs!P42),"")</f>
        <v/>
      </c>
      <c r="H54" s="317" t="str">
        <f ca="1">IFERROR(AVERAGE(E54:G54),"")</f>
        <v/>
      </c>
      <c r="I54" s="317" t="str">
        <f t="shared" ref="I54:Q54" ca="1" si="21">IFERROR(AVERAGE(F54:H54),"")</f>
        <v/>
      </c>
      <c r="J54" s="317" t="str">
        <f t="shared" ca="1" si="21"/>
        <v/>
      </c>
      <c r="K54" s="317" t="str">
        <f t="shared" ca="1" si="21"/>
        <v/>
      </c>
      <c r="L54" s="317" t="str">
        <f t="shared" ca="1" si="21"/>
        <v/>
      </c>
      <c r="M54" s="317" t="str">
        <f t="shared" ca="1" si="21"/>
        <v/>
      </c>
      <c r="N54" s="317" t="str">
        <f t="shared" ca="1" si="21"/>
        <v/>
      </c>
      <c r="O54" s="317" t="str">
        <f t="shared" ca="1" si="21"/>
        <v/>
      </c>
      <c r="P54" s="317" t="str">
        <f t="shared" ca="1" si="21"/>
        <v/>
      </c>
      <c r="Q54" s="317" t="str">
        <f t="shared" ca="1" si="21"/>
        <v/>
      </c>
    </row>
    <row r="55" spans="2:17" ht="3.75" customHeight="1" x14ac:dyDescent="0.2">
      <c r="B55" s="167"/>
      <c r="E55" s="169"/>
      <c r="F55" s="169"/>
      <c r="G55" s="177"/>
      <c r="H55" s="175"/>
      <c r="I55" s="175"/>
      <c r="J55" s="175"/>
      <c r="K55" s="175"/>
      <c r="L55" s="175"/>
      <c r="M55" s="175"/>
      <c r="N55" s="175"/>
      <c r="O55" s="175"/>
      <c r="P55" s="175"/>
      <c r="Q55" s="175"/>
    </row>
    <row r="56" spans="2:17" s="167" customFormat="1" x14ac:dyDescent="0.2">
      <c r="B56" s="312" t="s">
        <v>353</v>
      </c>
      <c r="E56" s="313" t="e">
        <f ca="1">+_xlfn.XLOOKUP($B56,Inputs!$B:$B,Inputs!O:O)</f>
        <v>#NAME?</v>
      </c>
      <c r="F56" s="313" t="e">
        <f ca="1">+_xlfn.XLOOKUP($B56,Inputs!$B:$B,Inputs!P:P)</f>
        <v>#NAME?</v>
      </c>
      <c r="G56" s="314" t="e">
        <f ca="1">+_xlfn.XLOOKUP($B56,Inputs!$B:$B,Inputs!Q:Q)</f>
        <v>#NAME?</v>
      </c>
      <c r="H56" s="189" t="e">
        <f t="shared" ref="H56:Q56" ca="1" si="22">+H57*G105</f>
        <v>#NAME?</v>
      </c>
      <c r="I56" s="189" t="e">
        <f t="shared" ca="1" si="22"/>
        <v>#NAME?</v>
      </c>
      <c r="J56" s="189" t="e">
        <f t="shared" ca="1" si="22"/>
        <v>#NAME?</v>
      </c>
      <c r="K56" s="189" t="e">
        <f t="shared" ca="1" si="22"/>
        <v>#NAME?</v>
      </c>
      <c r="L56" s="189" t="e">
        <f t="shared" ca="1" si="22"/>
        <v>#NAME?</v>
      </c>
      <c r="M56" s="189" t="e">
        <f t="shared" ca="1" si="22"/>
        <v>#NAME?</v>
      </c>
      <c r="N56" s="189" t="e">
        <f t="shared" ca="1" si="22"/>
        <v>#NAME?</v>
      </c>
      <c r="O56" s="189" t="e">
        <f t="shared" ca="1" si="22"/>
        <v>#NAME?</v>
      </c>
      <c r="P56" s="189" t="e">
        <f t="shared" ca="1" si="22"/>
        <v>#NAME?</v>
      </c>
      <c r="Q56" s="189" t="e">
        <f t="shared" ca="1" si="22"/>
        <v>#NAME?</v>
      </c>
    </row>
    <row r="57" spans="2:17" s="288" customFormat="1" ht="14.25" x14ac:dyDescent="0.2">
      <c r="B57" s="311" t="s">
        <v>354</v>
      </c>
      <c r="E57" s="290" t="str">
        <f ca="1">IFERROR(E56/AVERAGE(Inputs!N45:O45),"")</f>
        <v/>
      </c>
      <c r="F57" s="290" t="str">
        <f ca="1">IFERROR(F56/AVERAGE(Inputs!O45:P45),"")</f>
        <v/>
      </c>
      <c r="G57" s="294" t="str">
        <f ca="1">IFERROR(G56/AVERAGE(Inputs!P45:Q45),"")</f>
        <v/>
      </c>
      <c r="H57" s="317"/>
      <c r="I57" s="317"/>
      <c r="J57" s="317"/>
      <c r="K57" s="317"/>
      <c r="L57" s="317"/>
      <c r="M57" s="317"/>
      <c r="N57" s="317"/>
      <c r="O57" s="317"/>
      <c r="P57" s="317"/>
      <c r="Q57" s="317"/>
    </row>
    <row r="58" spans="2:17" ht="3.95" customHeight="1" x14ac:dyDescent="0.2">
      <c r="G58" s="173"/>
    </row>
    <row r="59" spans="2:17" x14ac:dyDescent="0.2">
      <c r="B59" s="132" t="s">
        <v>226</v>
      </c>
      <c r="E59" s="165" t="e">
        <f ca="1">+_xlfn.XLOOKUP($B59,Inputs!$B:$B,Inputs!O:O)</f>
        <v>#NAME?</v>
      </c>
      <c r="F59" s="165" t="e">
        <f ca="1">+_xlfn.XLOOKUP($B59,Inputs!$B:$B,Inputs!P:P)</f>
        <v>#NAME?</v>
      </c>
      <c r="G59" s="280" t="e">
        <f ca="1">+_xlfn.XLOOKUP($B59,Inputs!$B:$B,Inputs!Q:Q)</f>
        <v>#NAME?</v>
      </c>
      <c r="H59" s="176" t="str">
        <f ca="1">+IFERROR(H47-H50,"")</f>
        <v/>
      </c>
      <c r="I59" s="176" t="str">
        <f t="shared" ref="I59:Q59" ca="1" si="23">+IFERROR(I47-I50,"")</f>
        <v/>
      </c>
      <c r="J59" s="176" t="str">
        <f t="shared" ca="1" si="23"/>
        <v/>
      </c>
      <c r="K59" s="176" t="str">
        <f t="shared" ca="1" si="23"/>
        <v/>
      </c>
      <c r="L59" s="176" t="str">
        <f t="shared" ca="1" si="23"/>
        <v/>
      </c>
      <c r="M59" s="176" t="str">
        <f t="shared" ca="1" si="23"/>
        <v/>
      </c>
      <c r="N59" s="176" t="str">
        <f t="shared" ca="1" si="23"/>
        <v/>
      </c>
      <c r="O59" s="176" t="str">
        <f t="shared" ca="1" si="23"/>
        <v/>
      </c>
      <c r="P59" s="176" t="str">
        <f t="shared" ca="1" si="23"/>
        <v/>
      </c>
      <c r="Q59" s="176" t="str">
        <f t="shared" ca="1" si="23"/>
        <v/>
      </c>
    </row>
    <row r="60" spans="2:17" s="298" customFormat="1" ht="14.25" x14ac:dyDescent="0.2">
      <c r="B60" s="288" t="s">
        <v>174</v>
      </c>
      <c r="E60" s="290" t="str">
        <f ca="1">IFERROR(E59/E$30,"")</f>
        <v/>
      </c>
      <c r="F60" s="290" t="str">
        <f t="shared" ref="F60" ca="1" si="24">IFERROR(F59/F$30,"")</f>
        <v/>
      </c>
      <c r="G60" s="294" t="str">
        <f t="shared" ref="G60" ca="1" si="25">IFERROR(G59/G$30,"")</f>
        <v/>
      </c>
      <c r="H60" s="290" t="str">
        <f t="shared" ref="H60:Q60" ca="1" si="26">IFERROR(H59/H30,"")</f>
        <v/>
      </c>
      <c r="I60" s="290" t="str">
        <f t="shared" ca="1" si="26"/>
        <v/>
      </c>
      <c r="J60" s="290" t="str">
        <f t="shared" ca="1" si="26"/>
        <v/>
      </c>
      <c r="K60" s="290" t="str">
        <f t="shared" ca="1" si="26"/>
        <v/>
      </c>
      <c r="L60" s="290" t="str">
        <f t="shared" ca="1" si="26"/>
        <v/>
      </c>
      <c r="M60" s="290" t="str">
        <f t="shared" ca="1" si="26"/>
        <v/>
      </c>
      <c r="N60" s="290" t="str">
        <f t="shared" ca="1" si="26"/>
        <v/>
      </c>
      <c r="O60" s="290" t="str">
        <f t="shared" ca="1" si="26"/>
        <v/>
      </c>
      <c r="P60" s="290" t="str">
        <f t="shared" ca="1" si="26"/>
        <v/>
      </c>
      <c r="Q60" s="290" t="str">
        <f t="shared" ca="1" si="26"/>
        <v/>
      </c>
    </row>
    <row r="61" spans="2:17" customFormat="1" ht="3.75" customHeight="1" x14ac:dyDescent="0.2">
      <c r="B61" s="132"/>
      <c r="E61" s="290"/>
      <c r="F61" s="290"/>
      <c r="G61" s="295"/>
      <c r="H61" s="109"/>
      <c r="I61" s="109"/>
      <c r="J61" s="109"/>
      <c r="K61" s="109"/>
      <c r="L61" s="109"/>
      <c r="M61" s="109"/>
      <c r="N61" s="109"/>
      <c r="O61" s="109"/>
      <c r="P61" s="109"/>
      <c r="Q61" s="109"/>
    </row>
    <row r="62" spans="2:17" customFormat="1" ht="13.5" customHeight="1" x14ac:dyDescent="0.2">
      <c r="B62" s="287" t="s">
        <v>227</v>
      </c>
      <c r="E62" s="165" t="e">
        <f ca="1">+_xlfn.XLOOKUP($B62,Inputs!$B:$B,Inputs!O:O)</f>
        <v>#NAME?</v>
      </c>
      <c r="F62" s="165" t="e">
        <f ca="1">+_xlfn.XLOOKUP($B62,Inputs!$B:$B,Inputs!P:P)</f>
        <v>#NAME?</v>
      </c>
      <c r="G62" s="280" t="e">
        <f ca="1">+_xlfn.XLOOKUP($B62,Inputs!$B:$B,Inputs!Q:Q)</f>
        <v>#NAME?</v>
      </c>
      <c r="H62" s="176">
        <f>-H65-H68</f>
        <v>0</v>
      </c>
      <c r="I62" s="176">
        <f t="shared" ref="I62:Q62" si="27">-I65-I68</f>
        <v>0</v>
      </c>
      <c r="J62" s="176">
        <f t="shared" si="27"/>
        <v>0</v>
      </c>
      <c r="K62" s="176">
        <f t="shared" si="27"/>
        <v>0</v>
      </c>
      <c r="L62" s="176">
        <f t="shared" si="27"/>
        <v>0</v>
      </c>
      <c r="M62" s="176">
        <f t="shared" si="27"/>
        <v>0</v>
      </c>
      <c r="N62" s="176">
        <f t="shared" si="27"/>
        <v>0</v>
      </c>
      <c r="O62" s="176">
        <f t="shared" si="27"/>
        <v>0</v>
      </c>
      <c r="P62" s="176">
        <f t="shared" si="27"/>
        <v>0</v>
      </c>
      <c r="Q62" s="176">
        <f t="shared" si="27"/>
        <v>0</v>
      </c>
    </row>
    <row r="63" spans="2:17" customFormat="1" ht="13.5" customHeight="1" x14ac:dyDescent="0.2">
      <c r="B63" s="311" t="s">
        <v>355</v>
      </c>
      <c r="E63" s="309" t="str">
        <f ca="1">IFERROR(E62/AVERAGE(Inputs!N117:O117),"")</f>
        <v/>
      </c>
      <c r="F63" s="309" t="str">
        <f ca="1">IFERROR(F62/AVERAGE(Inputs!O117:P117),"")</f>
        <v/>
      </c>
      <c r="G63" s="294" t="str">
        <f ca="1">IFERROR(G62/AVERAGE(Inputs!P117:Q117),"")</f>
        <v/>
      </c>
      <c r="H63" s="309" t="str">
        <f ca="1">IFERROR(H62/AVERAGE(G116+G118,H116+H118),"")</f>
        <v/>
      </c>
      <c r="I63" s="309" t="str">
        <f t="shared" ref="I63:Q63" ca="1" si="28">IFERROR(I62/AVERAGE(H116+H118,I116+I118),"")</f>
        <v/>
      </c>
      <c r="J63" s="309" t="str">
        <f t="shared" ca="1" si="28"/>
        <v/>
      </c>
      <c r="K63" s="309" t="str">
        <f t="shared" ca="1" si="28"/>
        <v/>
      </c>
      <c r="L63" s="309" t="str">
        <f t="shared" ca="1" si="28"/>
        <v/>
      </c>
      <c r="M63" s="309" t="str">
        <f t="shared" ca="1" si="28"/>
        <v/>
      </c>
      <c r="N63" s="309" t="str">
        <f t="shared" ca="1" si="28"/>
        <v/>
      </c>
      <c r="O63" s="309" t="str">
        <f t="shared" ca="1" si="28"/>
        <v/>
      </c>
      <c r="P63" s="309" t="str">
        <f t="shared" ca="1" si="28"/>
        <v/>
      </c>
      <c r="Q63" s="309" t="str">
        <f t="shared" ca="1" si="28"/>
        <v/>
      </c>
    </row>
    <row r="64" spans="2:17" customFormat="1" ht="3.75" customHeight="1" x14ac:dyDescent="0.2">
      <c r="B64" s="132"/>
      <c r="E64" s="290"/>
      <c r="F64" s="290"/>
      <c r="G64" s="294"/>
      <c r="H64" s="109"/>
      <c r="I64" s="109"/>
      <c r="J64" s="109"/>
      <c r="K64" s="109"/>
      <c r="L64" s="109"/>
      <c r="M64" s="109"/>
      <c r="N64" s="109"/>
      <c r="O64" s="109"/>
      <c r="P64" s="109"/>
      <c r="Q64" s="109"/>
    </row>
    <row r="65" spans="2:17" customFormat="1" x14ac:dyDescent="0.2">
      <c r="B65" s="310" t="s">
        <v>356</v>
      </c>
      <c r="E65" s="165" t="e">
        <f ca="1">+_xlfn.XLOOKUP($B65,Inputs!$B:$B,Inputs!O:O)</f>
        <v>#NAME?</v>
      </c>
      <c r="F65" s="165" t="e">
        <f ca="1">+_xlfn.XLOOKUP($B65,Inputs!$B:$B,Inputs!P:P)</f>
        <v>#NAME?</v>
      </c>
      <c r="G65" s="280" t="e">
        <f ca="1">+_xlfn.XLOOKUP($B65,Inputs!$B:$B,Inputs!Q:Q)</f>
        <v>#NAME?</v>
      </c>
      <c r="H65" s="176"/>
      <c r="I65" s="176"/>
      <c r="J65" s="176"/>
      <c r="K65" s="176"/>
      <c r="L65" s="176"/>
      <c r="M65" s="176"/>
      <c r="N65" s="176"/>
      <c r="O65" s="176"/>
      <c r="P65" s="176"/>
      <c r="Q65" s="176"/>
    </row>
    <row r="66" spans="2:17" s="298" customFormat="1" ht="14.25" x14ac:dyDescent="0.2">
      <c r="B66" s="311" t="s">
        <v>357</v>
      </c>
      <c r="E66" s="309" t="str">
        <f ca="1">+IFERROR(E65/AVERAGE(Inputs!N114:O114),"")</f>
        <v/>
      </c>
      <c r="F66" s="309" t="str">
        <f ca="1">+IFERROR(F65/AVERAGE(Inputs!O114:P114),"")</f>
        <v/>
      </c>
      <c r="G66" s="294" t="str">
        <f ca="1">+IFERROR(G65/AVERAGE(Inputs!P114:Q114),"")</f>
        <v/>
      </c>
      <c r="H66" s="319"/>
      <c r="I66" s="319"/>
      <c r="J66" s="319"/>
      <c r="K66" s="319"/>
      <c r="L66" s="319"/>
      <c r="M66" s="319"/>
      <c r="N66" s="319"/>
      <c r="O66" s="319"/>
      <c r="P66" s="319"/>
      <c r="Q66" s="319"/>
    </row>
    <row r="67" spans="2:17" customFormat="1" ht="3.75" customHeight="1" x14ac:dyDescent="0.2">
      <c r="B67" s="271"/>
      <c r="E67" s="290"/>
      <c r="F67" s="290"/>
      <c r="G67" s="295"/>
      <c r="H67" s="109"/>
      <c r="I67" s="109"/>
      <c r="J67" s="109"/>
      <c r="K67" s="109"/>
      <c r="L67" s="109"/>
      <c r="M67" s="109"/>
      <c r="N67" s="109"/>
      <c r="O67" s="109"/>
      <c r="P67" s="109"/>
      <c r="Q67" s="109"/>
    </row>
    <row r="68" spans="2:17" customFormat="1" x14ac:dyDescent="0.2">
      <c r="B68" s="310" t="s">
        <v>358</v>
      </c>
      <c r="E68" s="165" t="e">
        <f ca="1">+_xlfn.XLOOKUP($B68,Inputs!$B:$B,Inputs!O:O)</f>
        <v>#NAME?</v>
      </c>
      <c r="F68" s="165" t="e">
        <f ca="1">+_xlfn.XLOOKUP($B68,Inputs!$B:$B,Inputs!P:P)</f>
        <v>#NAME?</v>
      </c>
      <c r="G68" s="280" t="e">
        <f ca="1">+_xlfn.XLOOKUP($B68,Inputs!$B:$B,Inputs!Q:Q)</f>
        <v>#NAME?</v>
      </c>
      <c r="H68" s="176"/>
      <c r="I68" s="176"/>
      <c r="J68" s="176"/>
      <c r="K68" s="176"/>
      <c r="L68" s="176"/>
      <c r="M68" s="176"/>
      <c r="N68" s="176"/>
      <c r="O68" s="176"/>
      <c r="P68" s="176"/>
      <c r="Q68" s="176"/>
    </row>
    <row r="69" spans="2:17" s="298" customFormat="1" ht="14.25" x14ac:dyDescent="0.2">
      <c r="B69" s="311" t="s">
        <v>359</v>
      </c>
      <c r="E69" s="290" t="str">
        <f ca="1">IFERROR(E68/+AVERAGE(Inputs!N32:O32),"")</f>
        <v/>
      </c>
      <c r="F69" s="290" t="str">
        <f ca="1">IFERROR(F68/+AVERAGE(Inputs!O32:P32),"")</f>
        <v/>
      </c>
      <c r="G69" s="294" t="str">
        <f ca="1">IFERROR(G68/+AVERAGE(Inputs!P32:Q32),"")</f>
        <v/>
      </c>
      <c r="H69" s="319"/>
      <c r="I69" s="319"/>
      <c r="J69" s="319"/>
      <c r="K69" s="319"/>
      <c r="L69" s="319"/>
      <c r="M69" s="319"/>
      <c r="N69" s="319"/>
      <c r="O69" s="319"/>
      <c r="P69" s="319"/>
      <c r="Q69" s="319"/>
    </row>
    <row r="70" spans="2:17" s="298" customFormat="1" ht="3.75" customHeight="1" x14ac:dyDescent="0.2">
      <c r="B70" s="297"/>
      <c r="E70" s="290"/>
      <c r="F70" s="290"/>
      <c r="G70" s="294"/>
      <c r="H70" s="296"/>
      <c r="I70" s="296"/>
      <c r="J70" s="296"/>
      <c r="K70" s="296"/>
      <c r="L70" s="296"/>
      <c r="M70" s="296"/>
      <c r="N70" s="296"/>
      <c r="O70" s="296"/>
      <c r="P70" s="296"/>
      <c r="Q70" s="296"/>
    </row>
    <row r="71" spans="2:17" s="298" customFormat="1" x14ac:dyDescent="0.2">
      <c r="B71" s="287" t="s">
        <v>360</v>
      </c>
      <c r="E71" s="306" t="e">
        <f ca="1">+_xlfn.XLOOKUP($B71,Inputs!$B:$B,Inputs!O:O)</f>
        <v>#NAME?</v>
      </c>
      <c r="F71" s="306" t="e">
        <f ca="1">+_xlfn.XLOOKUP($B71,Inputs!$B:$B,Inputs!P:P)</f>
        <v>#NAME?</v>
      </c>
      <c r="G71" s="307" t="e">
        <f ca="1">+_xlfn.XLOOKUP($B71,Inputs!$B:$B,Inputs!Q:Q)</f>
        <v>#NAME?</v>
      </c>
      <c r="H71" s="176">
        <f>+H72*H$17</f>
        <v>0</v>
      </c>
      <c r="I71" s="176">
        <f t="shared" ref="I71:Q71" si="29">+I72*I$17</f>
        <v>0</v>
      </c>
      <c r="J71" s="176">
        <f t="shared" si="29"/>
        <v>0</v>
      </c>
      <c r="K71" s="176">
        <f t="shared" si="29"/>
        <v>0</v>
      </c>
      <c r="L71" s="176">
        <f t="shared" si="29"/>
        <v>0</v>
      </c>
      <c r="M71" s="176">
        <f t="shared" si="29"/>
        <v>0</v>
      </c>
      <c r="N71" s="176">
        <f t="shared" si="29"/>
        <v>0</v>
      </c>
      <c r="O71" s="176">
        <f t="shared" si="29"/>
        <v>0</v>
      </c>
      <c r="P71" s="176">
        <f t="shared" si="29"/>
        <v>0</v>
      </c>
      <c r="Q71" s="176">
        <f t="shared" si="29"/>
        <v>0</v>
      </c>
    </row>
    <row r="72" spans="2:17" s="298" customFormat="1" ht="14.25" x14ac:dyDescent="0.2">
      <c r="B72" s="311" t="s">
        <v>346</v>
      </c>
      <c r="E72" s="290"/>
      <c r="F72" s="290"/>
      <c r="G72" s="294"/>
      <c r="H72" s="319"/>
      <c r="I72" s="319"/>
      <c r="J72" s="319"/>
      <c r="K72" s="319"/>
      <c r="L72" s="319"/>
      <c r="M72" s="319"/>
      <c r="N72" s="319"/>
      <c r="O72" s="319"/>
      <c r="P72" s="319"/>
      <c r="Q72" s="319"/>
    </row>
    <row r="73" spans="2:17" s="298" customFormat="1" ht="5.25" customHeight="1" x14ac:dyDescent="0.2">
      <c r="B73" s="311"/>
      <c r="E73" s="290"/>
      <c r="F73" s="290"/>
      <c r="G73" s="294"/>
      <c r="H73" s="296"/>
      <c r="I73" s="296"/>
      <c r="J73" s="296"/>
      <c r="K73" s="296"/>
      <c r="L73" s="296"/>
      <c r="M73" s="296"/>
      <c r="N73" s="296"/>
      <c r="O73" s="296"/>
      <c r="P73" s="296"/>
      <c r="Q73" s="296"/>
    </row>
    <row r="74" spans="2:17" s="298" customFormat="1" x14ac:dyDescent="0.2">
      <c r="B74" s="287" t="s">
        <v>361</v>
      </c>
      <c r="E74" s="306" t="e">
        <f ca="1">+_xlfn.XLOOKUP($B74,Inputs!$B:$B,Inputs!O:O)</f>
        <v>#NAME?</v>
      </c>
      <c r="F74" s="306" t="e">
        <f ca="1">+_xlfn.XLOOKUP($B74,Inputs!$B:$B,Inputs!P:P)</f>
        <v>#NAME?</v>
      </c>
      <c r="G74" s="307" t="e">
        <f ca="1">+_xlfn.XLOOKUP($B74,Inputs!$B:$B,Inputs!Q:Q)</f>
        <v>#NAME?</v>
      </c>
      <c r="H74" s="318" t="str">
        <f ca="1">IFERROR(AVERAGE(E74:G74)*(1+H31),"")</f>
        <v/>
      </c>
      <c r="I74" s="318" t="str">
        <f t="shared" ref="I74:Q74" ca="1" si="30">IFERROR(AVERAGE(F74:H74)*(1+I31),"")</f>
        <v/>
      </c>
      <c r="J74" s="318" t="str">
        <f t="shared" ca="1" si="30"/>
        <v/>
      </c>
      <c r="K74" s="318" t="str">
        <f t="shared" ca="1" si="30"/>
        <v/>
      </c>
      <c r="L74" s="318" t="str">
        <f t="shared" ca="1" si="30"/>
        <v/>
      </c>
      <c r="M74" s="318" t="str">
        <f t="shared" ca="1" si="30"/>
        <v/>
      </c>
      <c r="N74" s="318" t="str">
        <f t="shared" ca="1" si="30"/>
        <v/>
      </c>
      <c r="O74" s="318" t="str">
        <f t="shared" ca="1" si="30"/>
        <v/>
      </c>
      <c r="P74" s="318" t="str">
        <f t="shared" ca="1" si="30"/>
        <v/>
      </c>
      <c r="Q74" s="318" t="str">
        <f t="shared" ca="1" si="30"/>
        <v/>
      </c>
    </row>
    <row r="75" spans="2:17" ht="3.75" customHeight="1" x14ac:dyDescent="0.2">
      <c r="B75" s="167"/>
      <c r="G75" s="162"/>
      <c r="H75" s="137"/>
      <c r="I75" s="137"/>
      <c r="J75" s="137"/>
      <c r="K75" s="137"/>
      <c r="L75" s="137"/>
      <c r="O75" s="137"/>
      <c r="P75" s="137"/>
      <c r="Q75" s="137"/>
    </row>
    <row r="76" spans="2:17" ht="13.5" customHeight="1" x14ac:dyDescent="0.2">
      <c r="B76" s="213" t="s">
        <v>228</v>
      </c>
      <c r="E76" s="306" t="e">
        <f ca="1">+_xlfn.XLOOKUP($B76,Inputs!$B:$B,Inputs!O:O)</f>
        <v>#NAME?</v>
      </c>
      <c r="F76" s="306" t="e">
        <f ca="1">+_xlfn.XLOOKUP($B76,Inputs!$B:$B,Inputs!P:P)</f>
        <v>#NAME?</v>
      </c>
      <c r="G76" s="307" t="e">
        <f ca="1">+_xlfn.XLOOKUP($B76,Inputs!$B:$B,Inputs!Q:Q)</f>
        <v>#NAME?</v>
      </c>
      <c r="H76" s="172" t="str">
        <f ca="1">IFERROR(+H59-H62-H71-H74,"")</f>
        <v/>
      </c>
      <c r="I76" s="172" t="str">
        <f t="shared" ref="I76:Q76" ca="1" si="31">IFERROR(+I59-I62-I71-I74,"")</f>
        <v/>
      </c>
      <c r="J76" s="172" t="str">
        <f t="shared" ca="1" si="31"/>
        <v/>
      </c>
      <c r="K76" s="172" t="str">
        <f t="shared" ca="1" si="31"/>
        <v/>
      </c>
      <c r="L76" s="172" t="str">
        <f t="shared" ca="1" si="31"/>
        <v/>
      </c>
      <c r="M76" s="172" t="str">
        <f t="shared" ca="1" si="31"/>
        <v/>
      </c>
      <c r="N76" s="172" t="str">
        <f t="shared" ca="1" si="31"/>
        <v/>
      </c>
      <c r="O76" s="172" t="str">
        <f t="shared" ca="1" si="31"/>
        <v/>
      </c>
      <c r="P76" s="172" t="str">
        <f t="shared" ca="1" si="31"/>
        <v/>
      </c>
      <c r="Q76" s="172" t="str">
        <f t="shared" ca="1" si="31"/>
        <v/>
      </c>
    </row>
    <row r="77" spans="2:17" ht="5.25" customHeight="1" x14ac:dyDescent="0.2">
      <c r="G77" s="162"/>
      <c r="H77" s="137"/>
      <c r="I77" s="137"/>
      <c r="J77" s="137"/>
      <c r="K77" s="137"/>
      <c r="L77" s="137"/>
      <c r="O77" s="137"/>
      <c r="P77" s="137"/>
      <c r="Q77" s="137"/>
    </row>
    <row r="78" spans="2:17" x14ac:dyDescent="0.2">
      <c r="B78" s="132" t="s">
        <v>229</v>
      </c>
      <c r="E78" s="165" t="e">
        <f ca="1">+_xlfn.XLOOKUP($B78,Inputs!$B:$B,Inputs!O:O)</f>
        <v>#NAME?</v>
      </c>
      <c r="F78" s="165" t="e">
        <f ca="1">+_xlfn.XLOOKUP($B78,Inputs!$B:$B,Inputs!P:P)</f>
        <v>#NAME?</v>
      </c>
      <c r="G78" s="280" t="e">
        <f ca="1">+_xlfn.XLOOKUP($B78,Inputs!$B:$B,Inputs!Q:Q)</f>
        <v>#NAME?</v>
      </c>
      <c r="H78" s="172" t="str">
        <f ca="1">IFERROR(H79*H$59,"")</f>
        <v/>
      </c>
      <c r="I78" s="172" t="str">
        <f t="shared" ref="I78:Q78" ca="1" si="32">IFERROR(I79*I$59,"")</f>
        <v/>
      </c>
      <c r="J78" s="172" t="str">
        <f t="shared" ca="1" si="32"/>
        <v/>
      </c>
      <c r="K78" s="172" t="str">
        <f t="shared" ca="1" si="32"/>
        <v/>
      </c>
      <c r="L78" s="172" t="str">
        <f t="shared" ca="1" si="32"/>
        <v/>
      </c>
      <c r="M78" s="172" t="str">
        <f t="shared" ca="1" si="32"/>
        <v/>
      </c>
      <c r="N78" s="172" t="str">
        <f t="shared" ca="1" si="32"/>
        <v/>
      </c>
      <c r="O78" s="172" t="str">
        <f t="shared" ca="1" si="32"/>
        <v/>
      </c>
      <c r="P78" s="172" t="str">
        <f t="shared" ca="1" si="32"/>
        <v/>
      </c>
      <c r="Q78" s="172" t="str">
        <f t="shared" ca="1" si="32"/>
        <v/>
      </c>
    </row>
    <row r="79" spans="2:17" s="288" customFormat="1" ht="14.25" x14ac:dyDescent="0.2">
      <c r="B79" s="288" t="s">
        <v>362</v>
      </c>
      <c r="E79" s="290" t="str">
        <f ca="1">IFERROR(E78/E76,"")</f>
        <v/>
      </c>
      <c r="F79" s="290" t="str">
        <f t="shared" ref="F79:G79" ca="1" si="33">IFERROR(F78/F76,"")</f>
        <v/>
      </c>
      <c r="G79" s="294" t="str">
        <f t="shared" ca="1" si="33"/>
        <v/>
      </c>
      <c r="H79" s="317" t="str">
        <f ca="1">IFERROR(AVERAGE(E79:G79),"")</f>
        <v/>
      </c>
      <c r="I79" s="317" t="str">
        <f t="shared" ref="I79:Q79" ca="1" si="34">IFERROR(AVERAGE(F79:H79),"")</f>
        <v/>
      </c>
      <c r="J79" s="317" t="str">
        <f t="shared" ca="1" si="34"/>
        <v/>
      </c>
      <c r="K79" s="317" t="str">
        <f t="shared" ca="1" si="34"/>
        <v/>
      </c>
      <c r="L79" s="317" t="str">
        <f t="shared" ca="1" si="34"/>
        <v/>
      </c>
      <c r="M79" s="317" t="str">
        <f t="shared" ca="1" si="34"/>
        <v/>
      </c>
      <c r="N79" s="317" t="str">
        <f t="shared" ca="1" si="34"/>
        <v/>
      </c>
      <c r="O79" s="317" t="str">
        <f t="shared" ca="1" si="34"/>
        <v/>
      </c>
      <c r="P79" s="317" t="str">
        <f t="shared" ca="1" si="34"/>
        <v/>
      </c>
      <c r="Q79" s="317" t="str">
        <f t="shared" ca="1" si="34"/>
        <v/>
      </c>
    </row>
    <row r="80" spans="2:17" s="288" customFormat="1" ht="3.75" customHeight="1" x14ac:dyDescent="0.2">
      <c r="E80" s="290"/>
      <c r="F80" s="290"/>
      <c r="G80" s="294"/>
      <c r="H80" s="309"/>
      <c r="I80" s="309"/>
      <c r="J80" s="309"/>
      <c r="K80" s="309"/>
      <c r="L80" s="309"/>
      <c r="M80" s="309"/>
      <c r="N80" s="309"/>
      <c r="O80" s="309"/>
      <c r="P80" s="309"/>
      <c r="Q80" s="309"/>
    </row>
    <row r="81" spans="1:17" s="288" customFormat="1" x14ac:dyDescent="0.2">
      <c r="B81" s="132" t="s">
        <v>230</v>
      </c>
      <c r="E81" s="165" t="e">
        <f ca="1">+_xlfn.XLOOKUP($B81,Inputs!$B:$B,Inputs!O:O)</f>
        <v>#NAME?</v>
      </c>
      <c r="F81" s="165" t="e">
        <f ca="1">+_xlfn.XLOOKUP($B81,Inputs!$B:$B,Inputs!P:P)</f>
        <v>#NAME?</v>
      </c>
      <c r="G81" s="280" t="e">
        <f ca="1">+_xlfn.XLOOKUP($B81,Inputs!$B:$B,Inputs!Q:Q)</f>
        <v>#NAME?</v>
      </c>
      <c r="H81" s="172" t="str">
        <f ca="1">IFERROR(+H76-H78,"")</f>
        <v/>
      </c>
      <c r="I81" s="172" t="str">
        <f t="shared" ref="I81:Q81" ca="1" si="35">IFERROR(+I76-I78,"")</f>
        <v/>
      </c>
      <c r="J81" s="172" t="str">
        <f t="shared" ca="1" si="35"/>
        <v/>
      </c>
      <c r="K81" s="172" t="str">
        <f t="shared" ca="1" si="35"/>
        <v/>
      </c>
      <c r="L81" s="172" t="str">
        <f t="shared" ca="1" si="35"/>
        <v/>
      </c>
      <c r="M81" s="172" t="str">
        <f t="shared" ca="1" si="35"/>
        <v/>
      </c>
      <c r="N81" s="172" t="str">
        <f t="shared" ca="1" si="35"/>
        <v/>
      </c>
      <c r="O81" s="172" t="str">
        <f t="shared" ca="1" si="35"/>
        <v/>
      </c>
      <c r="P81" s="172" t="str">
        <f t="shared" ca="1" si="35"/>
        <v/>
      </c>
      <c r="Q81" s="172" t="str">
        <f t="shared" ca="1" si="35"/>
        <v/>
      </c>
    </row>
    <row r="82" spans="1:17" s="288" customFormat="1" ht="14.25" x14ac:dyDescent="0.2">
      <c r="B82" s="288" t="s">
        <v>36</v>
      </c>
      <c r="E82" s="290" t="str">
        <f ca="1">IFERROR(E81/E$30,"")</f>
        <v/>
      </c>
      <c r="F82" s="290" t="str">
        <f t="shared" ref="F82:Q82" ca="1" si="36">IFERROR(F81/F$30,"")</f>
        <v/>
      </c>
      <c r="G82" s="294" t="str">
        <f t="shared" ref="G82" ca="1" si="37">IFERROR(G81/G$30,"")</f>
        <v/>
      </c>
      <c r="H82" s="290" t="str">
        <f t="shared" ca="1" si="36"/>
        <v/>
      </c>
      <c r="I82" s="290" t="str">
        <f t="shared" ca="1" si="36"/>
        <v/>
      </c>
      <c r="J82" s="290" t="str">
        <f t="shared" ca="1" si="36"/>
        <v/>
      </c>
      <c r="K82" s="290" t="str">
        <f t="shared" ca="1" si="36"/>
        <v/>
      </c>
      <c r="L82" s="290" t="str">
        <f t="shared" ca="1" si="36"/>
        <v/>
      </c>
      <c r="M82" s="290" t="str">
        <f t="shared" ca="1" si="36"/>
        <v/>
      </c>
      <c r="N82" s="290" t="str">
        <f t="shared" ca="1" si="36"/>
        <v/>
      </c>
      <c r="O82" s="290" t="str">
        <f t="shared" ca="1" si="36"/>
        <v/>
      </c>
      <c r="P82" s="290" t="str">
        <f t="shared" ca="1" si="36"/>
        <v/>
      </c>
      <c r="Q82" s="290" t="str">
        <f t="shared" ca="1" si="36"/>
        <v/>
      </c>
    </row>
    <row r="83" spans="1:17" ht="3.75" customHeight="1" x14ac:dyDescent="0.2">
      <c r="B83" s="167"/>
      <c r="G83" s="162"/>
    </row>
    <row r="84" spans="1:17" ht="15.75" x14ac:dyDescent="0.25">
      <c r="A84" s="132" t="s">
        <v>306</v>
      </c>
      <c r="B84" s="52" t="s">
        <v>233</v>
      </c>
      <c r="C84" s="56"/>
      <c r="D84" s="56"/>
      <c r="E84" s="143">
        <f t="shared" ref="E84:Q84" si="38">E28</f>
        <v>2022</v>
      </c>
      <c r="F84" s="143">
        <f t="shared" si="38"/>
        <v>2023</v>
      </c>
      <c r="G84" s="144">
        <f t="shared" si="38"/>
        <v>2024</v>
      </c>
      <c r="H84" s="105">
        <f t="shared" si="38"/>
        <v>2025</v>
      </c>
      <c r="I84" s="105">
        <f t="shared" si="38"/>
        <v>2026</v>
      </c>
      <c r="J84" s="105">
        <f t="shared" si="38"/>
        <v>2027</v>
      </c>
      <c r="K84" s="105">
        <f t="shared" si="38"/>
        <v>2028</v>
      </c>
      <c r="L84" s="105">
        <f t="shared" si="38"/>
        <v>2029</v>
      </c>
      <c r="M84" s="105">
        <f t="shared" si="38"/>
        <v>2030</v>
      </c>
      <c r="N84" s="105">
        <f t="shared" si="38"/>
        <v>2031</v>
      </c>
      <c r="O84" s="105">
        <f t="shared" si="38"/>
        <v>2032</v>
      </c>
      <c r="P84" s="105">
        <f t="shared" si="38"/>
        <v>2033</v>
      </c>
      <c r="Q84" s="105">
        <f t="shared" si="38"/>
        <v>2034</v>
      </c>
    </row>
    <row r="85" spans="1:17" ht="3.95" customHeight="1" x14ac:dyDescent="0.2">
      <c r="B85" s="179"/>
      <c r="C85" s="53"/>
      <c r="D85" s="53"/>
      <c r="E85" s="53"/>
      <c r="F85" s="53"/>
      <c r="G85" s="180"/>
      <c r="H85" s="53"/>
      <c r="I85" s="53"/>
      <c r="J85" s="53"/>
      <c r="K85" s="53"/>
      <c r="L85" s="53"/>
      <c r="M85" s="53"/>
      <c r="N85" s="53"/>
      <c r="O85" s="53"/>
      <c r="P85" s="53"/>
      <c r="Q85" s="53"/>
    </row>
    <row r="86" spans="1:17" ht="13.5" customHeight="1" x14ac:dyDescent="0.25">
      <c r="B86" s="164" t="s">
        <v>363</v>
      </c>
      <c r="G86" s="173"/>
    </row>
    <row r="87" spans="1:17" ht="5.25" customHeight="1" x14ac:dyDescent="0.2">
      <c r="B87" s="167"/>
      <c r="G87" s="173"/>
    </row>
    <row r="88" spans="1:17" ht="13.5" customHeight="1" x14ac:dyDescent="0.2">
      <c r="B88" s="132" t="s">
        <v>364</v>
      </c>
      <c r="E88" s="165" t="e">
        <f ca="1">+_xlfn.XLOOKUP($B88,Inputs!$B:$B,Inputs!O:O)</f>
        <v>#NAME?</v>
      </c>
      <c r="F88" s="165" t="e">
        <f ca="1">+_xlfn.XLOOKUP($B88,Inputs!$B:$B,Inputs!P:P)</f>
        <v>#NAME?</v>
      </c>
      <c r="G88" s="280" t="e">
        <f ca="1">+_xlfn.XLOOKUP($B88,Inputs!$B:$B,Inputs!Q:Q)</f>
        <v>#NAME?</v>
      </c>
      <c r="H88" s="183" t="str">
        <f ca="1">IFERROR(G88+H165,"")</f>
        <v/>
      </c>
      <c r="I88" s="183" t="str">
        <f t="shared" ref="I88:Q88" ca="1" si="39">IFERROR(H88+I165,"")</f>
        <v/>
      </c>
      <c r="J88" s="183" t="str">
        <f t="shared" ca="1" si="39"/>
        <v/>
      </c>
      <c r="K88" s="183" t="str">
        <f t="shared" ca="1" si="39"/>
        <v/>
      </c>
      <c r="L88" s="183" t="str">
        <f t="shared" ca="1" si="39"/>
        <v/>
      </c>
      <c r="M88" s="183" t="str">
        <f t="shared" ca="1" si="39"/>
        <v/>
      </c>
      <c r="N88" s="183" t="str">
        <f t="shared" ca="1" si="39"/>
        <v/>
      </c>
      <c r="O88" s="183" t="str">
        <f t="shared" ca="1" si="39"/>
        <v/>
      </c>
      <c r="P88" s="183" t="str">
        <f t="shared" ca="1" si="39"/>
        <v/>
      </c>
      <c r="Q88" s="183" t="str">
        <f t="shared" ca="1" si="39"/>
        <v/>
      </c>
    </row>
    <row r="89" spans="1:17" ht="3.75" customHeight="1" x14ac:dyDescent="0.2">
      <c r="E89" s="165"/>
      <c r="F89" s="165"/>
      <c r="G89" s="280"/>
    </row>
    <row r="90" spans="1:17" x14ac:dyDescent="0.2">
      <c r="B90" s="132" t="s">
        <v>235</v>
      </c>
      <c r="E90" s="165" t="e">
        <f ca="1">+_xlfn.XLOOKUP($B90,Inputs!$B:$B,Inputs!O:O)</f>
        <v>#NAME?</v>
      </c>
      <c r="F90" s="165" t="e">
        <f ca="1">+_xlfn.XLOOKUP($B90,Inputs!$B:$B,Inputs!P:P)</f>
        <v>#NAME?</v>
      </c>
      <c r="G90" s="280" t="e">
        <f ca="1">+_xlfn.XLOOKUP($B90,Inputs!$B:$B,Inputs!Q:Q)</f>
        <v>#NAME?</v>
      </c>
      <c r="H90" s="183" t="str">
        <f ca="1">IFERROR(H91*H30/365,"")</f>
        <v/>
      </c>
      <c r="I90" s="183" t="str">
        <f t="shared" ref="I90:Q90" ca="1" si="40">IFERROR(I91*I30/365,"")</f>
        <v/>
      </c>
      <c r="J90" s="183" t="str">
        <f t="shared" ca="1" si="40"/>
        <v/>
      </c>
      <c r="K90" s="183" t="str">
        <f t="shared" ca="1" si="40"/>
        <v/>
      </c>
      <c r="L90" s="183" t="str">
        <f t="shared" ca="1" si="40"/>
        <v/>
      </c>
      <c r="M90" s="183" t="str">
        <f t="shared" ca="1" si="40"/>
        <v/>
      </c>
      <c r="N90" s="183" t="str">
        <f t="shared" ca="1" si="40"/>
        <v/>
      </c>
      <c r="O90" s="183" t="str">
        <f t="shared" ca="1" si="40"/>
        <v/>
      </c>
      <c r="P90" s="183" t="str">
        <f t="shared" ca="1" si="40"/>
        <v/>
      </c>
      <c r="Q90" s="183" t="str">
        <f t="shared" ca="1" si="40"/>
        <v/>
      </c>
    </row>
    <row r="91" spans="1:17" x14ac:dyDescent="0.2">
      <c r="B91" s="167" t="s">
        <v>365</v>
      </c>
      <c r="E91" s="324" t="str">
        <f ca="1">IFERROR(E90/E30*365,"")</f>
        <v/>
      </c>
      <c r="F91" s="324" t="str">
        <f ca="1">IFERROR(F90/F30*365,"")</f>
        <v/>
      </c>
      <c r="G91" s="325" t="str">
        <f ca="1">IFERROR(G90/G30*366,"")</f>
        <v/>
      </c>
      <c r="H91" s="326" t="str">
        <f ca="1">IFERROR(AVERAGE(E91:G91),"")</f>
        <v/>
      </c>
      <c r="I91" s="326" t="str">
        <f t="shared" ref="I91:Q91" ca="1" si="41">IFERROR(AVERAGE(F91:H91),"")</f>
        <v/>
      </c>
      <c r="J91" s="326" t="str">
        <f t="shared" ca="1" si="41"/>
        <v/>
      </c>
      <c r="K91" s="326" t="str">
        <f t="shared" ca="1" si="41"/>
        <v/>
      </c>
      <c r="L91" s="326" t="str">
        <f t="shared" ca="1" si="41"/>
        <v/>
      </c>
      <c r="M91" s="326" t="str">
        <f t="shared" ca="1" si="41"/>
        <v/>
      </c>
      <c r="N91" s="326" t="str">
        <f t="shared" ca="1" si="41"/>
        <v/>
      </c>
      <c r="O91" s="326" t="str">
        <f t="shared" ca="1" si="41"/>
        <v/>
      </c>
      <c r="P91" s="326" t="str">
        <f t="shared" ca="1" si="41"/>
        <v/>
      </c>
      <c r="Q91" s="326" t="str">
        <f t="shared" ca="1" si="41"/>
        <v/>
      </c>
    </row>
    <row r="92" spans="1:17" ht="3.75" customHeight="1" x14ac:dyDescent="0.2">
      <c r="E92" s="184"/>
      <c r="F92" s="184"/>
      <c r="G92" s="185"/>
      <c r="H92" s="183"/>
      <c r="I92" s="183"/>
      <c r="J92" s="183"/>
      <c r="K92" s="183"/>
      <c r="L92" s="183"/>
      <c r="O92" s="183"/>
      <c r="P92" s="183"/>
      <c r="Q92" s="183"/>
    </row>
    <row r="93" spans="1:17" x14ac:dyDescent="0.2">
      <c r="B93" s="132" t="s">
        <v>366</v>
      </c>
      <c r="E93" s="165" t="e">
        <f ca="1">+_xlfn.XLOOKUP($B93,Inputs!$B:$B,Inputs!O:O)</f>
        <v>#NAME?</v>
      </c>
      <c r="F93" s="165" t="e">
        <f ca="1">+_xlfn.XLOOKUP($B93,Inputs!$B:$B,Inputs!P:P)</f>
        <v>#NAME?</v>
      </c>
      <c r="G93" s="280" t="e">
        <f ca="1">+_xlfn.XLOOKUP($B93,Inputs!$B:$B,Inputs!Q:Q)</f>
        <v>#NAME?</v>
      </c>
      <c r="H93" s="183" t="str">
        <f ca="1">+IFERROR(H94*H33/365,"")</f>
        <v/>
      </c>
      <c r="I93" s="183" t="str">
        <f t="shared" ref="I93:Q93" ca="1" si="42">+IFERROR(I94*I33/365,"")</f>
        <v/>
      </c>
      <c r="J93" s="183" t="str">
        <f t="shared" ca="1" si="42"/>
        <v/>
      </c>
      <c r="K93" s="183" t="str">
        <f t="shared" ca="1" si="42"/>
        <v/>
      </c>
      <c r="L93" s="183" t="str">
        <f t="shared" ca="1" si="42"/>
        <v/>
      </c>
      <c r="M93" s="183" t="str">
        <f t="shared" ca="1" si="42"/>
        <v/>
      </c>
      <c r="N93" s="183" t="str">
        <f t="shared" ca="1" si="42"/>
        <v/>
      </c>
      <c r="O93" s="183" t="str">
        <f t="shared" ca="1" si="42"/>
        <v/>
      </c>
      <c r="P93" s="183" t="str">
        <f t="shared" ca="1" si="42"/>
        <v/>
      </c>
      <c r="Q93" s="183" t="str">
        <f t="shared" ca="1" si="42"/>
        <v/>
      </c>
    </row>
    <row r="94" spans="1:17" x14ac:dyDescent="0.2">
      <c r="B94" s="167" t="s">
        <v>367</v>
      </c>
      <c r="E94" s="324" t="str">
        <f ca="1">IFERROR(E93/E33*365,"")</f>
        <v/>
      </c>
      <c r="F94" s="324" t="str">
        <f ca="1">IFERROR(F93/F33*365,"")</f>
        <v/>
      </c>
      <c r="G94" s="325" t="str">
        <f ca="1">IFERROR(G93/G33*365,"")</f>
        <v/>
      </c>
      <c r="H94" s="326" t="str">
        <f ca="1">IFERROR(AVERAGE(E94:G94),"")</f>
        <v/>
      </c>
      <c r="I94" s="326" t="str">
        <f t="shared" ref="I94:Q94" ca="1" si="43">IFERROR(AVERAGE(F94:H94),"")</f>
        <v/>
      </c>
      <c r="J94" s="326" t="str">
        <f t="shared" ca="1" si="43"/>
        <v/>
      </c>
      <c r="K94" s="326" t="str">
        <f t="shared" ca="1" si="43"/>
        <v/>
      </c>
      <c r="L94" s="326" t="str">
        <f t="shared" ca="1" si="43"/>
        <v/>
      </c>
      <c r="M94" s="326" t="str">
        <f t="shared" ca="1" si="43"/>
        <v/>
      </c>
      <c r="N94" s="326" t="str">
        <f t="shared" ca="1" si="43"/>
        <v/>
      </c>
      <c r="O94" s="326" t="str">
        <f t="shared" ca="1" si="43"/>
        <v/>
      </c>
      <c r="P94" s="326" t="str">
        <f t="shared" ca="1" si="43"/>
        <v/>
      </c>
      <c r="Q94" s="326" t="str">
        <f t="shared" ca="1" si="43"/>
        <v/>
      </c>
    </row>
    <row r="95" spans="1:17" ht="3.95" customHeight="1" x14ac:dyDescent="0.2">
      <c r="G95" s="173"/>
    </row>
    <row r="96" spans="1:17" x14ac:dyDescent="0.2">
      <c r="B96" s="132" t="s">
        <v>368</v>
      </c>
      <c r="E96" s="165" t="e">
        <f ca="1">+_xlfn.XLOOKUP($B96,Inputs!$B:$B,Inputs!O:O)</f>
        <v>#NAME?</v>
      </c>
      <c r="F96" s="165" t="e">
        <f ca="1">+_xlfn.XLOOKUP($B96,Inputs!$B:$B,Inputs!P:P)</f>
        <v>#NAME?</v>
      </c>
      <c r="G96" s="280" t="e">
        <f ca="1">+_xlfn.XLOOKUP($B96,Inputs!$B:$B,Inputs!Q:Q)</f>
        <v>#NAME?</v>
      </c>
      <c r="H96" s="183" t="str">
        <f ca="1">IFERROR(AVERAGE(E96:G96)*(1+H31),"")</f>
        <v/>
      </c>
      <c r="I96" s="183" t="str">
        <f t="shared" ref="I96:Q96" ca="1" si="44">IFERROR(AVERAGE(F96:H96)*(1+I31),"")</f>
        <v/>
      </c>
      <c r="J96" s="183" t="str">
        <f t="shared" ca="1" si="44"/>
        <v/>
      </c>
      <c r="K96" s="183" t="str">
        <f t="shared" ca="1" si="44"/>
        <v/>
      </c>
      <c r="L96" s="183" t="str">
        <f t="shared" ca="1" si="44"/>
        <v/>
      </c>
      <c r="M96" s="183" t="str">
        <f t="shared" ca="1" si="44"/>
        <v/>
      </c>
      <c r="N96" s="183" t="str">
        <f t="shared" ca="1" si="44"/>
        <v/>
      </c>
      <c r="O96" s="183" t="str">
        <f t="shared" ca="1" si="44"/>
        <v/>
      </c>
      <c r="P96" s="183" t="str">
        <f t="shared" ca="1" si="44"/>
        <v/>
      </c>
      <c r="Q96" s="183" t="str">
        <f t="shared" ca="1" si="44"/>
        <v/>
      </c>
    </row>
    <row r="97" spans="2:17" s="288" customFormat="1" ht="14.25" x14ac:dyDescent="0.2">
      <c r="B97" s="288" t="s">
        <v>346</v>
      </c>
      <c r="E97" s="321" t="str">
        <f ca="1">IFERROR(E96/E$30,"")</f>
        <v/>
      </c>
      <c r="F97" s="321" t="str">
        <f t="shared" ref="F97:G97" ca="1" si="45">IFERROR(F96/F$30,"")</f>
        <v/>
      </c>
      <c r="G97" s="322" t="str">
        <f t="shared" ca="1" si="45"/>
        <v/>
      </c>
      <c r="H97" s="321" t="str">
        <f ca="1">IFERROR(AVERAGE(E97:G97),"")</f>
        <v/>
      </c>
      <c r="I97" s="321" t="str">
        <f t="shared" ref="I97:Q97" ca="1" si="46">IFERROR(AVERAGE(F97:H97),"")</f>
        <v/>
      </c>
      <c r="J97" s="321" t="str">
        <f t="shared" ca="1" si="46"/>
        <v/>
      </c>
      <c r="K97" s="321" t="str">
        <f t="shared" ca="1" si="46"/>
        <v/>
      </c>
      <c r="L97" s="321" t="str">
        <f t="shared" ca="1" si="46"/>
        <v/>
      </c>
      <c r="M97" s="321" t="str">
        <f t="shared" ca="1" si="46"/>
        <v/>
      </c>
      <c r="N97" s="321" t="str">
        <f t="shared" ca="1" si="46"/>
        <v/>
      </c>
      <c r="O97" s="321" t="str">
        <f t="shared" ca="1" si="46"/>
        <v/>
      </c>
      <c r="P97" s="321" t="str">
        <f t="shared" ca="1" si="46"/>
        <v/>
      </c>
      <c r="Q97" s="321" t="str">
        <f t="shared" ca="1" si="46"/>
        <v/>
      </c>
    </row>
    <row r="98" spans="2:17" ht="3.75" customHeight="1" x14ac:dyDescent="0.2">
      <c r="E98" s="184"/>
      <c r="F98" s="184"/>
      <c r="G98" s="185"/>
      <c r="H98" s="183"/>
      <c r="I98" s="183"/>
      <c r="J98" s="183"/>
      <c r="K98" s="183"/>
      <c r="L98" s="183"/>
      <c r="O98" s="183"/>
      <c r="P98" s="183"/>
      <c r="Q98" s="183"/>
    </row>
    <row r="99" spans="2:17" x14ac:dyDescent="0.2">
      <c r="B99" s="132" t="s">
        <v>369</v>
      </c>
      <c r="E99" s="165" t="e">
        <f ca="1">+E100+E101-E103</f>
        <v>#NAME?</v>
      </c>
      <c r="F99" s="165" t="e">
        <f t="shared" ref="F99:G99" ca="1" si="47">+F100+F101-F103</f>
        <v>#NAME?</v>
      </c>
      <c r="G99" s="280" t="e">
        <f t="shared" ca="1" si="47"/>
        <v>#NAME?</v>
      </c>
      <c r="H99" s="183" t="str">
        <f ca="1">IFERROR(H100+H101-H103,"")</f>
        <v/>
      </c>
      <c r="I99" s="183" t="str">
        <f t="shared" ref="I99:Q99" ca="1" si="48">IFERROR(I100+I101-I103,"")</f>
        <v/>
      </c>
      <c r="J99" s="183" t="str">
        <f t="shared" ca="1" si="48"/>
        <v/>
      </c>
      <c r="K99" s="183" t="str">
        <f t="shared" ca="1" si="48"/>
        <v/>
      </c>
      <c r="L99" s="183" t="str">
        <f t="shared" ca="1" si="48"/>
        <v/>
      </c>
      <c r="M99" s="183" t="str">
        <f t="shared" ca="1" si="48"/>
        <v/>
      </c>
      <c r="N99" s="183" t="str">
        <f t="shared" ca="1" si="48"/>
        <v/>
      </c>
      <c r="O99" s="183" t="str">
        <f t="shared" ca="1" si="48"/>
        <v/>
      </c>
      <c r="P99" s="183" t="str">
        <f t="shared" ca="1" si="48"/>
        <v/>
      </c>
      <c r="Q99" s="183" t="str">
        <f t="shared" ca="1" si="48"/>
        <v/>
      </c>
    </row>
    <row r="100" spans="2:17" x14ac:dyDescent="0.2">
      <c r="B100" s="287" t="s">
        <v>370</v>
      </c>
      <c r="E100" s="329" t="e">
        <f ca="1">+_xlfn.XLOOKUP("Gross PP&amp;E (Property, Plant and Equipment)",Inputs!$B:$B,Inputs!O:O)</f>
        <v>#NAME?</v>
      </c>
      <c r="F100" s="329" t="e">
        <f ca="1">+_xlfn.XLOOKUP("Gross PP&amp;E (Property, Plant and Equipment)",Inputs!$B:$B,Inputs!P:P)</f>
        <v>#NAME?</v>
      </c>
      <c r="G100" s="336" t="e">
        <f ca="1">+_xlfn.XLOOKUP("Gross PP&amp;E (Property, Plant and Equipment)",Inputs!$B:$B,Inputs!Q:Q)</f>
        <v>#NAME?</v>
      </c>
      <c r="H100" s="334" t="str">
        <f ca="1">+IFERROR(G100-H134,"")</f>
        <v/>
      </c>
      <c r="I100" s="334" t="str">
        <f t="shared" ref="I100:Q100" ca="1" si="49">+IFERROR(H100-I134,"")</f>
        <v/>
      </c>
      <c r="J100" s="334" t="str">
        <f t="shared" ca="1" si="49"/>
        <v/>
      </c>
      <c r="K100" s="334" t="str">
        <f t="shared" ca="1" si="49"/>
        <v/>
      </c>
      <c r="L100" s="334" t="str">
        <f t="shared" ca="1" si="49"/>
        <v/>
      </c>
      <c r="M100" s="334" t="str">
        <f t="shared" ca="1" si="49"/>
        <v/>
      </c>
      <c r="N100" s="334" t="str">
        <f t="shared" ca="1" si="49"/>
        <v/>
      </c>
      <c r="O100" s="334" t="str">
        <f t="shared" ca="1" si="49"/>
        <v/>
      </c>
      <c r="P100" s="334" t="str">
        <f t="shared" ca="1" si="49"/>
        <v/>
      </c>
      <c r="Q100" s="334" t="str">
        <f t="shared" ca="1" si="49"/>
        <v/>
      </c>
    </row>
    <row r="101" spans="2:17" x14ac:dyDescent="0.2">
      <c r="B101" s="327" t="s">
        <v>371</v>
      </c>
      <c r="C101" s="167"/>
      <c r="D101" s="167"/>
      <c r="E101" s="329" t="e">
        <f ca="1">+_xlfn.XLOOKUP("Right-of-Use Assets",Inputs!$B:$B,Inputs!O:O)</f>
        <v>#NAME?</v>
      </c>
      <c r="F101" s="329" t="e">
        <f ca="1">+_xlfn.XLOOKUP("Right-of-Use Assets",Inputs!$B:$B,Inputs!P:P)</f>
        <v>#NAME?</v>
      </c>
      <c r="G101" s="336" t="e">
        <f ca="1">+_xlfn.XLOOKUP("Right-of-Use Assets",Inputs!$B:$B,Inputs!Q:Q)</f>
        <v>#NAME?</v>
      </c>
      <c r="H101" s="334" t="str">
        <f ca="1">IFERROR(H102*H$30,"")</f>
        <v/>
      </c>
      <c r="I101" s="334" t="str">
        <f t="shared" ref="I101:Q101" ca="1" si="50">IFERROR(I102*I$30,"")</f>
        <v/>
      </c>
      <c r="J101" s="334" t="str">
        <f t="shared" ca="1" si="50"/>
        <v/>
      </c>
      <c r="K101" s="334" t="str">
        <f t="shared" ca="1" si="50"/>
        <v/>
      </c>
      <c r="L101" s="334" t="str">
        <f t="shared" ca="1" si="50"/>
        <v/>
      </c>
      <c r="M101" s="334" t="str">
        <f t="shared" ca="1" si="50"/>
        <v/>
      </c>
      <c r="N101" s="334" t="str">
        <f t="shared" ca="1" si="50"/>
        <v/>
      </c>
      <c r="O101" s="334" t="str">
        <f t="shared" ca="1" si="50"/>
        <v/>
      </c>
      <c r="P101" s="334" t="str">
        <f t="shared" ca="1" si="50"/>
        <v/>
      </c>
      <c r="Q101" s="334" t="str">
        <f t="shared" ca="1" si="50"/>
        <v/>
      </c>
    </row>
    <row r="102" spans="2:17" x14ac:dyDescent="0.2">
      <c r="B102" s="337" t="s">
        <v>346</v>
      </c>
      <c r="E102" s="321" t="str">
        <f ca="1">IFERROR(E101/E$30,"")</f>
        <v/>
      </c>
      <c r="F102" s="321" t="str">
        <f t="shared" ref="F102:G102" ca="1" si="51">IFERROR(F101/F$30,"")</f>
        <v/>
      </c>
      <c r="G102" s="322" t="str">
        <f t="shared" ca="1" si="51"/>
        <v/>
      </c>
      <c r="H102" s="320" t="str">
        <f ca="1">IFERROR(AVERAGE(E102:G102),"")</f>
        <v/>
      </c>
      <c r="I102" s="320" t="str">
        <f t="shared" ref="I102:Q102" ca="1" si="52">IFERROR(AVERAGE(F102:H102),"")</f>
        <v/>
      </c>
      <c r="J102" s="320" t="str">
        <f t="shared" ca="1" si="52"/>
        <v/>
      </c>
      <c r="K102" s="320" t="str">
        <f t="shared" ca="1" si="52"/>
        <v/>
      </c>
      <c r="L102" s="320" t="str">
        <f t="shared" ca="1" si="52"/>
        <v/>
      </c>
      <c r="M102" s="320" t="str">
        <f t="shared" ca="1" si="52"/>
        <v/>
      </c>
      <c r="N102" s="320" t="str">
        <f t="shared" ca="1" si="52"/>
        <v/>
      </c>
      <c r="O102" s="320" t="str">
        <f t="shared" ca="1" si="52"/>
        <v/>
      </c>
      <c r="P102" s="320" t="str">
        <f t="shared" ca="1" si="52"/>
        <v/>
      </c>
      <c r="Q102" s="320" t="str">
        <f t="shared" ca="1" si="52"/>
        <v/>
      </c>
    </row>
    <row r="103" spans="2:17" x14ac:dyDescent="0.2">
      <c r="B103" s="287" t="s">
        <v>372</v>
      </c>
      <c r="E103" s="329" t="e">
        <f ca="1">+_xlfn.XLOOKUP($B103,Inputs!$B:$B,Inputs!O:O)</f>
        <v>#NAME?</v>
      </c>
      <c r="F103" s="329" t="e">
        <f ca="1">+_xlfn.XLOOKUP($B103,Inputs!$B:$B,Inputs!P:P)</f>
        <v>#NAME?</v>
      </c>
      <c r="G103" s="330" t="e">
        <f ca="1">+_xlfn.XLOOKUP($B103,Inputs!$B:$B,Inputs!Q:Q)</f>
        <v>#NAME?</v>
      </c>
      <c r="H103" s="331" t="str">
        <f ca="1">+IFERROR(G103+H53,"")</f>
        <v/>
      </c>
      <c r="I103" s="331" t="str">
        <f t="shared" ref="I103:Q103" ca="1" si="53">+IFERROR(H103+I53,"")</f>
        <v/>
      </c>
      <c r="J103" s="331" t="str">
        <f t="shared" ca="1" si="53"/>
        <v/>
      </c>
      <c r="K103" s="331" t="str">
        <f t="shared" ca="1" si="53"/>
        <v/>
      </c>
      <c r="L103" s="331" t="str">
        <f t="shared" ca="1" si="53"/>
        <v/>
      </c>
      <c r="M103" s="331" t="str">
        <f t="shared" ca="1" si="53"/>
        <v/>
      </c>
      <c r="N103" s="331" t="str">
        <f t="shared" ca="1" si="53"/>
        <v/>
      </c>
      <c r="O103" s="331" t="str">
        <f t="shared" ca="1" si="53"/>
        <v/>
      </c>
      <c r="P103" s="331" t="str">
        <f t="shared" ca="1" si="53"/>
        <v/>
      </c>
      <c r="Q103" s="331" t="str">
        <f t="shared" ca="1" si="53"/>
        <v/>
      </c>
    </row>
    <row r="104" spans="2:17" ht="5.25" customHeight="1" x14ac:dyDescent="0.2">
      <c r="E104" s="181"/>
      <c r="F104" s="181"/>
      <c r="G104" s="182"/>
      <c r="H104" s="183"/>
      <c r="I104" s="183"/>
      <c r="J104" s="183"/>
      <c r="K104" s="183"/>
      <c r="L104" s="183"/>
      <c r="M104" s="183"/>
      <c r="N104" s="183"/>
      <c r="O104" s="183"/>
      <c r="P104" s="183"/>
      <c r="Q104" s="183"/>
    </row>
    <row r="105" spans="2:17" x14ac:dyDescent="0.2">
      <c r="B105" s="132" t="s">
        <v>373</v>
      </c>
      <c r="E105" s="165" t="e">
        <f ca="1">+_xlfn.XLOOKUP($B105,Inputs!$B:$B,Inputs!O:O)</f>
        <v>#NAME?</v>
      </c>
      <c r="F105" s="165" t="e">
        <f ca="1">+_xlfn.XLOOKUP($B105,Inputs!$B:$B,Inputs!P:P)</f>
        <v>#NAME?</v>
      </c>
      <c r="G105" s="280" t="e">
        <f ca="1">+_xlfn.XLOOKUP($B105,Inputs!$B:$B,Inputs!Q:Q)</f>
        <v>#NAME?</v>
      </c>
      <c r="H105" s="183" t="e">
        <f t="shared" ref="H105:Q105" ca="1" si="54">+G105+H106*H42</f>
        <v>#NAME?</v>
      </c>
      <c r="I105" s="183" t="e">
        <f t="shared" ca="1" si="54"/>
        <v>#NAME?</v>
      </c>
      <c r="J105" s="183" t="e">
        <f t="shared" ca="1" si="54"/>
        <v>#NAME?</v>
      </c>
      <c r="K105" s="183" t="e">
        <f t="shared" ca="1" si="54"/>
        <v>#NAME?</v>
      </c>
      <c r="L105" s="183" t="e">
        <f t="shared" ca="1" si="54"/>
        <v>#NAME?</v>
      </c>
      <c r="M105" s="183" t="e">
        <f t="shared" ca="1" si="54"/>
        <v>#NAME?</v>
      </c>
      <c r="N105" s="183" t="e">
        <f t="shared" ca="1" si="54"/>
        <v>#NAME?</v>
      </c>
      <c r="O105" s="183" t="e">
        <f t="shared" ca="1" si="54"/>
        <v>#NAME?</v>
      </c>
      <c r="P105" s="183" t="e">
        <f t="shared" ca="1" si="54"/>
        <v>#NAME?</v>
      </c>
      <c r="Q105" s="183" t="e">
        <f t="shared" ca="1" si="54"/>
        <v>#NAME?</v>
      </c>
    </row>
    <row r="106" spans="2:17" s="89" customFormat="1" ht="14.25" x14ac:dyDescent="0.2">
      <c r="B106" s="89" t="s">
        <v>374</v>
      </c>
      <c r="E106" s="381" t="str">
        <f ca="1">IFERROR((E105-Inputs!N45)/E42,"")</f>
        <v/>
      </c>
      <c r="F106" s="381" t="str">
        <f ca="1">IFERROR((F105-E105)/F42,"")</f>
        <v/>
      </c>
      <c r="G106" s="382" t="str">
        <f ca="1">IFERROR((G105-F105)/G42,"")</f>
        <v/>
      </c>
      <c r="H106" s="320"/>
      <c r="I106" s="320"/>
      <c r="J106" s="320"/>
      <c r="K106" s="320"/>
      <c r="L106" s="320"/>
      <c r="M106" s="320"/>
      <c r="N106" s="320"/>
      <c r="O106" s="320"/>
      <c r="P106" s="320"/>
      <c r="Q106" s="320"/>
    </row>
    <row r="107" spans="2:17" s="89" customFormat="1" ht="3.75" customHeight="1" x14ac:dyDescent="0.2">
      <c r="E107" s="383"/>
      <c r="F107" s="383"/>
      <c r="G107" s="384"/>
      <c r="H107" s="346"/>
      <c r="I107" s="346"/>
      <c r="J107" s="346"/>
      <c r="K107" s="346"/>
      <c r="L107" s="346"/>
      <c r="M107" s="346"/>
      <c r="N107" s="346"/>
      <c r="O107" s="346"/>
      <c r="P107" s="346"/>
      <c r="Q107" s="346"/>
    </row>
    <row r="108" spans="2:17" ht="13.5" customHeight="1" x14ac:dyDescent="0.25">
      <c r="B108" s="164" t="s">
        <v>375</v>
      </c>
      <c r="E108" s="301"/>
      <c r="F108" s="301"/>
      <c r="G108" s="300"/>
      <c r="H108" s="183"/>
      <c r="I108" s="183"/>
      <c r="J108" s="183"/>
      <c r="K108" s="183"/>
      <c r="L108" s="183"/>
      <c r="M108" s="183"/>
      <c r="N108" s="183"/>
      <c r="O108" s="183"/>
      <c r="P108" s="183"/>
      <c r="Q108" s="183"/>
    </row>
    <row r="109" spans="2:17" ht="5.25" customHeight="1" x14ac:dyDescent="0.2">
      <c r="E109" s="301"/>
      <c r="F109" s="301"/>
      <c r="G109" s="300"/>
      <c r="H109" s="183"/>
      <c r="I109" s="183"/>
      <c r="J109" s="183"/>
      <c r="K109" s="183"/>
      <c r="L109" s="183"/>
      <c r="M109" s="183"/>
      <c r="N109" s="183"/>
      <c r="O109" s="183"/>
      <c r="P109" s="183"/>
      <c r="Q109" s="183"/>
    </row>
    <row r="110" spans="2:17" x14ac:dyDescent="0.2">
      <c r="B110" s="132" t="s">
        <v>241</v>
      </c>
      <c r="E110" s="165" t="e">
        <f ca="1">+_xlfn.XLOOKUP($B110,Inputs!$B:$B,Inputs!O:O)</f>
        <v>#NAME?</v>
      </c>
      <c r="F110" s="165" t="e">
        <f ca="1">+_xlfn.XLOOKUP($B110,Inputs!$B:$B,Inputs!P:P)</f>
        <v>#NAME?</v>
      </c>
      <c r="G110" s="280" t="e">
        <f ca="1">+_xlfn.XLOOKUP($B110,Inputs!$B:$B,Inputs!Q:Q)</f>
        <v>#NAME?</v>
      </c>
      <c r="H110" s="183" t="str">
        <f ca="1">+IFERROR(H111*H33/365,"")</f>
        <v/>
      </c>
      <c r="I110" s="183" t="str">
        <f t="shared" ref="I110:Q110" ca="1" si="55">+IFERROR(I111*I33/365,"")</f>
        <v/>
      </c>
      <c r="J110" s="183" t="str">
        <f t="shared" ca="1" si="55"/>
        <v/>
      </c>
      <c r="K110" s="183" t="str">
        <f t="shared" ca="1" si="55"/>
        <v/>
      </c>
      <c r="L110" s="183" t="str">
        <f t="shared" ca="1" si="55"/>
        <v/>
      </c>
      <c r="M110" s="183" t="str">
        <f t="shared" ca="1" si="55"/>
        <v/>
      </c>
      <c r="N110" s="183" t="str">
        <f t="shared" ca="1" si="55"/>
        <v/>
      </c>
      <c r="O110" s="183" t="str">
        <f t="shared" ca="1" si="55"/>
        <v/>
      </c>
      <c r="P110" s="183" t="str">
        <f t="shared" ca="1" si="55"/>
        <v/>
      </c>
      <c r="Q110" s="183" t="str">
        <f t="shared" ca="1" si="55"/>
        <v/>
      </c>
    </row>
    <row r="111" spans="2:17" x14ac:dyDescent="0.2">
      <c r="B111" s="167" t="s">
        <v>376</v>
      </c>
      <c r="E111" s="324" t="str">
        <f ca="1">IFERROR(E110/E$33*365,"")</f>
        <v/>
      </c>
      <c r="F111" s="324" t="str">
        <f t="shared" ref="F111" ca="1" si="56">IFERROR(F110/F$33*365,"")</f>
        <v/>
      </c>
      <c r="G111" s="325" t="str">
        <f ca="1">IFERROR(G110/G$33*366,"")</f>
        <v/>
      </c>
      <c r="H111" s="323" t="str">
        <f ca="1">IFERROR(AVERAGE(E111:G111),"")</f>
        <v/>
      </c>
      <c r="I111" s="323" t="str">
        <f t="shared" ref="I111:Q111" ca="1" si="57">IFERROR(AVERAGE(F111:H111),"")</f>
        <v/>
      </c>
      <c r="J111" s="323" t="str">
        <f t="shared" ca="1" si="57"/>
        <v/>
      </c>
      <c r="K111" s="323" t="str">
        <f t="shared" ca="1" si="57"/>
        <v/>
      </c>
      <c r="L111" s="323" t="str">
        <f t="shared" ca="1" si="57"/>
        <v/>
      </c>
      <c r="M111" s="323" t="str">
        <f t="shared" ca="1" si="57"/>
        <v/>
      </c>
      <c r="N111" s="323" t="str">
        <f t="shared" ca="1" si="57"/>
        <v/>
      </c>
      <c r="O111" s="323" t="str">
        <f t="shared" ca="1" si="57"/>
        <v/>
      </c>
      <c r="P111" s="323" t="str">
        <f t="shared" ca="1" si="57"/>
        <v/>
      </c>
      <c r="Q111" s="323" t="str">
        <f t="shared" ca="1" si="57"/>
        <v/>
      </c>
    </row>
    <row r="112" spans="2:17" ht="3.75" customHeight="1" x14ac:dyDescent="0.2">
      <c r="E112" s="184"/>
      <c r="F112" s="184"/>
      <c r="G112" s="185"/>
      <c r="H112" s="183"/>
      <c r="I112" s="183"/>
      <c r="J112" s="183"/>
      <c r="K112" s="183"/>
      <c r="L112" s="183"/>
      <c r="O112" s="183"/>
      <c r="P112" s="183"/>
      <c r="Q112" s="183"/>
    </row>
    <row r="113" spans="1:17" x14ac:dyDescent="0.2">
      <c r="B113" s="132" t="s">
        <v>377</v>
      </c>
      <c r="E113" s="165" t="e">
        <f ca="1">+_xlfn.XLOOKUP($B113,Inputs!$B:$B,Inputs!O:O)</f>
        <v>#NAME?</v>
      </c>
      <c r="F113" s="165" t="e">
        <f ca="1">+_xlfn.XLOOKUP($B113,Inputs!$B:$B,Inputs!P:P)</f>
        <v>#NAME?</v>
      </c>
      <c r="G113" s="280" t="e">
        <f ca="1">+_xlfn.XLOOKUP($B113,Inputs!$B:$B,Inputs!Q:Q)</f>
        <v>#NAME?</v>
      </c>
      <c r="H113" s="183" t="str">
        <f ca="1">IFERROR(AVERAGE(E113:G113)*(1+H31),"")</f>
        <v/>
      </c>
      <c r="I113" s="183" t="str">
        <f t="shared" ref="I113:Q113" ca="1" si="58">IFERROR(AVERAGE(F113:H113)*(1+I31),"")</f>
        <v/>
      </c>
      <c r="J113" s="183" t="str">
        <f t="shared" ca="1" si="58"/>
        <v/>
      </c>
      <c r="K113" s="183" t="str">
        <f t="shared" ca="1" si="58"/>
        <v/>
      </c>
      <c r="L113" s="183" t="str">
        <f t="shared" ca="1" si="58"/>
        <v/>
      </c>
      <c r="M113" s="183" t="str">
        <f t="shared" ca="1" si="58"/>
        <v/>
      </c>
      <c r="N113" s="183" t="str">
        <f t="shared" ca="1" si="58"/>
        <v/>
      </c>
      <c r="O113" s="183" t="str">
        <f t="shared" ca="1" si="58"/>
        <v/>
      </c>
      <c r="P113" s="183" t="str">
        <f t="shared" ca="1" si="58"/>
        <v/>
      </c>
      <c r="Q113" s="183" t="str">
        <f t="shared" ca="1" si="58"/>
        <v/>
      </c>
    </row>
    <row r="114" spans="1:17" s="342" customFormat="1" x14ac:dyDescent="0.2">
      <c r="B114" s="288" t="s">
        <v>378</v>
      </c>
      <c r="E114" s="321" t="str">
        <f ca="1">IFERROR(E113/E$30,"")</f>
        <v/>
      </c>
      <c r="F114" s="321" t="str">
        <f t="shared" ref="F114:Q114" ca="1" si="59">IFERROR(F113/F$30,"")</f>
        <v/>
      </c>
      <c r="G114" s="322" t="str">
        <f t="shared" ca="1" si="59"/>
        <v/>
      </c>
      <c r="H114" s="321" t="str">
        <f ca="1">IFERROR(H113/H$30,"")</f>
        <v/>
      </c>
      <c r="I114" s="321" t="str">
        <f t="shared" ca="1" si="59"/>
        <v/>
      </c>
      <c r="J114" s="321" t="str">
        <f t="shared" ca="1" si="59"/>
        <v/>
      </c>
      <c r="K114" s="321" t="str">
        <f t="shared" ca="1" si="59"/>
        <v/>
      </c>
      <c r="L114" s="321" t="str">
        <f t="shared" ca="1" si="59"/>
        <v/>
      </c>
      <c r="M114" s="321" t="str">
        <f t="shared" ca="1" si="59"/>
        <v/>
      </c>
      <c r="N114" s="321" t="str">
        <f t="shared" ca="1" si="59"/>
        <v/>
      </c>
      <c r="O114" s="321" t="str">
        <f t="shared" ca="1" si="59"/>
        <v/>
      </c>
      <c r="P114" s="321" t="str">
        <f t="shared" ca="1" si="59"/>
        <v/>
      </c>
      <c r="Q114" s="321" t="str">
        <f t="shared" ca="1" si="59"/>
        <v/>
      </c>
    </row>
    <row r="115" spans="1:17" s="256" customFormat="1" ht="5.25" customHeight="1" x14ac:dyDescent="0.2">
      <c r="B115" s="281"/>
      <c r="E115" s="338"/>
      <c r="F115" s="338"/>
      <c r="G115" s="339"/>
      <c r="H115" s="340"/>
      <c r="I115" s="340"/>
      <c r="J115" s="340"/>
      <c r="K115" s="340"/>
      <c r="L115" s="340"/>
      <c r="M115" s="340"/>
      <c r="N115" s="340"/>
      <c r="O115" s="340"/>
      <c r="P115" s="340"/>
      <c r="Q115" s="340"/>
    </row>
    <row r="116" spans="1:17" x14ac:dyDescent="0.2">
      <c r="B116" s="132" t="s">
        <v>379</v>
      </c>
      <c r="E116" s="306" t="e">
        <f ca="1">+_xlfn.XLOOKUP($B116,Inputs!$B:$B,Inputs!O:O)</f>
        <v>#NAME?</v>
      </c>
      <c r="F116" s="306" t="e">
        <f ca="1">+_xlfn.XLOOKUP($B116,Inputs!$B:$B,Inputs!P:P)</f>
        <v>#NAME?</v>
      </c>
      <c r="G116" s="307" t="e">
        <f ca="1">+_xlfn.XLOOKUP($B116,Inputs!$B:$B,Inputs!Q:Q)</f>
        <v>#NAME?</v>
      </c>
      <c r="H116" s="183" t="str">
        <f ca="1">IFERROR(G116+H156-H158,"")</f>
        <v/>
      </c>
      <c r="I116" s="183" t="str">
        <f t="shared" ref="I116:Q116" ca="1" si="60">IFERROR(H116+I156-I158,"")</f>
        <v/>
      </c>
      <c r="J116" s="183" t="str">
        <f t="shared" ca="1" si="60"/>
        <v/>
      </c>
      <c r="K116" s="183" t="str">
        <f t="shared" ca="1" si="60"/>
        <v/>
      </c>
      <c r="L116" s="183" t="str">
        <f t="shared" ca="1" si="60"/>
        <v/>
      </c>
      <c r="M116" s="183" t="str">
        <f t="shared" ca="1" si="60"/>
        <v/>
      </c>
      <c r="N116" s="183" t="str">
        <f t="shared" ca="1" si="60"/>
        <v/>
      </c>
      <c r="O116" s="183" t="str">
        <f t="shared" ca="1" si="60"/>
        <v/>
      </c>
      <c r="P116" s="183" t="str">
        <f t="shared" ca="1" si="60"/>
        <v/>
      </c>
      <c r="Q116" s="183" t="str">
        <f t="shared" ca="1" si="60"/>
        <v/>
      </c>
    </row>
    <row r="117" spans="1:17" ht="3.75" customHeight="1" x14ac:dyDescent="0.2">
      <c r="B117" s="167"/>
      <c r="E117" s="186"/>
      <c r="F117" s="186"/>
      <c r="G117" s="341"/>
      <c r="H117" s="308"/>
      <c r="I117" s="308"/>
      <c r="J117" s="308"/>
      <c r="K117" s="308"/>
      <c r="L117" s="308"/>
      <c r="M117" s="308"/>
      <c r="N117" s="308"/>
      <c r="O117" s="308"/>
      <c r="P117" s="308"/>
      <c r="Q117" s="308"/>
    </row>
    <row r="118" spans="1:17" x14ac:dyDescent="0.2">
      <c r="B118" s="132" t="s">
        <v>380</v>
      </c>
      <c r="E118" s="306" t="e">
        <f ca="1">+_xlfn.XLOOKUP($B118,Inputs!$B:$B,Inputs!O:O)</f>
        <v>#NAME?</v>
      </c>
      <c r="F118" s="306" t="e">
        <f ca="1">+_xlfn.XLOOKUP($B118,Inputs!$B:$B,Inputs!P:P)</f>
        <v>#NAME?</v>
      </c>
      <c r="G118" s="307" t="e">
        <f ca="1">+_xlfn.XLOOKUP($B118,Inputs!$B:$B,Inputs!Q:Q)</f>
        <v>#NAME?</v>
      </c>
      <c r="H118" s="183" t="str">
        <f ca="1">+IFERROR(H119*H30,"")</f>
        <v/>
      </c>
      <c r="I118" s="183" t="str">
        <f t="shared" ref="I118:Q118" ca="1" si="61">+IFERROR(I119*I30,"")</f>
        <v/>
      </c>
      <c r="J118" s="183" t="str">
        <f t="shared" ca="1" si="61"/>
        <v/>
      </c>
      <c r="K118" s="183" t="str">
        <f t="shared" ca="1" si="61"/>
        <v/>
      </c>
      <c r="L118" s="183" t="str">
        <f t="shared" ca="1" si="61"/>
        <v/>
      </c>
      <c r="M118" s="183" t="str">
        <f t="shared" ca="1" si="61"/>
        <v/>
      </c>
      <c r="N118" s="183" t="str">
        <f t="shared" ca="1" si="61"/>
        <v/>
      </c>
      <c r="O118" s="183" t="str">
        <f t="shared" ca="1" si="61"/>
        <v/>
      </c>
      <c r="P118" s="183" t="str">
        <f t="shared" ca="1" si="61"/>
        <v/>
      </c>
      <c r="Q118" s="183" t="str">
        <f t="shared" ca="1" si="61"/>
        <v/>
      </c>
    </row>
    <row r="119" spans="1:17" x14ac:dyDescent="0.2">
      <c r="B119" s="167" t="s">
        <v>381</v>
      </c>
      <c r="E119" s="304" t="str">
        <f ca="1">IFERROR(E118/E$30,"")</f>
        <v/>
      </c>
      <c r="F119" s="304" t="str">
        <f ca="1">IFERROR(F118/F$30,"")</f>
        <v/>
      </c>
      <c r="G119" s="305" t="str">
        <f ca="1">IFERROR(G118/G$30,"")</f>
        <v/>
      </c>
      <c r="H119" s="157" t="str">
        <f ca="1">+IFERROR(AVERAGE(E119:G119),"")</f>
        <v/>
      </c>
      <c r="I119" s="157" t="str">
        <f t="shared" ref="I119:Q119" ca="1" si="62">+IFERROR(AVERAGE(F119:H119),"")</f>
        <v/>
      </c>
      <c r="J119" s="157" t="str">
        <f t="shared" ca="1" si="62"/>
        <v/>
      </c>
      <c r="K119" s="157" t="str">
        <f t="shared" ca="1" si="62"/>
        <v/>
      </c>
      <c r="L119" s="157" t="str">
        <f t="shared" ca="1" si="62"/>
        <v/>
      </c>
      <c r="M119" s="157" t="str">
        <f t="shared" ca="1" si="62"/>
        <v/>
      </c>
      <c r="N119" s="157" t="str">
        <f t="shared" ca="1" si="62"/>
        <v/>
      </c>
      <c r="O119" s="157" t="str">
        <f t="shared" ca="1" si="62"/>
        <v/>
      </c>
      <c r="P119" s="157" t="str">
        <f t="shared" ca="1" si="62"/>
        <v/>
      </c>
      <c r="Q119" s="157" t="str">
        <f t="shared" ca="1" si="62"/>
        <v/>
      </c>
    </row>
    <row r="120" spans="1:17" ht="3.75" customHeight="1" x14ac:dyDescent="0.2">
      <c r="G120" s="173"/>
    </row>
    <row r="121" spans="1:17" ht="15.75" x14ac:dyDescent="0.25">
      <c r="A121" s="132" t="s">
        <v>306</v>
      </c>
      <c r="B121" s="52" t="s">
        <v>191</v>
      </c>
      <c r="C121" s="52"/>
      <c r="D121" s="52"/>
      <c r="E121" s="143">
        <f t="shared" ref="E121:Q121" si="63">E28</f>
        <v>2022</v>
      </c>
      <c r="F121" s="143">
        <f t="shared" si="63"/>
        <v>2023</v>
      </c>
      <c r="G121" s="178">
        <f t="shared" si="63"/>
        <v>2024</v>
      </c>
      <c r="H121" s="105">
        <f t="shared" si="63"/>
        <v>2025</v>
      </c>
      <c r="I121" s="105">
        <f t="shared" si="63"/>
        <v>2026</v>
      </c>
      <c r="J121" s="105">
        <f t="shared" si="63"/>
        <v>2027</v>
      </c>
      <c r="K121" s="105">
        <f t="shared" si="63"/>
        <v>2028</v>
      </c>
      <c r="L121" s="105">
        <f t="shared" si="63"/>
        <v>2029</v>
      </c>
      <c r="M121" s="105">
        <f t="shared" si="63"/>
        <v>2030</v>
      </c>
      <c r="N121" s="105">
        <f t="shared" si="63"/>
        <v>2031</v>
      </c>
      <c r="O121" s="105">
        <f t="shared" si="63"/>
        <v>2032</v>
      </c>
      <c r="P121" s="105">
        <f t="shared" si="63"/>
        <v>2033</v>
      </c>
      <c r="Q121" s="105">
        <f t="shared" si="63"/>
        <v>2034</v>
      </c>
    </row>
    <row r="122" spans="1:17" ht="3.95" customHeight="1" x14ac:dyDescent="0.2">
      <c r="B122" s="53"/>
      <c r="C122" s="53"/>
      <c r="D122" s="53"/>
      <c r="E122" s="187"/>
      <c r="F122" s="187"/>
      <c r="G122" s="188"/>
      <c r="H122" s="53"/>
      <c r="I122" s="53"/>
      <c r="J122" s="53"/>
      <c r="K122" s="53"/>
      <c r="L122" s="53"/>
      <c r="M122" s="53"/>
      <c r="N122" s="53"/>
      <c r="O122" s="53"/>
      <c r="P122" s="53"/>
      <c r="Q122" s="53"/>
    </row>
    <row r="123" spans="1:17" x14ac:dyDescent="0.2">
      <c r="B123" s="132" t="s">
        <v>349</v>
      </c>
      <c r="E123" s="181" t="e">
        <f ca="1">+E50</f>
        <v>#NAME?</v>
      </c>
      <c r="F123" s="181" t="e">
        <f t="shared" ref="F123:Q123" ca="1" si="64">+F50</f>
        <v>#NAME?</v>
      </c>
      <c r="G123" s="182" t="e">
        <f t="shared" ca="1" si="64"/>
        <v>#NAME?</v>
      </c>
      <c r="H123" s="183" t="str">
        <f t="shared" ca="1" si="64"/>
        <v/>
      </c>
      <c r="I123" s="183" t="str">
        <f t="shared" ca="1" si="64"/>
        <v/>
      </c>
      <c r="J123" s="183" t="str">
        <f t="shared" ca="1" si="64"/>
        <v/>
      </c>
      <c r="K123" s="183" t="str">
        <f t="shared" ca="1" si="64"/>
        <v/>
      </c>
      <c r="L123" s="183" t="str">
        <f t="shared" ca="1" si="64"/>
        <v/>
      </c>
      <c r="M123" s="183" t="str">
        <f t="shared" ca="1" si="64"/>
        <v/>
      </c>
      <c r="N123" s="183" t="str">
        <f t="shared" ca="1" si="64"/>
        <v/>
      </c>
      <c r="O123" s="183" t="str">
        <f t="shared" ca="1" si="64"/>
        <v/>
      </c>
      <c r="P123" s="183" t="str">
        <f t="shared" ca="1" si="64"/>
        <v/>
      </c>
      <c r="Q123" s="183" t="str">
        <f t="shared" ca="1" si="64"/>
        <v/>
      </c>
    </row>
    <row r="124" spans="1:17" ht="3.95" customHeight="1" x14ac:dyDescent="0.2">
      <c r="G124" s="162"/>
    </row>
    <row r="125" spans="1:17" ht="13.5" customHeight="1" x14ac:dyDescent="0.2">
      <c r="B125" s="132" t="s">
        <v>382</v>
      </c>
      <c r="E125" s="306" t="e">
        <f ca="1">+_xlfn.XLOOKUP($B125,Inputs!$B:$B,Inputs!O:O)</f>
        <v>#NAME?</v>
      </c>
      <c r="F125" s="306" t="e">
        <f ca="1">+_xlfn.XLOOKUP($B125,Inputs!$B:$B,Inputs!P:P)</f>
        <v>#NAME?</v>
      </c>
      <c r="G125" s="307" t="e">
        <f ca="1">+_xlfn.XLOOKUP($B125,Inputs!$B:$B,Inputs!Q:Q)</f>
        <v>#NAME?</v>
      </c>
      <c r="H125" s="183" t="str">
        <f ca="1">IFERROR(H126*H39,"")</f>
        <v/>
      </c>
      <c r="I125" s="183" t="str">
        <f t="shared" ref="I125:Q125" ca="1" si="65">IFERROR(I126*I39,"")</f>
        <v/>
      </c>
      <c r="J125" s="183" t="str">
        <f t="shared" ca="1" si="65"/>
        <v/>
      </c>
      <c r="K125" s="183" t="str">
        <f t="shared" ca="1" si="65"/>
        <v/>
      </c>
      <c r="L125" s="183" t="str">
        <f t="shared" ca="1" si="65"/>
        <v/>
      </c>
      <c r="M125" s="183" t="str">
        <f t="shared" ca="1" si="65"/>
        <v/>
      </c>
      <c r="N125" s="183" t="str">
        <f t="shared" ca="1" si="65"/>
        <v/>
      </c>
      <c r="O125" s="183" t="str">
        <f t="shared" ca="1" si="65"/>
        <v/>
      </c>
      <c r="P125" s="183" t="str">
        <f t="shared" ca="1" si="65"/>
        <v/>
      </c>
      <c r="Q125" s="183" t="str">
        <f t="shared" ca="1" si="65"/>
        <v/>
      </c>
    </row>
    <row r="126" spans="1:17" ht="13.5" customHeight="1" x14ac:dyDescent="0.2">
      <c r="B126" s="288" t="s">
        <v>383</v>
      </c>
      <c r="E126" s="304" t="str">
        <f ca="1">+IFERROR(E125/E39,"")</f>
        <v/>
      </c>
      <c r="F126" s="304" t="str">
        <f t="shared" ref="F126:G126" ca="1" si="66">+IFERROR(F125/F39,"")</f>
        <v/>
      </c>
      <c r="G126" s="305" t="str">
        <f t="shared" ca="1" si="66"/>
        <v/>
      </c>
      <c r="H126" s="157" t="str">
        <f ca="1">IFERROR(AVERAGE(E126:G126),"")</f>
        <v/>
      </c>
      <c r="I126" s="157" t="str">
        <f t="shared" ref="I126:Q126" ca="1" si="67">IFERROR(AVERAGE(F126:H126),"")</f>
        <v/>
      </c>
      <c r="J126" s="157" t="str">
        <f t="shared" ca="1" si="67"/>
        <v/>
      </c>
      <c r="K126" s="157" t="str">
        <f t="shared" ca="1" si="67"/>
        <v/>
      </c>
      <c r="L126" s="157" t="str">
        <f t="shared" ca="1" si="67"/>
        <v/>
      </c>
      <c r="M126" s="157" t="str">
        <f t="shared" ca="1" si="67"/>
        <v/>
      </c>
      <c r="N126" s="157" t="str">
        <f t="shared" ca="1" si="67"/>
        <v/>
      </c>
      <c r="O126" s="157" t="str">
        <f t="shared" ca="1" si="67"/>
        <v/>
      </c>
      <c r="P126" s="157" t="str">
        <f t="shared" ca="1" si="67"/>
        <v/>
      </c>
      <c r="Q126" s="157" t="str">
        <f t="shared" ca="1" si="67"/>
        <v/>
      </c>
    </row>
    <row r="127" spans="1:17" ht="3.75" customHeight="1" x14ac:dyDescent="0.2">
      <c r="B127" s="288"/>
      <c r="E127" s="304"/>
      <c r="F127" s="304"/>
      <c r="G127" s="305"/>
      <c r="H127" s="157"/>
      <c r="I127" s="157"/>
      <c r="J127" s="157"/>
      <c r="K127" s="157"/>
      <c r="L127" s="157"/>
      <c r="M127" s="157"/>
      <c r="N127" s="157"/>
      <c r="O127" s="157"/>
      <c r="P127" s="157"/>
      <c r="Q127" s="157"/>
    </row>
    <row r="128" spans="1:17" ht="13.5" customHeight="1" x14ac:dyDescent="0.2">
      <c r="B128" s="132" t="s">
        <v>384</v>
      </c>
      <c r="E128" s="306" t="e">
        <f ca="1">+_xlfn.XLOOKUP($B128,Inputs!$B:$B,Inputs!O:O)</f>
        <v>#NAME?</v>
      </c>
      <c r="F128" s="306" t="e">
        <f ca="1">+_xlfn.XLOOKUP($B128,Inputs!$B:$B,Inputs!P:P)</f>
        <v>#NAME?</v>
      </c>
      <c r="G128" s="307" t="e">
        <f ca="1">+_xlfn.XLOOKUP($B128,Inputs!$B:$B,Inputs!Q:Q)</f>
        <v>#NAME?</v>
      </c>
      <c r="H128" s="189" t="str">
        <f ca="1">IFERROR(-((H90+H93+H96-H110-H113)-(G90+G93+G96-G110-G113)),"")</f>
        <v/>
      </c>
      <c r="I128" s="189" t="str">
        <f t="shared" ref="I128:Q128" ca="1" si="68">IFERROR(-((I90+I93+I96-I110-I113)-(H90+H93+H96-H110-H113)),"")</f>
        <v/>
      </c>
      <c r="J128" s="189" t="str">
        <f t="shared" ca="1" si="68"/>
        <v/>
      </c>
      <c r="K128" s="189" t="str">
        <f t="shared" ca="1" si="68"/>
        <v/>
      </c>
      <c r="L128" s="189" t="str">
        <f t="shared" ca="1" si="68"/>
        <v/>
      </c>
      <c r="M128" s="189" t="str">
        <f t="shared" ca="1" si="68"/>
        <v/>
      </c>
      <c r="N128" s="189" t="str">
        <f t="shared" ca="1" si="68"/>
        <v/>
      </c>
      <c r="O128" s="189" t="str">
        <f t="shared" ca="1" si="68"/>
        <v/>
      </c>
      <c r="P128" s="189" t="str">
        <f t="shared" ca="1" si="68"/>
        <v/>
      </c>
      <c r="Q128" s="189" t="str">
        <f t="shared" ca="1" si="68"/>
        <v/>
      </c>
    </row>
    <row r="129" spans="2:17" ht="3.75" customHeight="1" x14ac:dyDescent="0.2">
      <c r="G129" s="162"/>
    </row>
    <row r="130" spans="2:17" ht="13.5" customHeight="1" x14ac:dyDescent="0.2">
      <c r="B130" s="396" t="s">
        <v>385</v>
      </c>
      <c r="C130" s="396"/>
      <c r="D130" s="396"/>
      <c r="E130" s="397" t="e">
        <f ca="1">+_xlfn.XLOOKUP($B130,Inputs!$B:$B,Inputs!O:O)</f>
        <v>#NAME?</v>
      </c>
      <c r="F130" s="397" t="e">
        <f ca="1">+_xlfn.XLOOKUP($B130,Inputs!$B:$B,Inputs!P:P)</f>
        <v>#NAME?</v>
      </c>
      <c r="G130" s="398" t="e">
        <f ca="1">+_xlfn.XLOOKUP($B130,Inputs!$B:$B,Inputs!Q:Q)</f>
        <v>#NAME?</v>
      </c>
      <c r="H130" s="399" t="str">
        <f ca="1">IFERROR(AVERAGE(E130:G130)*(1+H31),"")</f>
        <v/>
      </c>
      <c r="I130" s="399" t="str">
        <f t="shared" ref="I130:Q130" ca="1" si="69">IFERROR(AVERAGE(F130:H130)*(1+I31),"")</f>
        <v/>
      </c>
      <c r="J130" s="399" t="str">
        <f t="shared" ca="1" si="69"/>
        <v/>
      </c>
      <c r="K130" s="399" t="str">
        <f t="shared" ca="1" si="69"/>
        <v/>
      </c>
      <c r="L130" s="399" t="str">
        <f t="shared" ca="1" si="69"/>
        <v/>
      </c>
      <c r="M130" s="399" t="str">
        <f t="shared" ca="1" si="69"/>
        <v/>
      </c>
      <c r="N130" s="399" t="str">
        <f t="shared" ca="1" si="69"/>
        <v/>
      </c>
      <c r="O130" s="399" t="str">
        <f t="shared" ca="1" si="69"/>
        <v/>
      </c>
      <c r="P130" s="399" t="str">
        <f t="shared" ca="1" si="69"/>
        <v/>
      </c>
      <c r="Q130" s="399" t="str">
        <f t="shared" ca="1" si="69"/>
        <v/>
      </c>
    </row>
    <row r="131" spans="2:17" ht="5.25" customHeight="1" x14ac:dyDescent="0.2">
      <c r="E131" s="335"/>
      <c r="F131" s="335"/>
      <c r="G131" s="307"/>
      <c r="H131" s="183"/>
      <c r="I131" s="183"/>
      <c r="J131" s="183"/>
      <c r="K131" s="183"/>
      <c r="L131" s="183"/>
      <c r="M131" s="183"/>
      <c r="N131" s="183"/>
      <c r="O131" s="183"/>
      <c r="P131" s="183"/>
      <c r="Q131" s="183"/>
    </row>
    <row r="132" spans="2:17" ht="13.5" customHeight="1" x14ac:dyDescent="0.25">
      <c r="B132" s="414" t="s">
        <v>247</v>
      </c>
      <c r="C132" s="164"/>
      <c r="D132" s="164"/>
      <c r="E132" s="358" t="e">
        <f ca="1">+_xlfn.XLOOKUP($B132,Inputs!$B:$B,Inputs!O:O)</f>
        <v>#NAME?</v>
      </c>
      <c r="F132" s="358" t="e">
        <f ca="1">+_xlfn.XLOOKUP($B132,Inputs!$B:$B,Inputs!P:P)</f>
        <v>#NAME?</v>
      </c>
      <c r="G132" s="359" t="e">
        <f ca="1">+_xlfn.XLOOKUP($B132,Inputs!$B:$B,Inputs!Q:Q)</f>
        <v>#NAME?</v>
      </c>
      <c r="H132" s="498" t="str">
        <f ca="1">IFERROR(H81+H123+H125+H128+H130,"")</f>
        <v/>
      </c>
      <c r="I132" s="498" t="str">
        <f t="shared" ref="I132:Q132" ca="1" si="70">IFERROR(I81+I123+I125+I128+I130,"")</f>
        <v/>
      </c>
      <c r="J132" s="498" t="str">
        <f t="shared" ca="1" si="70"/>
        <v/>
      </c>
      <c r="K132" s="498" t="str">
        <f t="shared" ca="1" si="70"/>
        <v/>
      </c>
      <c r="L132" s="498" t="str">
        <f t="shared" ca="1" si="70"/>
        <v/>
      </c>
      <c r="M132" s="498" t="str">
        <f t="shared" ca="1" si="70"/>
        <v/>
      </c>
      <c r="N132" s="498" t="str">
        <f t="shared" ca="1" si="70"/>
        <v/>
      </c>
      <c r="O132" s="498" t="str">
        <f t="shared" ca="1" si="70"/>
        <v/>
      </c>
      <c r="P132" s="498" t="str">
        <f t="shared" ca="1" si="70"/>
        <v/>
      </c>
      <c r="Q132" s="498" t="str">
        <f t="shared" ca="1" si="70"/>
        <v/>
      </c>
    </row>
    <row r="133" spans="2:17" ht="3.75" customHeight="1" x14ac:dyDescent="0.2">
      <c r="G133" s="162"/>
    </row>
    <row r="134" spans="2:17" ht="13.5" customHeight="1" x14ac:dyDescent="0.2">
      <c r="B134" s="354" t="s">
        <v>386</v>
      </c>
      <c r="C134" s="354"/>
      <c r="D134" s="354"/>
      <c r="E134" s="355" t="e">
        <f ca="1">+_xlfn.XLOOKUP($B134,Inputs!$B:$B,Inputs!O:O)</f>
        <v>#NAME?</v>
      </c>
      <c r="F134" s="355" t="e">
        <f ca="1">+_xlfn.XLOOKUP($B134,Inputs!$B:$B,Inputs!P:P)</f>
        <v>#NAME?</v>
      </c>
      <c r="G134" s="356" t="e">
        <f ca="1">+_xlfn.XLOOKUP($B134,Inputs!$B:$B,Inputs!Q:Q)</f>
        <v>#NAME?</v>
      </c>
      <c r="H134" s="357" t="str">
        <f ca="1">IFERROR(H136+H138,"")</f>
        <v/>
      </c>
      <c r="I134" s="357" t="str">
        <f t="shared" ref="I134:Q134" ca="1" si="71">IFERROR(I136+I138,"")</f>
        <v/>
      </c>
      <c r="J134" s="357" t="str">
        <f t="shared" ca="1" si="71"/>
        <v/>
      </c>
      <c r="K134" s="357" t="str">
        <f t="shared" ca="1" si="71"/>
        <v/>
      </c>
      <c r="L134" s="357" t="str">
        <f t="shared" ca="1" si="71"/>
        <v/>
      </c>
      <c r="M134" s="357" t="str">
        <f t="shared" ca="1" si="71"/>
        <v/>
      </c>
      <c r="N134" s="357" t="str">
        <f t="shared" ca="1" si="71"/>
        <v/>
      </c>
      <c r="O134" s="357" t="str">
        <f t="shared" ca="1" si="71"/>
        <v/>
      </c>
      <c r="P134" s="357" t="str">
        <f t="shared" ca="1" si="71"/>
        <v/>
      </c>
      <c r="Q134" s="357" t="str">
        <f t="shared" ca="1" si="71"/>
        <v/>
      </c>
    </row>
    <row r="135" spans="2:17" ht="3.75" customHeight="1" x14ac:dyDescent="0.2">
      <c r="B135" s="167"/>
      <c r="E135" s="169"/>
      <c r="F135" s="169"/>
      <c r="G135" s="170"/>
      <c r="H135" s="169"/>
      <c r="I135" s="169"/>
      <c r="J135" s="169"/>
      <c r="K135" s="169"/>
      <c r="L135" s="169"/>
      <c r="M135" s="169"/>
      <c r="N135" s="169"/>
      <c r="O135" s="169"/>
      <c r="P135" s="169"/>
      <c r="Q135" s="169"/>
    </row>
    <row r="136" spans="2:17" s="167" customFormat="1" x14ac:dyDescent="0.2">
      <c r="B136" s="287" t="s">
        <v>387</v>
      </c>
      <c r="E136" s="332" t="e">
        <f ca="1">+_xlfn.XLOOKUP($B136,Inputs!$B:$B,Inputs!O:O)</f>
        <v>#NAME?</v>
      </c>
      <c r="F136" s="332" t="e">
        <f ca="1">+_xlfn.XLOOKUP($B136,Inputs!$B:$B,Inputs!P:P)</f>
        <v>#NAME?</v>
      </c>
      <c r="G136" s="333" t="e">
        <f ca="1">+_xlfn.XLOOKUP($B136,Inputs!$B:$B,Inputs!Q:Q)</f>
        <v>#NAME?</v>
      </c>
      <c r="H136" s="334">
        <f>+H19*H18</f>
        <v>0</v>
      </c>
      <c r="I136" s="334">
        <f t="shared" ref="I136:Q136" si="72">+I19*I18</f>
        <v>0</v>
      </c>
      <c r="J136" s="334">
        <f t="shared" si="72"/>
        <v>0</v>
      </c>
      <c r="K136" s="334">
        <f t="shared" si="72"/>
        <v>0</v>
      </c>
      <c r="L136" s="334">
        <f t="shared" si="72"/>
        <v>0</v>
      </c>
      <c r="M136" s="334">
        <f t="shared" si="72"/>
        <v>0</v>
      </c>
      <c r="N136" s="334">
        <f t="shared" si="72"/>
        <v>0</v>
      </c>
      <c r="O136" s="334">
        <f t="shared" si="72"/>
        <v>0</v>
      </c>
      <c r="P136" s="334">
        <f t="shared" si="72"/>
        <v>0</v>
      </c>
      <c r="Q136" s="334">
        <f t="shared" si="72"/>
        <v>0</v>
      </c>
    </row>
    <row r="137" spans="2:17" ht="3.75" customHeight="1" x14ac:dyDescent="0.2">
      <c r="B137" s="287"/>
      <c r="E137" s="169"/>
      <c r="F137" s="169"/>
      <c r="G137" s="170"/>
      <c r="H137" s="169"/>
      <c r="I137" s="169"/>
      <c r="J137" s="169"/>
      <c r="K137" s="169"/>
      <c r="L137" s="169"/>
      <c r="M137" s="169"/>
      <c r="N137" s="169"/>
      <c r="O137" s="169"/>
      <c r="P137" s="169"/>
      <c r="Q137" s="169"/>
    </row>
    <row r="138" spans="2:17" s="167" customFormat="1" x14ac:dyDescent="0.2">
      <c r="B138" s="287" t="s">
        <v>388</v>
      </c>
      <c r="E138" s="332" t="e">
        <f ca="1">+_xlfn.XLOOKUP($B138,Inputs!$B:$B,Inputs!O:O)</f>
        <v>#NAME?</v>
      </c>
      <c r="F138" s="332" t="e">
        <f ca="1">+_xlfn.XLOOKUP($B138,Inputs!$B:$B,Inputs!P:P)</f>
        <v>#NAME?</v>
      </c>
      <c r="G138" s="333" t="e">
        <f ca="1">+_xlfn.XLOOKUP($B138,Inputs!$B:$B,Inputs!Q:Q)</f>
        <v>#NAME?</v>
      </c>
      <c r="H138" s="334" t="str">
        <f ca="1">IFERROR(H139*G100,"")</f>
        <v/>
      </c>
      <c r="I138" s="334" t="str">
        <f t="shared" ref="I138:Q138" ca="1" si="73">IFERROR(I139*H100,"")</f>
        <v/>
      </c>
      <c r="J138" s="334" t="str">
        <f t="shared" ca="1" si="73"/>
        <v/>
      </c>
      <c r="K138" s="334" t="str">
        <f t="shared" ca="1" si="73"/>
        <v/>
      </c>
      <c r="L138" s="334" t="str">
        <f t="shared" ca="1" si="73"/>
        <v/>
      </c>
      <c r="M138" s="334" t="str">
        <f t="shared" ca="1" si="73"/>
        <v/>
      </c>
      <c r="N138" s="334" t="str">
        <f t="shared" ca="1" si="73"/>
        <v/>
      </c>
      <c r="O138" s="334" t="str">
        <f t="shared" ca="1" si="73"/>
        <v/>
      </c>
      <c r="P138" s="334" t="str">
        <f t="shared" ca="1" si="73"/>
        <v/>
      </c>
      <c r="Q138" s="334" t="str">
        <f t="shared" ca="1" si="73"/>
        <v/>
      </c>
    </row>
    <row r="139" spans="2:17" customFormat="1" ht="14.25" x14ac:dyDescent="0.2">
      <c r="B139" s="297" t="s">
        <v>389</v>
      </c>
      <c r="E139" s="296" t="str">
        <f ca="1">IFERROR(E138/E100,"")</f>
        <v/>
      </c>
      <c r="F139" s="296" t="str">
        <f t="shared" ref="F139:G139" ca="1" si="74">IFERROR(F138/F100,"")</f>
        <v/>
      </c>
      <c r="G139" s="328" t="str">
        <f t="shared" ca="1" si="74"/>
        <v/>
      </c>
      <c r="H139" s="320" t="str">
        <f ca="1">IFERROR(AVERAGE(E139:G139),"")</f>
        <v/>
      </c>
      <c r="I139" s="320" t="str">
        <f t="shared" ref="I139:Q139" ca="1" si="75">IFERROR(AVERAGE(F139:H139),"")</f>
        <v/>
      </c>
      <c r="J139" s="320" t="str">
        <f t="shared" ca="1" si="75"/>
        <v/>
      </c>
      <c r="K139" s="320" t="str">
        <f t="shared" ca="1" si="75"/>
        <v/>
      </c>
      <c r="L139" s="320" t="str">
        <f t="shared" ca="1" si="75"/>
        <v/>
      </c>
      <c r="M139" s="320" t="str">
        <f t="shared" ca="1" si="75"/>
        <v/>
      </c>
      <c r="N139" s="320" t="str">
        <f t="shared" ca="1" si="75"/>
        <v/>
      </c>
      <c r="O139" s="320" t="str">
        <f t="shared" ca="1" si="75"/>
        <v/>
      </c>
      <c r="P139" s="320" t="str">
        <f t="shared" ca="1" si="75"/>
        <v/>
      </c>
      <c r="Q139" s="320" t="str">
        <f t="shared" ca="1" si="75"/>
        <v/>
      </c>
    </row>
    <row r="140" spans="2:17" ht="3.75" customHeight="1" x14ac:dyDescent="0.2">
      <c r="B140" s="167"/>
      <c r="E140" s="169"/>
      <c r="F140" s="169"/>
      <c r="G140" s="170"/>
      <c r="H140" s="169"/>
      <c r="I140" s="169"/>
      <c r="J140" s="169"/>
      <c r="K140" s="169"/>
      <c r="L140" s="169"/>
      <c r="M140" s="169"/>
      <c r="N140" s="169"/>
      <c r="O140" s="169"/>
      <c r="P140" s="169"/>
      <c r="Q140" s="169"/>
    </row>
    <row r="141" spans="2:17" ht="13.5" customHeight="1" x14ac:dyDescent="0.2">
      <c r="B141" s="213" t="s">
        <v>390</v>
      </c>
      <c r="E141" s="332" t="e">
        <f ca="1">+_xlfn.XLOOKUP($B141,Inputs!$B:$B,Inputs!O:O)</f>
        <v>#NAME?</v>
      </c>
      <c r="F141" s="332" t="e">
        <f ca="1">+_xlfn.XLOOKUP($B141,Inputs!$B:$B,Inputs!P:P)</f>
        <v>#NAME?</v>
      </c>
      <c r="G141" s="333" t="e">
        <f ca="1">+_xlfn.XLOOKUP($B141,Inputs!$B:$B,Inputs!Q:Q)</f>
        <v>#NAME?</v>
      </c>
      <c r="H141" s="348">
        <v>0</v>
      </c>
      <c r="I141" s="348">
        <v>0</v>
      </c>
      <c r="J141" s="348">
        <v>0</v>
      </c>
      <c r="K141" s="348">
        <v>0</v>
      </c>
      <c r="L141" s="348">
        <v>0</v>
      </c>
      <c r="M141" s="348">
        <v>0</v>
      </c>
      <c r="N141" s="348">
        <v>0</v>
      </c>
      <c r="O141" s="348">
        <v>0</v>
      </c>
      <c r="P141" s="348">
        <v>0</v>
      </c>
      <c r="Q141" s="348">
        <v>0</v>
      </c>
    </row>
    <row r="142" spans="2:17" ht="3.75" customHeight="1" x14ac:dyDescent="0.2">
      <c r="B142" s="167"/>
      <c r="E142" s="169"/>
      <c r="F142" s="169"/>
      <c r="G142" s="177"/>
      <c r="H142" s="169"/>
      <c r="I142" s="169"/>
      <c r="J142" s="169"/>
      <c r="K142" s="169"/>
      <c r="L142" s="169"/>
      <c r="M142" s="169"/>
      <c r="N142" s="169"/>
      <c r="O142" s="169"/>
      <c r="P142" s="169"/>
      <c r="Q142" s="169"/>
    </row>
    <row r="143" spans="2:17" ht="13.5" customHeight="1" x14ac:dyDescent="0.2">
      <c r="B143" s="396" t="s">
        <v>391</v>
      </c>
      <c r="C143" s="396"/>
      <c r="D143" s="396"/>
      <c r="E143" s="397" t="e">
        <f ca="1">+_xlfn.XLOOKUP($B143,Inputs!$B:$B,Inputs!O:O)</f>
        <v>#NAME?</v>
      </c>
      <c r="F143" s="397" t="e">
        <f ca="1">+_xlfn.XLOOKUP($B143,Inputs!$B:$B,Inputs!P:P)</f>
        <v>#NAME?</v>
      </c>
      <c r="G143" s="398" t="e">
        <f ca="1">+_xlfn.XLOOKUP($B143,Inputs!$B:$B,Inputs!Q:Q)</f>
        <v>#NAME?</v>
      </c>
      <c r="H143" s="399" t="str">
        <f ca="1">IFERROR(AVERAGE(E143:G143)*(1+H31),"")</f>
        <v/>
      </c>
      <c r="I143" s="399" t="str">
        <f t="shared" ref="I143:Q143" ca="1" si="76">IFERROR(AVERAGE(F143:H143)*(1+I31),"")</f>
        <v/>
      </c>
      <c r="J143" s="399" t="str">
        <f t="shared" ca="1" si="76"/>
        <v/>
      </c>
      <c r="K143" s="399" t="str">
        <f t="shared" ca="1" si="76"/>
        <v/>
      </c>
      <c r="L143" s="399" t="str">
        <f t="shared" ca="1" si="76"/>
        <v/>
      </c>
      <c r="M143" s="399" t="str">
        <f t="shared" ca="1" si="76"/>
        <v/>
      </c>
      <c r="N143" s="399" t="str">
        <f t="shared" ca="1" si="76"/>
        <v/>
      </c>
      <c r="O143" s="399" t="str">
        <f t="shared" ca="1" si="76"/>
        <v/>
      </c>
      <c r="P143" s="399" t="str">
        <f t="shared" ca="1" si="76"/>
        <v/>
      </c>
      <c r="Q143" s="399" t="str">
        <f t="shared" ca="1" si="76"/>
        <v/>
      </c>
    </row>
    <row r="144" spans="2:17" ht="5.25" customHeight="1" x14ac:dyDescent="0.2">
      <c r="E144" s="349"/>
      <c r="F144" s="349"/>
      <c r="G144" s="333"/>
      <c r="H144" s="334"/>
      <c r="I144" s="334"/>
      <c r="J144" s="334"/>
      <c r="K144" s="334"/>
      <c r="L144" s="334"/>
      <c r="M144" s="334"/>
      <c r="N144" s="334"/>
      <c r="O144" s="334"/>
      <c r="P144" s="334"/>
      <c r="Q144" s="334"/>
    </row>
    <row r="145" spans="2:17" ht="13.5" customHeight="1" x14ac:dyDescent="0.25">
      <c r="B145" s="164" t="s">
        <v>248</v>
      </c>
      <c r="C145" s="164"/>
      <c r="D145" s="164"/>
      <c r="E145" s="358" t="e">
        <f ca="1">+_xlfn.XLOOKUP($B145,Inputs!$B:$B,Inputs!O:O)</f>
        <v>#NAME?</v>
      </c>
      <c r="F145" s="358" t="e">
        <f ca="1">+_xlfn.XLOOKUP($B145,Inputs!$B:$B,Inputs!P:P)</f>
        <v>#NAME?</v>
      </c>
      <c r="G145" s="359" t="e">
        <f ca="1">+_xlfn.XLOOKUP($B145,Inputs!$B:$B,Inputs!Q:Q)</f>
        <v>#NAME?</v>
      </c>
      <c r="H145" s="363" t="str">
        <f ca="1">IFERROR(+H134+H141+H143,"")</f>
        <v/>
      </c>
      <c r="I145" s="363" t="str">
        <f t="shared" ref="I145:Q145" ca="1" si="77">IFERROR(+I134+I141+I143,"")</f>
        <v/>
      </c>
      <c r="J145" s="363" t="str">
        <f t="shared" ca="1" si="77"/>
        <v/>
      </c>
      <c r="K145" s="363" t="str">
        <f t="shared" ca="1" si="77"/>
        <v/>
      </c>
      <c r="L145" s="363" t="str">
        <f t="shared" ca="1" si="77"/>
        <v/>
      </c>
      <c r="M145" s="363" t="str">
        <f t="shared" ca="1" si="77"/>
        <v/>
      </c>
      <c r="N145" s="363" t="str">
        <f t="shared" ca="1" si="77"/>
        <v/>
      </c>
      <c r="O145" s="363" t="str">
        <f t="shared" ca="1" si="77"/>
        <v/>
      </c>
      <c r="P145" s="363" t="str">
        <f t="shared" ca="1" si="77"/>
        <v/>
      </c>
      <c r="Q145" s="363" t="str">
        <f t="shared" ca="1" si="77"/>
        <v/>
      </c>
    </row>
    <row r="146" spans="2:17" ht="3.75" customHeight="1" x14ac:dyDescent="0.2">
      <c r="E146" s="349"/>
      <c r="F146" s="349"/>
      <c r="G146" s="333"/>
      <c r="H146" s="334"/>
      <c r="I146" s="334"/>
      <c r="J146" s="334"/>
      <c r="K146" s="334"/>
      <c r="L146" s="334"/>
      <c r="M146" s="334"/>
      <c r="N146" s="334"/>
      <c r="O146" s="334"/>
      <c r="P146" s="334"/>
      <c r="Q146" s="334"/>
    </row>
    <row r="147" spans="2:17" ht="13.5" customHeight="1" x14ac:dyDescent="0.2">
      <c r="B147" s="354" t="s">
        <v>392</v>
      </c>
      <c r="C147" s="354"/>
      <c r="D147" s="354"/>
      <c r="E147" s="355" t="e">
        <f ca="1">+_xlfn.XLOOKUP($B147,Inputs!$B:$B,Inputs!O:O)</f>
        <v>#NAME?</v>
      </c>
      <c r="F147" s="355" t="e">
        <f ca="1">+_xlfn.XLOOKUP($B147,Inputs!$B:$B,Inputs!P:P)</f>
        <v>#NAME?</v>
      </c>
      <c r="G147" s="356" t="e">
        <f ca="1">+_xlfn.XLOOKUP($B147,Inputs!$B:$B,Inputs!Q:Q)</f>
        <v>#NAME?</v>
      </c>
      <c r="H147" s="354" t="str">
        <f ca="1">+IFERROR(H148*_xlfn.XLOOKUP("Net Income",$B:$B,$H:$H),"")</f>
        <v/>
      </c>
      <c r="I147" s="354" t="str">
        <f t="shared" ref="I147:Q147" ca="1" si="78">+IFERROR(I148*_xlfn.XLOOKUP("Net Income",$B:$B,$H:$H),"")</f>
        <v/>
      </c>
      <c r="J147" s="354" t="str">
        <f t="shared" ca="1" si="78"/>
        <v/>
      </c>
      <c r="K147" s="354" t="str">
        <f t="shared" ca="1" si="78"/>
        <v/>
      </c>
      <c r="L147" s="354" t="str">
        <f t="shared" ca="1" si="78"/>
        <v/>
      </c>
      <c r="M147" s="354" t="str">
        <f t="shared" ca="1" si="78"/>
        <v/>
      </c>
      <c r="N147" s="354" t="str">
        <f t="shared" ca="1" si="78"/>
        <v/>
      </c>
      <c r="O147" s="354" t="str">
        <f t="shared" ca="1" si="78"/>
        <v/>
      </c>
      <c r="P147" s="354" t="str">
        <f t="shared" ca="1" si="78"/>
        <v/>
      </c>
      <c r="Q147" s="354" t="str">
        <f t="shared" ca="1" si="78"/>
        <v/>
      </c>
    </row>
    <row r="148" spans="2:17" ht="13.5" customHeight="1" x14ac:dyDescent="0.2">
      <c r="B148" s="288" t="s">
        <v>393</v>
      </c>
      <c r="E148" s="350" t="str">
        <f ca="1">IFERROR(-E147/E$81,"")</f>
        <v/>
      </c>
      <c r="F148" s="350" t="str">
        <f t="shared" ref="F148:G148" ca="1" si="79">IFERROR(-F147/F$81,"")</f>
        <v/>
      </c>
      <c r="G148" s="351" t="str">
        <f t="shared" ca="1" si="79"/>
        <v/>
      </c>
      <c r="H148" s="352"/>
      <c r="I148" s="352"/>
      <c r="J148" s="352"/>
      <c r="K148" s="352"/>
      <c r="L148" s="352"/>
      <c r="M148" s="352"/>
      <c r="N148" s="352"/>
      <c r="O148" s="352"/>
      <c r="P148" s="352"/>
      <c r="Q148" s="352"/>
    </row>
    <row r="149" spans="2:17" ht="3.75" customHeight="1" x14ac:dyDescent="0.2">
      <c r="E149" s="349"/>
      <c r="F149" s="349"/>
      <c r="G149" s="333"/>
      <c r="H149" s="334"/>
      <c r="I149" s="334"/>
      <c r="J149" s="334"/>
      <c r="K149" s="334"/>
      <c r="L149" s="334"/>
      <c r="M149" s="334"/>
      <c r="N149" s="334"/>
      <c r="O149" s="334"/>
      <c r="P149" s="334"/>
      <c r="Q149" s="334"/>
    </row>
    <row r="150" spans="2:17" ht="13.5" customHeight="1" x14ac:dyDescent="0.2">
      <c r="B150" s="132" t="s">
        <v>394</v>
      </c>
      <c r="E150" s="306" t="e">
        <f ca="1">+_xlfn.XLOOKUP($B150,Inputs!$B:$B,Inputs!O:O)</f>
        <v>#NAME?</v>
      </c>
      <c r="F150" s="306" t="e">
        <f ca="1">+_xlfn.XLOOKUP($B150,Inputs!$B:$B,Inputs!P:P)</f>
        <v>#NAME?</v>
      </c>
      <c r="G150" s="307" t="e">
        <f ca="1">+_xlfn.XLOOKUP($B150,Inputs!$B:$B,Inputs!Q:Q)</f>
        <v>#NAME?</v>
      </c>
      <c r="H150" s="183" t="str">
        <f ca="1">IFERROR(-H151*_xlfn.XLOOKUP("Net Income",$B:$B,H:H),"")</f>
        <v/>
      </c>
      <c r="I150" s="183" t="str">
        <f t="shared" ref="I150:Q150" ca="1" si="80">IFERROR(-I151*_xlfn.XLOOKUP("Net Income",$B:$B,I:I),"")</f>
        <v/>
      </c>
      <c r="J150" s="183" t="str">
        <f t="shared" ca="1" si="80"/>
        <v/>
      </c>
      <c r="K150" s="183" t="str">
        <f t="shared" ca="1" si="80"/>
        <v/>
      </c>
      <c r="L150" s="183" t="str">
        <f t="shared" ca="1" si="80"/>
        <v/>
      </c>
      <c r="M150" s="183" t="str">
        <f t="shared" ca="1" si="80"/>
        <v/>
      </c>
      <c r="N150" s="183" t="str">
        <f t="shared" ca="1" si="80"/>
        <v/>
      </c>
      <c r="O150" s="183" t="str">
        <f t="shared" ca="1" si="80"/>
        <v/>
      </c>
      <c r="P150" s="183" t="str">
        <f t="shared" ca="1" si="80"/>
        <v/>
      </c>
      <c r="Q150" s="183" t="str">
        <f t="shared" ca="1" si="80"/>
        <v/>
      </c>
    </row>
    <row r="151" spans="2:17" ht="13.5" customHeight="1" x14ac:dyDescent="0.2">
      <c r="B151" s="288" t="s">
        <v>395</v>
      </c>
      <c r="E151" s="350" t="str">
        <f ca="1">IFERROR(-E150/E$81,"")</f>
        <v/>
      </c>
      <c r="F151" s="350" t="str">
        <f t="shared" ref="F151:G151" ca="1" si="81">IFERROR(-F150/F$81,"")</f>
        <v/>
      </c>
      <c r="G151" s="351" t="str">
        <f t="shared" ca="1" si="81"/>
        <v/>
      </c>
      <c r="H151" s="352"/>
      <c r="I151" s="352"/>
      <c r="J151" s="352"/>
      <c r="K151" s="352"/>
      <c r="L151" s="352"/>
      <c r="M151" s="352"/>
      <c r="N151" s="352"/>
      <c r="O151" s="352"/>
      <c r="P151" s="352"/>
      <c r="Q151" s="352"/>
    </row>
    <row r="152" spans="2:17" ht="3.75" customHeight="1" x14ac:dyDescent="0.2">
      <c r="E152" s="349"/>
      <c r="F152" s="349"/>
      <c r="G152" s="333"/>
      <c r="H152" s="334"/>
      <c r="I152" s="334"/>
      <c r="J152" s="334"/>
      <c r="K152" s="334"/>
      <c r="L152" s="334"/>
      <c r="M152" s="334"/>
      <c r="N152" s="334"/>
      <c r="O152" s="334"/>
      <c r="P152" s="334"/>
      <c r="Q152" s="334"/>
    </row>
    <row r="153" spans="2:17" x14ac:dyDescent="0.2">
      <c r="B153" s="132" t="s">
        <v>396</v>
      </c>
      <c r="E153" s="306" t="e">
        <f ca="1">+_xlfn.XLOOKUP($B153,Inputs!$B:$B,Inputs!O:O)</f>
        <v>#NAME?</v>
      </c>
      <c r="F153" s="306" t="e">
        <f ca="1">+_xlfn.XLOOKUP($B153,Inputs!$B:$B,Inputs!P:P)</f>
        <v>#NAME?</v>
      </c>
      <c r="G153" s="307" t="e">
        <f ca="1">+_xlfn.XLOOKUP($B153,Inputs!$B:$B,Inputs!Q:Q)</f>
        <v>#NAME?</v>
      </c>
      <c r="H153" s="183" t="str">
        <f ca="1">+IFERROR(H154*H101,"")</f>
        <v/>
      </c>
      <c r="I153" s="183" t="str">
        <f t="shared" ref="I153:Q153" ca="1" si="82">+IFERROR(I154*I101,"")</f>
        <v/>
      </c>
      <c r="J153" s="183" t="str">
        <f t="shared" ca="1" si="82"/>
        <v/>
      </c>
      <c r="K153" s="183" t="str">
        <f t="shared" ca="1" si="82"/>
        <v/>
      </c>
      <c r="L153" s="183" t="str">
        <f t="shared" ca="1" si="82"/>
        <v/>
      </c>
      <c r="M153" s="183" t="str">
        <f t="shared" ca="1" si="82"/>
        <v/>
      </c>
      <c r="N153" s="183" t="str">
        <f t="shared" ca="1" si="82"/>
        <v/>
      </c>
      <c r="O153" s="183" t="str">
        <f t="shared" ca="1" si="82"/>
        <v/>
      </c>
      <c r="P153" s="183" t="str">
        <f t="shared" ca="1" si="82"/>
        <v/>
      </c>
      <c r="Q153" s="183" t="str">
        <f t="shared" ca="1" si="82"/>
        <v/>
      </c>
    </row>
    <row r="154" spans="2:17" x14ac:dyDescent="0.2">
      <c r="B154" s="288" t="s">
        <v>397</v>
      </c>
      <c r="E154" s="290" t="str">
        <f ca="1">IFERROR(E153/E101,"")</f>
        <v/>
      </c>
      <c r="F154" s="290" t="str">
        <f t="shared" ref="F154:G154" ca="1" si="83">IFERROR(F153/F101,"")</f>
        <v/>
      </c>
      <c r="G154" s="294" t="str">
        <f t="shared" ca="1" si="83"/>
        <v/>
      </c>
      <c r="H154" s="320"/>
      <c r="I154" s="320"/>
      <c r="J154" s="320"/>
      <c r="K154" s="320"/>
      <c r="L154" s="320"/>
      <c r="M154" s="320"/>
      <c r="N154" s="320"/>
      <c r="O154" s="320"/>
      <c r="P154" s="320"/>
      <c r="Q154" s="320"/>
    </row>
    <row r="155" spans="2:17" ht="3.75" customHeight="1" x14ac:dyDescent="0.2">
      <c r="B155" s="288"/>
      <c r="E155" s="290"/>
      <c r="F155" s="290"/>
      <c r="G155" s="294"/>
      <c r="H155" s="346"/>
      <c r="I155" s="346"/>
      <c r="J155" s="346"/>
      <c r="K155" s="346"/>
      <c r="L155" s="346"/>
      <c r="M155" s="346"/>
      <c r="N155" s="346"/>
      <c r="O155" s="346"/>
      <c r="P155" s="346"/>
      <c r="Q155" s="346"/>
    </row>
    <row r="156" spans="2:17" x14ac:dyDescent="0.2">
      <c r="B156" s="132" t="s">
        <v>249</v>
      </c>
      <c r="E156" s="165" t="e">
        <f ca="1">+_xlfn.XLOOKUP($B156,Inputs!$B:$B,Inputs!O:O)</f>
        <v>#NAME?</v>
      </c>
      <c r="F156" s="165" t="e">
        <f ca="1">+_xlfn.XLOOKUP($B156,Inputs!$B:$B,Inputs!P:P)</f>
        <v>#NAME?</v>
      </c>
      <c r="G156" s="280" t="e">
        <f ca="1">+_xlfn.XLOOKUP($B156,Inputs!$B:$B,Inputs!Q:Q)</f>
        <v>#NAME?</v>
      </c>
      <c r="H156" s="334" t="str">
        <f ca="1">IFERROR(MAX(0,-G244),"")</f>
        <v/>
      </c>
      <c r="I156" s="334" t="str">
        <f t="shared" ref="I156:Q156" ca="1" si="84">IFERROR(MAX(0,-H244),"")</f>
        <v/>
      </c>
      <c r="J156" s="334" t="str">
        <f t="shared" ca="1" si="84"/>
        <v/>
      </c>
      <c r="K156" s="334" t="str">
        <f t="shared" ca="1" si="84"/>
        <v/>
      </c>
      <c r="L156" s="334" t="str">
        <f t="shared" ca="1" si="84"/>
        <v/>
      </c>
      <c r="M156" s="334" t="str">
        <f t="shared" ca="1" si="84"/>
        <v/>
      </c>
      <c r="N156" s="334" t="str">
        <f t="shared" ca="1" si="84"/>
        <v/>
      </c>
      <c r="O156" s="334" t="str">
        <f t="shared" ca="1" si="84"/>
        <v/>
      </c>
      <c r="P156" s="334" t="str">
        <f t="shared" ca="1" si="84"/>
        <v/>
      </c>
      <c r="Q156" s="334" t="str">
        <f t="shared" ca="1" si="84"/>
        <v/>
      </c>
    </row>
    <row r="157" spans="2:17" ht="3.75" customHeight="1" x14ac:dyDescent="0.2">
      <c r="B157" s="288"/>
      <c r="E157" s="290"/>
      <c r="F157" s="290"/>
      <c r="G157" s="294"/>
      <c r="H157" s="346"/>
      <c r="I157" s="346"/>
      <c r="J157" s="346"/>
      <c r="K157" s="346"/>
      <c r="L157" s="346"/>
      <c r="M157" s="346"/>
      <c r="N157" s="346"/>
      <c r="O157" s="346"/>
      <c r="P157" s="346"/>
      <c r="Q157" s="346"/>
    </row>
    <row r="158" spans="2:17" x14ac:dyDescent="0.2">
      <c r="B158" s="132" t="s">
        <v>250</v>
      </c>
      <c r="E158" s="165" t="e">
        <f ca="1">+_xlfn.XLOOKUP($B158,Inputs!$B:$B,Inputs!O:O)</f>
        <v>#NAME?</v>
      </c>
      <c r="F158" s="165" t="e">
        <f ca="1">+_xlfn.XLOOKUP($B158,Inputs!$B:$B,Inputs!P:P)</f>
        <v>#NAME?</v>
      </c>
      <c r="G158" s="280" t="e">
        <f ca="1">+_xlfn.XLOOKUP($B158,Inputs!$B:$B,Inputs!Q:Q)</f>
        <v>#NAME?</v>
      </c>
      <c r="H158" s="334" t="str">
        <f ca="1">IFERROR(MAX(0,H159*G244),"")</f>
        <v/>
      </c>
      <c r="I158" s="334" t="str">
        <f t="shared" ref="I158:Q158" ca="1" si="85">IFERROR(MAX(0,I159*H244),"")</f>
        <v/>
      </c>
      <c r="J158" s="334" t="str">
        <f t="shared" ca="1" si="85"/>
        <v/>
      </c>
      <c r="K158" s="334" t="str">
        <f t="shared" ca="1" si="85"/>
        <v/>
      </c>
      <c r="L158" s="334" t="str">
        <f t="shared" ca="1" si="85"/>
        <v/>
      </c>
      <c r="M158" s="334" t="str">
        <f t="shared" ca="1" si="85"/>
        <v/>
      </c>
      <c r="N158" s="334" t="str">
        <f t="shared" ca="1" si="85"/>
        <v/>
      </c>
      <c r="O158" s="334" t="str">
        <f t="shared" ca="1" si="85"/>
        <v/>
      </c>
      <c r="P158" s="334" t="str">
        <f t="shared" ca="1" si="85"/>
        <v/>
      </c>
      <c r="Q158" s="334" t="str">
        <f t="shared" ca="1" si="85"/>
        <v/>
      </c>
    </row>
    <row r="159" spans="2:17" x14ac:dyDescent="0.2">
      <c r="B159" s="288" t="s">
        <v>398</v>
      </c>
      <c r="E159" s="309" t="str">
        <f ca="1">IFERROR(E158/E244,"")</f>
        <v/>
      </c>
      <c r="F159" s="309" t="str">
        <f t="shared" ref="F159:G159" ca="1" si="86">IFERROR(F158/F244,"")</f>
        <v/>
      </c>
      <c r="G159" s="294" t="str">
        <f t="shared" ca="1" si="86"/>
        <v/>
      </c>
      <c r="H159" s="320"/>
      <c r="I159" s="320"/>
      <c r="J159" s="320"/>
      <c r="K159" s="320"/>
      <c r="L159" s="320"/>
      <c r="M159" s="320"/>
      <c r="N159" s="320"/>
      <c r="O159" s="320"/>
      <c r="P159" s="320"/>
      <c r="Q159" s="320"/>
    </row>
    <row r="160" spans="2:17" ht="3.75" customHeight="1" x14ac:dyDescent="0.2">
      <c r="B160" s="288"/>
      <c r="E160" s="309"/>
      <c r="F160" s="309"/>
      <c r="G160" s="294"/>
      <c r="H160" s="346"/>
      <c r="I160" s="346"/>
      <c r="J160" s="346"/>
      <c r="K160" s="346"/>
      <c r="L160" s="346"/>
      <c r="M160" s="346"/>
      <c r="N160" s="346"/>
      <c r="O160" s="346"/>
      <c r="P160" s="346"/>
      <c r="Q160" s="346"/>
    </row>
    <row r="161" spans="1:17" x14ac:dyDescent="0.2">
      <c r="B161" s="396" t="s">
        <v>399</v>
      </c>
      <c r="C161" s="396"/>
      <c r="D161" s="396"/>
      <c r="E161" s="397" t="e">
        <f ca="1">+_xlfn.XLOOKUP($B161,Inputs!$B:$B,Inputs!O:O)</f>
        <v>#NAME?</v>
      </c>
      <c r="F161" s="397" t="e">
        <f ca="1">+_xlfn.XLOOKUP($B161,Inputs!$B:$B,Inputs!P:P)</f>
        <v>#NAME?</v>
      </c>
      <c r="G161" s="398" t="e">
        <f ca="1">+_xlfn.XLOOKUP($B161,Inputs!$B:$B,Inputs!Q:Q)</f>
        <v>#NAME?</v>
      </c>
      <c r="H161" s="400" t="str">
        <f ca="1">IFERROR(AVERAGE(E161:G161)*(1+H31),"")</f>
        <v/>
      </c>
      <c r="I161" s="400" t="str">
        <f t="shared" ref="I161:Q161" ca="1" si="87">IFERROR(AVERAGE(F161:H161)*(1+I31),"")</f>
        <v/>
      </c>
      <c r="J161" s="400" t="str">
        <f t="shared" ca="1" si="87"/>
        <v/>
      </c>
      <c r="K161" s="400" t="str">
        <f t="shared" ca="1" si="87"/>
        <v/>
      </c>
      <c r="L161" s="400" t="str">
        <f t="shared" ca="1" si="87"/>
        <v/>
      </c>
      <c r="M161" s="400" t="str">
        <f t="shared" ca="1" si="87"/>
        <v/>
      </c>
      <c r="N161" s="400" t="str">
        <f t="shared" ca="1" si="87"/>
        <v/>
      </c>
      <c r="O161" s="400" t="str">
        <f t="shared" ca="1" si="87"/>
        <v/>
      </c>
      <c r="P161" s="400" t="str">
        <f t="shared" ca="1" si="87"/>
        <v/>
      </c>
      <c r="Q161" s="400" t="str">
        <f t="shared" ca="1" si="87"/>
        <v/>
      </c>
    </row>
    <row r="162" spans="1:17" ht="5.25" customHeight="1" x14ac:dyDescent="0.2">
      <c r="E162" s="353"/>
      <c r="F162" s="353"/>
      <c r="G162" s="280"/>
      <c r="H162" s="334"/>
      <c r="I162" s="334"/>
      <c r="J162" s="334"/>
      <c r="K162" s="334"/>
      <c r="L162" s="334"/>
      <c r="M162" s="334"/>
      <c r="N162" s="334"/>
      <c r="O162" s="334"/>
      <c r="P162" s="334"/>
      <c r="Q162" s="334"/>
    </row>
    <row r="163" spans="1:17" ht="15.75" x14ac:dyDescent="0.25">
      <c r="B163" s="164" t="s">
        <v>251</v>
      </c>
      <c r="C163" s="164"/>
      <c r="D163" s="164"/>
      <c r="E163" s="358" t="e">
        <f ca="1">+_xlfn.XLOOKUP($B163,Inputs!$B:$B,Inputs!O:O)</f>
        <v>#NAME?</v>
      </c>
      <c r="F163" s="358" t="e">
        <f ca="1">+_xlfn.XLOOKUP($B163,Inputs!$B:$B,Inputs!P:P)</f>
        <v>#NAME?</v>
      </c>
      <c r="G163" s="359" t="e">
        <f ca="1">+_xlfn.XLOOKUP($B163,Inputs!$B:$B,Inputs!Q:Q)</f>
        <v>#NAME?</v>
      </c>
      <c r="H163" s="363" t="str">
        <f ca="1">IFERROR(+H147+H150+H153+H156+H158+H161,"")</f>
        <v/>
      </c>
      <c r="I163" s="363" t="str">
        <f t="shared" ref="I163:Q163" ca="1" si="88">IFERROR(+I147+I150+I153+I156+I158+I161,"")</f>
        <v/>
      </c>
      <c r="J163" s="363" t="str">
        <f t="shared" ca="1" si="88"/>
        <v/>
      </c>
      <c r="K163" s="363" t="str">
        <f t="shared" ca="1" si="88"/>
        <v/>
      </c>
      <c r="L163" s="363" t="str">
        <f t="shared" ca="1" si="88"/>
        <v/>
      </c>
      <c r="M163" s="363" t="str">
        <f t="shared" ca="1" si="88"/>
        <v/>
      </c>
      <c r="N163" s="363" t="str">
        <f t="shared" ca="1" si="88"/>
        <v/>
      </c>
      <c r="O163" s="363" t="str">
        <f t="shared" ca="1" si="88"/>
        <v/>
      </c>
      <c r="P163" s="363" t="str">
        <f t="shared" ca="1" si="88"/>
        <v/>
      </c>
      <c r="Q163" s="363" t="str">
        <f t="shared" ca="1" si="88"/>
        <v/>
      </c>
    </row>
    <row r="164" spans="1:17" ht="3.75" customHeight="1" x14ac:dyDescent="0.2">
      <c r="B164" s="288"/>
      <c r="E164" s="309"/>
      <c r="F164" s="309"/>
      <c r="G164" s="294"/>
      <c r="H164" s="346"/>
      <c r="I164" s="346"/>
      <c r="J164" s="346"/>
      <c r="K164" s="346"/>
      <c r="L164" s="346"/>
      <c r="M164" s="346"/>
      <c r="N164" s="346"/>
      <c r="O164" s="346"/>
      <c r="P164" s="346"/>
      <c r="Q164" s="346"/>
    </row>
    <row r="165" spans="1:17" ht="15.75" x14ac:dyDescent="0.25">
      <c r="B165" s="499" t="s">
        <v>252</v>
      </c>
      <c r="C165" s="354"/>
      <c r="D165" s="354"/>
      <c r="E165" s="360" t="e">
        <f ca="1">+_xlfn.XLOOKUP($B165,Inputs!$B:$B,Inputs!O:O)</f>
        <v>#NAME?</v>
      </c>
      <c r="F165" s="360" t="e">
        <f ca="1">+_xlfn.XLOOKUP($B165,Inputs!$B:$B,Inputs!P:P)</f>
        <v>#NAME?</v>
      </c>
      <c r="G165" s="361" t="e">
        <f ca="1">+_xlfn.XLOOKUP($B165,Inputs!$B:$B,Inputs!Q:Q)</f>
        <v>#NAME?</v>
      </c>
      <c r="H165" s="362" t="str">
        <f ca="1">IFERROR(+H132+H145+H163,"")</f>
        <v/>
      </c>
      <c r="I165" s="362" t="str">
        <f t="shared" ref="I165:Q165" ca="1" si="89">IFERROR(+I132+I145+I163,"")</f>
        <v/>
      </c>
      <c r="J165" s="362" t="str">
        <f t="shared" ca="1" si="89"/>
        <v/>
      </c>
      <c r="K165" s="362" t="str">
        <f t="shared" ca="1" si="89"/>
        <v/>
      </c>
      <c r="L165" s="362" t="str">
        <f t="shared" ca="1" si="89"/>
        <v/>
      </c>
      <c r="M165" s="362" t="str">
        <f t="shared" ca="1" si="89"/>
        <v/>
      </c>
      <c r="N165" s="362" t="str">
        <f t="shared" ca="1" si="89"/>
        <v/>
      </c>
      <c r="O165" s="362" t="str">
        <f t="shared" ca="1" si="89"/>
        <v/>
      </c>
      <c r="P165" s="362" t="str">
        <f t="shared" ca="1" si="89"/>
        <v/>
      </c>
      <c r="Q165" s="362" t="str">
        <f t="shared" ca="1" si="89"/>
        <v/>
      </c>
    </row>
    <row r="166" spans="1:17" x14ac:dyDescent="0.2">
      <c r="B166" s="288"/>
      <c r="E166" s="335"/>
      <c r="F166" s="309"/>
      <c r="G166" s="294"/>
      <c r="H166" s="346"/>
      <c r="I166" s="346"/>
      <c r="J166" s="346"/>
      <c r="K166" s="346"/>
      <c r="L166" s="346"/>
      <c r="M166" s="346"/>
      <c r="N166" s="346"/>
      <c r="O166" s="346"/>
      <c r="P166" s="346"/>
      <c r="Q166" s="346"/>
    </row>
    <row r="167" spans="1:17" ht="3.75" customHeight="1" x14ac:dyDescent="0.2">
      <c r="G167" s="162"/>
      <c r="H167" s="137"/>
      <c r="I167" s="137"/>
      <c r="J167" s="137"/>
      <c r="K167" s="137"/>
      <c r="L167" s="137"/>
      <c r="O167" s="137"/>
      <c r="P167" s="137"/>
      <c r="Q167" s="137"/>
    </row>
    <row r="168" spans="1:17" ht="15.75" x14ac:dyDescent="0.25">
      <c r="A168" s="132" t="s">
        <v>306</v>
      </c>
      <c r="B168" s="52" t="s">
        <v>400</v>
      </c>
      <c r="C168" s="52"/>
      <c r="D168" s="52"/>
      <c r="E168" s="143">
        <f t="shared" ref="E168:Q168" si="90">E28</f>
        <v>2022</v>
      </c>
      <c r="F168" s="143">
        <f t="shared" si="90"/>
        <v>2023</v>
      </c>
      <c r="G168" s="178">
        <f t="shared" si="90"/>
        <v>2024</v>
      </c>
      <c r="H168" s="105">
        <f t="shared" si="90"/>
        <v>2025</v>
      </c>
      <c r="I168" s="105">
        <f t="shared" si="90"/>
        <v>2026</v>
      </c>
      <c r="J168" s="105">
        <f t="shared" si="90"/>
        <v>2027</v>
      </c>
      <c r="K168" s="105">
        <f t="shared" si="90"/>
        <v>2028</v>
      </c>
      <c r="L168" s="105">
        <f t="shared" si="90"/>
        <v>2029</v>
      </c>
      <c r="M168" s="105">
        <f t="shared" si="90"/>
        <v>2030</v>
      </c>
      <c r="N168" s="105">
        <f t="shared" si="90"/>
        <v>2031</v>
      </c>
      <c r="O168" s="105">
        <f t="shared" si="90"/>
        <v>2032</v>
      </c>
      <c r="P168" s="105">
        <f t="shared" si="90"/>
        <v>2033</v>
      </c>
      <c r="Q168" s="105">
        <f t="shared" si="90"/>
        <v>2034</v>
      </c>
    </row>
    <row r="169" spans="1:17" ht="3.95" customHeight="1" x14ac:dyDescent="0.2">
      <c r="B169" s="53"/>
      <c r="C169" s="53"/>
      <c r="D169" s="53"/>
      <c r="E169" s="53"/>
      <c r="F169" s="53"/>
      <c r="G169" s="180"/>
      <c r="H169" s="53"/>
      <c r="I169" s="53"/>
      <c r="J169" s="53"/>
      <c r="K169" s="53"/>
      <c r="L169" s="53"/>
      <c r="M169" s="53"/>
      <c r="N169" s="53"/>
      <c r="O169" s="53"/>
      <c r="P169" s="53"/>
      <c r="Q169" s="53"/>
    </row>
    <row r="170" spans="1:17" x14ac:dyDescent="0.2">
      <c r="B170" s="132" t="s">
        <v>106</v>
      </c>
      <c r="E170" s="166" t="e">
        <f ca="1">$E$30</f>
        <v>#NAME?</v>
      </c>
      <c r="F170" s="166" t="e">
        <f ca="1">$F$30</f>
        <v>#NAME?</v>
      </c>
      <c r="G170" s="190" t="e">
        <f ca="1">$G$30</f>
        <v>#NAME?</v>
      </c>
      <c r="H170" s="166" t="str">
        <f ca="1">IFERROR(G170*(1+H171),"")</f>
        <v/>
      </c>
      <c r="I170" s="166" t="str">
        <f t="shared" ref="I170:Q170" ca="1" si="91">IFERROR(H170*(1+I171),"")</f>
        <v/>
      </c>
      <c r="J170" s="166" t="str">
        <f t="shared" ca="1" si="91"/>
        <v/>
      </c>
      <c r="K170" s="166" t="str">
        <f t="shared" ca="1" si="91"/>
        <v/>
      </c>
      <c r="L170" s="166" t="str">
        <f t="shared" ca="1" si="91"/>
        <v/>
      </c>
      <c r="M170" s="166" t="str">
        <f t="shared" ca="1" si="91"/>
        <v/>
      </c>
      <c r="N170" s="166" t="str">
        <f t="shared" ca="1" si="91"/>
        <v/>
      </c>
      <c r="O170" s="166" t="str">
        <f t="shared" ca="1" si="91"/>
        <v/>
      </c>
      <c r="P170" s="166" t="str">
        <f t="shared" ca="1" si="91"/>
        <v/>
      </c>
      <c r="Q170" s="166" t="str">
        <f t="shared" ca="1" si="91"/>
        <v/>
      </c>
    </row>
    <row r="171" spans="1:17" x14ac:dyDescent="0.2">
      <c r="B171" s="288" t="s">
        <v>345</v>
      </c>
      <c r="C171" s="288"/>
      <c r="D171" s="288"/>
      <c r="E171" s="321" t="str">
        <f ca="1">$E$31</f>
        <v/>
      </c>
      <c r="F171" s="321" t="str">
        <f ca="1">$F$31</f>
        <v/>
      </c>
      <c r="G171" s="322" t="str">
        <f ca="1">$G$31</f>
        <v/>
      </c>
      <c r="H171" s="321" t="str">
        <f ca="1">+OFFSET($H$171,$C$7,0)</f>
        <v/>
      </c>
      <c r="I171" s="321" t="str">
        <f ca="1">+OFFSET($I$171,$C$7,0)</f>
        <v/>
      </c>
      <c r="J171" s="321" t="str">
        <f ca="1">+OFFSET($J$171,$C$7,0)</f>
        <v/>
      </c>
      <c r="K171" s="321" t="str">
        <f ca="1">+OFFSET($K$171,$C$7,0)</f>
        <v/>
      </c>
      <c r="L171" s="321" t="str">
        <f ca="1">+OFFSET($L$171,$C$7,0)</f>
        <v/>
      </c>
      <c r="M171" s="321" t="str">
        <f ca="1">+OFFSET($M$171,$C$7,0)</f>
        <v/>
      </c>
      <c r="N171" s="321" t="str">
        <f ca="1">+OFFSET($N$171,$C$7,0)</f>
        <v/>
      </c>
      <c r="O171" s="321" t="str">
        <f ca="1">+OFFSET($O$171,$C$7,0)</f>
        <v/>
      </c>
      <c r="P171" s="321" t="str">
        <f ca="1">+OFFSET($P$171,$C$7,0)</f>
        <v/>
      </c>
      <c r="Q171" s="321" t="str">
        <f ca="1">+OFFSET($Q$171,$C$7,0)</f>
        <v/>
      </c>
    </row>
    <row r="172" spans="1:17" x14ac:dyDescent="0.2">
      <c r="B172" s="287" t="s">
        <v>316</v>
      </c>
      <c r="G172" s="173"/>
      <c r="H172" s="612" t="str">
        <f ca="1">IFERROR(+H173+$F$7%,"")</f>
        <v/>
      </c>
      <c r="I172" s="612" t="str">
        <f t="shared" ref="I172:Q172" si="92">IFERROR(+I173+$F$7%,"")</f>
        <v/>
      </c>
      <c r="J172" s="612" t="str">
        <f t="shared" si="92"/>
        <v/>
      </c>
      <c r="K172" s="612" t="str">
        <f t="shared" si="92"/>
        <v/>
      </c>
      <c r="L172" s="613" t="str">
        <f t="shared" si="92"/>
        <v/>
      </c>
      <c r="M172" s="613" t="str">
        <f t="shared" si="92"/>
        <v/>
      </c>
      <c r="N172" s="613" t="str">
        <f t="shared" si="92"/>
        <v/>
      </c>
      <c r="O172" s="613" t="str">
        <f t="shared" si="92"/>
        <v/>
      </c>
      <c r="P172" s="613" t="str">
        <f t="shared" si="92"/>
        <v/>
      </c>
      <c r="Q172" s="613" t="str">
        <f t="shared" si="92"/>
        <v/>
      </c>
    </row>
    <row r="173" spans="1:17" x14ac:dyDescent="0.2">
      <c r="B173" s="287" t="s">
        <v>317</v>
      </c>
      <c r="G173" s="173"/>
      <c r="H173" s="614" t="str">
        <f ca="1">$H$31</f>
        <v/>
      </c>
      <c r="I173" s="614" t="str">
        <f>$I$31</f>
        <v/>
      </c>
      <c r="J173" s="614" t="str">
        <f>$J$31</f>
        <v/>
      </c>
      <c r="K173" s="614" t="str">
        <f>$K$31</f>
        <v/>
      </c>
      <c r="L173" s="614" t="str">
        <f>$L$31</f>
        <v/>
      </c>
      <c r="M173" s="614" t="str">
        <f>$M$31</f>
        <v/>
      </c>
      <c r="N173" s="614" t="str">
        <f>$N$31</f>
        <v/>
      </c>
      <c r="O173" s="615" t="str">
        <f>$O$31</f>
        <v/>
      </c>
      <c r="P173" s="614" t="str">
        <f>$P$31</f>
        <v/>
      </c>
      <c r="Q173" s="614" t="str">
        <f>$Q$31</f>
        <v/>
      </c>
    </row>
    <row r="174" spans="1:17" x14ac:dyDescent="0.2">
      <c r="B174" s="287" t="s">
        <v>318</v>
      </c>
      <c r="G174" s="173"/>
      <c r="H174" s="616" t="str">
        <f ca="1">IFERROR(+H173+$L$7%,"")</f>
        <v/>
      </c>
      <c r="I174" s="616" t="str">
        <f t="shared" ref="I174:Q174" si="93">IFERROR(+I173+$L$7%,"")</f>
        <v/>
      </c>
      <c r="J174" s="616" t="str">
        <f t="shared" si="93"/>
        <v/>
      </c>
      <c r="K174" s="616" t="str">
        <f t="shared" si="93"/>
        <v/>
      </c>
      <c r="L174" s="617" t="str">
        <f t="shared" si="93"/>
        <v/>
      </c>
      <c r="M174" s="617" t="str">
        <f t="shared" si="93"/>
        <v/>
      </c>
      <c r="N174" s="617" t="str">
        <f t="shared" si="93"/>
        <v/>
      </c>
      <c r="O174" s="617" t="str">
        <f t="shared" si="93"/>
        <v/>
      </c>
      <c r="P174" s="617" t="str">
        <f t="shared" si="93"/>
        <v/>
      </c>
      <c r="Q174" s="617" t="str">
        <f t="shared" si="93"/>
        <v/>
      </c>
    </row>
    <row r="175" spans="1:17" ht="3.75" customHeight="1" x14ac:dyDescent="0.2">
      <c r="G175" s="173"/>
    </row>
    <row r="176" spans="1:17" x14ac:dyDescent="0.2">
      <c r="B176" s="132" t="s">
        <v>326</v>
      </c>
      <c r="E176" s="166" t="e">
        <f t="shared" ref="E176:G177" ca="1" si="94">+E59</f>
        <v>#NAME?</v>
      </c>
      <c r="F176" s="166" t="e">
        <f t="shared" ca="1" si="94"/>
        <v>#NAME?</v>
      </c>
      <c r="G176" s="190" t="e">
        <f t="shared" ca="1" si="94"/>
        <v>#NAME?</v>
      </c>
      <c r="H176" s="191" t="str">
        <f ca="1">IFERROR(H177*H170,"")</f>
        <v/>
      </c>
      <c r="I176" s="191" t="str">
        <f t="shared" ref="I176:Q176" ca="1" si="95">IFERROR(I177*I170,"")</f>
        <v/>
      </c>
      <c r="J176" s="191" t="str">
        <f t="shared" ca="1" si="95"/>
        <v/>
      </c>
      <c r="K176" s="191" t="str">
        <f t="shared" ca="1" si="95"/>
        <v/>
      </c>
      <c r="L176" s="191" t="str">
        <f t="shared" ca="1" si="95"/>
        <v/>
      </c>
      <c r="M176" s="191" t="str">
        <f t="shared" ca="1" si="95"/>
        <v/>
      </c>
      <c r="N176" s="191" t="str">
        <f t="shared" ca="1" si="95"/>
        <v/>
      </c>
      <c r="O176" s="191" t="str">
        <f t="shared" ca="1" si="95"/>
        <v/>
      </c>
      <c r="P176" s="191" t="str">
        <f t="shared" ca="1" si="95"/>
        <v/>
      </c>
      <c r="Q176" s="191" t="str">
        <f t="shared" ca="1" si="95"/>
        <v/>
      </c>
    </row>
    <row r="177" spans="2:29" x14ac:dyDescent="0.2">
      <c r="B177" s="288" t="s">
        <v>346</v>
      </c>
      <c r="C177" s="288"/>
      <c r="D177" s="288"/>
      <c r="E177" s="321" t="str">
        <f t="shared" ca="1" si="94"/>
        <v/>
      </c>
      <c r="F177" s="321" t="str">
        <f t="shared" ca="1" si="94"/>
        <v/>
      </c>
      <c r="G177" s="322" t="str">
        <f t="shared" ca="1" si="94"/>
        <v/>
      </c>
      <c r="H177" s="321" t="str">
        <f ca="1">OFFSET(H177,$C$8,0)</f>
        <v/>
      </c>
      <c r="I177" s="321" t="str">
        <f ca="1">+OFFSET(I177,$C$8,0)</f>
        <v/>
      </c>
      <c r="J177" s="321" t="str">
        <f ca="1">+OFFSET(J177,$C$8,0)</f>
        <v/>
      </c>
      <c r="K177" s="321" t="str">
        <f ca="1">+OFFSET(K177,$C$8,0)</f>
        <v/>
      </c>
      <c r="L177" s="321" t="str">
        <f ca="1">+OFFSET(L177,$C$8,0)</f>
        <v/>
      </c>
      <c r="M177" s="321" t="str">
        <f t="shared" ref="M177:Q177" ca="1" si="96">+OFFSET(M177,$C$8,0)</f>
        <v/>
      </c>
      <c r="N177" s="321" t="str">
        <f t="shared" ca="1" si="96"/>
        <v/>
      </c>
      <c r="O177" s="321" t="str">
        <f t="shared" ca="1" si="96"/>
        <v/>
      </c>
      <c r="P177" s="321" t="str">
        <f t="shared" ca="1" si="96"/>
        <v/>
      </c>
      <c r="Q177" s="321" t="str">
        <f t="shared" ca="1" si="96"/>
        <v/>
      </c>
    </row>
    <row r="178" spans="2:29" x14ac:dyDescent="0.2">
      <c r="B178" s="287" t="s">
        <v>316</v>
      </c>
      <c r="G178" s="173"/>
      <c r="H178" s="616" t="str">
        <f ca="1">IFERROR(H179-$F$8,"")</f>
        <v/>
      </c>
      <c r="I178" s="616" t="str">
        <f t="shared" ref="I178:Q178" ca="1" si="97">IFERROR(I179-$F$8,"")</f>
        <v/>
      </c>
      <c r="J178" s="616" t="str">
        <f t="shared" ca="1" si="97"/>
        <v/>
      </c>
      <c r="K178" s="616" t="str">
        <f t="shared" ca="1" si="97"/>
        <v/>
      </c>
      <c r="L178" s="616" t="str">
        <f t="shared" ca="1" si="97"/>
        <v/>
      </c>
      <c r="M178" s="616" t="str">
        <f t="shared" ca="1" si="97"/>
        <v/>
      </c>
      <c r="N178" s="616" t="str">
        <f t="shared" ca="1" si="97"/>
        <v/>
      </c>
      <c r="O178" s="616" t="str">
        <f t="shared" ca="1" si="97"/>
        <v/>
      </c>
      <c r="P178" s="616" t="str">
        <f t="shared" ca="1" si="97"/>
        <v/>
      </c>
      <c r="Q178" s="616" t="str">
        <f t="shared" ca="1" si="97"/>
        <v/>
      </c>
    </row>
    <row r="179" spans="2:29" x14ac:dyDescent="0.2">
      <c r="B179" s="287" t="s">
        <v>317</v>
      </c>
      <c r="G179" s="173"/>
      <c r="H179" s="614" t="str">
        <f t="shared" ref="H179:Q179" ca="1" si="98">IFERROR(VALUE(H60),"")</f>
        <v/>
      </c>
      <c r="I179" s="614" t="str">
        <f t="shared" ca="1" si="98"/>
        <v/>
      </c>
      <c r="J179" s="614" t="str">
        <f t="shared" ca="1" si="98"/>
        <v/>
      </c>
      <c r="K179" s="614" t="str">
        <f t="shared" ca="1" si="98"/>
        <v/>
      </c>
      <c r="L179" s="614" t="str">
        <f t="shared" ca="1" si="98"/>
        <v/>
      </c>
      <c r="M179" s="614" t="str">
        <f t="shared" ca="1" si="98"/>
        <v/>
      </c>
      <c r="N179" s="614" t="str">
        <f t="shared" ca="1" si="98"/>
        <v/>
      </c>
      <c r="O179" s="614" t="str">
        <f t="shared" ca="1" si="98"/>
        <v/>
      </c>
      <c r="P179" s="614" t="str">
        <f t="shared" ca="1" si="98"/>
        <v/>
      </c>
      <c r="Q179" s="614" t="str">
        <f t="shared" ca="1" si="98"/>
        <v/>
      </c>
    </row>
    <row r="180" spans="2:29" x14ac:dyDescent="0.2">
      <c r="B180" s="287" t="s">
        <v>318</v>
      </c>
      <c r="G180" s="173"/>
      <c r="H180" s="616" t="str">
        <f ca="1">+IFERROR(H179+$L$8%,"")</f>
        <v/>
      </c>
      <c r="I180" s="616" t="str">
        <f t="shared" ref="I180:Q180" ca="1" si="99">+IFERROR(I179+$L$8%,"")</f>
        <v/>
      </c>
      <c r="J180" s="616" t="str">
        <f t="shared" ca="1" si="99"/>
        <v/>
      </c>
      <c r="K180" s="616" t="str">
        <f t="shared" ca="1" si="99"/>
        <v/>
      </c>
      <c r="L180" s="616" t="str">
        <f t="shared" ca="1" si="99"/>
        <v/>
      </c>
      <c r="M180" s="616" t="str">
        <f t="shared" ca="1" si="99"/>
        <v/>
      </c>
      <c r="N180" s="616" t="str">
        <f t="shared" ca="1" si="99"/>
        <v/>
      </c>
      <c r="O180" s="616" t="str">
        <f t="shared" ca="1" si="99"/>
        <v/>
      </c>
      <c r="P180" s="616" t="str">
        <f t="shared" ca="1" si="99"/>
        <v/>
      </c>
      <c r="Q180" s="616" t="str">
        <f t="shared" ca="1" si="99"/>
        <v/>
      </c>
    </row>
    <row r="181" spans="2:29" ht="3.75" customHeight="1" x14ac:dyDescent="0.2">
      <c r="G181" s="173"/>
    </row>
    <row r="182" spans="2:29" x14ac:dyDescent="0.2">
      <c r="B182" s="193" t="s">
        <v>322</v>
      </c>
      <c r="C182" s="194"/>
      <c r="D182" s="194"/>
      <c r="E182" s="195" t="str">
        <f ca="1">+IFERROR(E176*(1-E79),"")</f>
        <v/>
      </c>
      <c r="F182" s="195" t="str">
        <f t="shared" ref="F182:G182" ca="1" si="100">+IFERROR(F176*(1-F79),"")</f>
        <v/>
      </c>
      <c r="G182" s="344" t="str">
        <f t="shared" ca="1" si="100"/>
        <v/>
      </c>
      <c r="H182" s="195" t="str">
        <f ca="1">+IFERROR(H176*(1-H79),"")</f>
        <v/>
      </c>
      <c r="I182" s="195" t="str">
        <f t="shared" ref="I182:Q182" ca="1" si="101">+IFERROR(I176*(1-I79),"")</f>
        <v/>
      </c>
      <c r="J182" s="195" t="str">
        <f t="shared" ca="1" si="101"/>
        <v/>
      </c>
      <c r="K182" s="195" t="str">
        <f t="shared" ca="1" si="101"/>
        <v/>
      </c>
      <c r="L182" s="195" t="str">
        <f t="shared" ca="1" si="101"/>
        <v/>
      </c>
      <c r="M182" s="195" t="str">
        <f t="shared" ca="1" si="101"/>
        <v/>
      </c>
      <c r="N182" s="195" t="str">
        <f t="shared" ca="1" si="101"/>
        <v/>
      </c>
      <c r="O182" s="195" t="str">
        <f t="shared" ca="1" si="101"/>
        <v/>
      </c>
      <c r="P182" s="195" t="str">
        <f t="shared" ca="1" si="101"/>
        <v/>
      </c>
      <c r="Q182" s="343" t="str">
        <f t="shared" ca="1" si="101"/>
        <v/>
      </c>
    </row>
    <row r="183" spans="2:29" ht="3.75" customHeight="1" x14ac:dyDescent="0.2">
      <c r="G183" s="173"/>
    </row>
    <row r="184" spans="2:29" x14ac:dyDescent="0.2">
      <c r="B184" s="132" t="s">
        <v>401</v>
      </c>
      <c r="E184" s="166" t="e">
        <f t="shared" ref="E184:Q184" ca="1" si="102">+E123</f>
        <v>#NAME?</v>
      </c>
      <c r="F184" s="166" t="e">
        <f t="shared" ca="1" si="102"/>
        <v>#NAME?</v>
      </c>
      <c r="G184" s="190" t="e">
        <f t="shared" ca="1" si="102"/>
        <v>#NAME?</v>
      </c>
      <c r="H184" s="196" t="str">
        <f t="shared" ca="1" si="102"/>
        <v/>
      </c>
      <c r="I184" s="196" t="str">
        <f t="shared" ca="1" si="102"/>
        <v/>
      </c>
      <c r="J184" s="196" t="str">
        <f t="shared" ca="1" si="102"/>
        <v/>
      </c>
      <c r="K184" s="196" t="str">
        <f t="shared" ca="1" si="102"/>
        <v/>
      </c>
      <c r="L184" s="196" t="str">
        <f t="shared" ca="1" si="102"/>
        <v/>
      </c>
      <c r="M184" s="196" t="str">
        <f t="shared" ca="1" si="102"/>
        <v/>
      </c>
      <c r="N184" s="196" t="str">
        <f t="shared" ca="1" si="102"/>
        <v/>
      </c>
      <c r="O184" s="196" t="str">
        <f t="shared" ca="1" si="102"/>
        <v/>
      </c>
      <c r="P184" s="196" t="str">
        <f t="shared" ca="1" si="102"/>
        <v/>
      </c>
      <c r="Q184" s="196" t="str">
        <f t="shared" ca="1" si="102"/>
        <v/>
      </c>
      <c r="R184" s="133"/>
      <c r="S184" s="133"/>
      <c r="T184" s="133"/>
      <c r="U184" s="133"/>
      <c r="V184" s="133"/>
      <c r="W184" s="133"/>
      <c r="X184" s="133"/>
      <c r="Y184" s="133"/>
      <c r="Z184" s="133"/>
      <c r="AA184" s="133"/>
      <c r="AB184" s="133"/>
      <c r="AC184" s="133"/>
    </row>
    <row r="185" spans="2:29" ht="3.75" customHeight="1" x14ac:dyDescent="0.2">
      <c r="G185" s="173"/>
      <c r="R185" s="133"/>
      <c r="S185" s="133"/>
      <c r="T185" s="133"/>
      <c r="U185" s="133"/>
      <c r="V185" s="133"/>
      <c r="W185" s="133"/>
      <c r="X185" s="133"/>
      <c r="Y185" s="133"/>
      <c r="Z185" s="133"/>
      <c r="AA185" s="133"/>
      <c r="AB185" s="133"/>
      <c r="AC185" s="133"/>
    </row>
    <row r="186" spans="2:29" x14ac:dyDescent="0.2">
      <c r="B186" s="132" t="s">
        <v>382</v>
      </c>
      <c r="E186" s="166" t="e">
        <f t="shared" ref="E186:Q186" ca="1" si="103">+E125</f>
        <v>#NAME?</v>
      </c>
      <c r="F186" s="166" t="e">
        <f t="shared" ca="1" si="103"/>
        <v>#NAME?</v>
      </c>
      <c r="G186" s="190" t="e">
        <f t="shared" ca="1" si="103"/>
        <v>#NAME?</v>
      </c>
      <c r="H186" s="166" t="str">
        <f t="shared" ca="1" si="103"/>
        <v/>
      </c>
      <c r="I186" s="166" t="str">
        <f t="shared" ca="1" si="103"/>
        <v/>
      </c>
      <c r="J186" s="166" t="str">
        <f t="shared" ca="1" si="103"/>
        <v/>
      </c>
      <c r="K186" s="166" t="str">
        <f t="shared" ca="1" si="103"/>
        <v/>
      </c>
      <c r="L186" s="166" t="str">
        <f t="shared" ca="1" si="103"/>
        <v/>
      </c>
      <c r="M186" s="166" t="str">
        <f t="shared" ca="1" si="103"/>
        <v/>
      </c>
      <c r="N186" s="166" t="str">
        <f t="shared" ca="1" si="103"/>
        <v/>
      </c>
      <c r="O186" s="166" t="str">
        <f t="shared" ca="1" si="103"/>
        <v/>
      </c>
      <c r="P186" s="166" t="str">
        <f t="shared" ca="1" si="103"/>
        <v/>
      </c>
      <c r="Q186" s="166" t="str">
        <f t="shared" ca="1" si="103"/>
        <v/>
      </c>
      <c r="R186" s="133"/>
      <c r="S186" s="133"/>
      <c r="T186" s="133"/>
      <c r="U186" s="133"/>
      <c r="V186" s="133"/>
      <c r="W186" s="133"/>
      <c r="X186" s="133"/>
      <c r="Y186" s="133"/>
      <c r="Z186" s="133"/>
      <c r="AA186" s="133"/>
      <c r="AB186" s="133"/>
      <c r="AC186" s="133"/>
    </row>
    <row r="187" spans="2:29" ht="3.75" customHeight="1" x14ac:dyDescent="0.2">
      <c r="G187" s="162"/>
      <c r="R187" s="133"/>
      <c r="S187" s="133"/>
      <c r="T187" s="133"/>
      <c r="U187" s="133"/>
      <c r="V187" s="133"/>
      <c r="W187" s="133"/>
      <c r="X187" s="133"/>
      <c r="Y187" s="133"/>
      <c r="Z187" s="133"/>
      <c r="AA187" s="133"/>
      <c r="AB187" s="133"/>
      <c r="AC187" s="133"/>
    </row>
    <row r="188" spans="2:29" x14ac:dyDescent="0.2">
      <c r="B188" s="132" t="s">
        <v>402</v>
      </c>
      <c r="E188" s="166" t="e">
        <f t="shared" ref="E188:Q188" ca="1" si="104">+E128</f>
        <v>#NAME?</v>
      </c>
      <c r="F188" s="166" t="e">
        <f t="shared" ca="1" si="104"/>
        <v>#NAME?</v>
      </c>
      <c r="G188" s="197" t="e">
        <f t="shared" ca="1" si="104"/>
        <v>#NAME?</v>
      </c>
      <c r="H188" s="189" t="str">
        <f t="shared" ca="1" si="104"/>
        <v/>
      </c>
      <c r="I188" s="189" t="str">
        <f t="shared" ca="1" si="104"/>
        <v/>
      </c>
      <c r="J188" s="189" t="str">
        <f t="shared" ca="1" si="104"/>
        <v/>
      </c>
      <c r="K188" s="189" t="str">
        <f t="shared" ca="1" si="104"/>
        <v/>
      </c>
      <c r="L188" s="189" t="str">
        <f t="shared" ca="1" si="104"/>
        <v/>
      </c>
      <c r="M188" s="189" t="str">
        <f t="shared" ca="1" si="104"/>
        <v/>
      </c>
      <c r="N188" s="189" t="str">
        <f t="shared" ca="1" si="104"/>
        <v/>
      </c>
      <c r="O188" s="189" t="str">
        <f t="shared" ca="1" si="104"/>
        <v/>
      </c>
      <c r="P188" s="189" t="str">
        <f t="shared" ca="1" si="104"/>
        <v/>
      </c>
      <c r="Q188" s="189" t="str">
        <f t="shared" ca="1" si="104"/>
        <v/>
      </c>
      <c r="R188" s="133"/>
      <c r="S188" s="133"/>
      <c r="T188" s="133"/>
      <c r="U188" s="133"/>
      <c r="V188" s="133"/>
      <c r="W188" s="133"/>
      <c r="X188" s="133"/>
      <c r="Y188" s="133"/>
      <c r="Z188" s="133"/>
      <c r="AA188" s="133"/>
      <c r="AB188" s="133"/>
      <c r="AC188" s="133"/>
    </row>
    <row r="189" spans="2:29" ht="3.75" customHeight="1" x14ac:dyDescent="0.2">
      <c r="G189" s="162"/>
      <c r="R189" s="133"/>
      <c r="S189" s="133"/>
      <c r="T189" s="133"/>
      <c r="U189" s="133"/>
      <c r="V189" s="133"/>
      <c r="W189" s="133"/>
      <c r="X189" s="133"/>
      <c r="Y189" s="133"/>
      <c r="Z189" s="133"/>
      <c r="AA189" s="133"/>
      <c r="AB189" s="133"/>
      <c r="AC189" s="133"/>
    </row>
    <row r="190" spans="2:29" ht="13.5" customHeight="1" x14ac:dyDescent="0.2">
      <c r="B190" s="132" t="s">
        <v>386</v>
      </c>
      <c r="E190" s="166" t="e">
        <f t="shared" ref="E190:Q190" ca="1" si="105">+E134</f>
        <v>#NAME?</v>
      </c>
      <c r="F190" s="166" t="e">
        <f t="shared" ca="1" si="105"/>
        <v>#NAME?</v>
      </c>
      <c r="G190" s="190" t="e">
        <f t="shared" ca="1" si="105"/>
        <v>#NAME?</v>
      </c>
      <c r="H190" s="166" t="str">
        <f t="shared" ca="1" si="105"/>
        <v/>
      </c>
      <c r="I190" s="166" t="str">
        <f t="shared" ca="1" si="105"/>
        <v/>
      </c>
      <c r="J190" s="166" t="str">
        <f t="shared" ca="1" si="105"/>
        <v/>
      </c>
      <c r="K190" s="166" t="str">
        <f t="shared" ca="1" si="105"/>
        <v/>
      </c>
      <c r="L190" s="166" t="str">
        <f t="shared" ca="1" si="105"/>
        <v/>
      </c>
      <c r="M190" s="166" t="str">
        <f t="shared" ca="1" si="105"/>
        <v/>
      </c>
      <c r="N190" s="166" t="str">
        <f t="shared" ca="1" si="105"/>
        <v/>
      </c>
      <c r="O190" s="166" t="str">
        <f t="shared" ca="1" si="105"/>
        <v/>
      </c>
      <c r="P190" s="166" t="str">
        <f t="shared" ca="1" si="105"/>
        <v/>
      </c>
      <c r="Q190" s="166" t="str">
        <f t="shared" ca="1" si="105"/>
        <v/>
      </c>
      <c r="R190" s="133"/>
      <c r="S190" s="133"/>
      <c r="T190" s="133"/>
      <c r="U190" s="133"/>
      <c r="V190" s="133"/>
      <c r="W190" s="133"/>
      <c r="X190" s="133"/>
      <c r="Y190" s="133"/>
      <c r="Z190" s="133"/>
      <c r="AA190" s="133"/>
      <c r="AB190" s="133"/>
      <c r="AC190" s="133"/>
    </row>
    <row r="191" spans="2:29" ht="3.75" customHeight="1" x14ac:dyDescent="0.2">
      <c r="B191" s="167"/>
      <c r="E191" s="169"/>
      <c r="F191" s="169"/>
      <c r="G191" s="177"/>
      <c r="H191" s="192"/>
      <c r="I191" s="192"/>
      <c r="J191" s="192"/>
      <c r="K191" s="192"/>
      <c r="L191" s="192"/>
      <c r="M191" s="192"/>
      <c r="N191" s="192"/>
      <c r="O191" s="192"/>
      <c r="P191" s="192"/>
      <c r="Q191" s="192"/>
      <c r="R191" s="133"/>
      <c r="S191" s="133"/>
      <c r="T191" s="133"/>
      <c r="U191" s="133"/>
      <c r="V191" s="133"/>
      <c r="W191" s="133"/>
      <c r="X191" s="133"/>
      <c r="Y191" s="133"/>
      <c r="Z191" s="133"/>
      <c r="AA191" s="133"/>
      <c r="AB191" s="133"/>
      <c r="AC191" s="133"/>
    </row>
    <row r="192" spans="2:29" x14ac:dyDescent="0.2">
      <c r="B192" s="198" t="s">
        <v>22</v>
      </c>
      <c r="C192" s="199"/>
      <c r="D192" s="199"/>
      <c r="E192" s="200" t="str">
        <f t="shared" ref="E192:Q192" ca="1" si="106">IFERROR(E182+E184+E190+E188+E186,"")</f>
        <v/>
      </c>
      <c r="F192" s="200" t="str">
        <f t="shared" ca="1" si="106"/>
        <v/>
      </c>
      <c r="G192" s="201" t="str">
        <f t="shared" ca="1" si="106"/>
        <v/>
      </c>
      <c r="H192" s="200" t="str">
        <f t="shared" ca="1" si="106"/>
        <v/>
      </c>
      <c r="I192" s="200" t="str">
        <f t="shared" ca="1" si="106"/>
        <v/>
      </c>
      <c r="J192" s="200" t="str">
        <f t="shared" ca="1" si="106"/>
        <v/>
      </c>
      <c r="K192" s="200" t="str">
        <f t="shared" ca="1" si="106"/>
        <v/>
      </c>
      <c r="L192" s="200" t="str">
        <f t="shared" ca="1" si="106"/>
        <v/>
      </c>
      <c r="M192" s="200" t="str">
        <f t="shared" ca="1" si="106"/>
        <v/>
      </c>
      <c r="N192" s="200" t="str">
        <f t="shared" ca="1" si="106"/>
        <v/>
      </c>
      <c r="O192" s="200" t="str">
        <f t="shared" ca="1" si="106"/>
        <v/>
      </c>
      <c r="P192" s="200" t="str">
        <f t="shared" ca="1" si="106"/>
        <v/>
      </c>
      <c r="Q192" s="345" t="str">
        <f t="shared" ca="1" si="106"/>
        <v/>
      </c>
      <c r="R192" s="133"/>
      <c r="S192" s="133" t="s">
        <v>403</v>
      </c>
      <c r="T192" s="133"/>
      <c r="U192" s="133" t="e">
        <f ca="1">+J192/(1+$C$12)^(J195-2)</f>
        <v>#VALUE!</v>
      </c>
      <c r="V192" s="133" t="e">
        <f ca="1">+K192/(1+$C$12)^(K195-2)</f>
        <v>#VALUE!</v>
      </c>
      <c r="W192" s="133" t="e">
        <f ca="1">+L192/(1+$C$12)^(L195-2)</f>
        <v>#VALUE!</v>
      </c>
      <c r="X192" s="133" t="e">
        <f ca="1">+M192/(1+$C$12)^(M195-2)</f>
        <v>#VALUE!</v>
      </c>
      <c r="Y192" s="133" t="e">
        <f ca="1">+N192/(1+$C$12)^(N195-2)</f>
        <v>#VALUE!</v>
      </c>
      <c r="Z192" s="133"/>
      <c r="AA192" s="133" t="e">
        <f ca="1">+O192/(1+$C$12)^(O195-2)</f>
        <v>#VALUE!</v>
      </c>
      <c r="AB192" s="133" t="e">
        <f ca="1">+P192/(1+$C$12)^(P195-2)</f>
        <v>#VALUE!</v>
      </c>
      <c r="AC192" s="133" t="e">
        <f ca="1">+Q192/(1+$C$12)^(Q195-2)</f>
        <v>#VALUE!</v>
      </c>
    </row>
    <row r="193" spans="2:29" ht="15.75" x14ac:dyDescent="0.25">
      <c r="B193" s="202" t="s">
        <v>404</v>
      </c>
      <c r="C193" s="203"/>
      <c r="D193" s="203"/>
      <c r="E193" s="203"/>
      <c r="F193" s="203"/>
      <c r="G193" s="204"/>
      <c r="H193" s="205" t="str">
        <f ca="1">IFERROR(H192/(1+$C$12)^H195,"")</f>
        <v/>
      </c>
      <c r="I193" s="205" t="str">
        <f t="shared" ref="I193:P193" ca="1" si="107">IFERROR(I192/(1+$C$12)^I195,"")</f>
        <v/>
      </c>
      <c r="J193" s="205" t="str">
        <f t="shared" ca="1" si="107"/>
        <v/>
      </c>
      <c r="K193" s="205" t="str">
        <f t="shared" ca="1" si="107"/>
        <v/>
      </c>
      <c r="L193" s="205" t="str">
        <f t="shared" ca="1" si="107"/>
        <v/>
      </c>
      <c r="M193" s="205" t="str">
        <f t="shared" ca="1" si="107"/>
        <v/>
      </c>
      <c r="N193" s="205" t="str">
        <f t="shared" ca="1" si="107"/>
        <v/>
      </c>
      <c r="O193" s="205" t="str">
        <f t="shared" ca="1" si="107"/>
        <v/>
      </c>
      <c r="P193" s="205" t="str">
        <f t="shared" ca="1" si="107"/>
        <v/>
      </c>
      <c r="Q193" s="206" t="str">
        <f ca="1">IFERROR(Q192/(1+$C$12)^Q195,"")</f>
        <v/>
      </c>
      <c r="R193" s="133"/>
      <c r="S193" s="133" t="s">
        <v>405</v>
      </c>
      <c r="T193" s="380" t="e">
        <f t="shared" ref="T193:Y193" ca="1" si="108">+I192/(1+$C$12)^(I195-1)</f>
        <v>#VALUE!</v>
      </c>
      <c r="U193" s="380" t="e">
        <f t="shared" ca="1" si="108"/>
        <v>#VALUE!</v>
      </c>
      <c r="V193" s="380" t="e">
        <f t="shared" ca="1" si="108"/>
        <v>#VALUE!</v>
      </c>
      <c r="W193" s="380" t="e">
        <f t="shared" ca="1" si="108"/>
        <v>#VALUE!</v>
      </c>
      <c r="X193" s="380" t="e">
        <f t="shared" ca="1" si="108"/>
        <v>#VALUE!</v>
      </c>
      <c r="Y193" s="380" t="e">
        <f t="shared" ca="1" si="108"/>
        <v>#VALUE!</v>
      </c>
      <c r="Z193" s="380"/>
      <c r="AA193" s="380" t="e">
        <f ca="1">+O192/(1+$C$12)^(O195-1)</f>
        <v>#VALUE!</v>
      </c>
      <c r="AB193" s="380" t="e">
        <f ca="1">+P192/(1+$C$12)^(P195-1)</f>
        <v>#VALUE!</v>
      </c>
      <c r="AC193" s="380" t="e">
        <f ca="1">+Q192/(1+$C$12)^(Q195-1)</f>
        <v>#VALUE!</v>
      </c>
    </row>
    <row r="194" spans="2:29" ht="3.75" customHeight="1" x14ac:dyDescent="0.2">
      <c r="G194" s="162"/>
      <c r="R194" s="133"/>
      <c r="S194" s="133"/>
      <c r="T194" s="133"/>
      <c r="U194" s="133"/>
      <c r="V194" s="133"/>
      <c r="W194" s="133"/>
      <c r="X194" s="133"/>
      <c r="Y194" s="133"/>
      <c r="Z194" s="133"/>
      <c r="AA194" s="133"/>
      <c r="AB194" s="133"/>
      <c r="AC194" s="133"/>
    </row>
    <row r="195" spans="2:29" x14ac:dyDescent="0.2">
      <c r="B195" s="132" t="s">
        <v>406</v>
      </c>
      <c r="G195" s="162"/>
      <c r="H195" s="207">
        <f ca="1">+H196/2</f>
        <v>0.2986111111111111</v>
      </c>
      <c r="I195" s="207">
        <f ca="1">+H195+1</f>
        <v>1.2986111111111112</v>
      </c>
      <c r="J195" s="207">
        <f t="shared" ref="J195:Q195" ca="1" si="109">+I195+1</f>
        <v>2.2986111111111112</v>
      </c>
      <c r="K195" s="207">
        <f ca="1">+J195+1</f>
        <v>3.2986111111111112</v>
      </c>
      <c r="L195" s="207">
        <f t="shared" ca="1" si="109"/>
        <v>4.2986111111111107</v>
      </c>
      <c r="M195" s="207">
        <f t="shared" ca="1" si="109"/>
        <v>5.2986111111111107</v>
      </c>
      <c r="N195" s="207">
        <f t="shared" ca="1" si="109"/>
        <v>6.2986111111111107</v>
      </c>
      <c r="O195" s="207">
        <f t="shared" ca="1" si="109"/>
        <v>7.2986111111111107</v>
      </c>
      <c r="P195" s="207">
        <f t="shared" ca="1" si="109"/>
        <v>8.2986111111111107</v>
      </c>
      <c r="Q195" s="207">
        <f t="shared" ca="1" si="109"/>
        <v>9.2986111111111107</v>
      </c>
      <c r="R195" s="133"/>
      <c r="S195" s="133"/>
      <c r="T195" s="133"/>
      <c r="U195" s="133"/>
      <c r="V195" s="133"/>
      <c r="W195" s="133"/>
      <c r="X195" s="133"/>
      <c r="Y195" s="133"/>
      <c r="Z195" s="133"/>
      <c r="AA195" s="133"/>
      <c r="AB195" s="133"/>
      <c r="AC195" s="133"/>
    </row>
    <row r="196" spans="2:29" hidden="1" x14ac:dyDescent="0.2">
      <c r="B196" s="132" t="s">
        <v>407</v>
      </c>
      <c r="G196" s="162"/>
      <c r="H196" s="207">
        <f ca="1">YEARFRAC(P196,P197)</f>
        <v>0.59722222222222221</v>
      </c>
      <c r="P196" s="208">
        <f ca="1">TODAY()</f>
        <v>45803</v>
      </c>
      <c r="R196" s="133"/>
      <c r="S196" s="133"/>
      <c r="T196" s="133"/>
      <c r="U196" s="133"/>
      <c r="V196" s="133"/>
      <c r="W196" s="133"/>
      <c r="X196" s="133"/>
      <c r="Y196" s="133"/>
      <c r="Z196" s="133"/>
      <c r="AA196" s="133"/>
      <c r="AB196" s="133"/>
      <c r="AC196" s="133"/>
    </row>
    <row r="197" spans="2:29" s="133" customFormat="1" ht="3.75" customHeight="1" x14ac:dyDescent="0.2">
      <c r="G197" s="209"/>
      <c r="P197" s="208">
        <v>46022</v>
      </c>
    </row>
    <row r="198" spans="2:29" x14ac:dyDescent="0.2">
      <c r="B198" s="132" t="s">
        <v>408</v>
      </c>
      <c r="G198" s="162"/>
      <c r="L198" s="210" t="str">
        <f>IFERROR((#REF!*(1+$C$13))/($C$12-$C$13),"")</f>
        <v/>
      </c>
      <c r="P198" s="211"/>
      <c r="Q198" s="212" t="str">
        <f ca="1">IFERROR(+(Q192*(1+$C$13))/($C$12-$C$13),"")</f>
        <v/>
      </c>
      <c r="R198" s="133">
        <v>2025</v>
      </c>
      <c r="S198" s="133">
        <v>2026</v>
      </c>
      <c r="T198" s="650"/>
      <c r="U198" s="651"/>
      <c r="V198" s="651"/>
      <c r="W198" s="133"/>
      <c r="X198" s="133"/>
      <c r="Y198" s="133"/>
      <c r="Z198" s="133"/>
      <c r="AA198" s="133"/>
      <c r="AB198" s="133"/>
      <c r="AC198" s="133"/>
    </row>
    <row r="199" spans="2:29" x14ac:dyDescent="0.2">
      <c r="B199" s="132" t="s">
        <v>409</v>
      </c>
      <c r="G199" s="162"/>
      <c r="L199" s="210" t="str">
        <f>IFERROR(L198/(1+$C$12)^#REF!,"")</f>
        <v/>
      </c>
      <c r="Q199" s="183" t="str">
        <f ca="1">IFERROR(Q198/(1+$C$12)^$Q$195,"")</f>
        <v/>
      </c>
      <c r="R199" s="705" t="e">
        <f ca="1">+Q198/(1+$C$12)^$P$195</f>
        <v>#VALUE!</v>
      </c>
      <c r="S199" s="133" t="e">
        <f ca="1">+Q198/(1+$C$12)^$O$195</f>
        <v>#VALUE!</v>
      </c>
      <c r="T199" s="651"/>
      <c r="U199" s="140"/>
      <c r="V199" s="140"/>
      <c r="W199" s="133"/>
      <c r="X199" s="133"/>
      <c r="Y199" s="133"/>
      <c r="Z199" s="133"/>
      <c r="AA199" s="133"/>
      <c r="AB199" s="133"/>
      <c r="AC199" s="133"/>
    </row>
    <row r="200" spans="2:29" x14ac:dyDescent="0.2">
      <c r="B200" s="132" t="s">
        <v>410</v>
      </c>
      <c r="G200" s="162"/>
      <c r="L200" s="213"/>
      <c r="Q200" s="183">
        <f ca="1">+SUM(H193:Q193,Q199)</f>
        <v>0</v>
      </c>
      <c r="R200" s="705" t="e">
        <f ca="1">+SUM(T193:AC193,R199)</f>
        <v>#VALUE!</v>
      </c>
      <c r="S200" s="133" t="e">
        <f ca="1">+SUM(S199,U192:AC192)</f>
        <v>#VALUE!</v>
      </c>
      <c r="T200" s="651"/>
      <c r="U200" s="140"/>
      <c r="V200" s="140"/>
      <c r="W200" s="133"/>
      <c r="X200" s="133"/>
      <c r="Y200" s="133"/>
      <c r="Z200" s="133"/>
      <c r="AA200" s="133"/>
      <c r="AB200" s="133"/>
      <c r="AC200" s="133"/>
    </row>
    <row r="201" spans="2:29" x14ac:dyDescent="0.2">
      <c r="B201" s="132" t="s">
        <v>411</v>
      </c>
      <c r="G201" s="162"/>
      <c r="L201" s="213"/>
      <c r="Q201" s="347"/>
      <c r="R201" s="705" t="str">
        <f ca="1">+H88</f>
        <v/>
      </c>
      <c r="S201" s="705" t="str">
        <f ca="1">+I88</f>
        <v/>
      </c>
      <c r="T201" s="137"/>
      <c r="U201" s="137"/>
      <c r="V201" s="137"/>
      <c r="W201" s="133"/>
      <c r="X201" s="133"/>
      <c r="Y201" s="133"/>
      <c r="Z201" s="133"/>
      <c r="AA201" s="133"/>
      <c r="AB201" s="133"/>
      <c r="AC201" s="133"/>
    </row>
    <row r="202" spans="2:29" x14ac:dyDescent="0.2">
      <c r="B202" s="132" t="s">
        <v>412</v>
      </c>
      <c r="G202" s="162"/>
      <c r="L202" s="213"/>
      <c r="Q202" s="347">
        <v>0</v>
      </c>
      <c r="R202" s="705">
        <f>+Q202</f>
        <v>0</v>
      </c>
      <c r="S202" s="705">
        <f>+Q202</f>
        <v>0</v>
      </c>
      <c r="T202" s="137"/>
      <c r="U202" s="137"/>
      <c r="V202" s="137"/>
      <c r="W202" s="133"/>
      <c r="X202" s="133"/>
      <c r="Y202" s="133"/>
      <c r="Z202" s="133"/>
      <c r="AA202" s="133"/>
      <c r="AB202" s="133"/>
      <c r="AC202" s="133"/>
    </row>
    <row r="203" spans="2:29" x14ac:dyDescent="0.2">
      <c r="B203" s="132" t="s">
        <v>413</v>
      </c>
      <c r="G203" s="162"/>
      <c r="M203" s="214"/>
      <c r="Q203" s="347">
        <v>0</v>
      </c>
      <c r="R203" s="705">
        <f>+Q203</f>
        <v>0</v>
      </c>
      <c r="S203" s="705">
        <f>+Q203</f>
        <v>0</v>
      </c>
      <c r="T203" s="137"/>
      <c r="U203" s="137"/>
      <c r="V203" s="137"/>
      <c r="W203" s="133"/>
      <c r="X203" s="133"/>
      <c r="Y203" s="133"/>
      <c r="Z203" s="133"/>
      <c r="AA203" s="133"/>
      <c r="AB203" s="133"/>
      <c r="AC203" s="133"/>
    </row>
    <row r="204" spans="2:29" x14ac:dyDescent="0.2">
      <c r="B204" s="132" t="s">
        <v>414</v>
      </c>
      <c r="G204" s="162"/>
      <c r="Q204" s="347">
        <v>0</v>
      </c>
      <c r="R204" s="705" t="str">
        <f ca="1">+H116</f>
        <v/>
      </c>
      <c r="S204" s="705" t="str">
        <f ca="1">+I116</f>
        <v/>
      </c>
      <c r="T204" s="137"/>
      <c r="U204" s="137"/>
      <c r="V204" s="137"/>
      <c r="W204" s="133"/>
      <c r="X204" s="133"/>
      <c r="Y204" s="133"/>
      <c r="Z204" s="133"/>
      <c r="AA204" s="133"/>
      <c r="AB204" s="133"/>
      <c r="AC204" s="133"/>
    </row>
    <row r="205" spans="2:29" x14ac:dyDescent="0.2">
      <c r="B205" s="132" t="s">
        <v>159</v>
      </c>
      <c r="G205" s="162"/>
      <c r="Q205" s="183">
        <f ca="1">Q200+Q201-Q202-Q203-Q204</f>
        <v>0</v>
      </c>
      <c r="R205" s="705" t="e">
        <f ca="1">R200+R201-R202-R203-R204</f>
        <v>#VALUE!</v>
      </c>
      <c r="S205" s="705" t="e">
        <f ca="1">S200+S201-S202-S203-S204</f>
        <v>#VALUE!</v>
      </c>
      <c r="T205" s="137"/>
      <c r="U205" s="137"/>
      <c r="V205" s="137"/>
      <c r="W205" s="133"/>
      <c r="X205" s="133"/>
      <c r="Y205" s="133"/>
      <c r="Z205" s="133"/>
      <c r="AA205" s="133"/>
      <c r="AB205" s="133"/>
      <c r="AC205" s="133"/>
    </row>
    <row r="206" spans="2:29" ht="3.75" customHeight="1" x14ac:dyDescent="0.2">
      <c r="G206" s="162"/>
      <c r="Q206" s="215"/>
      <c r="R206" s="137"/>
      <c r="S206" s="137"/>
      <c r="T206" s="137"/>
      <c r="U206" s="137"/>
      <c r="V206" s="137"/>
      <c r="W206" s="133"/>
      <c r="X206" s="133"/>
      <c r="Y206" s="133"/>
      <c r="Z206" s="133"/>
      <c r="AA206" s="133"/>
      <c r="AB206" s="133"/>
      <c r="AC206" s="133"/>
    </row>
    <row r="207" spans="2:29" x14ac:dyDescent="0.2">
      <c r="B207" s="132" t="s">
        <v>415</v>
      </c>
      <c r="G207" s="162"/>
      <c r="O207" s="167"/>
      <c r="Q207" s="212" t="str" cm="1">
        <f t="array" aca="1" ref="Q207" ca="1">IFERROR(_FV(R4,"Shares outstanding",TRUE)/1000000,"")</f>
        <v/>
      </c>
      <c r="R207" s="137"/>
      <c r="S207" s="137"/>
      <c r="T207" s="137"/>
      <c r="U207" s="137"/>
      <c r="V207" s="137"/>
      <c r="W207" s="133"/>
      <c r="X207" s="133"/>
      <c r="Y207" s="133"/>
      <c r="Z207" s="133"/>
      <c r="AA207" s="133"/>
      <c r="AB207" s="133"/>
      <c r="AC207" s="133"/>
    </row>
    <row r="208" spans="2:29" ht="15.75" x14ac:dyDescent="0.25">
      <c r="B208" s="164" t="s">
        <v>416</v>
      </c>
      <c r="G208" s="162"/>
      <c r="N208" s="216"/>
      <c r="Q208" s="217" t="str">
        <f ca="1">IFERROR(Q205/Q$207,"")</f>
        <v/>
      </c>
      <c r="R208" s="137"/>
      <c r="S208" s="137"/>
      <c r="T208" s="137"/>
      <c r="U208" s="137"/>
      <c r="V208" s="137"/>
      <c r="W208" s="133"/>
      <c r="X208" s="133"/>
      <c r="Y208" s="133"/>
      <c r="Z208" s="133"/>
      <c r="AA208" s="133"/>
      <c r="AB208" s="133"/>
      <c r="AC208" s="133"/>
    </row>
    <row r="209" spans="1:29" ht="3.75" customHeight="1" x14ac:dyDescent="0.2">
      <c r="G209" s="162"/>
      <c r="R209" s="137"/>
      <c r="S209" s="137"/>
      <c r="T209" s="137"/>
      <c r="U209" s="137"/>
      <c r="V209" s="137"/>
      <c r="W209" s="133"/>
      <c r="X209" s="133"/>
      <c r="Y209" s="133"/>
      <c r="Z209" s="133"/>
      <c r="AA209" s="133"/>
      <c r="AB209" s="133"/>
      <c r="AC209" s="133"/>
    </row>
    <row r="210" spans="1:29" x14ac:dyDescent="0.2">
      <c r="B210" s="132" t="s">
        <v>417</v>
      </c>
      <c r="G210" s="162"/>
      <c r="Q210" s="217" t="str" cm="1">
        <f t="array" aca="1" ref="Q210" ca="1">IFERROR(_FV(R4,"Price"),"")</f>
        <v/>
      </c>
      <c r="R210" s="133"/>
      <c r="S210" s="133"/>
      <c r="T210" s="133"/>
      <c r="U210" s="133"/>
      <c r="V210" s="133"/>
      <c r="W210" s="133"/>
      <c r="X210" s="133"/>
      <c r="Y210" s="133"/>
      <c r="Z210" s="133"/>
      <c r="AA210" s="133"/>
      <c r="AB210" s="133"/>
      <c r="AC210" s="133"/>
    </row>
    <row r="211" spans="1:29" ht="15.75" x14ac:dyDescent="0.25">
      <c r="B211" s="164" t="s">
        <v>418</v>
      </c>
      <c r="C211" s="164"/>
      <c r="D211" s="164"/>
      <c r="E211" s="164"/>
      <c r="F211" s="164"/>
      <c r="G211" s="218"/>
      <c r="H211" s="164"/>
      <c r="I211" s="164"/>
      <c r="J211" s="164"/>
      <c r="K211" s="164"/>
      <c r="L211" s="164"/>
      <c r="M211" s="164"/>
      <c r="N211" s="164"/>
      <c r="O211" s="164"/>
      <c r="P211" s="164"/>
      <c r="Q211" s="219" t="str">
        <f ca="1">IFERROR(Q208/Q210-1,"")</f>
        <v/>
      </c>
      <c r="R211" s="133"/>
      <c r="S211" s="133"/>
      <c r="T211" s="133"/>
      <c r="U211" s="133"/>
      <c r="V211" s="133"/>
      <c r="W211" s="133"/>
      <c r="X211" s="133"/>
      <c r="Y211" s="133"/>
      <c r="Z211" s="133"/>
      <c r="AA211" s="133"/>
      <c r="AB211" s="133"/>
      <c r="AC211" s="133"/>
    </row>
    <row r="212" spans="1:29" ht="5.25" customHeight="1" x14ac:dyDescent="0.25">
      <c r="B212" s="164"/>
      <c r="C212" s="164"/>
      <c r="D212" s="164"/>
      <c r="E212" s="164"/>
      <c r="F212" s="164"/>
      <c r="G212" s="218"/>
      <c r="H212" s="164"/>
      <c r="I212" s="164"/>
      <c r="J212" s="164"/>
      <c r="K212" s="164"/>
      <c r="L212" s="164"/>
      <c r="M212" s="164"/>
      <c r="N212" s="164"/>
      <c r="O212" s="164"/>
      <c r="P212" s="164"/>
      <c r="Q212" s="219"/>
      <c r="R212" s="133"/>
      <c r="S212" s="133"/>
      <c r="T212" s="133"/>
      <c r="U212" s="133"/>
      <c r="V212" s="133"/>
      <c r="W212" s="133"/>
      <c r="X212" s="133"/>
      <c r="Y212" s="133"/>
      <c r="Z212" s="133"/>
      <c r="AA212" s="133"/>
      <c r="AB212" s="133"/>
      <c r="AC212" s="133"/>
    </row>
    <row r="213" spans="1:29" ht="15.75" x14ac:dyDescent="0.25">
      <c r="A213" s="132" t="s">
        <v>306</v>
      </c>
      <c r="B213" s="52" t="s">
        <v>419</v>
      </c>
      <c r="C213" s="52"/>
      <c r="D213" s="52"/>
      <c r="E213" s="143">
        <f>E168</f>
        <v>2022</v>
      </c>
      <c r="F213" s="143">
        <f t="shared" ref="F213:Q213" si="110">F168</f>
        <v>2023</v>
      </c>
      <c r="G213" s="143">
        <f t="shared" si="110"/>
        <v>2024</v>
      </c>
      <c r="H213" s="143">
        <f t="shared" si="110"/>
        <v>2025</v>
      </c>
      <c r="I213" s="143">
        <f t="shared" si="110"/>
        <v>2026</v>
      </c>
      <c r="J213" s="143">
        <f t="shared" si="110"/>
        <v>2027</v>
      </c>
      <c r="K213" s="143">
        <f t="shared" si="110"/>
        <v>2028</v>
      </c>
      <c r="L213" s="143">
        <f t="shared" si="110"/>
        <v>2029</v>
      </c>
      <c r="M213" s="143">
        <f t="shared" si="110"/>
        <v>2030</v>
      </c>
      <c r="N213" s="143">
        <f t="shared" si="110"/>
        <v>2031</v>
      </c>
      <c r="O213" s="143">
        <f t="shared" si="110"/>
        <v>2032</v>
      </c>
      <c r="P213" s="143">
        <f t="shared" si="110"/>
        <v>2033</v>
      </c>
      <c r="Q213" s="143">
        <f t="shared" si="110"/>
        <v>2034</v>
      </c>
      <c r="R213" s="133"/>
      <c r="S213" s="133"/>
      <c r="T213" s="133"/>
      <c r="U213" s="133"/>
      <c r="V213" s="133"/>
      <c r="W213" s="133"/>
      <c r="X213" s="133"/>
      <c r="Y213" s="133"/>
      <c r="Z213" s="133"/>
      <c r="AA213" s="133"/>
      <c r="AB213" s="133"/>
      <c r="AC213" s="133"/>
    </row>
    <row r="214" spans="1:29" ht="3.75" customHeight="1" x14ac:dyDescent="0.2">
      <c r="B214" s="53"/>
      <c r="C214" s="53"/>
      <c r="D214" s="53"/>
      <c r="E214" s="53"/>
      <c r="F214" s="53"/>
      <c r="G214" s="180"/>
      <c r="H214" s="53"/>
      <c r="I214" s="53"/>
      <c r="J214" s="53"/>
      <c r="K214" s="53"/>
      <c r="L214" s="53"/>
      <c r="M214" s="53"/>
      <c r="N214" s="53"/>
      <c r="O214" s="53"/>
      <c r="P214" s="53"/>
      <c r="Q214" s="53"/>
      <c r="R214" s="133"/>
      <c r="S214" s="133"/>
      <c r="T214" s="133"/>
      <c r="U214" s="133"/>
      <c r="V214" s="133"/>
      <c r="W214" s="133"/>
      <c r="X214" s="133"/>
      <c r="Y214" s="133"/>
      <c r="Z214" s="133"/>
      <c r="AA214" s="133"/>
      <c r="AB214" s="133"/>
      <c r="AC214" s="133"/>
    </row>
    <row r="215" spans="1:29" x14ac:dyDescent="0.2">
      <c r="B215" s="198" t="s">
        <v>420</v>
      </c>
      <c r="C215" s="199"/>
      <c r="D215" s="199"/>
      <c r="E215" s="200"/>
      <c r="F215" s="200"/>
      <c r="G215" s="201"/>
      <c r="H215" s="200" t="str">
        <f ca="1">IFERROR(H192/(1+WACC!$G$16)^H195,"")</f>
        <v/>
      </c>
      <c r="I215" s="200" t="str">
        <f ca="1">IFERROR(I192/(1+WACC!$G$16)^I195,"")</f>
        <v/>
      </c>
      <c r="J215" s="200" t="str">
        <f ca="1">IFERROR(J192/(1+WACC!$G$16)^J195,"")</f>
        <v/>
      </c>
      <c r="K215" s="200" t="str">
        <f ca="1">IFERROR(K192/(1+WACC!$G$16)^K195,"")</f>
        <v/>
      </c>
      <c r="L215" s="200" t="str">
        <f ca="1">IFERROR(L192/(1+WACC!$G$16)^L195,"")</f>
        <v/>
      </c>
      <c r="M215" s="200" t="str">
        <f ca="1">IFERROR(M192/(1+WACC!$G$16)^M195,"")</f>
        <v/>
      </c>
      <c r="N215" s="200" t="str">
        <f ca="1">IFERROR(N192/(1+WACC!$G$16)^N195,"")</f>
        <v/>
      </c>
      <c r="O215" s="200" t="str">
        <f ca="1">IFERROR(O192/(1+WACC!$G$16)^O195,"")</f>
        <v/>
      </c>
      <c r="P215" s="200" t="str">
        <f ca="1">IFERROR(P192/(1+WACC!$G$16)^P195,"")</f>
        <v/>
      </c>
      <c r="Q215" s="648" t="str">
        <f ca="1">IFERROR(Q192/(1+WACC!$G$16)^Q195,"")</f>
        <v/>
      </c>
      <c r="R215" s="133"/>
      <c r="S215" s="133"/>
      <c r="T215" s="133"/>
      <c r="U215" s="133"/>
      <c r="V215" s="133"/>
      <c r="W215" s="133"/>
      <c r="X215" s="133"/>
      <c r="Y215" s="133"/>
      <c r="Z215" s="133"/>
      <c r="AA215" s="133"/>
      <c r="AB215" s="133"/>
      <c r="AC215" s="133"/>
    </row>
    <row r="216" spans="1:29" x14ac:dyDescent="0.2">
      <c r="B216" s="202" t="s">
        <v>421</v>
      </c>
      <c r="C216" s="203"/>
      <c r="D216" s="203"/>
      <c r="E216" s="203"/>
      <c r="F216" s="203"/>
      <c r="G216" s="204"/>
      <c r="H216" s="205" t="str">
        <f ca="1">IFERROR((H65*H79)/(1+WACC!$G$20)^H195,"")</f>
        <v/>
      </c>
      <c r="I216" s="205" t="str">
        <f ca="1">IFERROR((I65*I79)/(1+WACC!$G$20)^I195,"")</f>
        <v/>
      </c>
      <c r="J216" s="205" t="str">
        <f ca="1">IFERROR((J65*J79)/(1+WACC!$G$20)^J195,"")</f>
        <v/>
      </c>
      <c r="K216" s="205" t="str">
        <f ca="1">IFERROR((K65*K79)/(1+WACC!$G$20)^K195,"")</f>
        <v/>
      </c>
      <c r="L216" s="205" t="str">
        <f ca="1">IFERROR((L65*L79)/(1+WACC!$G$20)^L195,"")</f>
        <v/>
      </c>
      <c r="M216" s="205" t="str">
        <f ca="1">IFERROR((M65*M79)/(1+WACC!$G$20)^M195,"")</f>
        <v/>
      </c>
      <c r="N216" s="205" t="str">
        <f ca="1">IFERROR((N65*N79)/(1+WACC!$G$20)^N195,"")</f>
        <v/>
      </c>
      <c r="O216" s="205" t="str">
        <f ca="1">IFERROR((O65*O79)/(1+WACC!$G$20)^O195,"")</f>
        <v/>
      </c>
      <c r="P216" s="205" t="str">
        <f ca="1">IFERROR((P65*P79)/(1+WACC!$G$20)^P195,"")</f>
        <v/>
      </c>
      <c r="Q216" s="649" t="str">
        <f ca="1">IFERROR((Q65*Q79)/(1+WACC!$G$20)^Q195,"")</f>
        <v/>
      </c>
      <c r="R216" s="133"/>
      <c r="S216" s="133"/>
      <c r="T216" s="133"/>
      <c r="U216" s="133"/>
      <c r="V216" s="133"/>
      <c r="W216" s="133"/>
      <c r="X216" s="133"/>
      <c r="Y216" s="133"/>
      <c r="Z216" s="133"/>
      <c r="AA216" s="133"/>
      <c r="AB216" s="133"/>
      <c r="AC216" s="133"/>
    </row>
    <row r="217" spans="1:29" ht="3.75" customHeight="1" x14ac:dyDescent="0.25">
      <c r="B217" s="164"/>
      <c r="C217" s="164"/>
      <c r="D217" s="164"/>
      <c r="E217" s="164"/>
      <c r="F217" s="164"/>
      <c r="G217" s="218"/>
      <c r="H217" s="164"/>
      <c r="I217" s="164"/>
      <c r="J217" s="164"/>
      <c r="K217" s="164"/>
      <c r="L217" s="164"/>
      <c r="M217" s="164"/>
      <c r="N217" s="164"/>
      <c r="O217" s="164"/>
      <c r="P217" s="164"/>
      <c r="Q217" s="219"/>
      <c r="R217" s="133"/>
      <c r="S217" s="133"/>
      <c r="T217" s="133"/>
      <c r="U217" s="133"/>
      <c r="V217" s="133"/>
      <c r="W217" s="133"/>
      <c r="X217" s="133"/>
      <c r="Y217" s="133"/>
      <c r="Z217" s="133"/>
      <c r="AA217" s="133"/>
      <c r="AB217" s="133"/>
      <c r="AC217" s="133"/>
    </row>
    <row r="218" spans="1:29" ht="15.75" x14ac:dyDescent="0.25">
      <c r="B218" s="132" t="s">
        <v>422</v>
      </c>
      <c r="C218" s="164"/>
      <c r="D218" s="164"/>
      <c r="E218" s="164"/>
      <c r="F218" s="164"/>
      <c r="G218" s="218"/>
      <c r="H218" s="164"/>
      <c r="I218" s="164"/>
      <c r="J218" s="164"/>
      <c r="K218" s="164"/>
      <c r="L218" s="164"/>
      <c r="M218" s="164"/>
      <c r="N218" s="164"/>
      <c r="O218" s="164"/>
      <c r="P218" s="164"/>
      <c r="Q218" s="183" t="str">
        <f ca="1">IFERROR((Q192*(1+$C$13))/(WACC!$G$16-DCF!$C$13),"")</f>
        <v/>
      </c>
      <c r="R218" s="133"/>
      <c r="S218" s="133"/>
      <c r="T218" s="133"/>
      <c r="U218" s="133"/>
      <c r="V218" s="133"/>
      <c r="W218" s="133"/>
      <c r="X218" s="133"/>
      <c r="Y218" s="133"/>
      <c r="Z218" s="133"/>
      <c r="AA218" s="133"/>
      <c r="AB218" s="133"/>
      <c r="AC218" s="133"/>
    </row>
    <row r="219" spans="1:29" ht="15.75" x14ac:dyDescent="0.25">
      <c r="B219" s="132" t="s">
        <v>423</v>
      </c>
      <c r="C219" s="164"/>
      <c r="D219" s="164"/>
      <c r="E219" s="164"/>
      <c r="F219" s="164"/>
      <c r="G219" s="218"/>
      <c r="H219" s="164"/>
      <c r="I219" s="164"/>
      <c r="J219" s="164"/>
      <c r="K219" s="164"/>
      <c r="L219" s="164"/>
      <c r="M219" s="164"/>
      <c r="N219" s="164"/>
      <c r="O219" s="164"/>
      <c r="P219" s="164"/>
      <c r="Q219" s="183" t="str">
        <f ca="1">IFERROR(Q218/(1+WACC!$G$16)^$Q$195,"")</f>
        <v/>
      </c>
      <c r="R219" s="133"/>
      <c r="S219" s="133"/>
      <c r="T219" s="133"/>
      <c r="U219" s="133"/>
      <c r="V219" s="133"/>
      <c r="W219" s="133"/>
      <c r="X219" s="133"/>
      <c r="Y219" s="133"/>
      <c r="Z219" s="133"/>
      <c r="AA219" s="133"/>
      <c r="AB219" s="133"/>
      <c r="AC219" s="133"/>
    </row>
    <row r="220" spans="1:29" ht="15.75" x14ac:dyDescent="0.25">
      <c r="B220" s="132" t="s">
        <v>424</v>
      </c>
      <c r="C220" s="164"/>
      <c r="D220" s="164"/>
      <c r="E220" s="164"/>
      <c r="F220" s="164"/>
      <c r="G220" s="218"/>
      <c r="H220" s="164"/>
      <c r="I220" s="164"/>
      <c r="J220" s="164"/>
      <c r="K220" s="164"/>
      <c r="L220" s="164"/>
      <c r="M220" s="164"/>
      <c r="N220" s="164"/>
      <c r="O220" s="164"/>
      <c r="P220" s="164"/>
      <c r="Q220" s="183" t="str">
        <f ca="1">IFERROR((Q216*(1+$C$13))/(WACC!$G$16-$C$13),"")</f>
        <v/>
      </c>
      <c r="R220" s="133"/>
      <c r="S220" s="133"/>
      <c r="T220" s="133"/>
      <c r="U220" s="133"/>
      <c r="V220" s="133"/>
      <c r="W220" s="133"/>
      <c r="X220" s="133"/>
      <c r="Y220" s="133"/>
      <c r="Z220" s="133"/>
      <c r="AA220" s="133"/>
      <c r="AB220" s="133"/>
      <c r="AC220" s="133"/>
    </row>
    <row r="221" spans="1:29" ht="15.75" x14ac:dyDescent="0.25">
      <c r="B221" s="132" t="s">
        <v>425</v>
      </c>
      <c r="C221" s="164"/>
      <c r="D221" s="164"/>
      <c r="E221" s="164"/>
      <c r="F221" s="164"/>
      <c r="G221" s="218"/>
      <c r="H221" s="164"/>
      <c r="I221" s="164"/>
      <c r="J221" s="164"/>
      <c r="K221" s="164"/>
      <c r="L221" s="164"/>
      <c r="M221" s="164"/>
      <c r="N221" s="164"/>
      <c r="O221" s="164"/>
      <c r="P221" s="164"/>
      <c r="Q221" s="183" t="str">
        <f ca="1">IFERROR(Q220/(1+WACC!$G$18)^$Q$195,"")</f>
        <v/>
      </c>
      <c r="R221" s="133"/>
      <c r="S221" s="133"/>
      <c r="T221" s="133"/>
      <c r="U221" s="133"/>
      <c r="V221" s="133"/>
      <c r="W221" s="133"/>
      <c r="X221" s="133"/>
      <c r="Y221" s="133"/>
      <c r="Z221" s="133"/>
      <c r="AA221" s="133"/>
      <c r="AB221" s="133"/>
      <c r="AC221" s="133"/>
    </row>
    <row r="222" spans="1:29" x14ac:dyDescent="0.2">
      <c r="B222" s="132" t="s">
        <v>426</v>
      </c>
      <c r="G222" s="162"/>
      <c r="Q222" s="183">
        <f ca="1">+SUM(H215:Q216,Q219,Q221)</f>
        <v>0</v>
      </c>
      <c r="R222" s="133"/>
      <c r="S222" s="133"/>
      <c r="T222" s="133"/>
      <c r="U222" s="133"/>
      <c r="V222" s="133"/>
      <c r="W222" s="133"/>
      <c r="X222" s="133"/>
      <c r="Y222" s="133"/>
      <c r="Z222" s="133"/>
      <c r="AA222" s="133"/>
      <c r="AB222" s="133"/>
      <c r="AC222" s="133"/>
    </row>
    <row r="223" spans="1:29" x14ac:dyDescent="0.2">
      <c r="B223" s="132" t="s">
        <v>159</v>
      </c>
      <c r="G223" s="162"/>
      <c r="Q223" s="183">
        <f ca="1">+Q222-Q201+Q202+Q203+Q204</f>
        <v>0</v>
      </c>
      <c r="R223" s="133"/>
      <c r="S223" s="133"/>
      <c r="T223" s="133"/>
      <c r="U223" s="133"/>
      <c r="V223" s="133"/>
      <c r="W223" s="133"/>
      <c r="X223" s="133"/>
      <c r="Y223" s="133"/>
      <c r="Z223" s="133"/>
      <c r="AA223" s="133"/>
      <c r="AB223" s="133"/>
      <c r="AC223" s="133"/>
    </row>
    <row r="224" spans="1:29" ht="15.75" x14ac:dyDescent="0.25">
      <c r="B224" s="164" t="s">
        <v>416</v>
      </c>
      <c r="C224" s="164"/>
      <c r="D224" s="164"/>
      <c r="E224" s="164"/>
      <c r="F224" s="164"/>
      <c r="G224" s="218"/>
      <c r="H224" s="164"/>
      <c r="I224" s="164"/>
      <c r="J224" s="164"/>
      <c r="K224" s="164"/>
      <c r="L224" s="164"/>
      <c r="M224" s="164"/>
      <c r="N224" s="164"/>
      <c r="O224" s="164"/>
      <c r="P224" s="164"/>
      <c r="Q224" s="413" t="str">
        <f ca="1">IFERROR(Q223/Q207,"")</f>
        <v/>
      </c>
      <c r="R224" s="133"/>
      <c r="S224" s="133"/>
      <c r="T224" s="133"/>
      <c r="U224" s="133"/>
      <c r="V224" s="133"/>
      <c r="W224" s="133"/>
      <c r="X224" s="133"/>
      <c r="Y224" s="133"/>
      <c r="Z224" s="133"/>
      <c r="AA224" s="133"/>
      <c r="AB224" s="133"/>
      <c r="AC224" s="133"/>
    </row>
    <row r="225" spans="1:29" ht="3.75" customHeight="1" x14ac:dyDescent="0.25">
      <c r="B225" s="164"/>
      <c r="C225" s="164"/>
      <c r="D225" s="164"/>
      <c r="E225" s="164"/>
      <c r="F225" s="164"/>
      <c r="G225" s="218"/>
      <c r="H225" s="164"/>
      <c r="I225" s="164"/>
      <c r="J225" s="164"/>
      <c r="K225" s="164"/>
      <c r="L225" s="164"/>
      <c r="M225" s="164"/>
      <c r="N225" s="164"/>
      <c r="O225" s="164"/>
      <c r="P225" s="164"/>
      <c r="Q225" s="413"/>
      <c r="R225" s="133"/>
      <c r="S225" s="133"/>
      <c r="T225" s="133"/>
      <c r="U225" s="133"/>
      <c r="V225" s="133"/>
      <c r="W225" s="133"/>
      <c r="X225" s="133"/>
      <c r="Y225" s="133"/>
      <c r="Z225" s="133"/>
      <c r="AA225" s="133"/>
      <c r="AB225" s="133"/>
      <c r="AC225" s="133"/>
    </row>
    <row r="226" spans="1:29" ht="15.75" x14ac:dyDescent="0.25">
      <c r="B226" s="414" t="s">
        <v>418</v>
      </c>
      <c r="C226" s="164"/>
      <c r="D226" s="164"/>
      <c r="E226" s="164"/>
      <c r="F226" s="164"/>
      <c r="G226" s="218"/>
      <c r="H226" s="164"/>
      <c r="I226" s="164"/>
      <c r="J226" s="164"/>
      <c r="K226" s="164"/>
      <c r="L226" s="164"/>
      <c r="M226" s="164"/>
      <c r="N226" s="164"/>
      <c r="O226" s="164"/>
      <c r="P226" s="164"/>
      <c r="Q226" s="219" t="str">
        <f ca="1">IFERROR(Q224/Q210-1,"")</f>
        <v/>
      </c>
      <c r="R226" s="133"/>
      <c r="S226" s="133"/>
      <c r="T226" s="133"/>
      <c r="U226" s="133"/>
      <c r="V226" s="133"/>
      <c r="W226" s="133"/>
      <c r="X226" s="133"/>
      <c r="Y226" s="133"/>
      <c r="Z226" s="133"/>
      <c r="AA226" s="133"/>
      <c r="AB226" s="133"/>
      <c r="AC226" s="133"/>
    </row>
    <row r="227" spans="1:29" ht="3.75" customHeight="1" x14ac:dyDescent="0.2">
      <c r="G227" s="162"/>
    </row>
    <row r="228" spans="1:29" ht="15.75" x14ac:dyDescent="0.25">
      <c r="A228" s="132" t="s">
        <v>306</v>
      </c>
      <c r="B228" s="52" t="s">
        <v>427</v>
      </c>
      <c r="C228" s="52"/>
      <c r="D228" s="52"/>
      <c r="E228" s="143">
        <f>E28</f>
        <v>2022</v>
      </c>
      <c r="F228" s="143">
        <f>F28</f>
        <v>2023</v>
      </c>
      <c r="G228" s="144">
        <f>G28</f>
        <v>2024</v>
      </c>
      <c r="H228" s="105">
        <f t="shared" ref="H228:Q228" si="111">1+G228</f>
        <v>2025</v>
      </c>
      <c r="I228" s="105">
        <f t="shared" si="111"/>
        <v>2026</v>
      </c>
      <c r="J228" s="105">
        <f t="shared" si="111"/>
        <v>2027</v>
      </c>
      <c r="K228" s="105">
        <f t="shared" si="111"/>
        <v>2028</v>
      </c>
      <c r="L228" s="105">
        <f t="shared" si="111"/>
        <v>2029</v>
      </c>
      <c r="M228" s="105">
        <f t="shared" si="111"/>
        <v>2030</v>
      </c>
      <c r="N228" s="105">
        <f t="shared" si="111"/>
        <v>2031</v>
      </c>
      <c r="O228" s="105">
        <f t="shared" si="111"/>
        <v>2032</v>
      </c>
      <c r="P228" s="105">
        <f t="shared" si="111"/>
        <v>2033</v>
      </c>
      <c r="Q228" s="105">
        <f t="shared" si="111"/>
        <v>2034</v>
      </c>
    </row>
    <row r="229" spans="1:29" ht="3.75" customHeight="1" x14ac:dyDescent="0.2">
      <c r="B229" s="53"/>
      <c r="C229" s="53"/>
      <c r="D229" s="53"/>
      <c r="E229" s="53"/>
      <c r="F229" s="53"/>
      <c r="G229" s="220"/>
      <c r="H229" s="53"/>
      <c r="I229" s="53"/>
      <c r="J229" s="53"/>
      <c r="K229" s="53"/>
      <c r="L229" s="53"/>
      <c r="M229" s="53"/>
      <c r="N229" s="53"/>
      <c r="O229" s="53"/>
      <c r="P229" s="53"/>
      <c r="Q229" s="53"/>
    </row>
    <row r="230" spans="1:29" x14ac:dyDescent="0.2">
      <c r="B230" s="132" t="s">
        <v>326</v>
      </c>
      <c r="E230" s="166" t="e">
        <f ca="1">+E59</f>
        <v>#NAME?</v>
      </c>
      <c r="F230" s="166" t="e">
        <f ca="1">+F59</f>
        <v>#NAME?</v>
      </c>
      <c r="G230" s="197" t="e">
        <f ca="1">+G59</f>
        <v>#NAME?</v>
      </c>
      <c r="H230" s="191" t="str">
        <f ca="1">+H59</f>
        <v/>
      </c>
      <c r="I230" s="191" t="str">
        <f t="shared" ref="I230:Q230" ca="1" si="112">+I59</f>
        <v/>
      </c>
      <c r="J230" s="191" t="str">
        <f t="shared" ca="1" si="112"/>
        <v/>
      </c>
      <c r="K230" s="191" t="str">
        <f t="shared" ca="1" si="112"/>
        <v/>
      </c>
      <c r="L230" s="191" t="str">
        <f t="shared" ca="1" si="112"/>
        <v/>
      </c>
      <c r="M230" s="191" t="str">
        <f t="shared" ca="1" si="112"/>
        <v/>
      </c>
      <c r="N230" s="191" t="str">
        <f t="shared" ca="1" si="112"/>
        <v/>
      </c>
      <c r="O230" s="191" t="str">
        <f t="shared" ca="1" si="112"/>
        <v/>
      </c>
      <c r="P230" s="191" t="str">
        <f t="shared" ca="1" si="112"/>
        <v/>
      </c>
      <c r="Q230" s="191" t="str">
        <f t="shared" ca="1" si="112"/>
        <v/>
      </c>
    </row>
    <row r="231" spans="1:29" ht="3.75" customHeight="1" x14ac:dyDescent="0.2">
      <c r="G231" s="162"/>
    </row>
    <row r="232" spans="1:29" ht="15" customHeight="1" x14ac:dyDescent="0.2">
      <c r="B232" s="132" t="s">
        <v>230</v>
      </c>
      <c r="E232" s="183" t="e">
        <f ca="1">+E81</f>
        <v>#NAME?</v>
      </c>
      <c r="F232" s="183" t="e">
        <f t="shared" ref="F232:Q232" ca="1" si="113">+F81</f>
        <v>#NAME?</v>
      </c>
      <c r="G232" s="221" t="e">
        <f t="shared" ca="1" si="113"/>
        <v>#NAME?</v>
      </c>
      <c r="H232" s="183" t="str">
        <f t="shared" ca="1" si="113"/>
        <v/>
      </c>
      <c r="I232" s="183" t="str">
        <f t="shared" ca="1" si="113"/>
        <v/>
      </c>
      <c r="J232" s="183" t="str">
        <f t="shared" ca="1" si="113"/>
        <v/>
      </c>
      <c r="K232" s="183" t="str">
        <f t="shared" ca="1" si="113"/>
        <v/>
      </c>
      <c r="L232" s="183" t="str">
        <f t="shared" ca="1" si="113"/>
        <v/>
      </c>
      <c r="M232" s="183" t="str">
        <f t="shared" ca="1" si="113"/>
        <v/>
      </c>
      <c r="N232" s="183" t="str">
        <f t="shared" ca="1" si="113"/>
        <v/>
      </c>
      <c r="O232" s="183" t="str">
        <f t="shared" ca="1" si="113"/>
        <v/>
      </c>
      <c r="P232" s="183" t="str">
        <f t="shared" ca="1" si="113"/>
        <v/>
      </c>
      <c r="Q232" s="183" t="str">
        <f t="shared" ca="1" si="113"/>
        <v/>
      </c>
    </row>
    <row r="233" spans="1:29" ht="3.75" customHeight="1" x14ac:dyDescent="0.2">
      <c r="G233" s="162"/>
    </row>
    <row r="234" spans="1:29" ht="15" customHeight="1" x14ac:dyDescent="0.2">
      <c r="B234" s="132" t="s">
        <v>349</v>
      </c>
      <c r="E234" s="222" t="e">
        <f t="shared" ref="E234:Q234" ca="1" si="114">+E123</f>
        <v>#NAME?</v>
      </c>
      <c r="F234" s="222" t="e">
        <f t="shared" ca="1" si="114"/>
        <v>#NAME?</v>
      </c>
      <c r="G234" s="223" t="e">
        <f t="shared" ca="1" si="114"/>
        <v>#NAME?</v>
      </c>
      <c r="H234" s="222" t="str">
        <f t="shared" ca="1" si="114"/>
        <v/>
      </c>
      <c r="I234" s="222" t="str">
        <f t="shared" ca="1" si="114"/>
        <v/>
      </c>
      <c r="J234" s="222" t="str">
        <f t="shared" ca="1" si="114"/>
        <v/>
      </c>
      <c r="K234" s="222" t="str">
        <f t="shared" ca="1" si="114"/>
        <v/>
      </c>
      <c r="L234" s="222" t="str">
        <f t="shared" ca="1" si="114"/>
        <v/>
      </c>
      <c r="M234" s="222" t="str">
        <f t="shared" ca="1" si="114"/>
        <v/>
      </c>
      <c r="N234" s="222" t="str">
        <f t="shared" ca="1" si="114"/>
        <v/>
      </c>
      <c r="O234" s="222" t="str">
        <f t="shared" ca="1" si="114"/>
        <v/>
      </c>
      <c r="P234" s="222" t="str">
        <f t="shared" ca="1" si="114"/>
        <v/>
      </c>
      <c r="Q234" s="222" t="str">
        <f t="shared" ca="1" si="114"/>
        <v/>
      </c>
    </row>
    <row r="235" spans="1:29" ht="3.95" customHeight="1" x14ac:dyDescent="0.2">
      <c r="B235" s="167"/>
      <c r="E235" s="224"/>
      <c r="F235" s="224"/>
      <c r="G235" s="225"/>
      <c r="H235" s="226"/>
      <c r="I235" s="226"/>
      <c r="J235" s="226"/>
      <c r="K235" s="226"/>
      <c r="L235" s="226"/>
      <c r="M235" s="226"/>
      <c r="N235" s="226"/>
      <c r="O235" s="226"/>
      <c r="P235" s="226"/>
      <c r="Q235" s="226"/>
    </row>
    <row r="236" spans="1:29" ht="13.5" customHeight="1" x14ac:dyDescent="0.2">
      <c r="B236" s="132" t="s">
        <v>382</v>
      </c>
      <c r="E236" s="183" t="e">
        <f ca="1">+E125</f>
        <v>#NAME?</v>
      </c>
      <c r="F236" s="183" t="e">
        <f t="shared" ref="F236:Q236" ca="1" si="115">+F125</f>
        <v>#NAME?</v>
      </c>
      <c r="G236" s="221" t="e">
        <f t="shared" ca="1" si="115"/>
        <v>#NAME?</v>
      </c>
      <c r="H236" s="183" t="str">
        <f t="shared" ca="1" si="115"/>
        <v/>
      </c>
      <c r="I236" s="183" t="str">
        <f t="shared" ca="1" si="115"/>
        <v/>
      </c>
      <c r="J236" s="183" t="str">
        <f t="shared" ca="1" si="115"/>
        <v/>
      </c>
      <c r="K236" s="183" t="str">
        <f t="shared" ca="1" si="115"/>
        <v/>
      </c>
      <c r="L236" s="183" t="str">
        <f t="shared" ca="1" si="115"/>
        <v/>
      </c>
      <c r="M236" s="183" t="str">
        <f t="shared" ca="1" si="115"/>
        <v/>
      </c>
      <c r="N236" s="183" t="str">
        <f t="shared" ca="1" si="115"/>
        <v/>
      </c>
      <c r="O236" s="183" t="str">
        <f t="shared" ca="1" si="115"/>
        <v/>
      </c>
      <c r="P236" s="183" t="str">
        <f t="shared" ca="1" si="115"/>
        <v/>
      </c>
      <c r="Q236" s="183" t="str">
        <f t="shared" ca="1" si="115"/>
        <v/>
      </c>
    </row>
    <row r="237" spans="1:29" ht="3.95" customHeight="1" x14ac:dyDescent="0.2">
      <c r="B237" s="167"/>
      <c r="E237" s="224"/>
      <c r="F237" s="224"/>
      <c r="G237" s="225"/>
      <c r="H237" s="226"/>
      <c r="I237" s="226"/>
      <c r="J237" s="226"/>
      <c r="K237" s="226"/>
      <c r="L237" s="226"/>
      <c r="M237" s="226"/>
      <c r="N237" s="226"/>
      <c r="O237" s="226"/>
      <c r="P237" s="226"/>
      <c r="Q237" s="226"/>
    </row>
    <row r="238" spans="1:29" ht="15" customHeight="1" x14ac:dyDescent="0.2">
      <c r="B238" s="132" t="s">
        <v>402</v>
      </c>
      <c r="E238" s="183" t="e">
        <f t="shared" ref="E238:Q238" ca="1" si="116">E188</f>
        <v>#NAME?</v>
      </c>
      <c r="F238" s="183" t="e">
        <f t="shared" ca="1" si="116"/>
        <v>#NAME?</v>
      </c>
      <c r="G238" s="221" t="e">
        <f t="shared" ca="1" si="116"/>
        <v>#NAME?</v>
      </c>
      <c r="H238" s="183" t="str">
        <f t="shared" ca="1" si="116"/>
        <v/>
      </c>
      <c r="I238" s="183" t="str">
        <f t="shared" ca="1" si="116"/>
        <v/>
      </c>
      <c r="J238" s="183" t="str">
        <f t="shared" ca="1" si="116"/>
        <v/>
      </c>
      <c r="K238" s="183" t="str">
        <f t="shared" ca="1" si="116"/>
        <v/>
      </c>
      <c r="L238" s="183" t="str">
        <f t="shared" ca="1" si="116"/>
        <v/>
      </c>
      <c r="M238" s="183" t="str">
        <f t="shared" ca="1" si="116"/>
        <v/>
      </c>
      <c r="N238" s="183" t="str">
        <f t="shared" ca="1" si="116"/>
        <v/>
      </c>
      <c r="O238" s="183" t="str">
        <f t="shared" ca="1" si="116"/>
        <v/>
      </c>
      <c r="P238" s="183" t="str">
        <f t="shared" ca="1" si="116"/>
        <v/>
      </c>
      <c r="Q238" s="183" t="str">
        <f t="shared" ca="1" si="116"/>
        <v/>
      </c>
    </row>
    <row r="239" spans="1:29" ht="3.75" customHeight="1" x14ac:dyDescent="0.2">
      <c r="E239" s="183"/>
      <c r="F239" s="183"/>
      <c r="G239" s="221"/>
      <c r="H239" s="183"/>
      <c r="I239" s="183"/>
      <c r="J239" s="183"/>
      <c r="K239" s="183"/>
      <c r="L239" s="183"/>
      <c r="M239" s="183"/>
      <c r="N239" s="183"/>
      <c r="O239" s="183"/>
      <c r="P239" s="183"/>
      <c r="Q239" s="183"/>
    </row>
    <row r="240" spans="1:29" ht="15" customHeight="1" x14ac:dyDescent="0.2">
      <c r="B240" s="132" t="s">
        <v>23</v>
      </c>
      <c r="E240" s="166" t="e">
        <f ca="1">E134</f>
        <v>#NAME?</v>
      </c>
      <c r="F240" s="166" t="e">
        <f t="shared" ref="F240:G240" ca="1" si="117">F134</f>
        <v>#NAME?</v>
      </c>
      <c r="G240" s="197" t="e">
        <f t="shared" ca="1" si="117"/>
        <v>#NAME?</v>
      </c>
      <c r="H240" s="166" t="str">
        <f t="shared" ref="H240:Q240" ca="1" si="118">H190</f>
        <v/>
      </c>
      <c r="I240" s="166" t="str">
        <f t="shared" ca="1" si="118"/>
        <v/>
      </c>
      <c r="J240" s="166" t="str">
        <f t="shared" ca="1" si="118"/>
        <v/>
      </c>
      <c r="K240" s="166" t="str">
        <f t="shared" ca="1" si="118"/>
        <v/>
      </c>
      <c r="L240" s="166" t="str">
        <f t="shared" ca="1" si="118"/>
        <v/>
      </c>
      <c r="M240" s="166" t="str">
        <f t="shared" ca="1" si="118"/>
        <v/>
      </c>
      <c r="N240" s="166" t="str">
        <f t="shared" ca="1" si="118"/>
        <v/>
      </c>
      <c r="O240" s="166" t="str">
        <f t="shared" ca="1" si="118"/>
        <v/>
      </c>
      <c r="P240" s="166" t="str">
        <f t="shared" ca="1" si="118"/>
        <v/>
      </c>
      <c r="Q240" s="166" t="str">
        <f t="shared" ca="1" si="118"/>
        <v/>
      </c>
    </row>
    <row r="241" spans="1:17" ht="3.75" customHeight="1" x14ac:dyDescent="0.2">
      <c r="G241" s="162"/>
    </row>
    <row r="242" spans="1:17" ht="15" customHeight="1" x14ac:dyDescent="0.2">
      <c r="B242" s="132" t="s">
        <v>428</v>
      </c>
      <c r="E242" s="222" t="e">
        <f ca="1">+E156-E158</f>
        <v>#NAME?</v>
      </c>
      <c r="F242" s="222" t="e">
        <f t="shared" ref="F242:G242" ca="1" si="119">+F156-F158</f>
        <v>#NAME?</v>
      </c>
      <c r="G242" s="223" t="e">
        <f t="shared" ca="1" si="119"/>
        <v>#NAME?</v>
      </c>
      <c r="H242" s="222" t="str">
        <f ca="1">IFERROR(H156-H158,"")</f>
        <v/>
      </c>
      <c r="I242" s="222" t="str">
        <f t="shared" ref="I242:Q242" ca="1" si="120">IFERROR(I156-I158,"")</f>
        <v/>
      </c>
      <c r="J242" s="222" t="str">
        <f t="shared" ca="1" si="120"/>
        <v/>
      </c>
      <c r="K242" s="222" t="str">
        <f t="shared" ca="1" si="120"/>
        <v/>
      </c>
      <c r="L242" s="222" t="str">
        <f t="shared" ca="1" si="120"/>
        <v/>
      </c>
      <c r="M242" s="222" t="str">
        <f t="shared" ca="1" si="120"/>
        <v/>
      </c>
      <c r="N242" s="222" t="str">
        <f t="shared" ca="1" si="120"/>
        <v/>
      </c>
      <c r="O242" s="222" t="str">
        <f t="shared" ca="1" si="120"/>
        <v/>
      </c>
      <c r="P242" s="222" t="str">
        <f t="shared" ca="1" si="120"/>
        <v/>
      </c>
      <c r="Q242" s="222" t="str">
        <f t="shared" ca="1" si="120"/>
        <v/>
      </c>
    </row>
    <row r="243" spans="1:17" ht="3.95" customHeight="1" x14ac:dyDescent="0.2">
      <c r="G243" s="162"/>
    </row>
    <row r="244" spans="1:17" ht="15" customHeight="1" x14ac:dyDescent="0.2">
      <c r="B244" s="198" t="s">
        <v>319</v>
      </c>
      <c r="C244" s="199"/>
      <c r="D244" s="199"/>
      <c r="E244" s="200" t="e">
        <f t="shared" ref="E244:G244" ca="1" si="121">+E232+E234+E236+E238+E240+E242</f>
        <v>#NAME?</v>
      </c>
      <c r="F244" s="200" t="e">
        <f t="shared" ca="1" si="121"/>
        <v>#NAME?</v>
      </c>
      <c r="G244" s="201" t="e">
        <f t="shared" ca="1" si="121"/>
        <v>#NAME?</v>
      </c>
      <c r="H244" s="200" t="str">
        <f ca="1">IFERROR(+H232+H234+H236+H238+H240+H242,"")</f>
        <v/>
      </c>
      <c r="I244" s="200" t="str">
        <f t="shared" ref="I244:Q244" ca="1" si="122">IFERROR(+I232+I234+I236+I238+I240+I242,"")</f>
        <v/>
      </c>
      <c r="J244" s="200" t="str">
        <f t="shared" ca="1" si="122"/>
        <v/>
      </c>
      <c r="K244" s="200" t="str">
        <f t="shared" ca="1" si="122"/>
        <v/>
      </c>
      <c r="L244" s="200" t="str">
        <f t="shared" ca="1" si="122"/>
        <v/>
      </c>
      <c r="M244" s="200" t="str">
        <f t="shared" ca="1" si="122"/>
        <v/>
      </c>
      <c r="N244" s="200" t="str">
        <f t="shared" ca="1" si="122"/>
        <v/>
      </c>
      <c r="O244" s="200" t="str">
        <f t="shared" ca="1" si="122"/>
        <v/>
      </c>
      <c r="P244" s="200" t="str">
        <f t="shared" ca="1" si="122"/>
        <v/>
      </c>
      <c r="Q244" s="345" t="str">
        <f t="shared" ca="1" si="122"/>
        <v/>
      </c>
    </row>
    <row r="245" spans="1:17" ht="15" customHeight="1" x14ac:dyDescent="0.2">
      <c r="B245" s="202" t="s">
        <v>429</v>
      </c>
      <c r="C245" s="203"/>
      <c r="D245" s="203"/>
      <c r="E245" s="203"/>
      <c r="F245" s="203"/>
      <c r="G245" s="204"/>
      <c r="H245" s="205" t="str">
        <f t="shared" ref="H245:Q245" ca="1" si="123">IFERROR(H244/(1+$C$12)^H$195,"")</f>
        <v/>
      </c>
      <c r="I245" s="205" t="str">
        <f t="shared" ca="1" si="123"/>
        <v/>
      </c>
      <c r="J245" s="205" t="str">
        <f t="shared" ca="1" si="123"/>
        <v/>
      </c>
      <c r="K245" s="205" t="str">
        <f t="shared" ca="1" si="123"/>
        <v/>
      </c>
      <c r="L245" s="205" t="str">
        <f t="shared" ca="1" si="123"/>
        <v/>
      </c>
      <c r="M245" s="205" t="str">
        <f t="shared" ca="1" si="123"/>
        <v/>
      </c>
      <c r="N245" s="205" t="str">
        <f t="shared" ca="1" si="123"/>
        <v/>
      </c>
      <c r="O245" s="205" t="str">
        <f t="shared" ca="1" si="123"/>
        <v/>
      </c>
      <c r="P245" s="205" t="str">
        <f t="shared" ca="1" si="123"/>
        <v/>
      </c>
      <c r="Q245" s="206" t="str">
        <f t="shared" ca="1" si="123"/>
        <v/>
      </c>
    </row>
    <row r="246" spans="1:17" ht="3.75" customHeight="1" x14ac:dyDescent="0.2">
      <c r="G246" s="162"/>
    </row>
    <row r="247" spans="1:17" ht="15" customHeight="1" x14ac:dyDescent="0.2">
      <c r="B247" s="132" t="s">
        <v>408</v>
      </c>
      <c r="G247" s="162"/>
      <c r="Q247" s="183" t="str">
        <f ca="1">IFERROR((Q244*(1+$C$13))/(WACC!$G$11-$C$13),"")</f>
        <v/>
      </c>
    </row>
    <row r="248" spans="1:17" ht="15" customHeight="1" x14ac:dyDescent="0.2">
      <c r="B248" s="132" t="s">
        <v>409</v>
      </c>
      <c r="G248" s="162"/>
      <c r="Q248" s="227" t="str">
        <f ca="1">IFERROR(Q247/(1+WACC!$G$11)^$Q$195,"")</f>
        <v/>
      </c>
    </row>
    <row r="249" spans="1:17" ht="15" customHeight="1" x14ac:dyDescent="0.2">
      <c r="B249" s="132" t="s">
        <v>159</v>
      </c>
      <c r="G249" s="162"/>
      <c r="Q249" s="183">
        <f ca="1">+SUM(Q248,H245:Q245)</f>
        <v>0</v>
      </c>
    </row>
    <row r="250" spans="1:17" ht="3.75" customHeight="1" x14ac:dyDescent="0.2">
      <c r="G250" s="162"/>
    </row>
    <row r="251" spans="1:17" ht="15" customHeight="1" x14ac:dyDescent="0.25">
      <c r="B251" s="164" t="s">
        <v>416</v>
      </c>
      <c r="G251" s="162"/>
      <c r="N251" s="216"/>
      <c r="Q251" s="217" t="str">
        <f ca="1">IFERROR(Q249/Q207,"")</f>
        <v/>
      </c>
    </row>
    <row r="252" spans="1:17" ht="3.75" customHeight="1" x14ac:dyDescent="0.2">
      <c r="G252" s="162"/>
    </row>
    <row r="253" spans="1:17" ht="15" customHeight="1" x14ac:dyDescent="0.25">
      <c r="B253" s="164" t="s">
        <v>418</v>
      </c>
      <c r="C253" s="164"/>
      <c r="D253" s="164"/>
      <c r="E253" s="164"/>
      <c r="F253" s="164"/>
      <c r="G253" s="218"/>
      <c r="H253" s="164"/>
      <c r="I253" s="164"/>
      <c r="J253" s="164"/>
      <c r="K253" s="164"/>
      <c r="L253" s="164"/>
      <c r="M253" s="164"/>
      <c r="N253" s="164"/>
      <c r="O253" s="164"/>
      <c r="P253" s="164"/>
      <c r="Q253" s="219" t="str">
        <f ca="1">IFERROR(Q251/Q210-1,"")</f>
        <v/>
      </c>
    </row>
    <row r="254" spans="1:17" s="224" customFormat="1" ht="3.75" customHeight="1" x14ac:dyDescent="0.2">
      <c r="G254" s="225"/>
    </row>
    <row r="255" spans="1:17" ht="15" customHeight="1" x14ac:dyDescent="0.25">
      <c r="A255" s="132" t="s">
        <v>306</v>
      </c>
      <c r="B255" s="52" t="s">
        <v>430</v>
      </c>
      <c r="C255" s="52"/>
      <c r="D255" s="52"/>
      <c r="E255" s="143">
        <f>+E228</f>
        <v>2022</v>
      </c>
      <c r="F255" s="143">
        <f>+F228</f>
        <v>2023</v>
      </c>
      <c r="G255" s="144">
        <f>+G228</f>
        <v>2024</v>
      </c>
      <c r="H255" s="105">
        <f t="shared" ref="H255:Q255" si="124">1+G255</f>
        <v>2025</v>
      </c>
      <c r="I255" s="105">
        <f t="shared" si="124"/>
        <v>2026</v>
      </c>
      <c r="J255" s="105">
        <f t="shared" si="124"/>
        <v>2027</v>
      </c>
      <c r="K255" s="105">
        <f t="shared" si="124"/>
        <v>2028</v>
      </c>
      <c r="L255" s="105">
        <f t="shared" si="124"/>
        <v>2029</v>
      </c>
      <c r="M255" s="105">
        <f t="shared" si="124"/>
        <v>2030</v>
      </c>
      <c r="N255" s="105">
        <f t="shared" si="124"/>
        <v>2031</v>
      </c>
      <c r="O255" s="105">
        <f t="shared" si="124"/>
        <v>2032</v>
      </c>
      <c r="P255" s="105">
        <f t="shared" si="124"/>
        <v>2033</v>
      </c>
      <c r="Q255" s="105">
        <f t="shared" si="124"/>
        <v>2034</v>
      </c>
    </row>
    <row r="256" spans="1:17" ht="3.75" customHeight="1" x14ac:dyDescent="0.2">
      <c r="B256" s="53"/>
      <c r="C256" s="53"/>
      <c r="D256" s="53"/>
      <c r="E256" s="53"/>
      <c r="F256" s="53"/>
      <c r="G256" s="220"/>
      <c r="H256" s="53"/>
      <c r="I256" s="53"/>
      <c r="J256" s="53"/>
      <c r="K256" s="53"/>
      <c r="L256" s="53"/>
      <c r="M256" s="53"/>
      <c r="N256" s="53"/>
      <c r="O256" s="53"/>
      <c r="P256" s="53"/>
      <c r="Q256" s="53"/>
    </row>
    <row r="257" spans="1:17" ht="15" customHeight="1" x14ac:dyDescent="0.2">
      <c r="B257" s="132" t="s">
        <v>321</v>
      </c>
      <c r="E257" s="183" t="e">
        <f t="shared" ref="E257:G257" ca="1" si="125">+E150+E147</f>
        <v>#NAME?</v>
      </c>
      <c r="F257" s="183" t="e">
        <f t="shared" ca="1" si="125"/>
        <v>#NAME?</v>
      </c>
      <c r="G257" s="221" t="e">
        <f t="shared" ca="1" si="125"/>
        <v>#NAME?</v>
      </c>
      <c r="H257" s="183" t="str">
        <f ca="1">IFERROR(H150+H147,"")</f>
        <v/>
      </c>
      <c r="I257" s="183" t="str">
        <f t="shared" ref="I257:Q257" ca="1" si="126">IFERROR(I150+I147,"")</f>
        <v/>
      </c>
      <c r="J257" s="183" t="str">
        <f t="shared" ca="1" si="126"/>
        <v/>
      </c>
      <c r="K257" s="183" t="str">
        <f t="shared" ca="1" si="126"/>
        <v/>
      </c>
      <c r="L257" s="183" t="str">
        <f t="shared" ca="1" si="126"/>
        <v/>
      </c>
      <c r="M257" s="183" t="str">
        <f t="shared" ca="1" si="126"/>
        <v/>
      </c>
      <c r="N257" s="183" t="str">
        <f t="shared" ca="1" si="126"/>
        <v/>
      </c>
      <c r="O257" s="183" t="str">
        <f t="shared" ca="1" si="126"/>
        <v/>
      </c>
      <c r="P257" s="183" t="str">
        <f t="shared" ca="1" si="126"/>
        <v/>
      </c>
      <c r="Q257" s="183" t="str">
        <f t="shared" ca="1" si="126"/>
        <v/>
      </c>
    </row>
    <row r="258" spans="1:17" ht="15" customHeight="1" x14ac:dyDescent="0.2">
      <c r="B258" s="167" t="s">
        <v>431</v>
      </c>
      <c r="E258" s="224" t="str">
        <f ca="1">IFERROR(_xlfn.XLOOKUP("Repurchase payout",$B:$B,E:E)+_xlfn.XLOOKUP("Dividend payout",$B:$B,E:E),"")</f>
        <v/>
      </c>
      <c r="F258" s="224" t="str">
        <f t="shared" ref="F258:Q258" ca="1" si="127">IFERROR(_xlfn.XLOOKUP("Repurchase payout",$B:$B,F:F)+_xlfn.XLOOKUP("Dividend payout",$B:$B,F:F),"")</f>
        <v/>
      </c>
      <c r="G258" s="225" t="str">
        <f t="shared" ca="1" si="127"/>
        <v/>
      </c>
      <c r="H258" s="224" t="str">
        <f t="shared" ca="1" si="127"/>
        <v/>
      </c>
      <c r="I258" s="224" t="str">
        <f t="shared" ca="1" si="127"/>
        <v/>
      </c>
      <c r="J258" s="224" t="str">
        <f t="shared" ca="1" si="127"/>
        <v/>
      </c>
      <c r="K258" s="224" t="str">
        <f t="shared" ca="1" si="127"/>
        <v/>
      </c>
      <c r="L258" s="224" t="str">
        <f t="shared" ca="1" si="127"/>
        <v/>
      </c>
      <c r="M258" s="224" t="str">
        <f t="shared" ca="1" si="127"/>
        <v/>
      </c>
      <c r="N258" s="224" t="str">
        <f t="shared" ca="1" si="127"/>
        <v/>
      </c>
      <c r="O258" s="224" t="str">
        <f t="shared" ca="1" si="127"/>
        <v/>
      </c>
      <c r="P258" s="224" t="str">
        <f t="shared" ca="1" si="127"/>
        <v/>
      </c>
      <c r="Q258" s="224" t="str">
        <f t="shared" ca="1" si="127"/>
        <v/>
      </c>
    </row>
    <row r="259" spans="1:17" ht="15" customHeight="1" x14ac:dyDescent="0.2">
      <c r="B259" s="132" t="s">
        <v>432</v>
      </c>
      <c r="E259" s="224" t="str">
        <f ca="1">IFERROR(1-E258,"")</f>
        <v/>
      </c>
      <c r="F259" s="224" t="str">
        <f t="shared" ref="F259:Q259" ca="1" si="128">IFERROR(1-F258,"")</f>
        <v/>
      </c>
      <c r="G259" s="225" t="str">
        <f t="shared" ca="1" si="128"/>
        <v/>
      </c>
      <c r="H259" s="224" t="str">
        <f t="shared" ca="1" si="128"/>
        <v/>
      </c>
      <c r="I259" s="224" t="str">
        <f t="shared" ca="1" si="128"/>
        <v/>
      </c>
      <c r="J259" s="224" t="str">
        <f t="shared" ca="1" si="128"/>
        <v/>
      </c>
      <c r="K259" s="224" t="str">
        <f t="shared" ca="1" si="128"/>
        <v/>
      </c>
      <c r="L259" s="224" t="str">
        <f t="shared" ca="1" si="128"/>
        <v/>
      </c>
      <c r="M259" s="224" t="str">
        <f t="shared" ca="1" si="128"/>
        <v/>
      </c>
      <c r="N259" s="224" t="str">
        <f t="shared" ca="1" si="128"/>
        <v/>
      </c>
      <c r="O259" s="224" t="str">
        <f t="shared" ca="1" si="128"/>
        <v/>
      </c>
      <c r="P259" s="224" t="str">
        <f t="shared" ca="1" si="128"/>
        <v/>
      </c>
      <c r="Q259" s="224" t="str">
        <f t="shared" ca="1" si="128"/>
        <v/>
      </c>
    </row>
    <row r="260" spans="1:17" ht="3.75" customHeight="1" x14ac:dyDescent="0.2">
      <c r="G260" s="162"/>
    </row>
    <row r="261" spans="1:17" ht="15" customHeight="1" x14ac:dyDescent="0.2">
      <c r="B261" s="228" t="s">
        <v>433</v>
      </c>
      <c r="C261" s="229"/>
      <c r="D261" s="229"/>
      <c r="E261" s="229"/>
      <c r="F261" s="229"/>
      <c r="G261" s="230"/>
      <c r="H261" s="231" t="str">
        <f ca="1">IFERROR(-H257/(1+WACC!$G$11)^H$195,"")</f>
        <v/>
      </c>
      <c r="I261" s="231" t="str">
        <f ca="1">IFERROR(-I257/(1+WACC!$G$11)^I$195,"")</f>
        <v/>
      </c>
      <c r="J261" s="231" t="str">
        <f ca="1">IFERROR(-J257/(1+WACC!$G$11)^J$195,"")</f>
        <v/>
      </c>
      <c r="K261" s="231" t="str">
        <f ca="1">IFERROR(-K257/(1+WACC!$G$11)^K$195,"")</f>
        <v/>
      </c>
      <c r="L261" s="231" t="str">
        <f ca="1">IFERROR(-L257/(1+WACC!$G$11)^L$195,"")</f>
        <v/>
      </c>
      <c r="M261" s="231" t="str">
        <f ca="1">IFERROR(-M257/(1+WACC!$G$11)^M$195,"")</f>
        <v/>
      </c>
      <c r="N261" s="231" t="str">
        <f ca="1">IFERROR(-N257/(1+WACC!$G$11)^N$195,"")</f>
        <v/>
      </c>
      <c r="O261" s="231" t="str">
        <f ca="1">IFERROR(-O257/(1+WACC!$G$11)^O$195,"")</f>
        <v/>
      </c>
      <c r="P261" s="231" t="str">
        <f ca="1">IFERROR(-P257/(1+WACC!$G$11)^P$195,"")</f>
        <v/>
      </c>
      <c r="Q261" s="505" t="str">
        <f ca="1">IFERROR(-Q257/(1+WACC!$G$11)^Q$195,"")</f>
        <v/>
      </c>
    </row>
    <row r="262" spans="1:17" ht="3.75" customHeight="1" x14ac:dyDescent="0.2">
      <c r="G262" s="162"/>
    </row>
    <row r="263" spans="1:17" ht="13.5" customHeight="1" x14ac:dyDescent="0.2">
      <c r="B263" s="132" t="s">
        <v>408</v>
      </c>
      <c r="G263" s="162"/>
      <c r="Q263" s="183" t="str">
        <f ca="1">IFERROR(+(Q261*(1+$C$13))/(WACC!$G$11-$C$13),"")</f>
        <v/>
      </c>
    </row>
    <row r="264" spans="1:17" ht="15" customHeight="1" x14ac:dyDescent="0.2">
      <c r="B264" s="132" t="s">
        <v>409</v>
      </c>
      <c r="G264" s="162"/>
      <c r="Q264" s="227" t="str">
        <f ca="1">IFERROR(Q263/(1+$C$12)^$Q$195,"")</f>
        <v/>
      </c>
    </row>
    <row r="265" spans="1:17" ht="15" customHeight="1" x14ac:dyDescent="0.2">
      <c r="B265" s="132" t="s">
        <v>159</v>
      </c>
      <c r="G265" s="162"/>
      <c r="Q265" s="183">
        <f ca="1">+SUM(Q264,H261:Q261)</f>
        <v>0</v>
      </c>
    </row>
    <row r="266" spans="1:17" ht="3.75" customHeight="1" x14ac:dyDescent="0.2">
      <c r="G266" s="162"/>
      <c r="N266" s="216"/>
    </row>
    <row r="267" spans="1:17" ht="15" customHeight="1" x14ac:dyDescent="0.25">
      <c r="B267" s="164" t="s">
        <v>416</v>
      </c>
      <c r="G267" s="162"/>
      <c r="Q267" s="217" t="str">
        <f ca="1">IFERROR(Q264/Q$207,"")</f>
        <v/>
      </c>
    </row>
    <row r="268" spans="1:17" ht="3.75" customHeight="1" x14ac:dyDescent="0.25">
      <c r="B268" s="164"/>
      <c r="G268" s="162"/>
    </row>
    <row r="269" spans="1:17" ht="15" customHeight="1" x14ac:dyDescent="0.25">
      <c r="B269" s="164" t="s">
        <v>418</v>
      </c>
      <c r="C269" s="164"/>
      <c r="D269" s="164"/>
      <c r="E269" s="164"/>
      <c r="F269" s="164"/>
      <c r="G269" s="218"/>
      <c r="H269" s="164"/>
      <c r="I269" s="164"/>
      <c r="J269" s="164"/>
      <c r="K269" s="164"/>
      <c r="L269" s="164"/>
      <c r="M269" s="164"/>
      <c r="N269" s="164"/>
      <c r="O269" s="164"/>
      <c r="P269" s="164"/>
      <c r="Q269" s="232" t="str">
        <f ca="1">IFERROR(Q267/Q210-1,"")</f>
        <v/>
      </c>
    </row>
    <row r="271" spans="1:17" ht="15" customHeight="1" x14ac:dyDescent="0.25">
      <c r="A271" s="132" t="s">
        <v>306</v>
      </c>
      <c r="B271" s="69" t="s">
        <v>97</v>
      </c>
      <c r="C271" s="70"/>
      <c r="D271" s="69"/>
      <c r="E271" s="70"/>
      <c r="F271" s="70"/>
      <c r="G271" s="70"/>
      <c r="H271" s="70"/>
      <c r="I271" s="70"/>
      <c r="J271" s="100"/>
      <c r="K271" s="101"/>
      <c r="L271" s="101"/>
      <c r="M271" s="101"/>
      <c r="N271" s="101"/>
      <c r="O271" s="101"/>
    </row>
    <row r="272" spans="1:17" ht="3.75" customHeight="1" x14ac:dyDescent="0.2">
      <c r="B272" s="71"/>
      <c r="C272" s="71"/>
      <c r="D272" s="71"/>
      <c r="E272" s="71"/>
      <c r="F272" s="71"/>
      <c r="G272" s="71"/>
      <c r="H272" s="71"/>
      <c r="I272" s="71"/>
      <c r="J272" s="102"/>
      <c r="K272" s="102"/>
      <c r="L272" s="102"/>
      <c r="M272" s="102"/>
      <c r="N272" s="102"/>
      <c r="O272" s="102"/>
    </row>
    <row r="273" spans="1:49" ht="39.75" customHeight="1" x14ac:dyDescent="0.2">
      <c r="B273" s="817"/>
      <c r="C273" s="817"/>
      <c r="D273" s="799"/>
      <c r="E273" s="799"/>
      <c r="F273" s="799"/>
      <c r="G273" s="799"/>
      <c r="H273" s="799"/>
      <c r="I273" s="799"/>
      <c r="J273" s="799"/>
      <c r="K273" s="799"/>
      <c r="L273" s="799"/>
      <c r="M273" s="799"/>
      <c r="N273" s="799"/>
      <c r="O273" s="799"/>
    </row>
    <row r="274" spans="1:49" ht="39.75" customHeight="1" x14ac:dyDescent="0.2">
      <c r="B274" s="817"/>
      <c r="C274" s="817"/>
      <c r="D274" s="797"/>
      <c r="E274" s="797"/>
      <c r="F274" s="797"/>
      <c r="G274" s="797"/>
      <c r="H274" s="797"/>
      <c r="I274" s="797"/>
      <c r="J274" s="797"/>
      <c r="K274" s="797"/>
      <c r="L274" s="797"/>
      <c r="M274" s="797"/>
      <c r="N274" s="797"/>
      <c r="O274"/>
    </row>
    <row r="275" spans="1:49" ht="39.75" customHeight="1" x14ac:dyDescent="0.2">
      <c r="B275" s="817"/>
      <c r="C275" s="817"/>
      <c r="D275" s="797"/>
      <c r="E275" s="797"/>
      <c r="F275" s="797"/>
      <c r="G275" s="797"/>
      <c r="H275" s="797"/>
      <c r="I275" s="797"/>
      <c r="J275" s="797"/>
      <c r="K275" s="797"/>
      <c r="L275" s="797"/>
      <c r="M275" s="797"/>
      <c r="N275" s="797"/>
      <c r="O275"/>
    </row>
    <row r="276" spans="1:49" ht="39.75" customHeight="1" x14ac:dyDescent="0.2">
      <c r="B276" s="817"/>
      <c r="C276" s="817"/>
      <c r="D276" s="797"/>
      <c r="E276" s="797"/>
      <c r="F276" s="797"/>
      <c r="G276" s="797"/>
      <c r="H276" s="797"/>
      <c r="I276" s="797"/>
      <c r="J276" s="797"/>
      <c r="K276" s="797"/>
      <c r="L276" s="797"/>
      <c r="M276" s="797"/>
      <c r="N276" s="797"/>
      <c r="O276"/>
    </row>
    <row r="277" spans="1:49" ht="39.75" customHeight="1" x14ac:dyDescent="0.2">
      <c r="B277" s="817"/>
      <c r="C277" s="817"/>
      <c r="D277" s="799"/>
      <c r="E277" s="799"/>
      <c r="F277" s="799"/>
      <c r="G277" s="799"/>
      <c r="H277" s="799"/>
      <c r="I277" s="799"/>
      <c r="J277" s="799"/>
      <c r="K277" s="799"/>
      <c r="L277" s="799"/>
      <c r="M277" s="799"/>
      <c r="N277" s="799"/>
      <c r="O277" s="799"/>
    </row>
    <row r="278" spans="1:49" ht="39.75" customHeight="1" x14ac:dyDescent="0.2">
      <c r="B278" s="817"/>
      <c r="C278" s="817"/>
      <c r="D278" s="799"/>
      <c r="E278" s="799"/>
      <c r="F278" s="799"/>
      <c r="G278" s="799"/>
      <c r="H278" s="799"/>
      <c r="I278" s="799"/>
      <c r="J278" s="799"/>
      <c r="K278" s="799"/>
      <c r="L278" s="799"/>
      <c r="M278" s="799"/>
      <c r="N278" s="799"/>
      <c r="O278" s="799"/>
    </row>
    <row r="279" spans="1:49" ht="15" customHeight="1" x14ac:dyDescent="0.2">
      <c r="D279" s="797"/>
      <c r="E279" s="797"/>
      <c r="F279" s="797"/>
      <c r="G279" s="797"/>
      <c r="H279" s="797"/>
      <c r="I279" s="797"/>
      <c r="J279" s="797"/>
      <c r="K279" s="797"/>
      <c r="L279" s="797"/>
      <c r="M279" s="797"/>
      <c r="N279" s="797"/>
      <c r="O279"/>
    </row>
    <row r="280" spans="1:49" s="41" customFormat="1" ht="20.100000000000001" customHeight="1" x14ac:dyDescent="0.3">
      <c r="A280" s="132"/>
      <c r="B280" s="796"/>
      <c r="C280" s="796"/>
      <c r="D280" s="797"/>
      <c r="E280" s="797"/>
      <c r="F280" s="797"/>
      <c r="G280" s="797"/>
      <c r="H280" s="797"/>
      <c r="I280" s="797"/>
      <c r="J280" s="797"/>
      <c r="K280" s="797"/>
      <c r="L280" s="797"/>
      <c r="M280" s="797"/>
      <c r="N280" s="797"/>
      <c r="O280"/>
      <c r="P280" s="132"/>
      <c r="Q280" s="132"/>
      <c r="R280" s="132"/>
      <c r="S280" s="132"/>
      <c r="T280" s="132"/>
      <c r="U280" s="132"/>
      <c r="V280" s="132"/>
      <c r="W280" s="132"/>
      <c r="X280" s="132"/>
      <c r="Y280" s="132"/>
      <c r="Z280" s="132"/>
      <c r="AA280" s="132"/>
      <c r="AB280" s="132"/>
      <c r="AC280" s="132"/>
      <c r="AD280" s="132"/>
      <c r="AE280" s="132"/>
      <c r="AF280" s="132"/>
      <c r="AG280" s="132"/>
      <c r="AH280" s="132"/>
      <c r="AI280" s="132"/>
      <c r="AJ280" s="132"/>
      <c r="AK280" s="132"/>
      <c r="AN280" s="739" t="s">
        <v>434</v>
      </c>
    </row>
    <row r="282" spans="1:49" ht="15" customHeight="1" x14ac:dyDescent="0.25">
      <c r="AN282" s="657" t="str">
        <f>Peers!AM287&amp;" Stock Price - Blended Discount Rate and Terminal Growth Rate"</f>
        <v xml:space="preserve"> Stock Price - Blended Discount Rate and Terminal Growth Rate</v>
      </c>
      <c r="AO282"/>
      <c r="AP282"/>
      <c r="AQ282"/>
      <c r="AR282"/>
      <c r="AS282"/>
      <c r="AT282"/>
      <c r="AW282" s="132">
        <v>1</v>
      </c>
    </row>
    <row r="283" spans="1:49" ht="15" customHeight="1" thickBot="1" x14ac:dyDescent="0.25">
      <c r="AN283" t="s">
        <v>435</v>
      </c>
      <c r="AO283"/>
      <c r="AP283"/>
      <c r="AQ283"/>
      <c r="AR283"/>
      <c r="AS283"/>
      <c r="AT283"/>
      <c r="AW283" s="132">
        <v>2</v>
      </c>
    </row>
    <row r="284" spans="1:49" ht="15" customHeight="1" x14ac:dyDescent="0.25">
      <c r="AN284" s="655"/>
      <c r="AO284" s="656"/>
      <c r="AP284" s="740"/>
      <c r="AQ284" s="655"/>
      <c r="AR284" s="741" t="s">
        <v>328</v>
      </c>
      <c r="AS284" s="655"/>
      <c r="AT284" s="655"/>
      <c r="AW284" s="132">
        <v>3</v>
      </c>
    </row>
    <row r="285" spans="1:49" ht="15" customHeight="1" thickBot="1" x14ac:dyDescent="0.25">
      <c r="AN285" s="647"/>
      <c r="AO285" s="748" t="str">
        <f ca="1">Q208</f>
        <v/>
      </c>
      <c r="AP285" s="660"/>
      <c r="AQ285" s="660"/>
      <c r="AR285" s="660"/>
      <c r="AS285" s="660"/>
      <c r="AT285" s="660"/>
      <c r="AW285" s="132">
        <v>4</v>
      </c>
    </row>
    <row r="286" spans="1:49" ht="15" customHeight="1" x14ac:dyDescent="0.2">
      <c r="AN286"/>
      <c r="AO286" s="652">
        <v>0.01</v>
      </c>
      <c r="AP286" s="658"/>
      <c r="AQ286" s="658"/>
      <c r="AR286" s="658"/>
      <c r="AS286" s="658"/>
      <c r="AT286" s="658"/>
      <c r="AW286" s="132">
        <v>5</v>
      </c>
    </row>
    <row r="287" spans="1:49" ht="15" customHeight="1" x14ac:dyDescent="0.3">
      <c r="AN287" s="738"/>
      <c r="AO287" s="652">
        <v>0.02</v>
      </c>
      <c r="AP287" s="658"/>
      <c r="AQ287" s="658"/>
      <c r="AR287" s="658"/>
      <c r="AS287" s="658"/>
      <c r="AT287" s="658"/>
      <c r="AW287" s="132">
        <v>6</v>
      </c>
    </row>
    <row r="288" spans="1:49" ht="15" customHeight="1" x14ac:dyDescent="0.25">
      <c r="AN288" s="24" t="s">
        <v>330</v>
      </c>
      <c r="AO288" s="652">
        <v>0.03</v>
      </c>
      <c r="AP288" s="658"/>
      <c r="AQ288" s="658"/>
      <c r="AR288" s="658"/>
      <c r="AS288" s="658"/>
      <c r="AT288" s="658"/>
      <c r="AW288" s="132">
        <v>7</v>
      </c>
    </row>
    <row r="289" spans="40:49" ht="15" customHeight="1" x14ac:dyDescent="0.2">
      <c r="AN289"/>
      <c r="AO289" s="652">
        <v>0.04</v>
      </c>
      <c r="AP289" s="658"/>
      <c r="AQ289" s="658"/>
      <c r="AR289" s="658"/>
      <c r="AS289" s="658"/>
      <c r="AT289" s="658"/>
      <c r="AW289" s="132">
        <v>8</v>
      </c>
    </row>
    <row r="290" spans="40:49" ht="15" customHeight="1" thickBot="1" x14ac:dyDescent="0.25">
      <c r="AN290" s="647"/>
      <c r="AO290" s="653">
        <v>0.05</v>
      </c>
      <c r="AP290" s="659"/>
      <c r="AQ290" s="659"/>
      <c r="AR290" s="659"/>
      <c r="AS290" s="659"/>
      <c r="AT290" s="659"/>
      <c r="AW290" s="132">
        <v>9</v>
      </c>
    </row>
    <row r="291" spans="40:49" ht="15" customHeight="1" x14ac:dyDescent="0.2">
      <c r="AN291"/>
      <c r="AO291" s="750"/>
      <c r="AP291"/>
      <c r="AQ291"/>
      <c r="AR291"/>
      <c r="AS291"/>
      <c r="AT291"/>
      <c r="AW291" s="132">
        <v>10</v>
      </c>
    </row>
    <row r="292" spans="40:49" ht="15" customHeight="1" x14ac:dyDescent="0.25">
      <c r="AN292" s="657" t="str">
        <f>Peers!AM287&amp;" Stock Price - Blended Revenue Growth and Operating Margin"</f>
        <v xml:space="preserve"> Stock Price - Blended Revenue Growth and Operating Margin</v>
      </c>
      <c r="AO292"/>
      <c r="AP292"/>
      <c r="AQ292"/>
      <c r="AR292"/>
      <c r="AS292"/>
      <c r="AT292"/>
      <c r="AW292" s="132">
        <v>11</v>
      </c>
    </row>
    <row r="293" spans="40:49" ht="15" customHeight="1" thickBot="1" x14ac:dyDescent="0.25">
      <c r="AN293" t="s">
        <v>435</v>
      </c>
      <c r="AO293"/>
      <c r="AP293"/>
      <c r="AQ293"/>
      <c r="AR293"/>
      <c r="AS293"/>
      <c r="AT293"/>
      <c r="AW293" s="132">
        <v>12</v>
      </c>
    </row>
    <row r="294" spans="40:49" ht="15" customHeight="1" x14ac:dyDescent="0.25">
      <c r="AN294" s="655"/>
      <c r="AO294" s="656"/>
      <c r="AP294" s="655"/>
      <c r="AQ294" s="661" t="s">
        <v>162</v>
      </c>
      <c r="AR294" s="655"/>
      <c r="AS294"/>
      <c r="AT294"/>
      <c r="AW294" s="132">
        <v>13</v>
      </c>
    </row>
    <row r="295" spans="40:49" ht="15" customHeight="1" thickBot="1" x14ac:dyDescent="0.25">
      <c r="AN295" s="647"/>
      <c r="AO295" s="748" t="str">
        <f ca="1">Q208</f>
        <v/>
      </c>
      <c r="AP295" s="742">
        <v>1</v>
      </c>
      <c r="AQ295" s="742">
        <v>2</v>
      </c>
      <c r="AR295" s="742">
        <v>3</v>
      </c>
      <c r="AS295"/>
      <c r="AT295"/>
      <c r="AW295" s="132">
        <v>14</v>
      </c>
    </row>
    <row r="296" spans="40:49" ht="15" customHeight="1" x14ac:dyDescent="0.2">
      <c r="AN296"/>
      <c r="AO296" s="743">
        <v>1</v>
      </c>
      <c r="AP296"/>
      <c r="AQ296"/>
      <c r="AR296"/>
      <c r="AS296"/>
      <c r="AT296"/>
      <c r="AW296" s="132">
        <v>15</v>
      </c>
    </row>
    <row r="297" spans="40:49" ht="15" customHeight="1" x14ac:dyDescent="0.25">
      <c r="AN297" s="24" t="s">
        <v>326</v>
      </c>
      <c r="AO297" s="743">
        <v>2</v>
      </c>
      <c r="AP297"/>
      <c r="AQ297"/>
      <c r="AR297"/>
      <c r="AS297"/>
      <c r="AT297"/>
      <c r="AW297" s="132">
        <v>16</v>
      </c>
    </row>
    <row r="298" spans="40:49" ht="15" customHeight="1" thickBot="1" x14ac:dyDescent="0.25">
      <c r="AN298" s="647"/>
      <c r="AO298" s="744">
        <v>3</v>
      </c>
      <c r="AP298" s="647"/>
      <c r="AQ298" s="647"/>
      <c r="AR298" s="647"/>
      <c r="AS298"/>
      <c r="AT298"/>
      <c r="AW298" s="132">
        <v>17</v>
      </c>
    </row>
    <row r="299" spans="40:49" ht="15" customHeight="1" x14ac:dyDescent="0.2">
      <c r="AN299"/>
      <c r="AO299" s="745"/>
      <c r="AP299"/>
      <c r="AQ299"/>
      <c r="AR299"/>
      <c r="AS299"/>
      <c r="AT299"/>
      <c r="AW299" s="132">
        <v>18</v>
      </c>
    </row>
    <row r="300" spans="40:49" ht="15" customHeight="1" x14ac:dyDescent="0.25">
      <c r="AN300" s="665" t="s">
        <v>436</v>
      </c>
      <c r="AO300" s="37"/>
      <c r="AP300" s="37"/>
      <c r="AQ300" s="37"/>
      <c r="AR300" s="37"/>
      <c r="AS300" s="37"/>
      <c r="AT300" s="37"/>
      <c r="AW300" s="132">
        <v>19</v>
      </c>
    </row>
    <row r="301" spans="40:49" ht="15" customHeight="1" x14ac:dyDescent="0.2">
      <c r="AW301" s="132">
        <v>20</v>
      </c>
    </row>
    <row r="302" spans="40:49" ht="15" customHeight="1" x14ac:dyDescent="0.2">
      <c r="AW302" s="132">
        <v>21</v>
      </c>
    </row>
    <row r="303" spans="40:49" ht="15" customHeight="1" x14ac:dyDescent="0.2">
      <c r="AR303" s="139"/>
      <c r="AS303" s="139"/>
      <c r="AW303" s="132">
        <v>22</v>
      </c>
    </row>
    <row r="304" spans="40:49" ht="15" customHeight="1" x14ac:dyDescent="0.2">
      <c r="AR304" s="139"/>
      <c r="AS304" s="139"/>
      <c r="AW304" s="132">
        <v>23</v>
      </c>
    </row>
    <row r="305" spans="40:49" ht="15" customHeight="1" x14ac:dyDescent="0.2">
      <c r="AR305" s="192"/>
      <c r="AS305" s="192"/>
      <c r="AW305" s="132">
        <v>24</v>
      </c>
    </row>
    <row r="306" spans="40:49" ht="15" customHeight="1" x14ac:dyDescent="0.2">
      <c r="AW306" s="132">
        <v>25</v>
      </c>
    </row>
    <row r="307" spans="40:49" ht="15" customHeight="1" x14ac:dyDescent="0.25">
      <c r="AN307" s="164"/>
      <c r="AW307" s="132">
        <v>26</v>
      </c>
    </row>
    <row r="308" spans="40:49" ht="15" customHeight="1" x14ac:dyDescent="0.2">
      <c r="AW308" s="132">
        <v>27</v>
      </c>
    </row>
    <row r="309" spans="40:49" ht="15" customHeight="1" x14ac:dyDescent="0.2">
      <c r="AW309" s="132">
        <v>28</v>
      </c>
    </row>
    <row r="310" spans="40:49" ht="15" customHeight="1" x14ac:dyDescent="0.2">
      <c r="AW310" s="132">
        <v>29</v>
      </c>
    </row>
    <row r="311" spans="40:49" ht="15" customHeight="1" x14ac:dyDescent="0.2">
      <c r="AW311" s="132">
        <v>30</v>
      </c>
    </row>
    <row r="312" spans="40:49" ht="15" customHeight="1" x14ac:dyDescent="0.2">
      <c r="AW312" s="132">
        <v>31</v>
      </c>
    </row>
    <row r="313" spans="40:49" ht="15" customHeight="1" x14ac:dyDescent="0.2">
      <c r="AW313" s="132">
        <v>32</v>
      </c>
    </row>
    <row r="314" spans="40:49" ht="15" customHeight="1" x14ac:dyDescent="0.2">
      <c r="AW314" s="132">
        <v>33</v>
      </c>
    </row>
    <row r="315" spans="40:49" ht="15" customHeight="1" x14ac:dyDescent="0.2">
      <c r="AW315" s="132">
        <v>34</v>
      </c>
    </row>
    <row r="316" spans="40:49" ht="15" customHeight="1" x14ac:dyDescent="0.2">
      <c r="AW316" s="132">
        <v>35</v>
      </c>
    </row>
    <row r="317" spans="40:49" ht="15" customHeight="1" x14ac:dyDescent="0.2">
      <c r="AW317" s="132">
        <v>36</v>
      </c>
    </row>
    <row r="318" spans="40:49" ht="15" customHeight="1" x14ac:dyDescent="0.2">
      <c r="AW318" s="132">
        <v>37</v>
      </c>
    </row>
    <row r="319" spans="40:49" ht="15" customHeight="1" x14ac:dyDescent="0.2">
      <c r="AW319" s="132">
        <v>38</v>
      </c>
    </row>
    <row r="320" spans="40:49" ht="15" customHeight="1" x14ac:dyDescent="0.2">
      <c r="AW320" s="132">
        <v>39</v>
      </c>
    </row>
    <row r="321" spans="49:49" ht="15" customHeight="1" x14ac:dyDescent="0.2">
      <c r="AW321" s="132">
        <v>40</v>
      </c>
    </row>
    <row r="322" spans="49:49" ht="15" customHeight="1" x14ac:dyDescent="0.2">
      <c r="AW322" s="132">
        <v>41</v>
      </c>
    </row>
    <row r="323" spans="49:49" ht="15" customHeight="1" x14ac:dyDescent="0.2">
      <c r="AW323" s="132">
        <v>42</v>
      </c>
    </row>
    <row r="324" spans="49:49" ht="15" customHeight="1" x14ac:dyDescent="0.2">
      <c r="AW324" s="132">
        <v>43</v>
      </c>
    </row>
    <row r="325" spans="49:49" ht="15" customHeight="1" x14ac:dyDescent="0.2">
      <c r="AW325" s="132">
        <v>44</v>
      </c>
    </row>
    <row r="326" spans="49:49" ht="15" customHeight="1" x14ac:dyDescent="0.2">
      <c r="AW326" s="132">
        <v>45</v>
      </c>
    </row>
    <row r="327" spans="49:49" ht="15" customHeight="1" x14ac:dyDescent="0.2">
      <c r="AW327" s="132">
        <v>46</v>
      </c>
    </row>
    <row r="328" spans="49:49" ht="15" customHeight="1" x14ac:dyDescent="0.2">
      <c r="AW328" s="132">
        <v>47</v>
      </c>
    </row>
    <row r="329" spans="49:49" ht="15" customHeight="1" x14ac:dyDescent="0.2">
      <c r="AW329" s="132">
        <v>48</v>
      </c>
    </row>
    <row r="330" spans="49:49" ht="15" customHeight="1" x14ac:dyDescent="0.2">
      <c r="AW330" s="132">
        <v>49</v>
      </c>
    </row>
    <row r="331" spans="49:49" ht="15" customHeight="1" x14ac:dyDescent="0.2">
      <c r="AW331" s="132">
        <v>50</v>
      </c>
    </row>
    <row r="332" spans="49:49" ht="15" customHeight="1" x14ac:dyDescent="0.2">
      <c r="AW332" s="132">
        <v>51</v>
      </c>
    </row>
    <row r="333" spans="49:49" ht="15" customHeight="1" x14ac:dyDescent="0.2">
      <c r="AW333" s="132">
        <v>52</v>
      </c>
    </row>
    <row r="334" spans="49:49" ht="15" customHeight="1" x14ac:dyDescent="0.2">
      <c r="AW334" s="132">
        <v>53</v>
      </c>
    </row>
    <row r="335" spans="49:49" ht="15" customHeight="1" x14ac:dyDescent="0.2">
      <c r="AW335" s="132">
        <v>54</v>
      </c>
    </row>
    <row r="336" spans="49:49" ht="15" customHeight="1" x14ac:dyDescent="0.2">
      <c r="AW336" s="132">
        <v>55</v>
      </c>
    </row>
    <row r="337" spans="49:49" ht="15" customHeight="1" x14ac:dyDescent="0.2">
      <c r="AW337" s="132">
        <v>56</v>
      </c>
    </row>
    <row r="338" spans="49:49" ht="15" customHeight="1" x14ac:dyDescent="0.2">
      <c r="AW338" s="132">
        <v>57</v>
      </c>
    </row>
    <row r="339" spans="49:49" ht="15" customHeight="1" x14ac:dyDescent="0.2">
      <c r="AW339" s="132">
        <v>58</v>
      </c>
    </row>
    <row r="340" spans="49:49" ht="15" customHeight="1" x14ac:dyDescent="0.2">
      <c r="AW340" s="132">
        <v>59</v>
      </c>
    </row>
    <row r="341" spans="49:49" ht="15" customHeight="1" x14ac:dyDescent="0.2">
      <c r="AW341" s="132">
        <v>60</v>
      </c>
    </row>
    <row r="342" spans="49:49" ht="15" customHeight="1" x14ac:dyDescent="0.2">
      <c r="AW342" s="132">
        <v>61</v>
      </c>
    </row>
    <row r="343" spans="49:49" ht="15" customHeight="1" x14ac:dyDescent="0.2">
      <c r="AW343" s="132">
        <v>62</v>
      </c>
    </row>
    <row r="344" spans="49:49" ht="15" customHeight="1" x14ac:dyDescent="0.2">
      <c r="AW344" s="132">
        <v>63</v>
      </c>
    </row>
    <row r="345" spans="49:49" ht="15" customHeight="1" x14ac:dyDescent="0.2">
      <c r="AW345" s="132">
        <v>64</v>
      </c>
    </row>
    <row r="346" spans="49:49" ht="15" customHeight="1" x14ac:dyDescent="0.2">
      <c r="AW346" s="132">
        <v>65</v>
      </c>
    </row>
    <row r="347" spans="49:49" ht="15" customHeight="1" x14ac:dyDescent="0.2">
      <c r="AW347" s="132">
        <v>66</v>
      </c>
    </row>
    <row r="348" spans="49:49" ht="15" customHeight="1" x14ac:dyDescent="0.2">
      <c r="AW348" s="132">
        <v>67</v>
      </c>
    </row>
    <row r="349" spans="49:49" ht="15" customHeight="1" x14ac:dyDescent="0.2">
      <c r="AW349" s="132">
        <v>68</v>
      </c>
    </row>
    <row r="350" spans="49:49" ht="15" customHeight="1" x14ac:dyDescent="0.2">
      <c r="AW350" s="132">
        <v>69</v>
      </c>
    </row>
    <row r="351" spans="49:49" ht="15" customHeight="1" x14ac:dyDescent="0.2">
      <c r="AW351" s="132">
        <v>70</v>
      </c>
    </row>
    <row r="352" spans="49:49" ht="15" customHeight="1" x14ac:dyDescent="0.2">
      <c r="AW352" s="132">
        <v>71</v>
      </c>
    </row>
    <row r="353" spans="49:49" ht="15" customHeight="1" x14ac:dyDescent="0.2">
      <c r="AW353" s="132">
        <v>72</v>
      </c>
    </row>
    <row r="354" spans="49:49" ht="15" customHeight="1" x14ac:dyDescent="0.2">
      <c r="AW354" s="132">
        <v>73</v>
      </c>
    </row>
    <row r="355" spans="49:49" ht="15" customHeight="1" x14ac:dyDescent="0.2">
      <c r="AW355" s="132">
        <v>74</v>
      </c>
    </row>
    <row r="356" spans="49:49" ht="15" customHeight="1" x14ac:dyDescent="0.2">
      <c r="AW356" s="132">
        <v>75</v>
      </c>
    </row>
    <row r="357" spans="49:49" ht="15" customHeight="1" x14ac:dyDescent="0.2">
      <c r="AW357" s="132">
        <v>76</v>
      </c>
    </row>
    <row r="358" spans="49:49" ht="15" customHeight="1" x14ac:dyDescent="0.2">
      <c r="AW358" s="132">
        <v>77</v>
      </c>
    </row>
    <row r="359" spans="49:49" ht="15" customHeight="1" x14ac:dyDescent="0.2">
      <c r="AW359" s="132">
        <v>78</v>
      </c>
    </row>
    <row r="360" spans="49:49" ht="15" customHeight="1" x14ac:dyDescent="0.2">
      <c r="AW360" s="132">
        <v>79</v>
      </c>
    </row>
    <row r="361" spans="49:49" ht="15" customHeight="1" x14ac:dyDescent="0.2">
      <c r="AW361" s="132">
        <v>80</v>
      </c>
    </row>
    <row r="362" spans="49:49" ht="15" customHeight="1" x14ac:dyDescent="0.2">
      <c r="AW362" s="132">
        <v>81</v>
      </c>
    </row>
    <row r="363" spans="49:49" ht="15" customHeight="1" x14ac:dyDescent="0.2">
      <c r="AW363" s="132">
        <v>82</v>
      </c>
    </row>
    <row r="364" spans="49:49" ht="15" customHeight="1" x14ac:dyDescent="0.2">
      <c r="AW364" s="132">
        <v>83</v>
      </c>
    </row>
    <row r="365" spans="49:49" ht="15" customHeight="1" x14ac:dyDescent="0.2">
      <c r="AW365" s="132">
        <v>84</v>
      </c>
    </row>
    <row r="366" spans="49:49" ht="15" customHeight="1" x14ac:dyDescent="0.2">
      <c r="AW366" s="132">
        <v>85</v>
      </c>
    </row>
    <row r="367" spans="49:49" ht="15" customHeight="1" x14ac:dyDescent="0.2">
      <c r="AW367" s="132">
        <v>86</v>
      </c>
    </row>
    <row r="368" spans="49:49" ht="15" customHeight="1" x14ac:dyDescent="0.2">
      <c r="AW368" s="132">
        <v>87</v>
      </c>
    </row>
    <row r="369" spans="49:49" ht="15" customHeight="1" x14ac:dyDescent="0.2">
      <c r="AW369" s="132">
        <v>88</v>
      </c>
    </row>
    <row r="370" spans="49:49" ht="15" customHeight="1" x14ac:dyDescent="0.2">
      <c r="AW370" s="132">
        <v>89</v>
      </c>
    </row>
    <row r="371" spans="49:49" ht="15" customHeight="1" x14ac:dyDescent="0.2">
      <c r="AW371" s="132">
        <v>90</v>
      </c>
    </row>
    <row r="372" spans="49:49" ht="15" customHeight="1" x14ac:dyDescent="0.2">
      <c r="AW372" s="132">
        <v>91</v>
      </c>
    </row>
    <row r="373" spans="49:49" ht="15" customHeight="1" x14ac:dyDescent="0.2">
      <c r="AW373" s="132">
        <v>92</v>
      </c>
    </row>
    <row r="374" spans="49:49" ht="15" customHeight="1" x14ac:dyDescent="0.2">
      <c r="AW374" s="132">
        <v>93</v>
      </c>
    </row>
    <row r="375" spans="49:49" ht="15" customHeight="1" x14ac:dyDescent="0.2">
      <c r="AW375" s="132">
        <v>94</v>
      </c>
    </row>
    <row r="376" spans="49:49" ht="15" customHeight="1" x14ac:dyDescent="0.2">
      <c r="AW376" s="132">
        <v>95</v>
      </c>
    </row>
    <row r="377" spans="49:49" ht="15" customHeight="1" x14ac:dyDescent="0.2">
      <c r="AW377" s="132">
        <v>96</v>
      </c>
    </row>
    <row r="378" spans="49:49" ht="15" customHeight="1" x14ac:dyDescent="0.2">
      <c r="AW378" s="132">
        <v>97</v>
      </c>
    </row>
    <row r="379" spans="49:49" ht="15" customHeight="1" x14ac:dyDescent="0.2">
      <c r="AW379" s="132">
        <v>98</v>
      </c>
    </row>
    <row r="380" spans="49:49" ht="15" customHeight="1" x14ac:dyDescent="0.2">
      <c r="AW380" s="132">
        <v>99</v>
      </c>
    </row>
    <row r="381" spans="49:49" ht="15" customHeight="1" x14ac:dyDescent="0.2">
      <c r="AW381" s="132">
        <v>100</v>
      </c>
    </row>
    <row r="382" spans="49:49" ht="15" customHeight="1" x14ac:dyDescent="0.2">
      <c r="AW382" s="132">
        <v>101</v>
      </c>
    </row>
    <row r="383" spans="49:49" ht="15" customHeight="1" x14ac:dyDescent="0.2">
      <c r="AW383" s="132">
        <v>102</v>
      </c>
    </row>
    <row r="384" spans="49:49" ht="15" customHeight="1" x14ac:dyDescent="0.2">
      <c r="AW384" s="132">
        <v>103</v>
      </c>
    </row>
    <row r="385" spans="49:49" ht="15" customHeight="1" x14ac:dyDescent="0.2">
      <c r="AW385" s="132">
        <v>104</v>
      </c>
    </row>
    <row r="386" spans="49:49" ht="15" customHeight="1" x14ac:dyDescent="0.2">
      <c r="AW386" s="132">
        <v>105</v>
      </c>
    </row>
    <row r="387" spans="49:49" ht="15" customHeight="1" x14ac:dyDescent="0.2">
      <c r="AW387" s="132">
        <v>106</v>
      </c>
    </row>
    <row r="388" spans="49:49" ht="15" customHeight="1" x14ac:dyDescent="0.2">
      <c r="AW388" s="132">
        <v>107</v>
      </c>
    </row>
    <row r="389" spans="49:49" ht="15" customHeight="1" x14ac:dyDescent="0.2">
      <c r="AW389" s="132">
        <v>108</v>
      </c>
    </row>
    <row r="390" spans="49:49" ht="15" customHeight="1" x14ac:dyDescent="0.2">
      <c r="AW390" s="132">
        <v>109</v>
      </c>
    </row>
    <row r="391" spans="49:49" ht="15" customHeight="1" x14ac:dyDescent="0.2">
      <c r="AW391" s="132">
        <v>110</v>
      </c>
    </row>
    <row r="392" spans="49:49" ht="15" customHeight="1" x14ac:dyDescent="0.2">
      <c r="AW392" s="132">
        <v>111</v>
      </c>
    </row>
    <row r="393" spans="49:49" ht="15" customHeight="1" x14ac:dyDescent="0.2">
      <c r="AW393" s="132">
        <v>112</v>
      </c>
    </row>
    <row r="394" spans="49:49" ht="15" customHeight="1" x14ac:dyDescent="0.2">
      <c r="AW394" s="132">
        <v>113</v>
      </c>
    </row>
    <row r="395" spans="49:49" ht="15" customHeight="1" x14ac:dyDescent="0.2">
      <c r="AW395" s="132">
        <v>114</v>
      </c>
    </row>
    <row r="396" spans="49:49" ht="15" customHeight="1" x14ac:dyDescent="0.2">
      <c r="AW396" s="132">
        <v>115</v>
      </c>
    </row>
    <row r="397" spans="49:49" ht="15" customHeight="1" x14ac:dyDescent="0.2">
      <c r="AW397" s="132">
        <v>116</v>
      </c>
    </row>
    <row r="398" spans="49:49" ht="15" customHeight="1" x14ac:dyDescent="0.2">
      <c r="AW398" s="132">
        <v>117</v>
      </c>
    </row>
    <row r="399" spans="49:49" ht="15" customHeight="1" x14ac:dyDescent="0.2">
      <c r="AW399" s="132">
        <v>118</v>
      </c>
    </row>
    <row r="400" spans="49:49" ht="15" customHeight="1" x14ac:dyDescent="0.2">
      <c r="AW400" s="132">
        <v>119</v>
      </c>
    </row>
    <row r="401" spans="49:49" ht="15" customHeight="1" x14ac:dyDescent="0.2">
      <c r="AW401" s="132">
        <v>120</v>
      </c>
    </row>
    <row r="402" spans="49:49" ht="15" customHeight="1" x14ac:dyDescent="0.2">
      <c r="AW402" s="132">
        <v>121</v>
      </c>
    </row>
    <row r="403" spans="49:49" ht="15" customHeight="1" x14ac:dyDescent="0.2">
      <c r="AW403" s="132">
        <v>122</v>
      </c>
    </row>
    <row r="404" spans="49:49" ht="15" customHeight="1" x14ac:dyDescent="0.2">
      <c r="AW404" s="132">
        <v>123</v>
      </c>
    </row>
    <row r="405" spans="49:49" ht="15" customHeight="1" x14ac:dyDescent="0.2">
      <c r="AW405" s="132">
        <v>124</v>
      </c>
    </row>
    <row r="406" spans="49:49" ht="15" customHeight="1" x14ac:dyDescent="0.2">
      <c r="AW406" s="132">
        <v>125</v>
      </c>
    </row>
    <row r="407" spans="49:49" ht="15" customHeight="1" x14ac:dyDescent="0.2">
      <c r="AW407" s="132">
        <v>126</v>
      </c>
    </row>
    <row r="408" spans="49:49" ht="15" customHeight="1" x14ac:dyDescent="0.2">
      <c r="AW408" s="132">
        <v>127</v>
      </c>
    </row>
    <row r="409" spans="49:49" ht="15" customHeight="1" x14ac:dyDescent="0.2">
      <c r="AW409" s="132">
        <v>128</v>
      </c>
    </row>
    <row r="410" spans="49:49" ht="15" customHeight="1" x14ac:dyDescent="0.2">
      <c r="AW410" s="132">
        <v>129</v>
      </c>
    </row>
    <row r="411" spans="49:49" ht="15" customHeight="1" x14ac:dyDescent="0.2">
      <c r="AW411" s="132">
        <v>130</v>
      </c>
    </row>
    <row r="412" spans="49:49" ht="15" customHeight="1" x14ac:dyDescent="0.2">
      <c r="AW412" s="132">
        <v>131</v>
      </c>
    </row>
    <row r="413" spans="49:49" ht="15" customHeight="1" x14ac:dyDescent="0.2">
      <c r="AW413" s="132">
        <v>132</v>
      </c>
    </row>
    <row r="414" spans="49:49" ht="15" customHeight="1" x14ac:dyDescent="0.2">
      <c r="AW414" s="132">
        <v>133</v>
      </c>
    </row>
    <row r="415" spans="49:49" ht="15" customHeight="1" x14ac:dyDescent="0.2">
      <c r="AW415" s="132">
        <v>134</v>
      </c>
    </row>
    <row r="416" spans="49:49" ht="15" customHeight="1" x14ac:dyDescent="0.2">
      <c r="AW416" s="132">
        <v>135</v>
      </c>
    </row>
    <row r="417" spans="49:49" ht="15" customHeight="1" x14ac:dyDescent="0.2">
      <c r="AW417" s="132">
        <v>136</v>
      </c>
    </row>
    <row r="418" spans="49:49" ht="15" customHeight="1" x14ac:dyDescent="0.2">
      <c r="AW418" s="132">
        <v>137</v>
      </c>
    </row>
    <row r="419" spans="49:49" ht="15" customHeight="1" x14ac:dyDescent="0.2">
      <c r="AW419" s="132">
        <v>138</v>
      </c>
    </row>
    <row r="420" spans="49:49" ht="15" customHeight="1" x14ac:dyDescent="0.2">
      <c r="AW420" s="132">
        <v>139</v>
      </c>
    </row>
    <row r="421" spans="49:49" ht="15" customHeight="1" x14ac:dyDescent="0.2">
      <c r="AW421" s="132">
        <v>140</v>
      </c>
    </row>
    <row r="422" spans="49:49" ht="15" customHeight="1" x14ac:dyDescent="0.2">
      <c r="AW422" s="132">
        <v>141</v>
      </c>
    </row>
    <row r="423" spans="49:49" ht="15" customHeight="1" x14ac:dyDescent="0.2">
      <c r="AW423" s="132">
        <v>142</v>
      </c>
    </row>
    <row r="424" spans="49:49" ht="15" customHeight="1" x14ac:dyDescent="0.2">
      <c r="AW424" s="132">
        <v>143</v>
      </c>
    </row>
    <row r="425" spans="49:49" ht="15" customHeight="1" x14ac:dyDescent="0.2">
      <c r="AW425" s="132">
        <v>144</v>
      </c>
    </row>
    <row r="426" spans="49:49" ht="15" customHeight="1" x14ac:dyDescent="0.2">
      <c r="AW426" s="132">
        <v>145</v>
      </c>
    </row>
    <row r="427" spans="49:49" ht="15" customHeight="1" x14ac:dyDescent="0.2">
      <c r="AW427" s="132">
        <v>146</v>
      </c>
    </row>
    <row r="428" spans="49:49" ht="15" customHeight="1" x14ac:dyDescent="0.2">
      <c r="AW428" s="132">
        <v>147</v>
      </c>
    </row>
    <row r="429" spans="49:49" ht="15" customHeight="1" x14ac:dyDescent="0.2">
      <c r="AW429" s="132">
        <v>148</v>
      </c>
    </row>
    <row r="430" spans="49:49" ht="15" customHeight="1" x14ac:dyDescent="0.2">
      <c r="AW430" s="132">
        <v>149</v>
      </c>
    </row>
    <row r="431" spans="49:49" ht="15" customHeight="1" x14ac:dyDescent="0.2">
      <c r="AW431" s="132">
        <v>150</v>
      </c>
    </row>
    <row r="432" spans="49:49" ht="15" customHeight="1" x14ac:dyDescent="0.2">
      <c r="AW432" s="132">
        <v>151</v>
      </c>
    </row>
    <row r="433" spans="49:49" ht="15" customHeight="1" x14ac:dyDescent="0.2">
      <c r="AW433" s="132">
        <v>152</v>
      </c>
    </row>
    <row r="434" spans="49:49" ht="15" customHeight="1" x14ac:dyDescent="0.2">
      <c r="AW434" s="132">
        <v>153</v>
      </c>
    </row>
    <row r="435" spans="49:49" ht="15" customHeight="1" x14ac:dyDescent="0.2">
      <c r="AW435" s="132">
        <v>154</v>
      </c>
    </row>
    <row r="436" spans="49:49" ht="15" customHeight="1" x14ac:dyDescent="0.2">
      <c r="AW436" s="132">
        <v>155</v>
      </c>
    </row>
    <row r="437" spans="49:49" ht="15" customHeight="1" x14ac:dyDescent="0.2">
      <c r="AW437" s="132">
        <v>156</v>
      </c>
    </row>
    <row r="438" spans="49:49" ht="15" customHeight="1" x14ac:dyDescent="0.2">
      <c r="AW438" s="132">
        <v>157</v>
      </c>
    </row>
    <row r="439" spans="49:49" ht="15" customHeight="1" x14ac:dyDescent="0.2">
      <c r="AW439" s="132">
        <v>158</v>
      </c>
    </row>
    <row r="440" spans="49:49" ht="15" customHeight="1" x14ac:dyDescent="0.2">
      <c r="AW440" s="132">
        <v>159</v>
      </c>
    </row>
    <row r="441" spans="49:49" ht="15" customHeight="1" x14ac:dyDescent="0.2">
      <c r="AW441" s="132">
        <v>160</v>
      </c>
    </row>
    <row r="442" spans="49:49" ht="15" customHeight="1" x14ac:dyDescent="0.2">
      <c r="AW442" s="132">
        <v>161</v>
      </c>
    </row>
    <row r="443" spans="49:49" ht="15" customHeight="1" x14ac:dyDescent="0.2">
      <c r="AW443" s="132">
        <v>162</v>
      </c>
    </row>
    <row r="444" spans="49:49" ht="15" customHeight="1" x14ac:dyDescent="0.2">
      <c r="AW444" s="132">
        <v>163</v>
      </c>
    </row>
    <row r="445" spans="49:49" ht="15" customHeight="1" x14ac:dyDescent="0.2">
      <c r="AW445" s="132">
        <v>164</v>
      </c>
    </row>
    <row r="446" spans="49:49" ht="15" customHeight="1" x14ac:dyDescent="0.2">
      <c r="AW446" s="132">
        <v>165</v>
      </c>
    </row>
    <row r="447" spans="49:49" ht="15" customHeight="1" x14ac:dyDescent="0.2">
      <c r="AW447" s="132">
        <v>166</v>
      </c>
    </row>
    <row r="448" spans="49:49" ht="15" customHeight="1" x14ac:dyDescent="0.2">
      <c r="AW448" s="132">
        <v>167</v>
      </c>
    </row>
    <row r="449" spans="49:49" ht="15" customHeight="1" x14ac:dyDescent="0.2">
      <c r="AW449" s="132">
        <v>168</v>
      </c>
    </row>
    <row r="450" spans="49:49" ht="15" customHeight="1" x14ac:dyDescent="0.2">
      <c r="AW450" s="132">
        <v>169</v>
      </c>
    </row>
    <row r="451" spans="49:49" ht="15" customHeight="1" x14ac:dyDescent="0.2">
      <c r="AW451" s="132">
        <v>170</v>
      </c>
    </row>
    <row r="452" spans="49:49" ht="15" customHeight="1" x14ac:dyDescent="0.2">
      <c r="AW452" s="132">
        <v>171</v>
      </c>
    </row>
    <row r="453" spans="49:49" ht="15" customHeight="1" x14ac:dyDescent="0.2">
      <c r="AW453" s="132">
        <v>172</v>
      </c>
    </row>
    <row r="454" spans="49:49" ht="15" customHeight="1" x14ac:dyDescent="0.2">
      <c r="AW454" s="132">
        <v>173</v>
      </c>
    </row>
    <row r="455" spans="49:49" ht="15" customHeight="1" x14ac:dyDescent="0.2">
      <c r="AW455" s="132">
        <v>174</v>
      </c>
    </row>
    <row r="456" spans="49:49" ht="15" customHeight="1" x14ac:dyDescent="0.2">
      <c r="AW456" s="132">
        <v>175</v>
      </c>
    </row>
    <row r="457" spans="49:49" ht="15" customHeight="1" x14ac:dyDescent="0.2">
      <c r="AW457" s="132">
        <v>176</v>
      </c>
    </row>
    <row r="458" spans="49:49" ht="15" customHeight="1" x14ac:dyDescent="0.2">
      <c r="AW458" s="132">
        <v>177</v>
      </c>
    </row>
    <row r="459" spans="49:49" ht="15" customHeight="1" x14ac:dyDescent="0.2">
      <c r="AW459" s="132">
        <v>178</v>
      </c>
    </row>
    <row r="460" spans="49:49" ht="15" customHeight="1" x14ac:dyDescent="0.2">
      <c r="AW460" s="132">
        <v>179</v>
      </c>
    </row>
    <row r="461" spans="49:49" ht="15" customHeight="1" x14ac:dyDescent="0.2">
      <c r="AW461" s="132">
        <v>180</v>
      </c>
    </row>
    <row r="462" spans="49:49" ht="15" customHeight="1" x14ac:dyDescent="0.2">
      <c r="AW462" s="132">
        <v>181</v>
      </c>
    </row>
    <row r="463" spans="49:49" ht="15" customHeight="1" x14ac:dyDescent="0.2">
      <c r="AW463" s="132">
        <v>182</v>
      </c>
    </row>
    <row r="464" spans="49:49" ht="15" customHeight="1" x14ac:dyDescent="0.2">
      <c r="AW464" s="132">
        <v>183</v>
      </c>
    </row>
    <row r="465" spans="49:49" ht="15" customHeight="1" x14ac:dyDescent="0.2">
      <c r="AW465" s="132">
        <v>184</v>
      </c>
    </row>
    <row r="466" spans="49:49" ht="15" customHeight="1" x14ac:dyDescent="0.2">
      <c r="AW466" s="132">
        <v>185</v>
      </c>
    </row>
    <row r="467" spans="49:49" ht="15" customHeight="1" x14ac:dyDescent="0.2">
      <c r="AW467" s="132">
        <v>186</v>
      </c>
    </row>
    <row r="468" spans="49:49" ht="15" customHeight="1" x14ac:dyDescent="0.2">
      <c r="AW468" s="132">
        <v>187</v>
      </c>
    </row>
    <row r="469" spans="49:49" ht="15" customHeight="1" x14ac:dyDescent="0.2">
      <c r="AW469" s="132">
        <v>188</v>
      </c>
    </row>
    <row r="470" spans="49:49" ht="15" customHeight="1" x14ac:dyDescent="0.2">
      <c r="AW470" s="132">
        <v>189</v>
      </c>
    </row>
    <row r="471" spans="49:49" ht="15" customHeight="1" x14ac:dyDescent="0.2">
      <c r="AW471" s="132">
        <v>190</v>
      </c>
    </row>
    <row r="472" spans="49:49" ht="15" customHeight="1" x14ac:dyDescent="0.2">
      <c r="AW472" s="132">
        <v>191</v>
      </c>
    </row>
    <row r="473" spans="49:49" ht="15" customHeight="1" x14ac:dyDescent="0.2">
      <c r="AW473" s="132">
        <v>192</v>
      </c>
    </row>
    <row r="474" spans="49:49" ht="15" customHeight="1" x14ac:dyDescent="0.2">
      <c r="AW474" s="132">
        <v>193</v>
      </c>
    </row>
    <row r="475" spans="49:49" ht="15" customHeight="1" x14ac:dyDescent="0.2">
      <c r="AW475" s="132">
        <v>194</v>
      </c>
    </row>
    <row r="476" spans="49:49" ht="15" customHeight="1" x14ac:dyDescent="0.2">
      <c r="AW476" s="132">
        <v>195</v>
      </c>
    </row>
    <row r="477" spans="49:49" ht="15" customHeight="1" x14ac:dyDescent="0.2">
      <c r="AW477" s="132">
        <v>196</v>
      </c>
    </row>
    <row r="478" spans="49:49" ht="15" customHeight="1" x14ac:dyDescent="0.2">
      <c r="AW478" s="132">
        <v>197</v>
      </c>
    </row>
    <row r="479" spans="49:49" ht="15" customHeight="1" x14ac:dyDescent="0.2">
      <c r="AW479" s="132">
        <v>198</v>
      </c>
    </row>
    <row r="480" spans="49:49" ht="15" customHeight="1" x14ac:dyDescent="0.2">
      <c r="AW480" s="132">
        <v>199</v>
      </c>
    </row>
    <row r="481" spans="49:49" ht="15" customHeight="1" x14ac:dyDescent="0.2">
      <c r="AW481" s="132">
        <v>200</v>
      </c>
    </row>
    <row r="482" spans="49:49" ht="15" customHeight="1" x14ac:dyDescent="0.2">
      <c r="AW482" s="132">
        <v>201</v>
      </c>
    </row>
    <row r="483" spans="49:49" ht="15" customHeight="1" x14ac:dyDescent="0.2">
      <c r="AW483" s="132">
        <v>202</v>
      </c>
    </row>
    <row r="484" spans="49:49" ht="15" customHeight="1" x14ac:dyDescent="0.2">
      <c r="AW484" s="132">
        <v>203</v>
      </c>
    </row>
    <row r="485" spans="49:49" ht="15" customHeight="1" x14ac:dyDescent="0.2">
      <c r="AW485" s="132">
        <v>204</v>
      </c>
    </row>
    <row r="486" spans="49:49" ht="15" customHeight="1" x14ac:dyDescent="0.2">
      <c r="AW486" s="132">
        <v>205</v>
      </c>
    </row>
    <row r="487" spans="49:49" ht="15" customHeight="1" x14ac:dyDescent="0.2">
      <c r="AW487" s="132">
        <v>206</v>
      </c>
    </row>
    <row r="488" spans="49:49" ht="15" customHeight="1" x14ac:dyDescent="0.2">
      <c r="AW488" s="132">
        <v>207</v>
      </c>
    </row>
    <row r="489" spans="49:49" ht="15" customHeight="1" x14ac:dyDescent="0.2">
      <c r="AW489" s="132">
        <v>208</v>
      </c>
    </row>
    <row r="490" spans="49:49" ht="15" customHeight="1" x14ac:dyDescent="0.2">
      <c r="AW490" s="132">
        <v>209</v>
      </c>
    </row>
    <row r="491" spans="49:49" ht="15" customHeight="1" x14ac:dyDescent="0.2">
      <c r="AW491" s="132">
        <v>210</v>
      </c>
    </row>
    <row r="492" spans="49:49" ht="15" customHeight="1" x14ac:dyDescent="0.2">
      <c r="AW492" s="132">
        <v>211</v>
      </c>
    </row>
    <row r="493" spans="49:49" ht="15" customHeight="1" x14ac:dyDescent="0.2">
      <c r="AW493" s="132">
        <v>212</v>
      </c>
    </row>
    <row r="494" spans="49:49" ht="15" customHeight="1" x14ac:dyDescent="0.2">
      <c r="AW494" s="132">
        <v>213</v>
      </c>
    </row>
    <row r="495" spans="49:49" ht="15" customHeight="1" x14ac:dyDescent="0.2">
      <c r="AW495" s="132">
        <v>214</v>
      </c>
    </row>
    <row r="496" spans="49:49" ht="15" customHeight="1" x14ac:dyDescent="0.2">
      <c r="AW496" s="132">
        <v>215</v>
      </c>
    </row>
    <row r="497" spans="49:49" ht="15" customHeight="1" x14ac:dyDescent="0.2">
      <c r="AW497" s="132">
        <v>216</v>
      </c>
    </row>
    <row r="498" spans="49:49" ht="15" customHeight="1" x14ac:dyDescent="0.2">
      <c r="AW498" s="132">
        <v>217</v>
      </c>
    </row>
    <row r="499" spans="49:49" ht="15" customHeight="1" x14ac:dyDescent="0.2">
      <c r="AW499" s="132">
        <v>218</v>
      </c>
    </row>
    <row r="500" spans="49:49" ht="15" customHeight="1" x14ac:dyDescent="0.2">
      <c r="AW500" s="132">
        <v>219</v>
      </c>
    </row>
    <row r="501" spans="49:49" ht="15" customHeight="1" x14ac:dyDescent="0.2">
      <c r="AW501" s="132">
        <v>220</v>
      </c>
    </row>
    <row r="502" spans="49:49" ht="15" customHeight="1" x14ac:dyDescent="0.2">
      <c r="AW502" s="132">
        <v>221</v>
      </c>
    </row>
    <row r="503" spans="49:49" ht="15" customHeight="1" x14ac:dyDescent="0.2">
      <c r="AW503" s="132">
        <v>222</v>
      </c>
    </row>
    <row r="504" spans="49:49" ht="15" customHeight="1" x14ac:dyDescent="0.2">
      <c r="AW504" s="132">
        <v>223</v>
      </c>
    </row>
    <row r="505" spans="49:49" ht="15" customHeight="1" x14ac:dyDescent="0.2">
      <c r="AW505" s="132">
        <v>224</v>
      </c>
    </row>
    <row r="506" spans="49:49" ht="15" customHeight="1" x14ac:dyDescent="0.2">
      <c r="AW506" s="132">
        <v>225</v>
      </c>
    </row>
    <row r="507" spans="49:49" ht="15" customHeight="1" x14ac:dyDescent="0.2">
      <c r="AW507" s="132">
        <v>226</v>
      </c>
    </row>
    <row r="508" spans="49:49" ht="15" customHeight="1" x14ac:dyDescent="0.2">
      <c r="AW508" s="132">
        <v>227</v>
      </c>
    </row>
    <row r="509" spans="49:49" ht="15" customHeight="1" x14ac:dyDescent="0.2">
      <c r="AW509" s="132">
        <v>228</v>
      </c>
    </row>
    <row r="510" spans="49:49" ht="15" customHeight="1" x14ac:dyDescent="0.2">
      <c r="AW510" s="132">
        <v>229</v>
      </c>
    </row>
    <row r="511" spans="49:49" ht="15" customHeight="1" x14ac:dyDescent="0.2">
      <c r="AW511" s="132">
        <v>230</v>
      </c>
    </row>
    <row r="512" spans="49:49" ht="15" customHeight="1" x14ac:dyDescent="0.2">
      <c r="AW512" s="132">
        <v>231</v>
      </c>
    </row>
    <row r="513" spans="49:49" ht="15" customHeight="1" x14ac:dyDescent="0.2">
      <c r="AW513" s="132">
        <v>232</v>
      </c>
    </row>
    <row r="514" spans="49:49" ht="15" customHeight="1" x14ac:dyDescent="0.2">
      <c r="AW514" s="132">
        <v>233</v>
      </c>
    </row>
    <row r="515" spans="49:49" ht="15" customHeight="1" x14ac:dyDescent="0.2">
      <c r="AW515" s="132">
        <v>234</v>
      </c>
    </row>
    <row r="516" spans="49:49" ht="15" customHeight="1" x14ac:dyDescent="0.2">
      <c r="AW516" s="132">
        <v>235</v>
      </c>
    </row>
    <row r="517" spans="49:49" ht="15" customHeight="1" x14ac:dyDescent="0.2">
      <c r="AW517" s="132">
        <v>236</v>
      </c>
    </row>
    <row r="518" spans="49:49" ht="15" customHeight="1" x14ac:dyDescent="0.2">
      <c r="AW518" s="132">
        <v>237</v>
      </c>
    </row>
    <row r="519" spans="49:49" ht="15" customHeight="1" x14ac:dyDescent="0.2">
      <c r="AW519" s="132">
        <v>238</v>
      </c>
    </row>
    <row r="520" spans="49:49" ht="15" customHeight="1" x14ac:dyDescent="0.2">
      <c r="AW520" s="132">
        <v>239</v>
      </c>
    </row>
    <row r="521" spans="49:49" ht="15" customHeight="1" x14ac:dyDescent="0.2">
      <c r="AW521" s="132">
        <v>240</v>
      </c>
    </row>
    <row r="522" spans="49:49" ht="15" customHeight="1" x14ac:dyDescent="0.2">
      <c r="AW522" s="132">
        <v>241</v>
      </c>
    </row>
    <row r="523" spans="49:49" ht="15" customHeight="1" x14ac:dyDescent="0.2">
      <c r="AW523" s="132">
        <v>242</v>
      </c>
    </row>
    <row r="524" spans="49:49" ht="15" customHeight="1" x14ac:dyDescent="0.2">
      <c r="AW524" s="132">
        <v>243</v>
      </c>
    </row>
    <row r="525" spans="49:49" ht="15" customHeight="1" x14ac:dyDescent="0.2">
      <c r="AW525" s="132">
        <v>244</v>
      </c>
    </row>
    <row r="526" spans="49:49" ht="15" customHeight="1" x14ac:dyDescent="0.2">
      <c r="AW526" s="132">
        <v>245</v>
      </c>
    </row>
    <row r="527" spans="49:49" ht="15" customHeight="1" x14ac:dyDescent="0.2">
      <c r="AW527" s="132">
        <v>246</v>
      </c>
    </row>
    <row r="528" spans="49:49" ht="15" customHeight="1" x14ac:dyDescent="0.2">
      <c r="AW528" s="132">
        <v>247</v>
      </c>
    </row>
    <row r="529" spans="49:49" ht="15" customHeight="1" x14ac:dyDescent="0.2">
      <c r="AW529" s="132">
        <v>248</v>
      </c>
    </row>
    <row r="530" spans="49:49" ht="15" customHeight="1" x14ac:dyDescent="0.2">
      <c r="AW530" s="132">
        <v>249</v>
      </c>
    </row>
    <row r="531" spans="49:49" ht="15" customHeight="1" x14ac:dyDescent="0.2">
      <c r="AW531" s="132">
        <v>250</v>
      </c>
    </row>
    <row r="532" spans="49:49" ht="15" customHeight="1" x14ac:dyDescent="0.2">
      <c r="AW532" s="132">
        <v>251</v>
      </c>
    </row>
    <row r="533" spans="49:49" ht="15" customHeight="1" x14ac:dyDescent="0.2">
      <c r="AW533" s="132">
        <v>252</v>
      </c>
    </row>
    <row r="534" spans="49:49" ht="15" customHeight="1" x14ac:dyDescent="0.2">
      <c r="AW534" s="132">
        <v>253</v>
      </c>
    </row>
    <row r="535" spans="49:49" ht="15" customHeight="1" x14ac:dyDescent="0.2">
      <c r="AW535" s="132">
        <v>254</v>
      </c>
    </row>
    <row r="536" spans="49:49" ht="15" customHeight="1" x14ac:dyDescent="0.2">
      <c r="AW536" s="132">
        <v>255</v>
      </c>
    </row>
    <row r="537" spans="49:49" ht="15" customHeight="1" x14ac:dyDescent="0.2">
      <c r="AW537" s="132">
        <v>256</v>
      </c>
    </row>
    <row r="538" spans="49:49" ht="15" customHeight="1" x14ac:dyDescent="0.2">
      <c r="AW538" s="132">
        <v>257</v>
      </c>
    </row>
    <row r="539" spans="49:49" ht="15" customHeight="1" x14ac:dyDescent="0.2">
      <c r="AW539" s="132">
        <v>258</v>
      </c>
    </row>
    <row r="540" spans="49:49" ht="15" customHeight="1" x14ac:dyDescent="0.2">
      <c r="AW540" s="132">
        <v>259</v>
      </c>
    </row>
    <row r="541" spans="49:49" ht="15" customHeight="1" x14ac:dyDescent="0.2">
      <c r="AW541" s="132">
        <v>260</v>
      </c>
    </row>
    <row r="542" spans="49:49" ht="15" customHeight="1" x14ac:dyDescent="0.2">
      <c r="AW542" s="132">
        <v>261</v>
      </c>
    </row>
    <row r="543" spans="49:49" ht="15" customHeight="1" x14ac:dyDescent="0.2">
      <c r="AW543" s="132">
        <v>262</v>
      </c>
    </row>
    <row r="544" spans="49:49" ht="15" customHeight="1" x14ac:dyDescent="0.2">
      <c r="AW544" s="132">
        <v>263</v>
      </c>
    </row>
    <row r="545" spans="49:49" ht="15" customHeight="1" x14ac:dyDescent="0.2">
      <c r="AW545" s="132">
        <v>264</v>
      </c>
    </row>
    <row r="546" spans="49:49" ht="15" customHeight="1" x14ac:dyDescent="0.2">
      <c r="AW546" s="132">
        <v>265</v>
      </c>
    </row>
    <row r="547" spans="49:49" ht="15" customHeight="1" x14ac:dyDescent="0.2">
      <c r="AW547" s="132">
        <v>266</v>
      </c>
    </row>
    <row r="548" spans="49:49" ht="15" customHeight="1" x14ac:dyDescent="0.2">
      <c r="AW548" s="132">
        <v>267</v>
      </c>
    </row>
    <row r="549" spans="49:49" ht="15" customHeight="1" x14ac:dyDescent="0.2">
      <c r="AW549" s="132">
        <v>268</v>
      </c>
    </row>
    <row r="550" spans="49:49" ht="15" customHeight="1" x14ac:dyDescent="0.2">
      <c r="AW550" s="132">
        <v>269</v>
      </c>
    </row>
    <row r="551" spans="49:49" ht="15" customHeight="1" x14ac:dyDescent="0.2">
      <c r="AW551" s="132">
        <v>270</v>
      </c>
    </row>
    <row r="552" spans="49:49" ht="15" customHeight="1" x14ac:dyDescent="0.2">
      <c r="AW552" s="132">
        <v>271</v>
      </c>
    </row>
    <row r="553" spans="49:49" ht="15" customHeight="1" x14ac:dyDescent="0.2">
      <c r="AW553" s="132">
        <v>272</v>
      </c>
    </row>
    <row r="554" spans="49:49" ht="15" customHeight="1" x14ac:dyDescent="0.2">
      <c r="AW554" s="132">
        <v>273</v>
      </c>
    </row>
    <row r="555" spans="49:49" ht="15" customHeight="1" x14ac:dyDescent="0.2">
      <c r="AW555" s="132">
        <v>274</v>
      </c>
    </row>
    <row r="556" spans="49:49" ht="15" customHeight="1" x14ac:dyDescent="0.2">
      <c r="AW556" s="132">
        <v>275</v>
      </c>
    </row>
    <row r="557" spans="49:49" ht="15" customHeight="1" x14ac:dyDescent="0.2">
      <c r="AW557" s="132">
        <v>276</v>
      </c>
    </row>
    <row r="558" spans="49:49" ht="15" customHeight="1" x14ac:dyDescent="0.2">
      <c r="AW558" s="132">
        <v>277</v>
      </c>
    </row>
    <row r="559" spans="49:49" ht="15" customHeight="1" x14ac:dyDescent="0.2">
      <c r="AW559" s="132">
        <v>278</v>
      </c>
    </row>
    <row r="560" spans="49:49" ht="15" customHeight="1" x14ac:dyDescent="0.2">
      <c r="AW560" s="132">
        <v>279</v>
      </c>
    </row>
    <row r="561" spans="49:49" ht="15" customHeight="1" x14ac:dyDescent="0.2">
      <c r="AW561" s="132">
        <v>280</v>
      </c>
    </row>
    <row r="562" spans="49:49" ht="15" customHeight="1" x14ac:dyDescent="0.2">
      <c r="AW562" s="132">
        <v>281</v>
      </c>
    </row>
    <row r="563" spans="49:49" ht="15" customHeight="1" x14ac:dyDescent="0.2">
      <c r="AW563" s="132">
        <v>282</v>
      </c>
    </row>
    <row r="564" spans="49:49" ht="15" customHeight="1" x14ac:dyDescent="0.2">
      <c r="AW564" s="132">
        <v>283</v>
      </c>
    </row>
    <row r="565" spans="49:49" ht="15" customHeight="1" x14ac:dyDescent="0.2">
      <c r="AW565" s="132">
        <v>284</v>
      </c>
    </row>
    <row r="566" spans="49:49" ht="15" customHeight="1" x14ac:dyDescent="0.2">
      <c r="AW566" s="132">
        <v>285</v>
      </c>
    </row>
    <row r="567" spans="49:49" ht="15" customHeight="1" x14ac:dyDescent="0.2">
      <c r="AW567" s="132">
        <v>286</v>
      </c>
    </row>
    <row r="568" spans="49:49" ht="15" customHeight="1" x14ac:dyDescent="0.2">
      <c r="AW568" s="132">
        <v>287</v>
      </c>
    </row>
    <row r="569" spans="49:49" ht="15" customHeight="1" x14ac:dyDescent="0.2">
      <c r="AW569" s="132">
        <v>288</v>
      </c>
    </row>
    <row r="570" spans="49:49" ht="15" customHeight="1" x14ac:dyDescent="0.2">
      <c r="AW570" s="132">
        <v>289</v>
      </c>
    </row>
    <row r="571" spans="49:49" ht="15" customHeight="1" x14ac:dyDescent="0.2">
      <c r="AW571" s="132">
        <v>290</v>
      </c>
    </row>
    <row r="572" spans="49:49" ht="15" customHeight="1" x14ac:dyDescent="0.2">
      <c r="AW572" s="132">
        <v>291</v>
      </c>
    </row>
    <row r="573" spans="49:49" ht="15" customHeight="1" x14ac:dyDescent="0.2">
      <c r="AW573" s="132">
        <v>292</v>
      </c>
    </row>
    <row r="574" spans="49:49" ht="15" customHeight="1" x14ac:dyDescent="0.2">
      <c r="AW574" s="132">
        <v>293</v>
      </c>
    </row>
    <row r="575" spans="49:49" ht="15" customHeight="1" x14ac:dyDescent="0.2">
      <c r="AW575" s="132">
        <v>294</v>
      </c>
    </row>
    <row r="576" spans="49:49" ht="15" customHeight="1" x14ac:dyDescent="0.2">
      <c r="AW576" s="132">
        <v>295</v>
      </c>
    </row>
    <row r="577" spans="49:49" ht="15" customHeight="1" x14ac:dyDescent="0.2">
      <c r="AW577" s="132">
        <v>296</v>
      </c>
    </row>
    <row r="578" spans="49:49" ht="15" customHeight="1" x14ac:dyDescent="0.2">
      <c r="AW578" s="132">
        <v>297</v>
      </c>
    </row>
    <row r="579" spans="49:49" ht="15" customHeight="1" x14ac:dyDescent="0.2">
      <c r="AW579" s="132">
        <v>298</v>
      </c>
    </row>
    <row r="580" spans="49:49" ht="15" customHeight="1" x14ac:dyDescent="0.2">
      <c r="AW580" s="132">
        <v>299</v>
      </c>
    </row>
    <row r="581" spans="49:49" ht="15" customHeight="1" x14ac:dyDescent="0.2">
      <c r="AW581" s="132">
        <v>300</v>
      </c>
    </row>
    <row r="582" spans="49:49" ht="15" customHeight="1" x14ac:dyDescent="0.2">
      <c r="AW582" s="132">
        <v>301</v>
      </c>
    </row>
    <row r="583" spans="49:49" ht="15" customHeight="1" x14ac:dyDescent="0.2">
      <c r="AW583" s="132">
        <v>302</v>
      </c>
    </row>
    <row r="584" spans="49:49" ht="15" customHeight="1" x14ac:dyDescent="0.2">
      <c r="AW584" s="132">
        <v>303</v>
      </c>
    </row>
    <row r="585" spans="49:49" ht="15" customHeight="1" x14ac:dyDescent="0.2">
      <c r="AW585" s="132">
        <v>304</v>
      </c>
    </row>
    <row r="586" spans="49:49" ht="15" customHeight="1" x14ac:dyDescent="0.2">
      <c r="AW586" s="132">
        <v>305</v>
      </c>
    </row>
    <row r="587" spans="49:49" ht="15" customHeight="1" x14ac:dyDescent="0.2">
      <c r="AW587" s="132">
        <v>306</v>
      </c>
    </row>
    <row r="588" spans="49:49" ht="15" customHeight="1" x14ac:dyDescent="0.2">
      <c r="AW588" s="132">
        <v>307</v>
      </c>
    </row>
    <row r="589" spans="49:49" ht="15" customHeight="1" x14ac:dyDescent="0.2">
      <c r="AW589" s="132">
        <v>308</v>
      </c>
    </row>
    <row r="590" spans="49:49" ht="15" customHeight="1" x14ac:dyDescent="0.2">
      <c r="AW590" s="132">
        <v>309</v>
      </c>
    </row>
    <row r="591" spans="49:49" ht="15" customHeight="1" x14ac:dyDescent="0.2">
      <c r="AW591" s="132">
        <v>310</v>
      </c>
    </row>
    <row r="592" spans="49:49" ht="15" customHeight="1" x14ac:dyDescent="0.2">
      <c r="AW592" s="132">
        <v>311</v>
      </c>
    </row>
    <row r="593" spans="49:49" ht="15" customHeight="1" x14ac:dyDescent="0.2">
      <c r="AW593" s="132">
        <v>312</v>
      </c>
    </row>
    <row r="594" spans="49:49" ht="15" customHeight="1" x14ac:dyDescent="0.2">
      <c r="AW594" s="132">
        <v>313</v>
      </c>
    </row>
    <row r="595" spans="49:49" ht="15" customHeight="1" x14ac:dyDescent="0.2">
      <c r="AW595" s="132">
        <v>314</v>
      </c>
    </row>
    <row r="596" spans="49:49" ht="15" customHeight="1" x14ac:dyDescent="0.2">
      <c r="AW596" s="132">
        <v>315</v>
      </c>
    </row>
    <row r="597" spans="49:49" ht="15" customHeight="1" x14ac:dyDescent="0.2">
      <c r="AW597" s="132">
        <v>316</v>
      </c>
    </row>
    <row r="598" spans="49:49" ht="15" customHeight="1" x14ac:dyDescent="0.2">
      <c r="AW598" s="132">
        <v>317</v>
      </c>
    </row>
    <row r="599" spans="49:49" ht="15" customHeight="1" x14ac:dyDescent="0.2">
      <c r="AW599" s="132">
        <v>318</v>
      </c>
    </row>
    <row r="600" spans="49:49" ht="15" customHeight="1" x14ac:dyDescent="0.2">
      <c r="AW600" s="132">
        <v>319</v>
      </c>
    </row>
    <row r="601" spans="49:49" ht="15" customHeight="1" x14ac:dyDescent="0.2">
      <c r="AW601" s="132">
        <v>320</v>
      </c>
    </row>
    <row r="602" spans="49:49" ht="15" customHeight="1" x14ac:dyDescent="0.2">
      <c r="AW602" s="132">
        <v>321</v>
      </c>
    </row>
    <row r="603" spans="49:49" ht="15" customHeight="1" x14ac:dyDescent="0.2">
      <c r="AW603" s="132">
        <v>322</v>
      </c>
    </row>
    <row r="604" spans="49:49" ht="15" customHeight="1" x14ac:dyDescent="0.2">
      <c r="AW604" s="132">
        <v>323</v>
      </c>
    </row>
    <row r="605" spans="49:49" ht="15" customHeight="1" x14ac:dyDescent="0.2">
      <c r="AW605" s="132">
        <v>324</v>
      </c>
    </row>
    <row r="606" spans="49:49" ht="15" customHeight="1" x14ac:dyDescent="0.2">
      <c r="AW606" s="132">
        <v>325</v>
      </c>
    </row>
    <row r="607" spans="49:49" ht="15" customHeight="1" x14ac:dyDescent="0.2">
      <c r="AW607" s="132">
        <v>326</v>
      </c>
    </row>
    <row r="608" spans="49:49" ht="15" customHeight="1" x14ac:dyDescent="0.2">
      <c r="AW608" s="132">
        <v>327</v>
      </c>
    </row>
    <row r="609" spans="49:49" ht="15" customHeight="1" x14ac:dyDescent="0.2">
      <c r="AW609" s="132">
        <v>328</v>
      </c>
    </row>
    <row r="610" spans="49:49" ht="15" customHeight="1" x14ac:dyDescent="0.2">
      <c r="AW610" s="132">
        <v>329</v>
      </c>
    </row>
    <row r="611" spans="49:49" ht="15" customHeight="1" x14ac:dyDescent="0.2">
      <c r="AW611" s="132">
        <v>330</v>
      </c>
    </row>
    <row r="612" spans="49:49" ht="15" customHeight="1" x14ac:dyDescent="0.2">
      <c r="AW612" s="132">
        <v>331</v>
      </c>
    </row>
    <row r="613" spans="49:49" ht="15" customHeight="1" x14ac:dyDescent="0.2">
      <c r="AW613" s="132">
        <v>332</v>
      </c>
    </row>
    <row r="614" spans="49:49" ht="15" customHeight="1" x14ac:dyDescent="0.2">
      <c r="AW614" s="132">
        <v>333</v>
      </c>
    </row>
    <row r="615" spans="49:49" ht="15" customHeight="1" x14ac:dyDescent="0.2">
      <c r="AW615" s="132">
        <v>334</v>
      </c>
    </row>
    <row r="616" spans="49:49" ht="15" customHeight="1" x14ac:dyDescent="0.2">
      <c r="AW616" s="132">
        <v>335</v>
      </c>
    </row>
    <row r="617" spans="49:49" ht="15" customHeight="1" x14ac:dyDescent="0.2">
      <c r="AW617" s="132">
        <v>336</v>
      </c>
    </row>
    <row r="618" spans="49:49" ht="15" customHeight="1" x14ac:dyDescent="0.2">
      <c r="AW618" s="132">
        <v>337</v>
      </c>
    </row>
    <row r="619" spans="49:49" ht="15" customHeight="1" x14ac:dyDescent="0.2">
      <c r="AW619" s="132">
        <v>338</v>
      </c>
    </row>
    <row r="620" spans="49:49" ht="15" customHeight="1" x14ac:dyDescent="0.2">
      <c r="AW620" s="132">
        <v>339</v>
      </c>
    </row>
    <row r="621" spans="49:49" ht="15" customHeight="1" x14ac:dyDescent="0.2">
      <c r="AW621" s="132">
        <v>340</v>
      </c>
    </row>
    <row r="622" spans="49:49" ht="15" customHeight="1" x14ac:dyDescent="0.2">
      <c r="AW622" s="132">
        <v>341</v>
      </c>
    </row>
    <row r="623" spans="49:49" ht="15" customHeight="1" x14ac:dyDescent="0.2">
      <c r="AW623" s="132">
        <v>342</v>
      </c>
    </row>
    <row r="624" spans="49:49" ht="15" customHeight="1" x14ac:dyDescent="0.2">
      <c r="AW624" s="132">
        <v>343</v>
      </c>
    </row>
    <row r="625" spans="49:49" ht="15" customHeight="1" x14ac:dyDescent="0.2">
      <c r="AW625" s="132">
        <v>344</v>
      </c>
    </row>
    <row r="626" spans="49:49" ht="15" customHeight="1" x14ac:dyDescent="0.2">
      <c r="AW626" s="132">
        <v>345</v>
      </c>
    </row>
    <row r="627" spans="49:49" ht="15" customHeight="1" x14ac:dyDescent="0.2">
      <c r="AW627" s="132">
        <v>346</v>
      </c>
    </row>
    <row r="628" spans="49:49" ht="15" customHeight="1" x14ac:dyDescent="0.2">
      <c r="AW628" s="132">
        <v>347</v>
      </c>
    </row>
    <row r="629" spans="49:49" ht="15" customHeight="1" x14ac:dyDescent="0.2">
      <c r="AW629" s="132">
        <v>348</v>
      </c>
    </row>
    <row r="630" spans="49:49" ht="15" customHeight="1" x14ac:dyDescent="0.2">
      <c r="AW630" s="132">
        <v>349</v>
      </c>
    </row>
    <row r="631" spans="49:49" ht="15" customHeight="1" x14ac:dyDescent="0.2">
      <c r="AW631" s="132">
        <v>350</v>
      </c>
    </row>
    <row r="632" spans="49:49" ht="15" customHeight="1" x14ac:dyDescent="0.2">
      <c r="AW632" s="132">
        <v>351</v>
      </c>
    </row>
    <row r="633" spans="49:49" ht="15" customHeight="1" x14ac:dyDescent="0.2">
      <c r="AW633" s="132">
        <v>352</v>
      </c>
    </row>
    <row r="634" spans="49:49" ht="15" customHeight="1" x14ac:dyDescent="0.2">
      <c r="AW634" s="132">
        <v>353</v>
      </c>
    </row>
    <row r="635" spans="49:49" ht="15" customHeight="1" x14ac:dyDescent="0.2">
      <c r="AW635" s="132">
        <v>354</v>
      </c>
    </row>
    <row r="636" spans="49:49" ht="15" customHeight="1" x14ac:dyDescent="0.2">
      <c r="AW636" s="132">
        <v>355</v>
      </c>
    </row>
    <row r="637" spans="49:49" ht="15" customHeight="1" x14ac:dyDescent="0.2">
      <c r="AW637" s="132">
        <v>356</v>
      </c>
    </row>
    <row r="638" spans="49:49" ht="15" customHeight="1" x14ac:dyDescent="0.2">
      <c r="AW638" s="132">
        <v>357</v>
      </c>
    </row>
    <row r="639" spans="49:49" ht="15" customHeight="1" x14ac:dyDescent="0.2">
      <c r="AW639" s="132">
        <v>358</v>
      </c>
    </row>
    <row r="640" spans="49:49" ht="15" customHeight="1" x14ac:dyDescent="0.2">
      <c r="AW640" s="132">
        <v>359</v>
      </c>
    </row>
    <row r="641" spans="49:49" ht="15" customHeight="1" x14ac:dyDescent="0.2">
      <c r="AW641" s="132">
        <v>360</v>
      </c>
    </row>
    <row r="642" spans="49:49" ht="15" customHeight="1" x14ac:dyDescent="0.2">
      <c r="AW642" s="132">
        <v>361</v>
      </c>
    </row>
    <row r="643" spans="49:49" ht="15" customHeight="1" x14ac:dyDescent="0.2">
      <c r="AW643" s="132">
        <v>362</v>
      </c>
    </row>
    <row r="644" spans="49:49" ht="15" customHeight="1" x14ac:dyDescent="0.2">
      <c r="AW644" s="132">
        <v>363</v>
      </c>
    </row>
    <row r="645" spans="49:49" ht="15" customHeight="1" x14ac:dyDescent="0.2">
      <c r="AW645" s="132">
        <v>364</v>
      </c>
    </row>
    <row r="646" spans="49:49" ht="15" customHeight="1" x14ac:dyDescent="0.2">
      <c r="AW646" s="132">
        <v>365</v>
      </c>
    </row>
    <row r="647" spans="49:49" ht="15" customHeight="1" x14ac:dyDescent="0.2">
      <c r="AW647" s="132">
        <v>366</v>
      </c>
    </row>
    <row r="648" spans="49:49" ht="15" customHeight="1" x14ac:dyDescent="0.2">
      <c r="AW648" s="132">
        <v>367</v>
      </c>
    </row>
    <row r="649" spans="49:49" ht="15" customHeight="1" x14ac:dyDescent="0.2">
      <c r="AW649" s="132">
        <v>368</v>
      </c>
    </row>
    <row r="650" spans="49:49" ht="15" customHeight="1" x14ac:dyDescent="0.2">
      <c r="AW650" s="132">
        <v>369</v>
      </c>
    </row>
    <row r="651" spans="49:49" ht="15" customHeight="1" x14ac:dyDescent="0.2">
      <c r="AW651" s="132">
        <v>370</v>
      </c>
    </row>
    <row r="652" spans="49:49" ht="15" customHeight="1" x14ac:dyDescent="0.2">
      <c r="AW652" s="132">
        <v>371</v>
      </c>
    </row>
    <row r="653" spans="49:49" ht="15" customHeight="1" x14ac:dyDescent="0.2">
      <c r="AW653" s="132">
        <v>372</v>
      </c>
    </row>
    <row r="654" spans="49:49" ht="15" customHeight="1" x14ac:dyDescent="0.2">
      <c r="AW654" s="132">
        <v>373</v>
      </c>
    </row>
    <row r="655" spans="49:49" ht="15" customHeight="1" x14ac:dyDescent="0.2">
      <c r="AW655" s="132">
        <v>374</v>
      </c>
    </row>
    <row r="656" spans="49:49" ht="15" customHeight="1" x14ac:dyDescent="0.2">
      <c r="AW656" s="132">
        <v>375</v>
      </c>
    </row>
    <row r="657" spans="49:49" ht="15" customHeight="1" x14ac:dyDescent="0.2">
      <c r="AW657" s="132">
        <v>376</v>
      </c>
    </row>
    <row r="658" spans="49:49" ht="15" customHeight="1" x14ac:dyDescent="0.2">
      <c r="AW658" s="132">
        <v>377</v>
      </c>
    </row>
    <row r="659" spans="49:49" ht="15" customHeight="1" x14ac:dyDescent="0.2">
      <c r="AW659" s="132">
        <v>378</v>
      </c>
    </row>
    <row r="660" spans="49:49" ht="15" customHeight="1" x14ac:dyDescent="0.2">
      <c r="AW660" s="132">
        <v>379</v>
      </c>
    </row>
    <row r="661" spans="49:49" ht="15" customHeight="1" x14ac:dyDescent="0.2">
      <c r="AW661" s="132">
        <v>380</v>
      </c>
    </row>
    <row r="662" spans="49:49" ht="15" customHeight="1" x14ac:dyDescent="0.2">
      <c r="AW662" s="132">
        <v>381</v>
      </c>
    </row>
    <row r="663" spans="49:49" ht="15" customHeight="1" x14ac:dyDescent="0.2">
      <c r="AW663" s="132">
        <v>382</v>
      </c>
    </row>
    <row r="664" spans="49:49" ht="15" customHeight="1" x14ac:dyDescent="0.2">
      <c r="AW664" s="132">
        <v>383</v>
      </c>
    </row>
    <row r="665" spans="49:49" ht="15" customHeight="1" x14ac:dyDescent="0.2">
      <c r="AW665" s="132">
        <v>384</v>
      </c>
    </row>
    <row r="666" spans="49:49" ht="15" customHeight="1" x14ac:dyDescent="0.2">
      <c r="AW666" s="132">
        <v>385</v>
      </c>
    </row>
    <row r="667" spans="49:49" ht="15" customHeight="1" x14ac:dyDescent="0.2">
      <c r="AW667" s="132">
        <v>386</v>
      </c>
    </row>
    <row r="668" spans="49:49" ht="15" customHeight="1" x14ac:dyDescent="0.2">
      <c r="AW668" s="132">
        <v>387</v>
      </c>
    </row>
    <row r="669" spans="49:49" ht="15" customHeight="1" x14ac:dyDescent="0.2">
      <c r="AW669" s="132">
        <v>388</v>
      </c>
    </row>
    <row r="670" spans="49:49" ht="15" customHeight="1" x14ac:dyDescent="0.2">
      <c r="AW670" s="132">
        <v>389</v>
      </c>
    </row>
    <row r="671" spans="49:49" ht="15" customHeight="1" x14ac:dyDescent="0.2">
      <c r="AW671" s="132">
        <v>390</v>
      </c>
    </row>
    <row r="672" spans="49:49" ht="15" customHeight="1" x14ac:dyDescent="0.2">
      <c r="AW672" s="132">
        <v>391</v>
      </c>
    </row>
    <row r="673" spans="49:49" ht="15" customHeight="1" x14ac:dyDescent="0.2">
      <c r="AW673" s="132">
        <v>392</v>
      </c>
    </row>
    <row r="674" spans="49:49" ht="15" customHeight="1" x14ac:dyDescent="0.2">
      <c r="AW674" s="132">
        <v>393</v>
      </c>
    </row>
    <row r="675" spans="49:49" ht="15" customHeight="1" x14ac:dyDescent="0.2">
      <c r="AW675" s="132">
        <v>394</v>
      </c>
    </row>
    <row r="676" spans="49:49" ht="15" customHeight="1" x14ac:dyDescent="0.2">
      <c r="AW676" s="132">
        <v>395</v>
      </c>
    </row>
    <row r="677" spans="49:49" ht="15" customHeight="1" x14ac:dyDescent="0.2">
      <c r="AW677" s="132">
        <v>396</v>
      </c>
    </row>
    <row r="678" spans="49:49" ht="15" customHeight="1" x14ac:dyDescent="0.2">
      <c r="AW678" s="132">
        <v>397</v>
      </c>
    </row>
    <row r="679" spans="49:49" ht="15" customHeight="1" x14ac:dyDescent="0.2">
      <c r="AW679" s="132">
        <v>398</v>
      </c>
    </row>
    <row r="680" spans="49:49" ht="15" customHeight="1" x14ac:dyDescent="0.2">
      <c r="AW680" s="132">
        <v>399</v>
      </c>
    </row>
    <row r="681" spans="49:49" ht="15" customHeight="1" x14ac:dyDescent="0.2">
      <c r="AW681" s="132">
        <v>400</v>
      </c>
    </row>
    <row r="682" spans="49:49" ht="15" customHeight="1" x14ac:dyDescent="0.2">
      <c r="AW682" s="132">
        <v>401</v>
      </c>
    </row>
    <row r="683" spans="49:49" ht="15" customHeight="1" x14ac:dyDescent="0.2">
      <c r="AW683" s="132">
        <v>402</v>
      </c>
    </row>
    <row r="684" spans="49:49" ht="15" customHeight="1" x14ac:dyDescent="0.2">
      <c r="AW684" s="132">
        <v>403</v>
      </c>
    </row>
    <row r="685" spans="49:49" ht="15" customHeight="1" x14ac:dyDescent="0.2">
      <c r="AW685" s="132">
        <v>404</v>
      </c>
    </row>
    <row r="686" spans="49:49" ht="15" customHeight="1" x14ac:dyDescent="0.2">
      <c r="AW686" s="132">
        <v>405</v>
      </c>
    </row>
    <row r="687" spans="49:49" ht="15" customHeight="1" x14ac:dyDescent="0.2">
      <c r="AW687" s="132">
        <v>406</v>
      </c>
    </row>
    <row r="688" spans="49:49" ht="15" customHeight="1" x14ac:dyDescent="0.2">
      <c r="AW688" s="132">
        <v>407</v>
      </c>
    </row>
    <row r="689" spans="49:49" ht="15" customHeight="1" x14ac:dyDescent="0.2">
      <c r="AW689" s="132">
        <v>408</v>
      </c>
    </row>
    <row r="690" spans="49:49" ht="15" customHeight="1" x14ac:dyDescent="0.2">
      <c r="AW690" s="132">
        <v>409</v>
      </c>
    </row>
    <row r="691" spans="49:49" ht="15" customHeight="1" x14ac:dyDescent="0.2">
      <c r="AW691" s="132">
        <v>410</v>
      </c>
    </row>
    <row r="692" spans="49:49" ht="15" customHeight="1" x14ac:dyDescent="0.2">
      <c r="AW692" s="132">
        <v>411</v>
      </c>
    </row>
    <row r="693" spans="49:49" ht="15" customHeight="1" x14ac:dyDescent="0.2">
      <c r="AW693" s="132">
        <v>412</v>
      </c>
    </row>
    <row r="694" spans="49:49" ht="15" customHeight="1" x14ac:dyDescent="0.2">
      <c r="AW694" s="132">
        <v>413</v>
      </c>
    </row>
    <row r="695" spans="49:49" ht="15" customHeight="1" x14ac:dyDescent="0.2">
      <c r="AW695" s="132">
        <v>414</v>
      </c>
    </row>
    <row r="696" spans="49:49" ht="15" customHeight="1" x14ac:dyDescent="0.2">
      <c r="AW696" s="132">
        <v>415</v>
      </c>
    </row>
    <row r="697" spans="49:49" ht="15" customHeight="1" x14ac:dyDescent="0.2">
      <c r="AW697" s="132">
        <v>416</v>
      </c>
    </row>
    <row r="698" spans="49:49" ht="15" customHeight="1" x14ac:dyDescent="0.2">
      <c r="AW698" s="132">
        <v>417</v>
      </c>
    </row>
    <row r="699" spans="49:49" ht="15" customHeight="1" x14ac:dyDescent="0.2">
      <c r="AW699" s="132">
        <v>418</v>
      </c>
    </row>
    <row r="700" spans="49:49" ht="15" customHeight="1" x14ac:dyDescent="0.2">
      <c r="AW700" s="132">
        <v>419</v>
      </c>
    </row>
    <row r="701" spans="49:49" ht="15" customHeight="1" x14ac:dyDescent="0.2">
      <c r="AW701" s="132">
        <v>420</v>
      </c>
    </row>
    <row r="702" spans="49:49" ht="15" customHeight="1" x14ac:dyDescent="0.2">
      <c r="AW702" s="132">
        <v>421</v>
      </c>
    </row>
    <row r="703" spans="49:49" ht="15" customHeight="1" x14ac:dyDescent="0.2">
      <c r="AW703" s="132">
        <v>422</v>
      </c>
    </row>
    <row r="704" spans="49:49" ht="15" customHeight="1" x14ac:dyDescent="0.2">
      <c r="AW704" s="132">
        <v>423</v>
      </c>
    </row>
    <row r="705" spans="49:49" ht="15" customHeight="1" x14ac:dyDescent="0.2">
      <c r="AW705" s="132">
        <v>424</v>
      </c>
    </row>
    <row r="706" spans="49:49" ht="15" customHeight="1" x14ac:dyDescent="0.2">
      <c r="AW706" s="132">
        <v>425</v>
      </c>
    </row>
    <row r="707" spans="49:49" ht="15" customHeight="1" x14ac:dyDescent="0.2">
      <c r="AW707" s="132">
        <v>426</v>
      </c>
    </row>
    <row r="708" spans="49:49" ht="15" customHeight="1" x14ac:dyDescent="0.2">
      <c r="AW708" s="132">
        <v>427</v>
      </c>
    </row>
    <row r="709" spans="49:49" ht="15" customHeight="1" x14ac:dyDescent="0.2">
      <c r="AW709" s="132">
        <v>428</v>
      </c>
    </row>
    <row r="710" spans="49:49" ht="15" customHeight="1" x14ac:dyDescent="0.2">
      <c r="AW710" s="132">
        <v>429</v>
      </c>
    </row>
    <row r="711" spans="49:49" ht="15" customHeight="1" x14ac:dyDescent="0.2">
      <c r="AW711" s="132">
        <v>430</v>
      </c>
    </row>
    <row r="712" spans="49:49" ht="15" customHeight="1" x14ac:dyDescent="0.2">
      <c r="AW712" s="132">
        <v>431</v>
      </c>
    </row>
    <row r="713" spans="49:49" ht="15" customHeight="1" x14ac:dyDescent="0.2">
      <c r="AW713" s="132">
        <v>432</v>
      </c>
    </row>
    <row r="714" spans="49:49" ht="15" customHeight="1" x14ac:dyDescent="0.2">
      <c r="AW714" s="132">
        <v>433</v>
      </c>
    </row>
    <row r="715" spans="49:49" ht="15" customHeight="1" x14ac:dyDescent="0.2">
      <c r="AW715" s="132">
        <v>434</v>
      </c>
    </row>
    <row r="716" spans="49:49" ht="15" customHeight="1" x14ac:dyDescent="0.2">
      <c r="AW716" s="132">
        <v>435</v>
      </c>
    </row>
    <row r="717" spans="49:49" ht="15" customHeight="1" x14ac:dyDescent="0.2">
      <c r="AW717" s="132">
        <v>436</v>
      </c>
    </row>
    <row r="718" spans="49:49" ht="15" customHeight="1" x14ac:dyDescent="0.2">
      <c r="AW718" s="132">
        <v>437</v>
      </c>
    </row>
    <row r="719" spans="49:49" ht="15" customHeight="1" x14ac:dyDescent="0.2">
      <c r="AW719" s="132">
        <v>438</v>
      </c>
    </row>
    <row r="720" spans="49:49" ht="15" customHeight="1" x14ac:dyDescent="0.2">
      <c r="AW720" s="132">
        <v>439</v>
      </c>
    </row>
    <row r="721" spans="49:49" ht="15" customHeight="1" x14ac:dyDescent="0.2">
      <c r="AW721" s="132">
        <v>440</v>
      </c>
    </row>
    <row r="722" spans="49:49" ht="15" customHeight="1" x14ac:dyDescent="0.2">
      <c r="AW722" s="132">
        <v>441</v>
      </c>
    </row>
    <row r="723" spans="49:49" ht="15" customHeight="1" x14ac:dyDescent="0.2">
      <c r="AW723" s="132">
        <v>442</v>
      </c>
    </row>
    <row r="724" spans="49:49" ht="15" customHeight="1" x14ac:dyDescent="0.2">
      <c r="AW724" s="132">
        <v>443</v>
      </c>
    </row>
    <row r="725" spans="49:49" ht="15" customHeight="1" x14ac:dyDescent="0.2">
      <c r="AW725" s="132">
        <v>444</v>
      </c>
    </row>
    <row r="726" spans="49:49" ht="15" customHeight="1" x14ac:dyDescent="0.2">
      <c r="AW726" s="132">
        <v>445</v>
      </c>
    </row>
    <row r="727" spans="49:49" ht="15" customHeight="1" x14ac:dyDescent="0.2">
      <c r="AW727" s="132">
        <v>446</v>
      </c>
    </row>
    <row r="728" spans="49:49" ht="15" customHeight="1" x14ac:dyDescent="0.2">
      <c r="AW728" s="132">
        <v>447</v>
      </c>
    </row>
    <row r="729" spans="49:49" ht="15" customHeight="1" x14ac:dyDescent="0.2">
      <c r="AW729" s="132">
        <v>448</v>
      </c>
    </row>
    <row r="730" spans="49:49" ht="15" customHeight="1" x14ac:dyDescent="0.2">
      <c r="AW730" s="132">
        <v>449</v>
      </c>
    </row>
    <row r="731" spans="49:49" ht="15" customHeight="1" x14ac:dyDescent="0.2">
      <c r="AW731" s="132">
        <v>450</v>
      </c>
    </row>
    <row r="732" spans="49:49" ht="15" customHeight="1" x14ac:dyDescent="0.2">
      <c r="AW732" s="132">
        <v>451</v>
      </c>
    </row>
    <row r="733" spans="49:49" ht="15" customHeight="1" x14ac:dyDescent="0.2">
      <c r="AW733" s="132">
        <v>452</v>
      </c>
    </row>
    <row r="734" spans="49:49" ht="15" customHeight="1" x14ac:dyDescent="0.2">
      <c r="AW734" s="132">
        <v>453</v>
      </c>
    </row>
    <row r="735" spans="49:49" ht="15" customHeight="1" x14ac:dyDescent="0.2">
      <c r="AW735" s="132">
        <v>454</v>
      </c>
    </row>
    <row r="736" spans="49:49" ht="15" customHeight="1" x14ac:dyDescent="0.2">
      <c r="AW736" s="132">
        <v>455</v>
      </c>
    </row>
    <row r="737" spans="49:49" ht="15" customHeight="1" x14ac:dyDescent="0.2">
      <c r="AW737" s="132">
        <v>456</v>
      </c>
    </row>
    <row r="738" spans="49:49" ht="15" customHeight="1" x14ac:dyDescent="0.2">
      <c r="AW738" s="132">
        <v>457</v>
      </c>
    </row>
    <row r="739" spans="49:49" ht="15" customHeight="1" x14ac:dyDescent="0.2">
      <c r="AW739" s="132">
        <v>458</v>
      </c>
    </row>
    <row r="740" spans="49:49" ht="15" customHeight="1" x14ac:dyDescent="0.2">
      <c r="AW740" s="132">
        <v>459</v>
      </c>
    </row>
    <row r="741" spans="49:49" ht="15" customHeight="1" x14ac:dyDescent="0.2">
      <c r="AW741" s="132">
        <v>460</v>
      </c>
    </row>
    <row r="742" spans="49:49" ht="15" customHeight="1" x14ac:dyDescent="0.2">
      <c r="AW742" s="132">
        <v>461</v>
      </c>
    </row>
    <row r="743" spans="49:49" ht="15" customHeight="1" x14ac:dyDescent="0.2">
      <c r="AW743" s="132">
        <v>462</v>
      </c>
    </row>
    <row r="744" spans="49:49" ht="15" customHeight="1" x14ac:dyDescent="0.2">
      <c r="AW744" s="132">
        <v>463</v>
      </c>
    </row>
    <row r="745" spans="49:49" ht="15" customHeight="1" x14ac:dyDescent="0.2">
      <c r="AW745" s="132">
        <v>464</v>
      </c>
    </row>
    <row r="746" spans="49:49" ht="15" customHeight="1" x14ac:dyDescent="0.2">
      <c r="AW746" s="132">
        <v>465</v>
      </c>
    </row>
    <row r="747" spans="49:49" ht="15" customHeight="1" x14ac:dyDescent="0.2">
      <c r="AW747" s="132">
        <v>466</v>
      </c>
    </row>
    <row r="748" spans="49:49" ht="15" customHeight="1" x14ac:dyDescent="0.2">
      <c r="AW748" s="132">
        <v>467</v>
      </c>
    </row>
    <row r="749" spans="49:49" ht="15" customHeight="1" x14ac:dyDescent="0.2">
      <c r="AW749" s="132">
        <v>468</v>
      </c>
    </row>
    <row r="750" spans="49:49" ht="15" customHeight="1" x14ac:dyDescent="0.2">
      <c r="AW750" s="132">
        <v>469</v>
      </c>
    </row>
    <row r="751" spans="49:49" ht="15" customHeight="1" x14ac:dyDescent="0.2">
      <c r="AW751" s="132">
        <v>470</v>
      </c>
    </row>
    <row r="752" spans="49:49" ht="15" customHeight="1" x14ac:dyDescent="0.2">
      <c r="AW752" s="132">
        <v>471</v>
      </c>
    </row>
    <row r="753" spans="49:49" ht="15" customHeight="1" x14ac:dyDescent="0.2">
      <c r="AW753" s="132">
        <v>472</v>
      </c>
    </row>
    <row r="754" spans="49:49" ht="15" customHeight="1" x14ac:dyDescent="0.2">
      <c r="AW754" s="132">
        <v>473</v>
      </c>
    </row>
    <row r="755" spans="49:49" ht="15" customHeight="1" x14ac:dyDescent="0.2">
      <c r="AW755" s="132">
        <v>474</v>
      </c>
    </row>
    <row r="756" spans="49:49" ht="15" customHeight="1" x14ac:dyDescent="0.2">
      <c r="AW756" s="132">
        <v>475</v>
      </c>
    </row>
    <row r="757" spans="49:49" ht="15" customHeight="1" x14ac:dyDescent="0.2">
      <c r="AW757" s="132">
        <v>476</v>
      </c>
    </row>
    <row r="758" spans="49:49" ht="15" customHeight="1" x14ac:dyDescent="0.2">
      <c r="AW758" s="132">
        <v>477</v>
      </c>
    </row>
    <row r="759" spans="49:49" ht="15" customHeight="1" x14ac:dyDescent="0.2">
      <c r="AW759" s="132">
        <v>478</v>
      </c>
    </row>
    <row r="760" spans="49:49" ht="15" customHeight="1" x14ac:dyDescent="0.2">
      <c r="AW760" s="132">
        <v>479</v>
      </c>
    </row>
    <row r="761" spans="49:49" ht="15" customHeight="1" x14ac:dyDescent="0.2">
      <c r="AW761" s="132">
        <v>480</v>
      </c>
    </row>
    <row r="762" spans="49:49" ht="15" customHeight="1" x14ac:dyDescent="0.2">
      <c r="AW762" s="132">
        <v>481</v>
      </c>
    </row>
    <row r="763" spans="49:49" ht="15" customHeight="1" x14ac:dyDescent="0.2">
      <c r="AW763" s="132">
        <v>482</v>
      </c>
    </row>
    <row r="764" spans="49:49" ht="15" customHeight="1" x14ac:dyDescent="0.2">
      <c r="AW764" s="132">
        <v>483</v>
      </c>
    </row>
    <row r="765" spans="49:49" ht="15" customHeight="1" x14ac:dyDescent="0.2">
      <c r="AW765" s="132">
        <v>484</v>
      </c>
    </row>
    <row r="766" spans="49:49" ht="15" customHeight="1" x14ac:dyDescent="0.2">
      <c r="AW766" s="132">
        <v>485</v>
      </c>
    </row>
    <row r="767" spans="49:49" ht="15" customHeight="1" x14ac:dyDescent="0.2">
      <c r="AW767" s="132">
        <v>486</v>
      </c>
    </row>
    <row r="768" spans="49:49" ht="15" customHeight="1" x14ac:dyDescent="0.2">
      <c r="AW768" s="132">
        <v>487</v>
      </c>
    </row>
    <row r="769" spans="49:49" ht="15" customHeight="1" x14ac:dyDescent="0.2">
      <c r="AW769" s="132">
        <v>488</v>
      </c>
    </row>
    <row r="770" spans="49:49" ht="15" customHeight="1" x14ac:dyDescent="0.2">
      <c r="AW770" s="132">
        <v>489</v>
      </c>
    </row>
    <row r="771" spans="49:49" ht="15" customHeight="1" x14ac:dyDescent="0.2">
      <c r="AW771" s="132">
        <v>490</v>
      </c>
    </row>
    <row r="772" spans="49:49" ht="15" customHeight="1" x14ac:dyDescent="0.2">
      <c r="AW772" s="132">
        <v>491</v>
      </c>
    </row>
    <row r="773" spans="49:49" ht="15" customHeight="1" x14ac:dyDescent="0.2">
      <c r="AW773" s="132">
        <v>492</v>
      </c>
    </row>
    <row r="774" spans="49:49" ht="15" customHeight="1" x14ac:dyDescent="0.2">
      <c r="AW774" s="132">
        <v>493</v>
      </c>
    </row>
    <row r="775" spans="49:49" ht="15" customHeight="1" x14ac:dyDescent="0.2">
      <c r="AW775" s="132">
        <v>494</v>
      </c>
    </row>
    <row r="776" spans="49:49" ht="15" customHeight="1" x14ac:dyDescent="0.2">
      <c r="AW776" s="132">
        <v>495</v>
      </c>
    </row>
    <row r="777" spans="49:49" ht="15" customHeight="1" x14ac:dyDescent="0.2">
      <c r="AW777" s="132">
        <v>496</v>
      </c>
    </row>
    <row r="778" spans="49:49" ht="15" customHeight="1" x14ac:dyDescent="0.2">
      <c r="AW778" s="132">
        <v>497</v>
      </c>
    </row>
    <row r="779" spans="49:49" ht="15" customHeight="1" x14ac:dyDescent="0.2">
      <c r="AW779" s="132">
        <v>498</v>
      </c>
    </row>
    <row r="780" spans="49:49" ht="15" customHeight="1" x14ac:dyDescent="0.2">
      <c r="AW780" s="132">
        <v>499</v>
      </c>
    </row>
    <row r="781" spans="49:49" ht="15" customHeight="1" x14ac:dyDescent="0.2">
      <c r="AW781" s="132">
        <v>500</v>
      </c>
    </row>
    <row r="782" spans="49:49" ht="15" customHeight="1" x14ac:dyDescent="0.2">
      <c r="AW782" s="132">
        <v>501</v>
      </c>
    </row>
    <row r="783" spans="49:49" ht="15" customHeight="1" x14ac:dyDescent="0.2">
      <c r="AW783" s="132">
        <v>502</v>
      </c>
    </row>
    <row r="784" spans="49:49" ht="15" customHeight="1" x14ac:dyDescent="0.2">
      <c r="AW784" s="132">
        <v>503</v>
      </c>
    </row>
    <row r="785" spans="49:49" ht="15" customHeight="1" x14ac:dyDescent="0.2">
      <c r="AW785" s="132">
        <v>504</v>
      </c>
    </row>
    <row r="786" spans="49:49" ht="15" customHeight="1" x14ac:dyDescent="0.2">
      <c r="AW786" s="132">
        <v>505</v>
      </c>
    </row>
    <row r="787" spans="49:49" ht="15" customHeight="1" x14ac:dyDescent="0.2">
      <c r="AW787" s="132">
        <v>506</v>
      </c>
    </row>
    <row r="788" spans="49:49" ht="15" customHeight="1" x14ac:dyDescent="0.2">
      <c r="AW788" s="132">
        <v>507</v>
      </c>
    </row>
    <row r="789" spans="49:49" ht="15" customHeight="1" x14ac:dyDescent="0.2">
      <c r="AW789" s="132">
        <v>508</v>
      </c>
    </row>
    <row r="790" spans="49:49" ht="15" customHeight="1" x14ac:dyDescent="0.2">
      <c r="AW790" s="132">
        <v>509</v>
      </c>
    </row>
    <row r="791" spans="49:49" ht="15" customHeight="1" x14ac:dyDescent="0.2">
      <c r="AW791" s="132">
        <v>510</v>
      </c>
    </row>
    <row r="792" spans="49:49" ht="15" customHeight="1" x14ac:dyDescent="0.2">
      <c r="AW792" s="132">
        <v>511</v>
      </c>
    </row>
    <row r="793" spans="49:49" ht="15" customHeight="1" x14ac:dyDescent="0.2">
      <c r="AW793" s="132">
        <v>512</v>
      </c>
    </row>
    <row r="794" spans="49:49" ht="15" customHeight="1" x14ac:dyDescent="0.2">
      <c r="AW794" s="132">
        <v>513</v>
      </c>
    </row>
    <row r="795" spans="49:49" ht="15" customHeight="1" x14ac:dyDescent="0.2">
      <c r="AW795" s="132">
        <v>514</v>
      </c>
    </row>
    <row r="796" spans="49:49" ht="15" customHeight="1" x14ac:dyDescent="0.2">
      <c r="AW796" s="132">
        <v>515</v>
      </c>
    </row>
    <row r="797" spans="49:49" ht="15" customHeight="1" x14ac:dyDescent="0.2">
      <c r="AW797" s="132">
        <v>516</v>
      </c>
    </row>
    <row r="798" spans="49:49" ht="15" customHeight="1" x14ac:dyDescent="0.2">
      <c r="AW798" s="132">
        <v>517</v>
      </c>
    </row>
    <row r="799" spans="49:49" ht="15" customHeight="1" x14ac:dyDescent="0.2">
      <c r="AW799" s="132">
        <v>518</v>
      </c>
    </row>
    <row r="800" spans="49:49" ht="15" customHeight="1" x14ac:dyDescent="0.2">
      <c r="AW800" s="132">
        <v>519</v>
      </c>
    </row>
    <row r="801" spans="49:49" ht="15" customHeight="1" x14ac:dyDescent="0.2">
      <c r="AW801" s="132">
        <v>520</v>
      </c>
    </row>
    <row r="802" spans="49:49" ht="15" customHeight="1" x14ac:dyDescent="0.2">
      <c r="AW802" s="132">
        <v>521</v>
      </c>
    </row>
    <row r="803" spans="49:49" ht="15" customHeight="1" x14ac:dyDescent="0.2">
      <c r="AW803" s="132">
        <v>522</v>
      </c>
    </row>
    <row r="804" spans="49:49" ht="15" customHeight="1" x14ac:dyDescent="0.2">
      <c r="AW804" s="132">
        <v>523</v>
      </c>
    </row>
    <row r="805" spans="49:49" ht="15" customHeight="1" x14ac:dyDescent="0.2">
      <c r="AW805" s="132">
        <v>524</v>
      </c>
    </row>
    <row r="806" spans="49:49" ht="15" customHeight="1" x14ac:dyDescent="0.2">
      <c r="AW806" s="132">
        <v>525</v>
      </c>
    </row>
    <row r="807" spans="49:49" ht="15" customHeight="1" x14ac:dyDescent="0.2">
      <c r="AW807" s="132">
        <v>526</v>
      </c>
    </row>
    <row r="808" spans="49:49" ht="15" customHeight="1" x14ac:dyDescent="0.2">
      <c r="AW808" s="132">
        <v>527</v>
      </c>
    </row>
    <row r="809" spans="49:49" ht="15" customHeight="1" x14ac:dyDescent="0.2">
      <c r="AW809" s="132">
        <v>528</v>
      </c>
    </row>
    <row r="810" spans="49:49" ht="15" customHeight="1" x14ac:dyDescent="0.2">
      <c r="AW810" s="132">
        <v>529</v>
      </c>
    </row>
    <row r="811" spans="49:49" ht="15" customHeight="1" x14ac:dyDescent="0.2">
      <c r="AW811" s="132">
        <v>530</v>
      </c>
    </row>
    <row r="812" spans="49:49" ht="15" customHeight="1" x14ac:dyDescent="0.2">
      <c r="AW812" s="132">
        <v>531</v>
      </c>
    </row>
    <row r="813" spans="49:49" ht="15" customHeight="1" x14ac:dyDescent="0.2">
      <c r="AW813" s="132">
        <v>532</v>
      </c>
    </row>
    <row r="814" spans="49:49" ht="15" customHeight="1" x14ac:dyDescent="0.2">
      <c r="AW814" s="132">
        <v>533</v>
      </c>
    </row>
    <row r="815" spans="49:49" ht="15" customHeight="1" x14ac:dyDescent="0.2">
      <c r="AW815" s="132">
        <v>534</v>
      </c>
    </row>
    <row r="816" spans="49:49" ht="15" customHeight="1" x14ac:dyDescent="0.2">
      <c r="AW816" s="132">
        <v>535</v>
      </c>
    </row>
    <row r="817" spans="49:49" ht="15" customHeight="1" x14ac:dyDescent="0.2">
      <c r="AW817" s="132">
        <v>536</v>
      </c>
    </row>
    <row r="818" spans="49:49" ht="15" customHeight="1" x14ac:dyDescent="0.2">
      <c r="AW818" s="132">
        <v>537</v>
      </c>
    </row>
    <row r="819" spans="49:49" ht="15" customHeight="1" x14ac:dyDescent="0.2">
      <c r="AW819" s="132">
        <v>538</v>
      </c>
    </row>
    <row r="820" spans="49:49" ht="15" customHeight="1" x14ac:dyDescent="0.2">
      <c r="AW820" s="132">
        <v>539</v>
      </c>
    </row>
    <row r="821" spans="49:49" ht="15" customHeight="1" x14ac:dyDescent="0.2">
      <c r="AW821" s="132">
        <v>540</v>
      </c>
    </row>
    <row r="822" spans="49:49" ht="15" customHeight="1" x14ac:dyDescent="0.2">
      <c r="AW822" s="132">
        <v>541</v>
      </c>
    </row>
    <row r="823" spans="49:49" ht="15" customHeight="1" x14ac:dyDescent="0.2">
      <c r="AW823" s="132">
        <v>542</v>
      </c>
    </row>
    <row r="824" spans="49:49" ht="15" customHeight="1" x14ac:dyDescent="0.2">
      <c r="AW824" s="132">
        <v>543</v>
      </c>
    </row>
    <row r="825" spans="49:49" ht="15" customHeight="1" x14ac:dyDescent="0.2">
      <c r="AW825" s="132">
        <v>544</v>
      </c>
    </row>
    <row r="826" spans="49:49" ht="15" customHeight="1" x14ac:dyDescent="0.2">
      <c r="AW826" s="132">
        <v>545</v>
      </c>
    </row>
    <row r="827" spans="49:49" ht="15" customHeight="1" x14ac:dyDescent="0.2">
      <c r="AW827" s="132">
        <v>546</v>
      </c>
    </row>
    <row r="828" spans="49:49" ht="15" customHeight="1" x14ac:dyDescent="0.2">
      <c r="AW828" s="132">
        <v>547</v>
      </c>
    </row>
    <row r="829" spans="49:49" ht="15" customHeight="1" x14ac:dyDescent="0.2">
      <c r="AW829" s="132">
        <v>548</v>
      </c>
    </row>
    <row r="830" spans="49:49" ht="15" customHeight="1" x14ac:dyDescent="0.2">
      <c r="AW830" s="132">
        <v>549</v>
      </c>
    </row>
    <row r="831" spans="49:49" ht="15" customHeight="1" x14ac:dyDescent="0.2">
      <c r="AW831" s="132">
        <v>550</v>
      </c>
    </row>
    <row r="832" spans="49:49" ht="15" customHeight="1" x14ac:dyDescent="0.2">
      <c r="AW832" s="132">
        <v>551</v>
      </c>
    </row>
    <row r="833" spans="49:49" ht="15" customHeight="1" x14ac:dyDescent="0.2">
      <c r="AW833" s="132">
        <v>552</v>
      </c>
    </row>
    <row r="834" spans="49:49" ht="15" customHeight="1" x14ac:dyDescent="0.2">
      <c r="AW834" s="132">
        <v>553</v>
      </c>
    </row>
    <row r="835" spans="49:49" ht="15" customHeight="1" x14ac:dyDescent="0.2">
      <c r="AW835" s="132">
        <v>554</v>
      </c>
    </row>
    <row r="836" spans="49:49" ht="15" customHeight="1" x14ac:dyDescent="0.2">
      <c r="AW836" s="132">
        <v>555</v>
      </c>
    </row>
    <row r="837" spans="49:49" ht="15" customHeight="1" x14ac:dyDescent="0.2">
      <c r="AW837" s="132">
        <v>556</v>
      </c>
    </row>
    <row r="838" spans="49:49" ht="15" customHeight="1" x14ac:dyDescent="0.2">
      <c r="AW838" s="132">
        <v>557</v>
      </c>
    </row>
    <row r="839" spans="49:49" ht="15" customHeight="1" x14ac:dyDescent="0.2">
      <c r="AW839" s="132">
        <v>558</v>
      </c>
    </row>
    <row r="840" spans="49:49" ht="15" customHeight="1" x14ac:dyDescent="0.2">
      <c r="AW840" s="132">
        <v>559</v>
      </c>
    </row>
    <row r="841" spans="49:49" ht="15" customHeight="1" x14ac:dyDescent="0.2">
      <c r="AW841" s="132">
        <v>560</v>
      </c>
    </row>
    <row r="842" spans="49:49" ht="15" customHeight="1" x14ac:dyDescent="0.2">
      <c r="AW842" s="132">
        <v>561</v>
      </c>
    </row>
    <row r="843" spans="49:49" ht="15" customHeight="1" x14ac:dyDescent="0.2">
      <c r="AW843" s="132">
        <v>562</v>
      </c>
    </row>
    <row r="844" spans="49:49" ht="15" customHeight="1" x14ac:dyDescent="0.2">
      <c r="AW844" s="132">
        <v>563</v>
      </c>
    </row>
    <row r="845" spans="49:49" ht="15" customHeight="1" x14ac:dyDescent="0.2">
      <c r="AW845" s="132">
        <v>564</v>
      </c>
    </row>
    <row r="846" spans="49:49" ht="15" customHeight="1" x14ac:dyDescent="0.2">
      <c r="AW846" s="132">
        <v>565</v>
      </c>
    </row>
    <row r="847" spans="49:49" ht="15" customHeight="1" x14ac:dyDescent="0.2">
      <c r="AW847" s="132">
        <v>566</v>
      </c>
    </row>
    <row r="848" spans="49:49" ht="15" customHeight="1" x14ac:dyDescent="0.2">
      <c r="AW848" s="132">
        <v>567</v>
      </c>
    </row>
    <row r="849" spans="49:49" ht="15" customHeight="1" x14ac:dyDescent="0.2">
      <c r="AW849" s="132">
        <v>568</v>
      </c>
    </row>
    <row r="850" spans="49:49" ht="15" customHeight="1" x14ac:dyDescent="0.2">
      <c r="AW850" s="132">
        <v>569</v>
      </c>
    </row>
    <row r="851" spans="49:49" ht="15" customHeight="1" x14ac:dyDescent="0.2">
      <c r="AW851" s="132">
        <v>570</v>
      </c>
    </row>
    <row r="852" spans="49:49" ht="15" customHeight="1" x14ac:dyDescent="0.2">
      <c r="AW852" s="132">
        <v>571</v>
      </c>
    </row>
    <row r="853" spans="49:49" ht="15" customHeight="1" x14ac:dyDescent="0.2">
      <c r="AW853" s="132">
        <v>572</v>
      </c>
    </row>
    <row r="854" spans="49:49" ht="15" customHeight="1" x14ac:dyDescent="0.2">
      <c r="AW854" s="132">
        <v>573</v>
      </c>
    </row>
    <row r="855" spans="49:49" ht="15" customHeight="1" x14ac:dyDescent="0.2">
      <c r="AW855" s="132">
        <v>574</v>
      </c>
    </row>
    <row r="856" spans="49:49" ht="15" customHeight="1" x14ac:dyDescent="0.2">
      <c r="AW856" s="132">
        <v>575</v>
      </c>
    </row>
    <row r="857" spans="49:49" ht="15" customHeight="1" x14ac:dyDescent="0.2">
      <c r="AW857" s="132">
        <v>576</v>
      </c>
    </row>
    <row r="858" spans="49:49" ht="15" customHeight="1" x14ac:dyDescent="0.2">
      <c r="AW858" s="132">
        <v>577</v>
      </c>
    </row>
    <row r="859" spans="49:49" ht="15" customHeight="1" x14ac:dyDescent="0.2">
      <c r="AW859" s="132">
        <v>578</v>
      </c>
    </row>
    <row r="860" spans="49:49" ht="15" customHeight="1" x14ac:dyDescent="0.2">
      <c r="AW860" s="132">
        <v>579</v>
      </c>
    </row>
    <row r="861" spans="49:49" ht="15" customHeight="1" x14ac:dyDescent="0.2">
      <c r="AW861" s="132">
        <v>580</v>
      </c>
    </row>
    <row r="862" spans="49:49" ht="15" customHeight="1" x14ac:dyDescent="0.2">
      <c r="AW862" s="132">
        <v>581</v>
      </c>
    </row>
    <row r="863" spans="49:49" ht="15" customHeight="1" x14ac:dyDescent="0.2">
      <c r="AW863" s="132">
        <v>582</v>
      </c>
    </row>
    <row r="864" spans="49:49" ht="15" customHeight="1" x14ac:dyDescent="0.2">
      <c r="AW864" s="132">
        <v>583</v>
      </c>
    </row>
    <row r="865" spans="49:49" ht="15" customHeight="1" x14ac:dyDescent="0.2">
      <c r="AW865" s="132">
        <v>584</v>
      </c>
    </row>
    <row r="866" spans="49:49" ht="15" customHeight="1" x14ac:dyDescent="0.2">
      <c r="AW866" s="132">
        <v>585</v>
      </c>
    </row>
    <row r="867" spans="49:49" ht="15" customHeight="1" x14ac:dyDescent="0.2">
      <c r="AW867" s="132">
        <v>586</v>
      </c>
    </row>
    <row r="868" spans="49:49" ht="15" customHeight="1" x14ac:dyDescent="0.2">
      <c r="AW868" s="132">
        <v>587</v>
      </c>
    </row>
    <row r="869" spans="49:49" ht="15" customHeight="1" x14ac:dyDescent="0.2">
      <c r="AW869" s="132">
        <v>588</v>
      </c>
    </row>
    <row r="870" spans="49:49" ht="15" customHeight="1" x14ac:dyDescent="0.2">
      <c r="AW870" s="132">
        <v>589</v>
      </c>
    </row>
    <row r="871" spans="49:49" ht="15" customHeight="1" x14ac:dyDescent="0.2">
      <c r="AW871" s="132">
        <v>590</v>
      </c>
    </row>
    <row r="872" spans="49:49" ht="15" customHeight="1" x14ac:dyDescent="0.2">
      <c r="AW872" s="132">
        <v>591</v>
      </c>
    </row>
    <row r="873" spans="49:49" ht="15" customHeight="1" x14ac:dyDescent="0.2">
      <c r="AW873" s="132">
        <v>592</v>
      </c>
    </row>
    <row r="874" spans="49:49" ht="15" customHeight="1" x14ac:dyDescent="0.2">
      <c r="AW874" s="132">
        <v>593</v>
      </c>
    </row>
    <row r="875" spans="49:49" ht="15" customHeight="1" x14ac:dyDescent="0.2">
      <c r="AW875" s="132">
        <v>594</v>
      </c>
    </row>
    <row r="876" spans="49:49" ht="15" customHeight="1" x14ac:dyDescent="0.2">
      <c r="AW876" s="132">
        <v>595</v>
      </c>
    </row>
    <row r="877" spans="49:49" ht="15" customHeight="1" x14ac:dyDescent="0.2">
      <c r="AW877" s="132">
        <v>596</v>
      </c>
    </row>
    <row r="878" spans="49:49" ht="15" customHeight="1" x14ac:dyDescent="0.2">
      <c r="AW878" s="132">
        <v>597</v>
      </c>
    </row>
    <row r="879" spans="49:49" ht="15" customHeight="1" x14ac:dyDescent="0.2">
      <c r="AW879" s="132">
        <v>598</v>
      </c>
    </row>
    <row r="880" spans="49:49" ht="15" customHeight="1" x14ac:dyDescent="0.2">
      <c r="AW880" s="132">
        <v>599</v>
      </c>
    </row>
    <row r="881" spans="49:49" ht="15" customHeight="1" x14ac:dyDescent="0.2">
      <c r="AW881" s="132">
        <v>600</v>
      </c>
    </row>
    <row r="882" spans="49:49" ht="15" customHeight="1" x14ac:dyDescent="0.2">
      <c r="AW882" s="132">
        <v>601</v>
      </c>
    </row>
    <row r="883" spans="49:49" ht="15" customHeight="1" x14ac:dyDescent="0.2">
      <c r="AW883" s="132">
        <v>602</v>
      </c>
    </row>
    <row r="884" spans="49:49" ht="15" customHeight="1" x14ac:dyDescent="0.2">
      <c r="AW884" s="132">
        <v>603</v>
      </c>
    </row>
    <row r="885" spans="49:49" ht="15" customHeight="1" x14ac:dyDescent="0.2">
      <c r="AW885" s="132">
        <v>604</v>
      </c>
    </row>
    <row r="886" spans="49:49" ht="15" customHeight="1" x14ac:dyDescent="0.2">
      <c r="AW886" s="132">
        <v>605</v>
      </c>
    </row>
    <row r="887" spans="49:49" ht="15" customHeight="1" x14ac:dyDescent="0.2">
      <c r="AW887" s="132">
        <v>606</v>
      </c>
    </row>
    <row r="888" spans="49:49" ht="15" customHeight="1" x14ac:dyDescent="0.2">
      <c r="AW888" s="132">
        <v>607</v>
      </c>
    </row>
    <row r="889" spans="49:49" ht="15" customHeight="1" x14ac:dyDescent="0.2">
      <c r="AW889" s="132">
        <v>608</v>
      </c>
    </row>
    <row r="890" spans="49:49" ht="15" customHeight="1" x14ac:dyDescent="0.2">
      <c r="AW890" s="132">
        <v>609</v>
      </c>
    </row>
    <row r="891" spans="49:49" ht="15" customHeight="1" x14ac:dyDescent="0.2">
      <c r="AW891" s="132">
        <v>610</v>
      </c>
    </row>
    <row r="892" spans="49:49" ht="15" customHeight="1" x14ac:dyDescent="0.2">
      <c r="AW892" s="132">
        <v>611</v>
      </c>
    </row>
    <row r="893" spans="49:49" ht="15" customHeight="1" x14ac:dyDescent="0.2">
      <c r="AW893" s="132">
        <v>612</v>
      </c>
    </row>
    <row r="894" spans="49:49" ht="15" customHeight="1" x14ac:dyDescent="0.2">
      <c r="AW894" s="132">
        <v>613</v>
      </c>
    </row>
    <row r="895" spans="49:49" ht="15" customHeight="1" x14ac:dyDescent="0.2">
      <c r="AW895" s="132">
        <v>614</v>
      </c>
    </row>
    <row r="896" spans="49:49" ht="15" customHeight="1" x14ac:dyDescent="0.2">
      <c r="AW896" s="132">
        <v>615</v>
      </c>
    </row>
    <row r="897" spans="49:49" ht="15" customHeight="1" x14ac:dyDescent="0.2">
      <c r="AW897" s="132">
        <v>616</v>
      </c>
    </row>
    <row r="898" spans="49:49" ht="15" customHeight="1" x14ac:dyDescent="0.2">
      <c r="AW898" s="132">
        <v>617</v>
      </c>
    </row>
    <row r="899" spans="49:49" ht="15" customHeight="1" x14ac:dyDescent="0.2">
      <c r="AW899" s="132">
        <v>618</v>
      </c>
    </row>
    <row r="900" spans="49:49" ht="15" customHeight="1" x14ac:dyDescent="0.2">
      <c r="AW900" s="132">
        <v>619</v>
      </c>
    </row>
    <row r="901" spans="49:49" ht="15" customHeight="1" x14ac:dyDescent="0.2">
      <c r="AW901" s="132">
        <v>620</v>
      </c>
    </row>
    <row r="902" spans="49:49" ht="15" customHeight="1" x14ac:dyDescent="0.2">
      <c r="AW902" s="132">
        <v>621</v>
      </c>
    </row>
    <row r="903" spans="49:49" ht="15" customHeight="1" x14ac:dyDescent="0.2">
      <c r="AW903" s="132">
        <v>622</v>
      </c>
    </row>
    <row r="904" spans="49:49" ht="15" customHeight="1" x14ac:dyDescent="0.2">
      <c r="AW904" s="132">
        <v>623</v>
      </c>
    </row>
    <row r="905" spans="49:49" ht="15" customHeight="1" x14ac:dyDescent="0.2">
      <c r="AW905" s="132">
        <v>624</v>
      </c>
    </row>
    <row r="906" spans="49:49" ht="15" customHeight="1" x14ac:dyDescent="0.2">
      <c r="AW906" s="132">
        <v>625</v>
      </c>
    </row>
    <row r="907" spans="49:49" ht="15" customHeight="1" x14ac:dyDescent="0.2">
      <c r="AW907" s="132">
        <v>626</v>
      </c>
    </row>
    <row r="908" spans="49:49" ht="15" customHeight="1" x14ac:dyDescent="0.2">
      <c r="AW908" s="132">
        <v>627</v>
      </c>
    </row>
    <row r="909" spans="49:49" ht="15" customHeight="1" x14ac:dyDescent="0.2">
      <c r="AW909" s="132">
        <v>628</v>
      </c>
    </row>
    <row r="910" spans="49:49" ht="15" customHeight="1" x14ac:dyDescent="0.2">
      <c r="AW910" s="132">
        <v>629</v>
      </c>
    </row>
    <row r="911" spans="49:49" ht="15" customHeight="1" x14ac:dyDescent="0.2">
      <c r="AW911" s="132">
        <v>630</v>
      </c>
    </row>
    <row r="912" spans="49:49" ht="15" customHeight="1" x14ac:dyDescent="0.2">
      <c r="AW912" s="132">
        <v>631</v>
      </c>
    </row>
    <row r="913" spans="49:49" ht="15" customHeight="1" x14ac:dyDescent="0.2">
      <c r="AW913" s="132">
        <v>632</v>
      </c>
    </row>
    <row r="914" spans="49:49" ht="15" customHeight="1" x14ac:dyDescent="0.2">
      <c r="AW914" s="132">
        <v>633</v>
      </c>
    </row>
    <row r="915" spans="49:49" ht="15" customHeight="1" x14ac:dyDescent="0.2">
      <c r="AW915" s="132">
        <v>634</v>
      </c>
    </row>
    <row r="916" spans="49:49" ht="15" customHeight="1" x14ac:dyDescent="0.2">
      <c r="AW916" s="132">
        <v>635</v>
      </c>
    </row>
    <row r="917" spans="49:49" ht="15" customHeight="1" x14ac:dyDescent="0.2">
      <c r="AW917" s="132">
        <v>636</v>
      </c>
    </row>
    <row r="918" spans="49:49" ht="15" customHeight="1" x14ac:dyDescent="0.2">
      <c r="AW918" s="132">
        <v>637</v>
      </c>
    </row>
    <row r="919" spans="49:49" ht="15" customHeight="1" x14ac:dyDescent="0.2">
      <c r="AW919" s="132">
        <v>638</v>
      </c>
    </row>
    <row r="920" spans="49:49" ht="15" customHeight="1" x14ac:dyDescent="0.2">
      <c r="AW920" s="132">
        <v>639</v>
      </c>
    </row>
    <row r="921" spans="49:49" ht="15" customHeight="1" x14ac:dyDescent="0.2">
      <c r="AW921" s="132">
        <v>640</v>
      </c>
    </row>
    <row r="922" spans="49:49" ht="15" customHeight="1" x14ac:dyDescent="0.2">
      <c r="AW922" s="132">
        <v>641</v>
      </c>
    </row>
    <row r="923" spans="49:49" ht="15" customHeight="1" x14ac:dyDescent="0.2">
      <c r="AW923" s="132">
        <v>642</v>
      </c>
    </row>
    <row r="924" spans="49:49" ht="15" customHeight="1" x14ac:dyDescent="0.2">
      <c r="AW924" s="132">
        <v>643</v>
      </c>
    </row>
    <row r="925" spans="49:49" ht="15" customHeight="1" x14ac:dyDescent="0.2">
      <c r="AW925" s="132">
        <v>644</v>
      </c>
    </row>
    <row r="926" spans="49:49" ht="15" customHeight="1" x14ac:dyDescent="0.2">
      <c r="AW926" s="132">
        <v>645</v>
      </c>
    </row>
    <row r="927" spans="49:49" ht="15" customHeight="1" x14ac:dyDescent="0.2">
      <c r="AW927" s="132">
        <v>646</v>
      </c>
    </row>
    <row r="928" spans="49:49" ht="15" customHeight="1" x14ac:dyDescent="0.2">
      <c r="AW928" s="132">
        <v>647</v>
      </c>
    </row>
    <row r="929" spans="49:49" ht="15" customHeight="1" x14ac:dyDescent="0.2">
      <c r="AW929" s="132">
        <v>648</v>
      </c>
    </row>
    <row r="930" spans="49:49" ht="15" customHeight="1" x14ac:dyDescent="0.2">
      <c r="AW930" s="132">
        <v>649</v>
      </c>
    </row>
    <row r="931" spans="49:49" ht="15" customHeight="1" x14ac:dyDescent="0.2">
      <c r="AW931" s="132">
        <v>650</v>
      </c>
    </row>
    <row r="932" spans="49:49" ht="15" customHeight="1" x14ac:dyDescent="0.2">
      <c r="AW932" s="132">
        <v>651</v>
      </c>
    </row>
    <row r="933" spans="49:49" ht="15" customHeight="1" x14ac:dyDescent="0.2">
      <c r="AW933" s="132">
        <v>652</v>
      </c>
    </row>
    <row r="934" spans="49:49" ht="15" customHeight="1" x14ac:dyDescent="0.2">
      <c r="AW934" s="132">
        <v>653</v>
      </c>
    </row>
    <row r="935" spans="49:49" ht="15" customHeight="1" x14ac:dyDescent="0.2">
      <c r="AW935" s="132">
        <v>654</v>
      </c>
    </row>
    <row r="936" spans="49:49" ht="15" customHeight="1" x14ac:dyDescent="0.2">
      <c r="AW936" s="132">
        <v>655</v>
      </c>
    </row>
    <row r="937" spans="49:49" ht="15" customHeight="1" x14ac:dyDescent="0.2">
      <c r="AW937" s="132">
        <v>656</v>
      </c>
    </row>
    <row r="938" spans="49:49" ht="15" customHeight="1" x14ac:dyDescent="0.2">
      <c r="AW938" s="132">
        <v>657</v>
      </c>
    </row>
    <row r="939" spans="49:49" ht="15" customHeight="1" x14ac:dyDescent="0.2">
      <c r="AW939" s="132">
        <v>658</v>
      </c>
    </row>
    <row r="940" spans="49:49" ht="15" customHeight="1" x14ac:dyDescent="0.2">
      <c r="AW940" s="132">
        <v>659</v>
      </c>
    </row>
    <row r="941" spans="49:49" ht="15" customHeight="1" x14ac:dyDescent="0.2">
      <c r="AW941" s="132">
        <v>660</v>
      </c>
    </row>
    <row r="942" spans="49:49" ht="15" customHeight="1" x14ac:dyDescent="0.2">
      <c r="AW942" s="132">
        <v>661</v>
      </c>
    </row>
    <row r="943" spans="49:49" ht="15" customHeight="1" x14ac:dyDescent="0.2">
      <c r="AW943" s="132">
        <v>662</v>
      </c>
    </row>
    <row r="944" spans="49:49" ht="15" customHeight="1" x14ac:dyDescent="0.2">
      <c r="AW944" s="132">
        <v>663</v>
      </c>
    </row>
    <row r="945" spans="49:49" ht="15" customHeight="1" x14ac:dyDescent="0.2">
      <c r="AW945" s="132">
        <v>664</v>
      </c>
    </row>
    <row r="946" spans="49:49" ht="15" customHeight="1" x14ac:dyDescent="0.2">
      <c r="AW946" s="132">
        <v>665</v>
      </c>
    </row>
    <row r="947" spans="49:49" ht="15" customHeight="1" x14ac:dyDescent="0.2">
      <c r="AW947" s="132">
        <v>666</v>
      </c>
    </row>
    <row r="948" spans="49:49" ht="15" customHeight="1" x14ac:dyDescent="0.2">
      <c r="AW948" s="132">
        <v>667</v>
      </c>
    </row>
    <row r="949" spans="49:49" ht="15" customHeight="1" x14ac:dyDescent="0.2">
      <c r="AW949" s="132">
        <v>668</v>
      </c>
    </row>
    <row r="950" spans="49:49" ht="15" customHeight="1" x14ac:dyDescent="0.2">
      <c r="AW950" s="132">
        <v>669</v>
      </c>
    </row>
    <row r="951" spans="49:49" ht="15" customHeight="1" x14ac:dyDescent="0.2">
      <c r="AW951" s="132">
        <v>670</v>
      </c>
    </row>
    <row r="952" spans="49:49" ht="15" customHeight="1" x14ac:dyDescent="0.2">
      <c r="AW952" s="132">
        <v>671</v>
      </c>
    </row>
    <row r="953" spans="49:49" ht="15" customHeight="1" x14ac:dyDescent="0.2">
      <c r="AW953" s="132">
        <v>672</v>
      </c>
    </row>
    <row r="954" spans="49:49" ht="15" customHeight="1" x14ac:dyDescent="0.2">
      <c r="AW954" s="132">
        <v>673</v>
      </c>
    </row>
    <row r="955" spans="49:49" ht="15" customHeight="1" x14ac:dyDescent="0.2">
      <c r="AW955" s="132">
        <v>674</v>
      </c>
    </row>
    <row r="956" spans="49:49" ht="15" customHeight="1" x14ac:dyDescent="0.2">
      <c r="AW956" s="132">
        <v>675</v>
      </c>
    </row>
    <row r="957" spans="49:49" ht="15" customHeight="1" x14ac:dyDescent="0.2">
      <c r="AW957" s="132">
        <v>676</v>
      </c>
    </row>
    <row r="958" spans="49:49" ht="15" customHeight="1" x14ac:dyDescent="0.2">
      <c r="AW958" s="132">
        <v>677</v>
      </c>
    </row>
    <row r="959" spans="49:49" ht="15" customHeight="1" x14ac:dyDescent="0.2">
      <c r="AW959" s="132">
        <v>678</v>
      </c>
    </row>
    <row r="960" spans="49:49" ht="15" customHeight="1" x14ac:dyDescent="0.2">
      <c r="AW960" s="132">
        <v>679</v>
      </c>
    </row>
    <row r="961" spans="49:49" ht="15" customHeight="1" x14ac:dyDescent="0.2">
      <c r="AW961" s="132">
        <v>680</v>
      </c>
    </row>
    <row r="962" spans="49:49" ht="15" customHeight="1" x14ac:dyDescent="0.2">
      <c r="AW962" s="132">
        <v>681</v>
      </c>
    </row>
    <row r="963" spans="49:49" ht="15" customHeight="1" x14ac:dyDescent="0.2">
      <c r="AW963" s="132">
        <v>682</v>
      </c>
    </row>
    <row r="964" spans="49:49" ht="15" customHeight="1" x14ac:dyDescent="0.2">
      <c r="AW964" s="132">
        <v>683</v>
      </c>
    </row>
    <row r="965" spans="49:49" ht="15" customHeight="1" x14ac:dyDescent="0.2">
      <c r="AW965" s="132">
        <v>684</v>
      </c>
    </row>
    <row r="966" spans="49:49" ht="15" customHeight="1" x14ac:dyDescent="0.2">
      <c r="AW966" s="132">
        <v>685</v>
      </c>
    </row>
    <row r="967" spans="49:49" ht="15" customHeight="1" x14ac:dyDescent="0.2">
      <c r="AW967" s="132">
        <v>686</v>
      </c>
    </row>
    <row r="968" spans="49:49" ht="15" customHeight="1" x14ac:dyDescent="0.2">
      <c r="AW968" s="132">
        <v>687</v>
      </c>
    </row>
    <row r="969" spans="49:49" ht="15" customHeight="1" x14ac:dyDescent="0.2">
      <c r="AW969" s="132">
        <v>688</v>
      </c>
    </row>
    <row r="970" spans="49:49" ht="15" customHeight="1" x14ac:dyDescent="0.2">
      <c r="AW970" s="132">
        <v>689</v>
      </c>
    </row>
    <row r="971" spans="49:49" ht="15" customHeight="1" x14ac:dyDescent="0.2">
      <c r="AW971" s="132">
        <v>690</v>
      </c>
    </row>
    <row r="972" spans="49:49" ht="15" customHeight="1" x14ac:dyDescent="0.2">
      <c r="AW972" s="132">
        <v>691</v>
      </c>
    </row>
    <row r="973" spans="49:49" ht="15" customHeight="1" x14ac:dyDescent="0.2">
      <c r="AW973" s="132">
        <v>692</v>
      </c>
    </row>
    <row r="974" spans="49:49" ht="15" customHeight="1" x14ac:dyDescent="0.2">
      <c r="AW974" s="132">
        <v>693</v>
      </c>
    </row>
    <row r="975" spans="49:49" ht="15" customHeight="1" x14ac:dyDescent="0.2">
      <c r="AW975" s="132">
        <v>694</v>
      </c>
    </row>
    <row r="976" spans="49:49" ht="15" customHeight="1" x14ac:dyDescent="0.2">
      <c r="AW976" s="132">
        <v>695</v>
      </c>
    </row>
    <row r="977" spans="49:49" ht="15" customHeight="1" x14ac:dyDescent="0.2">
      <c r="AW977" s="132">
        <v>696</v>
      </c>
    </row>
    <row r="978" spans="49:49" ht="15" customHeight="1" x14ac:dyDescent="0.2">
      <c r="AW978" s="132">
        <v>697</v>
      </c>
    </row>
    <row r="979" spans="49:49" ht="15" customHeight="1" x14ac:dyDescent="0.2">
      <c r="AW979" s="132">
        <v>698</v>
      </c>
    </row>
    <row r="980" spans="49:49" ht="15" customHeight="1" x14ac:dyDescent="0.2">
      <c r="AW980" s="132">
        <v>699</v>
      </c>
    </row>
    <row r="981" spans="49:49" ht="15" customHeight="1" x14ac:dyDescent="0.2">
      <c r="AW981" s="132">
        <v>700</v>
      </c>
    </row>
    <row r="982" spans="49:49" ht="15" customHeight="1" x14ac:dyDescent="0.2">
      <c r="AW982" s="132">
        <v>701</v>
      </c>
    </row>
    <row r="983" spans="49:49" ht="15" customHeight="1" x14ac:dyDescent="0.2">
      <c r="AW983" s="132">
        <v>702</v>
      </c>
    </row>
    <row r="984" spans="49:49" ht="15" customHeight="1" x14ac:dyDescent="0.2">
      <c r="AW984" s="132">
        <v>703</v>
      </c>
    </row>
    <row r="985" spans="49:49" ht="15" customHeight="1" x14ac:dyDescent="0.2">
      <c r="AW985" s="132">
        <v>704</v>
      </c>
    </row>
    <row r="986" spans="49:49" ht="15" customHeight="1" x14ac:dyDescent="0.2">
      <c r="AW986" s="132">
        <v>705</v>
      </c>
    </row>
    <row r="987" spans="49:49" ht="15" customHeight="1" x14ac:dyDescent="0.2">
      <c r="AW987" s="132">
        <v>706</v>
      </c>
    </row>
    <row r="988" spans="49:49" ht="15" customHeight="1" x14ac:dyDescent="0.2">
      <c r="AW988" s="132">
        <v>707</v>
      </c>
    </row>
    <row r="989" spans="49:49" ht="15" customHeight="1" x14ac:dyDescent="0.2">
      <c r="AW989" s="132">
        <v>708</v>
      </c>
    </row>
    <row r="990" spans="49:49" ht="15" customHeight="1" x14ac:dyDescent="0.2">
      <c r="AW990" s="132">
        <v>709</v>
      </c>
    </row>
    <row r="991" spans="49:49" ht="15" customHeight="1" x14ac:dyDescent="0.2">
      <c r="AW991" s="132">
        <v>710</v>
      </c>
    </row>
    <row r="992" spans="49:49" ht="15" customHeight="1" x14ac:dyDescent="0.2">
      <c r="AW992" s="132">
        <v>711</v>
      </c>
    </row>
    <row r="993" spans="49:49" ht="15" customHeight="1" x14ac:dyDescent="0.2">
      <c r="AW993" s="132">
        <v>712</v>
      </c>
    </row>
    <row r="994" spans="49:49" ht="15" customHeight="1" x14ac:dyDescent="0.2">
      <c r="AW994" s="132">
        <v>713</v>
      </c>
    </row>
    <row r="995" spans="49:49" ht="15" customHeight="1" x14ac:dyDescent="0.2">
      <c r="AW995" s="132">
        <v>714</v>
      </c>
    </row>
    <row r="996" spans="49:49" ht="15" customHeight="1" x14ac:dyDescent="0.2">
      <c r="AW996" s="132">
        <v>715</v>
      </c>
    </row>
    <row r="997" spans="49:49" ht="15" customHeight="1" x14ac:dyDescent="0.2">
      <c r="AW997" s="132">
        <v>716</v>
      </c>
    </row>
    <row r="998" spans="49:49" ht="15" customHeight="1" x14ac:dyDescent="0.2">
      <c r="AW998" s="132">
        <v>717</v>
      </c>
    </row>
    <row r="999" spans="49:49" ht="15" customHeight="1" x14ac:dyDescent="0.2">
      <c r="AW999" s="132">
        <v>718</v>
      </c>
    </row>
    <row r="1000" spans="49:49" ht="15" customHeight="1" x14ac:dyDescent="0.2">
      <c r="AW1000" s="132">
        <v>719</v>
      </c>
    </row>
    <row r="1001" spans="49:49" ht="15" customHeight="1" x14ac:dyDescent="0.2">
      <c r="AW1001" s="132">
        <v>720</v>
      </c>
    </row>
    <row r="1002" spans="49:49" ht="15" customHeight="1" x14ac:dyDescent="0.2">
      <c r="AW1002" s="132">
        <v>721</v>
      </c>
    </row>
    <row r="1003" spans="49:49" ht="15" customHeight="1" x14ac:dyDescent="0.2">
      <c r="AW1003" s="132">
        <v>722</v>
      </c>
    </row>
    <row r="1004" spans="49:49" ht="15" customHeight="1" x14ac:dyDescent="0.2">
      <c r="AW1004" s="132">
        <v>723</v>
      </c>
    </row>
    <row r="1005" spans="49:49" ht="15" customHeight="1" x14ac:dyDescent="0.2">
      <c r="AW1005" s="132">
        <v>724</v>
      </c>
    </row>
    <row r="1006" spans="49:49" ht="15" customHeight="1" x14ac:dyDescent="0.2">
      <c r="AW1006" s="132">
        <v>725</v>
      </c>
    </row>
    <row r="1007" spans="49:49" ht="15" customHeight="1" x14ac:dyDescent="0.2">
      <c r="AW1007" s="132">
        <v>726</v>
      </c>
    </row>
    <row r="1008" spans="49:49" ht="15" customHeight="1" x14ac:dyDescent="0.2">
      <c r="AW1008" s="132">
        <v>727</v>
      </c>
    </row>
    <row r="1009" spans="49:49" ht="15" customHeight="1" x14ac:dyDescent="0.2">
      <c r="AW1009" s="132">
        <v>728</v>
      </c>
    </row>
    <row r="1010" spans="49:49" ht="15" customHeight="1" x14ac:dyDescent="0.2">
      <c r="AW1010" s="132">
        <v>729</v>
      </c>
    </row>
    <row r="1011" spans="49:49" ht="15" customHeight="1" x14ac:dyDescent="0.2">
      <c r="AW1011" s="132">
        <v>730</v>
      </c>
    </row>
    <row r="1012" spans="49:49" ht="15" customHeight="1" x14ac:dyDescent="0.2">
      <c r="AW1012" s="132">
        <v>731</v>
      </c>
    </row>
    <row r="1013" spans="49:49" ht="15" customHeight="1" x14ac:dyDescent="0.2">
      <c r="AW1013" s="132">
        <v>732</v>
      </c>
    </row>
    <row r="1014" spans="49:49" ht="15" customHeight="1" x14ac:dyDescent="0.2">
      <c r="AW1014" s="132">
        <v>733</v>
      </c>
    </row>
    <row r="1015" spans="49:49" ht="15" customHeight="1" x14ac:dyDescent="0.2">
      <c r="AW1015" s="132">
        <v>734</v>
      </c>
    </row>
    <row r="1016" spans="49:49" ht="15" customHeight="1" x14ac:dyDescent="0.2">
      <c r="AW1016" s="132">
        <v>735</v>
      </c>
    </row>
    <row r="1017" spans="49:49" ht="15" customHeight="1" x14ac:dyDescent="0.2">
      <c r="AW1017" s="132">
        <v>736</v>
      </c>
    </row>
    <row r="1018" spans="49:49" ht="15" customHeight="1" x14ac:dyDescent="0.2">
      <c r="AW1018" s="132">
        <v>737</v>
      </c>
    </row>
    <row r="1019" spans="49:49" ht="15" customHeight="1" x14ac:dyDescent="0.2">
      <c r="AW1019" s="132">
        <v>738</v>
      </c>
    </row>
    <row r="1020" spans="49:49" ht="15" customHeight="1" x14ac:dyDescent="0.2">
      <c r="AW1020" s="132">
        <v>739</v>
      </c>
    </row>
    <row r="1021" spans="49:49" ht="15" customHeight="1" x14ac:dyDescent="0.2">
      <c r="AW1021" s="132">
        <v>740</v>
      </c>
    </row>
    <row r="1022" spans="49:49" ht="15" customHeight="1" x14ac:dyDescent="0.2">
      <c r="AW1022" s="132">
        <v>741</v>
      </c>
    </row>
    <row r="1023" spans="49:49" ht="15" customHeight="1" x14ac:dyDescent="0.2">
      <c r="AW1023" s="132">
        <v>742</v>
      </c>
    </row>
    <row r="1024" spans="49:49" ht="15" customHeight="1" x14ac:dyDescent="0.2">
      <c r="AW1024" s="132">
        <v>743</v>
      </c>
    </row>
    <row r="1025" spans="49:49" ht="15" customHeight="1" x14ac:dyDescent="0.2">
      <c r="AW1025" s="132">
        <v>744</v>
      </c>
    </row>
    <row r="1026" spans="49:49" ht="15" customHeight="1" x14ac:dyDescent="0.2">
      <c r="AW1026" s="132">
        <v>745</v>
      </c>
    </row>
    <row r="1027" spans="49:49" ht="15" customHeight="1" x14ac:dyDescent="0.2">
      <c r="AW1027" s="132">
        <v>746</v>
      </c>
    </row>
    <row r="1028" spans="49:49" ht="15" customHeight="1" x14ac:dyDescent="0.2">
      <c r="AW1028" s="132">
        <v>747</v>
      </c>
    </row>
    <row r="1029" spans="49:49" ht="15" customHeight="1" x14ac:dyDescent="0.2">
      <c r="AW1029" s="132">
        <v>748</v>
      </c>
    </row>
    <row r="1030" spans="49:49" ht="15" customHeight="1" x14ac:dyDescent="0.2">
      <c r="AW1030" s="132">
        <v>749</v>
      </c>
    </row>
    <row r="1031" spans="49:49" ht="15" customHeight="1" x14ac:dyDescent="0.2">
      <c r="AW1031" s="132">
        <v>750</v>
      </c>
    </row>
    <row r="1032" spans="49:49" ht="15" customHeight="1" x14ac:dyDescent="0.2">
      <c r="AW1032" s="132">
        <v>751</v>
      </c>
    </row>
    <row r="1033" spans="49:49" ht="15" customHeight="1" x14ac:dyDescent="0.2">
      <c r="AW1033" s="132">
        <v>752</v>
      </c>
    </row>
    <row r="1034" spans="49:49" ht="15" customHeight="1" x14ac:dyDescent="0.2">
      <c r="AW1034" s="132">
        <v>753</v>
      </c>
    </row>
    <row r="1035" spans="49:49" ht="15" customHeight="1" x14ac:dyDescent="0.2">
      <c r="AW1035" s="132">
        <v>754</v>
      </c>
    </row>
    <row r="1036" spans="49:49" ht="15" customHeight="1" x14ac:dyDescent="0.2">
      <c r="AW1036" s="132">
        <v>755</v>
      </c>
    </row>
    <row r="1037" spans="49:49" ht="15" customHeight="1" x14ac:dyDescent="0.2">
      <c r="AW1037" s="132">
        <v>756</v>
      </c>
    </row>
    <row r="1038" spans="49:49" ht="15" customHeight="1" x14ac:dyDescent="0.2">
      <c r="AW1038" s="132">
        <v>757</v>
      </c>
    </row>
    <row r="1039" spans="49:49" ht="15" customHeight="1" x14ac:dyDescent="0.2">
      <c r="AW1039" s="132">
        <v>758</v>
      </c>
    </row>
    <row r="1040" spans="49:49" ht="15" customHeight="1" x14ac:dyDescent="0.2">
      <c r="AW1040" s="132">
        <v>759</v>
      </c>
    </row>
    <row r="1041" spans="49:49" ht="15" customHeight="1" x14ac:dyDescent="0.2">
      <c r="AW1041" s="132">
        <v>760</v>
      </c>
    </row>
    <row r="1042" spans="49:49" ht="15" customHeight="1" x14ac:dyDescent="0.2">
      <c r="AW1042" s="132">
        <v>761</v>
      </c>
    </row>
    <row r="1043" spans="49:49" ht="15" customHeight="1" x14ac:dyDescent="0.2">
      <c r="AW1043" s="132">
        <v>762</v>
      </c>
    </row>
    <row r="1044" spans="49:49" ht="15" customHeight="1" x14ac:dyDescent="0.2">
      <c r="AW1044" s="132">
        <v>763</v>
      </c>
    </row>
    <row r="1045" spans="49:49" ht="15" customHeight="1" x14ac:dyDescent="0.2">
      <c r="AW1045" s="132">
        <v>764</v>
      </c>
    </row>
    <row r="1046" spans="49:49" ht="15" customHeight="1" x14ac:dyDescent="0.2">
      <c r="AW1046" s="132">
        <v>765</v>
      </c>
    </row>
    <row r="1047" spans="49:49" ht="15" customHeight="1" x14ac:dyDescent="0.2">
      <c r="AW1047" s="132">
        <v>766</v>
      </c>
    </row>
    <row r="1048" spans="49:49" ht="15" customHeight="1" x14ac:dyDescent="0.2">
      <c r="AW1048" s="132">
        <v>767</v>
      </c>
    </row>
    <row r="1049" spans="49:49" ht="15" customHeight="1" x14ac:dyDescent="0.2">
      <c r="AW1049" s="132">
        <v>768</v>
      </c>
    </row>
    <row r="1050" spans="49:49" ht="15" customHeight="1" x14ac:dyDescent="0.2">
      <c r="AW1050" s="132">
        <v>769</v>
      </c>
    </row>
    <row r="1051" spans="49:49" ht="15" customHeight="1" x14ac:dyDescent="0.2">
      <c r="AW1051" s="132">
        <v>770</v>
      </c>
    </row>
    <row r="1052" spans="49:49" ht="15" customHeight="1" x14ac:dyDescent="0.2">
      <c r="AW1052" s="132">
        <v>771</v>
      </c>
    </row>
    <row r="1053" spans="49:49" ht="15" customHeight="1" x14ac:dyDescent="0.2">
      <c r="AW1053" s="132">
        <v>772</v>
      </c>
    </row>
    <row r="1054" spans="49:49" ht="15" customHeight="1" x14ac:dyDescent="0.2">
      <c r="AW1054" s="132">
        <v>773</v>
      </c>
    </row>
    <row r="1055" spans="49:49" ht="15" customHeight="1" x14ac:dyDescent="0.2">
      <c r="AW1055" s="132">
        <v>774</v>
      </c>
    </row>
    <row r="1056" spans="49:49" ht="15" customHeight="1" x14ac:dyDescent="0.2">
      <c r="AW1056" s="132">
        <v>775</v>
      </c>
    </row>
    <row r="1057" spans="49:49" ht="15" customHeight="1" x14ac:dyDescent="0.2">
      <c r="AW1057" s="132">
        <v>776</v>
      </c>
    </row>
    <row r="1058" spans="49:49" ht="15" customHeight="1" x14ac:dyDescent="0.2">
      <c r="AW1058" s="132">
        <v>777</v>
      </c>
    </row>
    <row r="1059" spans="49:49" ht="15" customHeight="1" x14ac:dyDescent="0.2">
      <c r="AW1059" s="132">
        <v>778</v>
      </c>
    </row>
    <row r="1060" spans="49:49" ht="15" customHeight="1" x14ac:dyDescent="0.2">
      <c r="AW1060" s="132">
        <v>779</v>
      </c>
    </row>
    <row r="1061" spans="49:49" ht="15" customHeight="1" x14ac:dyDescent="0.2">
      <c r="AW1061" s="132">
        <v>780</v>
      </c>
    </row>
    <row r="1062" spans="49:49" ht="15" customHeight="1" x14ac:dyDescent="0.2">
      <c r="AW1062" s="132">
        <v>781</v>
      </c>
    </row>
    <row r="1063" spans="49:49" ht="15" customHeight="1" x14ac:dyDescent="0.2">
      <c r="AW1063" s="132">
        <v>782</v>
      </c>
    </row>
    <row r="1064" spans="49:49" ht="15" customHeight="1" x14ac:dyDescent="0.2">
      <c r="AW1064" s="132">
        <v>783</v>
      </c>
    </row>
    <row r="1065" spans="49:49" ht="15" customHeight="1" x14ac:dyDescent="0.2">
      <c r="AW1065" s="132">
        <v>784</v>
      </c>
    </row>
    <row r="1066" spans="49:49" ht="15" customHeight="1" x14ac:dyDescent="0.2">
      <c r="AW1066" s="132">
        <v>785</v>
      </c>
    </row>
    <row r="1067" spans="49:49" ht="15" customHeight="1" x14ac:dyDescent="0.2">
      <c r="AW1067" s="132">
        <v>786</v>
      </c>
    </row>
    <row r="1068" spans="49:49" ht="15" customHeight="1" x14ac:dyDescent="0.2">
      <c r="AW1068" s="132">
        <v>787</v>
      </c>
    </row>
    <row r="1069" spans="49:49" ht="15" customHeight="1" x14ac:dyDescent="0.2">
      <c r="AW1069" s="132">
        <v>788</v>
      </c>
    </row>
    <row r="1070" spans="49:49" ht="15" customHeight="1" x14ac:dyDescent="0.2">
      <c r="AW1070" s="132">
        <v>789</v>
      </c>
    </row>
    <row r="1071" spans="49:49" ht="15" customHeight="1" x14ac:dyDescent="0.2">
      <c r="AW1071" s="132">
        <v>790</v>
      </c>
    </row>
    <row r="1072" spans="49:49" ht="15" customHeight="1" x14ac:dyDescent="0.2">
      <c r="AW1072" s="132">
        <v>791</v>
      </c>
    </row>
    <row r="1073" spans="49:49" ht="15" customHeight="1" x14ac:dyDescent="0.2">
      <c r="AW1073" s="132">
        <v>792</v>
      </c>
    </row>
    <row r="1074" spans="49:49" ht="15" customHeight="1" x14ac:dyDescent="0.2">
      <c r="AW1074" s="132">
        <v>793</v>
      </c>
    </row>
    <row r="1075" spans="49:49" ht="15" customHeight="1" x14ac:dyDescent="0.2">
      <c r="AW1075" s="132">
        <v>794</v>
      </c>
    </row>
    <row r="1076" spans="49:49" ht="15" customHeight="1" x14ac:dyDescent="0.2">
      <c r="AW1076" s="132">
        <v>795</v>
      </c>
    </row>
    <row r="1077" spans="49:49" ht="15" customHeight="1" x14ac:dyDescent="0.2">
      <c r="AW1077" s="132">
        <v>796</v>
      </c>
    </row>
    <row r="1078" spans="49:49" ht="15" customHeight="1" x14ac:dyDescent="0.2">
      <c r="AW1078" s="132">
        <v>797</v>
      </c>
    </row>
    <row r="1079" spans="49:49" ht="15" customHeight="1" x14ac:dyDescent="0.2">
      <c r="AW1079" s="132">
        <v>798</v>
      </c>
    </row>
    <row r="1080" spans="49:49" ht="15" customHeight="1" x14ac:dyDescent="0.2">
      <c r="AW1080" s="132">
        <v>799</v>
      </c>
    </row>
    <row r="1081" spans="49:49" ht="15" customHeight="1" x14ac:dyDescent="0.2">
      <c r="AW1081" s="132">
        <v>800</v>
      </c>
    </row>
    <row r="1082" spans="49:49" ht="15" customHeight="1" x14ac:dyDescent="0.2">
      <c r="AW1082" s="132">
        <v>801</v>
      </c>
    </row>
    <row r="1083" spans="49:49" ht="15" customHeight="1" x14ac:dyDescent="0.2">
      <c r="AW1083" s="132">
        <v>802</v>
      </c>
    </row>
    <row r="1084" spans="49:49" ht="15" customHeight="1" x14ac:dyDescent="0.2">
      <c r="AW1084" s="132">
        <v>803</v>
      </c>
    </row>
    <row r="1085" spans="49:49" ht="15" customHeight="1" x14ac:dyDescent="0.2">
      <c r="AW1085" s="132">
        <v>804</v>
      </c>
    </row>
    <row r="1086" spans="49:49" ht="15" customHeight="1" x14ac:dyDescent="0.2">
      <c r="AW1086" s="132">
        <v>805</v>
      </c>
    </row>
    <row r="1087" spans="49:49" ht="15" customHeight="1" x14ac:dyDescent="0.2">
      <c r="AW1087" s="132">
        <v>806</v>
      </c>
    </row>
    <row r="1088" spans="49:49" ht="15" customHeight="1" x14ac:dyDescent="0.2">
      <c r="AW1088" s="132">
        <v>807</v>
      </c>
    </row>
    <row r="1089" spans="49:49" ht="15" customHeight="1" x14ac:dyDescent="0.2">
      <c r="AW1089" s="132">
        <v>808</v>
      </c>
    </row>
    <row r="1090" spans="49:49" ht="15" customHeight="1" x14ac:dyDescent="0.2">
      <c r="AW1090" s="132">
        <v>809</v>
      </c>
    </row>
    <row r="1091" spans="49:49" ht="15" customHeight="1" x14ac:dyDescent="0.2">
      <c r="AW1091" s="132">
        <v>810</v>
      </c>
    </row>
    <row r="1092" spans="49:49" ht="15" customHeight="1" x14ac:dyDescent="0.2">
      <c r="AW1092" s="132">
        <v>811</v>
      </c>
    </row>
    <row r="1093" spans="49:49" ht="15" customHeight="1" x14ac:dyDescent="0.2">
      <c r="AW1093" s="132">
        <v>812</v>
      </c>
    </row>
    <row r="1094" spans="49:49" ht="15" customHeight="1" x14ac:dyDescent="0.2">
      <c r="AW1094" s="132">
        <v>813</v>
      </c>
    </row>
    <row r="1095" spans="49:49" ht="15" customHeight="1" x14ac:dyDescent="0.2">
      <c r="AW1095" s="132">
        <v>814</v>
      </c>
    </row>
    <row r="1096" spans="49:49" ht="15" customHeight="1" x14ac:dyDescent="0.2">
      <c r="AW1096" s="132">
        <v>815</v>
      </c>
    </row>
    <row r="1097" spans="49:49" ht="15" customHeight="1" x14ac:dyDescent="0.2">
      <c r="AW1097" s="132">
        <v>816</v>
      </c>
    </row>
    <row r="1098" spans="49:49" ht="15" customHeight="1" x14ac:dyDescent="0.2">
      <c r="AW1098" s="132">
        <v>817</v>
      </c>
    </row>
    <row r="1099" spans="49:49" ht="15" customHeight="1" x14ac:dyDescent="0.2">
      <c r="AW1099" s="132">
        <v>818</v>
      </c>
    </row>
    <row r="1100" spans="49:49" ht="15" customHeight="1" x14ac:dyDescent="0.2">
      <c r="AW1100" s="132">
        <v>819</v>
      </c>
    </row>
    <row r="1101" spans="49:49" ht="15" customHeight="1" x14ac:dyDescent="0.2">
      <c r="AW1101" s="132">
        <v>820</v>
      </c>
    </row>
    <row r="1102" spans="49:49" ht="15" customHeight="1" x14ac:dyDescent="0.2">
      <c r="AW1102" s="132">
        <v>821</v>
      </c>
    </row>
    <row r="1103" spans="49:49" ht="15" customHeight="1" x14ac:dyDescent="0.2">
      <c r="AW1103" s="132">
        <v>822</v>
      </c>
    </row>
    <row r="1104" spans="49:49" ht="15" customHeight="1" x14ac:dyDescent="0.2">
      <c r="AW1104" s="132">
        <v>823</v>
      </c>
    </row>
    <row r="1105" spans="49:49" ht="15" customHeight="1" x14ac:dyDescent="0.2">
      <c r="AW1105" s="132">
        <v>824</v>
      </c>
    </row>
    <row r="1106" spans="49:49" ht="15" customHeight="1" x14ac:dyDescent="0.2">
      <c r="AW1106" s="132">
        <v>825</v>
      </c>
    </row>
    <row r="1107" spans="49:49" ht="15" customHeight="1" x14ac:dyDescent="0.2">
      <c r="AW1107" s="132">
        <v>826</v>
      </c>
    </row>
    <row r="1108" spans="49:49" ht="15" customHeight="1" x14ac:dyDescent="0.2">
      <c r="AW1108" s="132">
        <v>827</v>
      </c>
    </row>
    <row r="1109" spans="49:49" ht="15" customHeight="1" x14ac:dyDescent="0.2">
      <c r="AW1109" s="132">
        <v>828</v>
      </c>
    </row>
    <row r="1110" spans="49:49" ht="15" customHeight="1" x14ac:dyDescent="0.2">
      <c r="AW1110" s="132">
        <v>829</v>
      </c>
    </row>
    <row r="1111" spans="49:49" ht="15" customHeight="1" x14ac:dyDescent="0.2">
      <c r="AW1111" s="132">
        <v>830</v>
      </c>
    </row>
    <row r="1112" spans="49:49" ht="15" customHeight="1" x14ac:dyDescent="0.2">
      <c r="AW1112" s="132">
        <v>831</v>
      </c>
    </row>
    <row r="1113" spans="49:49" ht="15" customHeight="1" x14ac:dyDescent="0.2">
      <c r="AW1113" s="132">
        <v>832</v>
      </c>
    </row>
    <row r="1114" spans="49:49" ht="15" customHeight="1" x14ac:dyDescent="0.2">
      <c r="AW1114" s="132">
        <v>833</v>
      </c>
    </row>
    <row r="1115" spans="49:49" ht="15" customHeight="1" x14ac:dyDescent="0.2">
      <c r="AW1115" s="132">
        <v>834</v>
      </c>
    </row>
    <row r="1116" spans="49:49" ht="15" customHeight="1" x14ac:dyDescent="0.2">
      <c r="AW1116" s="132">
        <v>835</v>
      </c>
    </row>
    <row r="1117" spans="49:49" ht="15" customHeight="1" x14ac:dyDescent="0.2">
      <c r="AW1117" s="132">
        <v>836</v>
      </c>
    </row>
    <row r="1118" spans="49:49" ht="15" customHeight="1" x14ac:dyDescent="0.2">
      <c r="AW1118" s="132">
        <v>837</v>
      </c>
    </row>
    <row r="1119" spans="49:49" ht="15" customHeight="1" x14ac:dyDescent="0.2">
      <c r="AW1119" s="132">
        <v>838</v>
      </c>
    </row>
    <row r="1120" spans="49:49" ht="15" customHeight="1" x14ac:dyDescent="0.2">
      <c r="AW1120" s="132">
        <v>839</v>
      </c>
    </row>
    <row r="1121" spans="49:49" ht="15" customHeight="1" x14ac:dyDescent="0.2">
      <c r="AW1121" s="132">
        <v>840</v>
      </c>
    </row>
    <row r="1122" spans="49:49" ht="15" customHeight="1" x14ac:dyDescent="0.2">
      <c r="AW1122" s="132">
        <v>841</v>
      </c>
    </row>
    <row r="1123" spans="49:49" ht="15" customHeight="1" x14ac:dyDescent="0.2">
      <c r="AW1123" s="132">
        <v>842</v>
      </c>
    </row>
    <row r="1124" spans="49:49" ht="15" customHeight="1" x14ac:dyDescent="0.2">
      <c r="AW1124" s="132">
        <v>843</v>
      </c>
    </row>
    <row r="1125" spans="49:49" ht="15" customHeight="1" x14ac:dyDescent="0.2">
      <c r="AW1125" s="132">
        <v>844</v>
      </c>
    </row>
    <row r="1126" spans="49:49" ht="15" customHeight="1" x14ac:dyDescent="0.2">
      <c r="AW1126" s="132">
        <v>845</v>
      </c>
    </row>
    <row r="1127" spans="49:49" ht="15" customHeight="1" x14ac:dyDescent="0.2">
      <c r="AW1127" s="132">
        <v>846</v>
      </c>
    </row>
    <row r="1128" spans="49:49" ht="15" customHeight="1" x14ac:dyDescent="0.2">
      <c r="AW1128" s="132">
        <v>847</v>
      </c>
    </row>
    <row r="1129" spans="49:49" ht="15" customHeight="1" x14ac:dyDescent="0.2">
      <c r="AW1129" s="132">
        <v>848</v>
      </c>
    </row>
    <row r="1130" spans="49:49" ht="15" customHeight="1" x14ac:dyDescent="0.2">
      <c r="AW1130" s="132">
        <v>849</v>
      </c>
    </row>
    <row r="1131" spans="49:49" ht="15" customHeight="1" x14ac:dyDescent="0.2">
      <c r="AW1131" s="132">
        <v>850</v>
      </c>
    </row>
    <row r="1132" spans="49:49" ht="15" customHeight="1" x14ac:dyDescent="0.2">
      <c r="AW1132" s="132">
        <v>851</v>
      </c>
    </row>
    <row r="1133" spans="49:49" ht="15" customHeight="1" x14ac:dyDescent="0.2">
      <c r="AW1133" s="132">
        <v>852</v>
      </c>
    </row>
    <row r="1134" spans="49:49" ht="15" customHeight="1" x14ac:dyDescent="0.2">
      <c r="AW1134" s="132">
        <v>853</v>
      </c>
    </row>
    <row r="1135" spans="49:49" ht="15" customHeight="1" x14ac:dyDescent="0.2">
      <c r="AW1135" s="132">
        <v>854</v>
      </c>
    </row>
    <row r="1136" spans="49:49" ht="15" customHeight="1" x14ac:dyDescent="0.2">
      <c r="AW1136" s="132">
        <v>855</v>
      </c>
    </row>
    <row r="1137" spans="49:49" ht="15" customHeight="1" x14ac:dyDescent="0.2">
      <c r="AW1137" s="132">
        <v>856</v>
      </c>
    </row>
    <row r="1138" spans="49:49" ht="15" customHeight="1" x14ac:dyDescent="0.2">
      <c r="AW1138" s="132">
        <v>857</v>
      </c>
    </row>
    <row r="1139" spans="49:49" ht="15" customHeight="1" x14ac:dyDescent="0.2">
      <c r="AW1139" s="132">
        <v>858</v>
      </c>
    </row>
    <row r="1140" spans="49:49" ht="15" customHeight="1" x14ac:dyDescent="0.2">
      <c r="AW1140" s="132">
        <v>859</v>
      </c>
    </row>
    <row r="1141" spans="49:49" ht="15" customHeight="1" x14ac:dyDescent="0.2">
      <c r="AW1141" s="132">
        <v>860</v>
      </c>
    </row>
    <row r="1142" spans="49:49" ht="15" customHeight="1" x14ac:dyDescent="0.2">
      <c r="AW1142" s="132">
        <v>861</v>
      </c>
    </row>
    <row r="1143" spans="49:49" ht="15" customHeight="1" x14ac:dyDescent="0.2">
      <c r="AW1143" s="132">
        <v>862</v>
      </c>
    </row>
    <row r="1144" spans="49:49" ht="15" customHeight="1" x14ac:dyDescent="0.2">
      <c r="AW1144" s="132">
        <v>863</v>
      </c>
    </row>
    <row r="1145" spans="49:49" ht="15" customHeight="1" x14ac:dyDescent="0.2">
      <c r="AW1145" s="132">
        <v>864</v>
      </c>
    </row>
    <row r="1146" spans="49:49" ht="15" customHeight="1" x14ac:dyDescent="0.2">
      <c r="AW1146" s="132">
        <v>865</v>
      </c>
    </row>
    <row r="1147" spans="49:49" ht="15" customHeight="1" x14ac:dyDescent="0.2">
      <c r="AW1147" s="132">
        <v>866</v>
      </c>
    </row>
    <row r="1148" spans="49:49" ht="15" customHeight="1" x14ac:dyDescent="0.2">
      <c r="AW1148" s="132">
        <v>867</v>
      </c>
    </row>
    <row r="1149" spans="49:49" ht="15" customHeight="1" x14ac:dyDescent="0.2">
      <c r="AW1149" s="132">
        <v>868</v>
      </c>
    </row>
    <row r="1150" spans="49:49" ht="15" customHeight="1" x14ac:dyDescent="0.2">
      <c r="AW1150" s="132">
        <v>869</v>
      </c>
    </row>
    <row r="1151" spans="49:49" ht="15" customHeight="1" x14ac:dyDescent="0.2">
      <c r="AW1151" s="132">
        <v>870</v>
      </c>
    </row>
    <row r="1152" spans="49:49" ht="15" customHeight="1" x14ac:dyDescent="0.2">
      <c r="AW1152" s="132">
        <v>871</v>
      </c>
    </row>
    <row r="1153" spans="49:49" ht="15" customHeight="1" x14ac:dyDescent="0.2">
      <c r="AW1153" s="132">
        <v>872</v>
      </c>
    </row>
    <row r="1154" spans="49:49" ht="15" customHeight="1" x14ac:dyDescent="0.2">
      <c r="AW1154" s="132">
        <v>873</v>
      </c>
    </row>
    <row r="1155" spans="49:49" ht="15" customHeight="1" x14ac:dyDescent="0.2">
      <c r="AW1155" s="132">
        <v>874</v>
      </c>
    </row>
    <row r="1156" spans="49:49" ht="15" customHeight="1" x14ac:dyDescent="0.2">
      <c r="AW1156" s="132">
        <v>875</v>
      </c>
    </row>
    <row r="1157" spans="49:49" ht="15" customHeight="1" x14ac:dyDescent="0.2">
      <c r="AW1157" s="132">
        <v>876</v>
      </c>
    </row>
    <row r="1158" spans="49:49" ht="15" customHeight="1" x14ac:dyDescent="0.2">
      <c r="AW1158" s="132">
        <v>877</v>
      </c>
    </row>
    <row r="1159" spans="49:49" ht="15" customHeight="1" x14ac:dyDescent="0.2">
      <c r="AW1159" s="132">
        <v>878</v>
      </c>
    </row>
    <row r="1160" spans="49:49" ht="15" customHeight="1" x14ac:dyDescent="0.2">
      <c r="AW1160" s="132">
        <v>879</v>
      </c>
    </row>
    <row r="1161" spans="49:49" ht="15" customHeight="1" x14ac:dyDescent="0.2">
      <c r="AW1161" s="132">
        <v>880</v>
      </c>
    </row>
    <row r="1162" spans="49:49" ht="15" customHeight="1" x14ac:dyDescent="0.2">
      <c r="AW1162" s="132">
        <v>881</v>
      </c>
    </row>
    <row r="1163" spans="49:49" ht="15" customHeight="1" x14ac:dyDescent="0.2">
      <c r="AW1163" s="132">
        <v>882</v>
      </c>
    </row>
    <row r="1164" spans="49:49" ht="15" customHeight="1" x14ac:dyDescent="0.2">
      <c r="AW1164" s="132">
        <v>883</v>
      </c>
    </row>
    <row r="1165" spans="49:49" ht="15" customHeight="1" x14ac:dyDescent="0.2">
      <c r="AW1165" s="132">
        <v>884</v>
      </c>
    </row>
    <row r="1166" spans="49:49" ht="15" customHeight="1" x14ac:dyDescent="0.2">
      <c r="AW1166" s="132">
        <v>885</v>
      </c>
    </row>
    <row r="1167" spans="49:49" ht="15" customHeight="1" x14ac:dyDescent="0.2">
      <c r="AW1167" s="132">
        <v>886</v>
      </c>
    </row>
    <row r="1168" spans="49:49" ht="15" customHeight="1" x14ac:dyDescent="0.2">
      <c r="AW1168" s="132">
        <v>887</v>
      </c>
    </row>
    <row r="1169" spans="49:49" ht="15" customHeight="1" x14ac:dyDescent="0.2">
      <c r="AW1169" s="132">
        <v>888</v>
      </c>
    </row>
    <row r="1170" spans="49:49" ht="15" customHeight="1" x14ac:dyDescent="0.2">
      <c r="AW1170" s="132">
        <v>889</v>
      </c>
    </row>
    <row r="1171" spans="49:49" ht="15" customHeight="1" x14ac:dyDescent="0.2">
      <c r="AW1171" s="132">
        <v>890</v>
      </c>
    </row>
    <row r="1172" spans="49:49" ht="15" customHeight="1" x14ac:dyDescent="0.2">
      <c r="AW1172" s="132">
        <v>891</v>
      </c>
    </row>
    <row r="1173" spans="49:49" ht="15" customHeight="1" x14ac:dyDescent="0.2">
      <c r="AW1173" s="132">
        <v>892</v>
      </c>
    </row>
    <row r="1174" spans="49:49" ht="15" customHeight="1" x14ac:dyDescent="0.2">
      <c r="AW1174" s="132">
        <v>893</v>
      </c>
    </row>
    <row r="1175" spans="49:49" ht="15" customHeight="1" x14ac:dyDescent="0.2">
      <c r="AW1175" s="132">
        <v>894</v>
      </c>
    </row>
    <row r="1176" spans="49:49" ht="15" customHeight="1" x14ac:dyDescent="0.2">
      <c r="AW1176" s="132">
        <v>895</v>
      </c>
    </row>
    <row r="1177" spans="49:49" ht="15" customHeight="1" x14ac:dyDescent="0.2">
      <c r="AW1177" s="132">
        <v>896</v>
      </c>
    </row>
    <row r="1178" spans="49:49" ht="15" customHeight="1" x14ac:dyDescent="0.2">
      <c r="AW1178" s="132">
        <v>897</v>
      </c>
    </row>
    <row r="1179" spans="49:49" ht="15" customHeight="1" x14ac:dyDescent="0.2">
      <c r="AW1179" s="132">
        <v>898</v>
      </c>
    </row>
    <row r="1180" spans="49:49" ht="15" customHeight="1" x14ac:dyDescent="0.2">
      <c r="AW1180" s="132">
        <v>899</v>
      </c>
    </row>
    <row r="1181" spans="49:49" ht="15" customHeight="1" x14ac:dyDescent="0.2">
      <c r="AW1181" s="132">
        <v>900</v>
      </c>
    </row>
    <row r="1182" spans="49:49" ht="15" customHeight="1" x14ac:dyDescent="0.2">
      <c r="AW1182" s="132">
        <v>901</v>
      </c>
    </row>
    <row r="1183" spans="49:49" ht="15" customHeight="1" x14ac:dyDescent="0.2">
      <c r="AW1183" s="132">
        <v>902</v>
      </c>
    </row>
    <row r="1184" spans="49:49" ht="15" customHeight="1" x14ac:dyDescent="0.2">
      <c r="AW1184" s="132">
        <v>903</v>
      </c>
    </row>
    <row r="1185" spans="49:49" ht="15" customHeight="1" x14ac:dyDescent="0.2">
      <c r="AW1185" s="132">
        <v>904</v>
      </c>
    </row>
    <row r="1186" spans="49:49" ht="15" customHeight="1" x14ac:dyDescent="0.2">
      <c r="AW1186" s="132">
        <v>905</v>
      </c>
    </row>
    <row r="1187" spans="49:49" ht="15" customHeight="1" x14ac:dyDescent="0.2">
      <c r="AW1187" s="132">
        <v>906</v>
      </c>
    </row>
    <row r="1188" spans="49:49" ht="15" customHeight="1" x14ac:dyDescent="0.2">
      <c r="AW1188" s="132">
        <v>907</v>
      </c>
    </row>
    <row r="1189" spans="49:49" ht="15" customHeight="1" x14ac:dyDescent="0.2">
      <c r="AW1189" s="132">
        <v>908</v>
      </c>
    </row>
    <row r="1190" spans="49:49" ht="15" customHeight="1" x14ac:dyDescent="0.2">
      <c r="AW1190" s="132">
        <v>909</v>
      </c>
    </row>
    <row r="1191" spans="49:49" ht="15" customHeight="1" x14ac:dyDescent="0.2">
      <c r="AW1191" s="132">
        <v>910</v>
      </c>
    </row>
    <row r="1192" spans="49:49" ht="15" customHeight="1" x14ac:dyDescent="0.2">
      <c r="AW1192" s="132">
        <v>911</v>
      </c>
    </row>
    <row r="1193" spans="49:49" ht="15" customHeight="1" x14ac:dyDescent="0.2">
      <c r="AW1193" s="132">
        <v>912</v>
      </c>
    </row>
    <row r="1194" spans="49:49" ht="15" customHeight="1" x14ac:dyDescent="0.2">
      <c r="AW1194" s="132">
        <v>913</v>
      </c>
    </row>
    <row r="1195" spans="49:49" ht="15" customHeight="1" x14ac:dyDescent="0.2">
      <c r="AW1195" s="132">
        <v>914</v>
      </c>
    </row>
    <row r="1196" spans="49:49" ht="15" customHeight="1" x14ac:dyDescent="0.2">
      <c r="AW1196" s="132">
        <v>915</v>
      </c>
    </row>
    <row r="1197" spans="49:49" ht="15" customHeight="1" x14ac:dyDescent="0.2">
      <c r="AW1197" s="132">
        <v>916</v>
      </c>
    </row>
    <row r="1198" spans="49:49" ht="15" customHeight="1" x14ac:dyDescent="0.2">
      <c r="AW1198" s="132">
        <v>917</v>
      </c>
    </row>
    <row r="1199" spans="49:49" ht="15" customHeight="1" x14ac:dyDescent="0.2">
      <c r="AW1199" s="132">
        <v>918</v>
      </c>
    </row>
    <row r="1200" spans="49:49" ht="15" customHeight="1" x14ac:dyDescent="0.2">
      <c r="AW1200" s="132">
        <v>919</v>
      </c>
    </row>
    <row r="1201" spans="49:49" ht="15" customHeight="1" x14ac:dyDescent="0.2">
      <c r="AW1201" s="132">
        <v>920</v>
      </c>
    </row>
    <row r="1202" spans="49:49" ht="15" customHeight="1" x14ac:dyDescent="0.2">
      <c r="AW1202" s="132">
        <v>921</v>
      </c>
    </row>
    <row r="1203" spans="49:49" ht="15" customHeight="1" x14ac:dyDescent="0.2">
      <c r="AW1203" s="132">
        <v>922</v>
      </c>
    </row>
    <row r="1204" spans="49:49" ht="15" customHeight="1" x14ac:dyDescent="0.2">
      <c r="AW1204" s="132">
        <v>923</v>
      </c>
    </row>
    <row r="1205" spans="49:49" ht="15" customHeight="1" x14ac:dyDescent="0.2">
      <c r="AW1205" s="132">
        <v>924</v>
      </c>
    </row>
    <row r="1206" spans="49:49" ht="15" customHeight="1" x14ac:dyDescent="0.2">
      <c r="AW1206" s="132">
        <v>925</v>
      </c>
    </row>
    <row r="1207" spans="49:49" ht="15" customHeight="1" x14ac:dyDescent="0.2">
      <c r="AW1207" s="132">
        <v>926</v>
      </c>
    </row>
    <row r="1208" spans="49:49" ht="15" customHeight="1" x14ac:dyDescent="0.2">
      <c r="AW1208" s="132">
        <v>927</v>
      </c>
    </row>
    <row r="1209" spans="49:49" ht="15" customHeight="1" x14ac:dyDescent="0.2">
      <c r="AW1209" s="132">
        <v>928</v>
      </c>
    </row>
    <row r="1210" spans="49:49" ht="15" customHeight="1" x14ac:dyDescent="0.2">
      <c r="AW1210" s="132">
        <v>929</v>
      </c>
    </row>
    <row r="1211" spans="49:49" ht="15" customHeight="1" x14ac:dyDescent="0.2">
      <c r="AW1211" s="132">
        <v>930</v>
      </c>
    </row>
    <row r="1212" spans="49:49" ht="15" customHeight="1" x14ac:dyDescent="0.2">
      <c r="AW1212" s="132">
        <v>931</v>
      </c>
    </row>
    <row r="1213" spans="49:49" ht="15" customHeight="1" x14ac:dyDescent="0.2">
      <c r="AW1213" s="132">
        <v>932</v>
      </c>
    </row>
    <row r="1214" spans="49:49" ht="15" customHeight="1" x14ac:dyDescent="0.2">
      <c r="AW1214" s="132">
        <v>933</v>
      </c>
    </row>
    <row r="1215" spans="49:49" ht="15" customHeight="1" x14ac:dyDescent="0.2">
      <c r="AW1215" s="132">
        <v>934</v>
      </c>
    </row>
    <row r="1216" spans="49:49" ht="15" customHeight="1" x14ac:dyDescent="0.2">
      <c r="AW1216" s="132">
        <v>935</v>
      </c>
    </row>
    <row r="1217" spans="49:49" ht="15" customHeight="1" x14ac:dyDescent="0.2">
      <c r="AW1217" s="132">
        <v>936</v>
      </c>
    </row>
    <row r="1218" spans="49:49" ht="15" customHeight="1" x14ac:dyDescent="0.2">
      <c r="AW1218" s="132">
        <v>937</v>
      </c>
    </row>
    <row r="1219" spans="49:49" ht="15" customHeight="1" x14ac:dyDescent="0.2">
      <c r="AW1219" s="132">
        <v>938</v>
      </c>
    </row>
    <row r="1220" spans="49:49" ht="15" customHeight="1" x14ac:dyDescent="0.2">
      <c r="AW1220" s="132">
        <v>939</v>
      </c>
    </row>
    <row r="1221" spans="49:49" ht="15" customHeight="1" x14ac:dyDescent="0.2">
      <c r="AW1221" s="132">
        <v>940</v>
      </c>
    </row>
    <row r="1222" spans="49:49" ht="15" customHeight="1" x14ac:dyDescent="0.2">
      <c r="AW1222" s="132">
        <v>941</v>
      </c>
    </row>
    <row r="1223" spans="49:49" ht="15" customHeight="1" x14ac:dyDescent="0.2">
      <c r="AW1223" s="132">
        <v>942</v>
      </c>
    </row>
    <row r="1224" spans="49:49" ht="15" customHeight="1" x14ac:dyDescent="0.2">
      <c r="AW1224" s="132">
        <v>943</v>
      </c>
    </row>
    <row r="1225" spans="49:49" ht="15" customHeight="1" x14ac:dyDescent="0.2">
      <c r="AW1225" s="132">
        <v>944</v>
      </c>
    </row>
    <row r="1226" spans="49:49" ht="15" customHeight="1" x14ac:dyDescent="0.2">
      <c r="AW1226" s="132">
        <v>945</v>
      </c>
    </row>
    <row r="1227" spans="49:49" ht="15" customHeight="1" x14ac:dyDescent="0.2">
      <c r="AW1227" s="132">
        <v>946</v>
      </c>
    </row>
    <row r="1228" spans="49:49" ht="15" customHeight="1" x14ac:dyDescent="0.2">
      <c r="AW1228" s="132">
        <v>947</v>
      </c>
    </row>
    <row r="1229" spans="49:49" ht="15" customHeight="1" x14ac:dyDescent="0.2">
      <c r="AW1229" s="132">
        <v>948</v>
      </c>
    </row>
    <row r="1230" spans="49:49" ht="15" customHeight="1" x14ac:dyDescent="0.2">
      <c r="AW1230" s="132">
        <v>949</v>
      </c>
    </row>
    <row r="1231" spans="49:49" ht="15" customHeight="1" x14ac:dyDescent="0.2">
      <c r="AW1231" s="132">
        <v>950</v>
      </c>
    </row>
    <row r="1232" spans="49:49" ht="15" customHeight="1" x14ac:dyDescent="0.2">
      <c r="AW1232" s="132">
        <v>951</v>
      </c>
    </row>
    <row r="1233" spans="49:49" ht="15" customHeight="1" x14ac:dyDescent="0.2">
      <c r="AW1233" s="132">
        <v>952</v>
      </c>
    </row>
    <row r="1234" spans="49:49" ht="15" customHeight="1" x14ac:dyDescent="0.2">
      <c r="AW1234" s="132">
        <v>953</v>
      </c>
    </row>
    <row r="1235" spans="49:49" ht="15" customHeight="1" x14ac:dyDescent="0.2">
      <c r="AW1235" s="132">
        <v>954</v>
      </c>
    </row>
    <row r="1236" spans="49:49" ht="15" customHeight="1" x14ac:dyDescent="0.2">
      <c r="AW1236" s="132">
        <v>955</v>
      </c>
    </row>
    <row r="1237" spans="49:49" ht="15" customHeight="1" x14ac:dyDescent="0.2">
      <c r="AW1237" s="132">
        <v>956</v>
      </c>
    </row>
    <row r="1238" spans="49:49" ht="15" customHeight="1" x14ac:dyDescent="0.2">
      <c r="AW1238" s="132">
        <v>957</v>
      </c>
    </row>
    <row r="1239" spans="49:49" ht="15" customHeight="1" x14ac:dyDescent="0.2">
      <c r="AW1239" s="132">
        <v>958</v>
      </c>
    </row>
    <row r="1240" spans="49:49" ht="15" customHeight="1" x14ac:dyDescent="0.2">
      <c r="AW1240" s="132">
        <v>959</v>
      </c>
    </row>
    <row r="1241" spans="49:49" ht="15" customHeight="1" x14ac:dyDescent="0.2">
      <c r="AW1241" s="132">
        <v>960</v>
      </c>
    </row>
    <row r="1242" spans="49:49" ht="15" customHeight="1" x14ac:dyDescent="0.2">
      <c r="AW1242" s="132">
        <v>961</v>
      </c>
    </row>
    <row r="1243" spans="49:49" ht="15" customHeight="1" x14ac:dyDescent="0.2">
      <c r="AW1243" s="132">
        <v>962</v>
      </c>
    </row>
    <row r="1244" spans="49:49" ht="15" customHeight="1" x14ac:dyDescent="0.2">
      <c r="AW1244" s="132">
        <v>963</v>
      </c>
    </row>
    <row r="1245" spans="49:49" ht="15" customHeight="1" x14ac:dyDescent="0.2">
      <c r="AW1245" s="132">
        <v>964</v>
      </c>
    </row>
    <row r="1246" spans="49:49" ht="15" customHeight="1" x14ac:dyDescent="0.2">
      <c r="AW1246" s="132">
        <v>965</v>
      </c>
    </row>
    <row r="1247" spans="49:49" ht="15" customHeight="1" x14ac:dyDescent="0.2">
      <c r="AW1247" s="132">
        <v>966</v>
      </c>
    </row>
    <row r="1248" spans="49:49" ht="15" customHeight="1" x14ac:dyDescent="0.2">
      <c r="AW1248" s="132">
        <v>967</v>
      </c>
    </row>
    <row r="1249" spans="49:49" ht="15" customHeight="1" x14ac:dyDescent="0.2">
      <c r="AW1249" s="132">
        <v>968</v>
      </c>
    </row>
    <row r="1250" spans="49:49" ht="15" customHeight="1" x14ac:dyDescent="0.2">
      <c r="AW1250" s="132">
        <v>969</v>
      </c>
    </row>
    <row r="1251" spans="49:49" ht="15" customHeight="1" x14ac:dyDescent="0.2">
      <c r="AW1251" s="132">
        <v>970</v>
      </c>
    </row>
    <row r="1252" spans="49:49" ht="15" customHeight="1" x14ac:dyDescent="0.2">
      <c r="AW1252" s="132">
        <v>971</v>
      </c>
    </row>
    <row r="1253" spans="49:49" ht="15" customHeight="1" x14ac:dyDescent="0.2">
      <c r="AW1253" s="132">
        <v>972</v>
      </c>
    </row>
    <row r="1254" spans="49:49" ht="15" customHeight="1" x14ac:dyDescent="0.2">
      <c r="AW1254" s="132">
        <v>973</v>
      </c>
    </row>
    <row r="1255" spans="49:49" ht="15" customHeight="1" x14ac:dyDescent="0.2">
      <c r="AW1255" s="132">
        <v>974</v>
      </c>
    </row>
    <row r="1256" spans="49:49" ht="15" customHeight="1" x14ac:dyDescent="0.2">
      <c r="AW1256" s="132">
        <v>975</v>
      </c>
    </row>
    <row r="1257" spans="49:49" ht="15" customHeight="1" x14ac:dyDescent="0.2">
      <c r="AW1257" s="132">
        <v>976</v>
      </c>
    </row>
    <row r="1258" spans="49:49" ht="15" customHeight="1" x14ac:dyDescent="0.2">
      <c r="AW1258" s="132">
        <v>977</v>
      </c>
    </row>
    <row r="1259" spans="49:49" ht="15" customHeight="1" x14ac:dyDescent="0.2">
      <c r="AW1259" s="132">
        <v>978</v>
      </c>
    </row>
    <row r="1260" spans="49:49" ht="15" customHeight="1" x14ac:dyDescent="0.2">
      <c r="AW1260" s="132">
        <v>979</v>
      </c>
    </row>
    <row r="1261" spans="49:49" ht="15" customHeight="1" x14ac:dyDescent="0.2">
      <c r="AW1261" s="132">
        <v>980</v>
      </c>
    </row>
    <row r="1262" spans="49:49" ht="15" customHeight="1" x14ac:dyDescent="0.2">
      <c r="AW1262" s="132">
        <v>981</v>
      </c>
    </row>
    <row r="1263" spans="49:49" ht="15" customHeight="1" x14ac:dyDescent="0.2">
      <c r="AW1263" s="132">
        <v>982</v>
      </c>
    </row>
    <row r="1264" spans="49:49" ht="15" customHeight="1" x14ac:dyDescent="0.2">
      <c r="AW1264" s="132">
        <v>983</v>
      </c>
    </row>
    <row r="1265" spans="49:49" ht="15" customHeight="1" x14ac:dyDescent="0.2">
      <c r="AW1265" s="132">
        <v>984</v>
      </c>
    </row>
    <row r="1266" spans="49:49" ht="15" customHeight="1" x14ac:dyDescent="0.2">
      <c r="AW1266" s="132">
        <v>985</v>
      </c>
    </row>
    <row r="1267" spans="49:49" ht="15" customHeight="1" x14ac:dyDescent="0.2">
      <c r="AW1267" s="132">
        <v>986</v>
      </c>
    </row>
    <row r="1268" spans="49:49" ht="15" customHeight="1" x14ac:dyDescent="0.2">
      <c r="AW1268" s="132">
        <v>987</v>
      </c>
    </row>
    <row r="1269" spans="49:49" ht="15" customHeight="1" x14ac:dyDescent="0.2">
      <c r="AW1269" s="132">
        <v>988</v>
      </c>
    </row>
    <row r="1270" spans="49:49" ht="15" customHeight="1" x14ac:dyDescent="0.2">
      <c r="AW1270" s="132">
        <v>989</v>
      </c>
    </row>
    <row r="1271" spans="49:49" ht="15" customHeight="1" x14ac:dyDescent="0.2">
      <c r="AW1271" s="132">
        <v>990</v>
      </c>
    </row>
    <row r="1272" spans="49:49" ht="15" customHeight="1" x14ac:dyDescent="0.2">
      <c r="AW1272" s="132">
        <v>991</v>
      </c>
    </row>
    <row r="1273" spans="49:49" ht="15" customHeight="1" x14ac:dyDescent="0.2">
      <c r="AW1273" s="132">
        <v>992</v>
      </c>
    </row>
    <row r="1274" spans="49:49" ht="15" customHeight="1" x14ac:dyDescent="0.2">
      <c r="AW1274" s="132">
        <v>993</v>
      </c>
    </row>
    <row r="1275" spans="49:49" ht="15" customHeight="1" x14ac:dyDescent="0.2">
      <c r="AW1275" s="132">
        <v>994</v>
      </c>
    </row>
    <row r="1276" spans="49:49" ht="15" customHeight="1" x14ac:dyDescent="0.2">
      <c r="AW1276" s="132">
        <v>995</v>
      </c>
    </row>
    <row r="1277" spans="49:49" ht="15" customHeight="1" x14ac:dyDescent="0.2">
      <c r="AW1277" s="132">
        <v>996</v>
      </c>
    </row>
    <row r="1278" spans="49:49" ht="15" customHeight="1" x14ac:dyDescent="0.2">
      <c r="AW1278" s="132">
        <v>997</v>
      </c>
    </row>
    <row r="1279" spans="49:49" ht="15" customHeight="1" x14ac:dyDescent="0.2">
      <c r="AW1279" s="132">
        <v>998</v>
      </c>
    </row>
    <row r="1280" spans="49:49" ht="15" customHeight="1" x14ac:dyDescent="0.2">
      <c r="AW1280" s="132">
        <v>999</v>
      </c>
    </row>
    <row r="1281" spans="49:49" ht="15" customHeight="1" x14ac:dyDescent="0.2">
      <c r="AW1281" s="132">
        <v>1000</v>
      </c>
    </row>
    <row r="1282" spans="49:49" ht="15" customHeight="1" x14ac:dyDescent="0.2">
      <c r="AW1282" s="132">
        <v>1001</v>
      </c>
    </row>
    <row r="1283" spans="49:49" ht="15" customHeight="1" x14ac:dyDescent="0.2">
      <c r="AW1283" s="132">
        <v>1002</v>
      </c>
    </row>
    <row r="1284" spans="49:49" ht="15" customHeight="1" x14ac:dyDescent="0.2">
      <c r="AW1284" s="132">
        <v>1003</v>
      </c>
    </row>
    <row r="1285" spans="49:49" ht="15" customHeight="1" x14ac:dyDescent="0.2">
      <c r="AW1285" s="132">
        <v>1004</v>
      </c>
    </row>
    <row r="1286" spans="49:49" ht="15" customHeight="1" x14ac:dyDescent="0.2">
      <c r="AW1286" s="132">
        <v>1005</v>
      </c>
    </row>
    <row r="1287" spans="49:49" ht="15" customHeight="1" x14ac:dyDescent="0.2">
      <c r="AW1287" s="132">
        <v>1006</v>
      </c>
    </row>
    <row r="1288" spans="49:49" ht="15" customHeight="1" x14ac:dyDescent="0.2">
      <c r="AW1288" s="132">
        <v>1007</v>
      </c>
    </row>
    <row r="1289" spans="49:49" ht="15" customHeight="1" x14ac:dyDescent="0.2">
      <c r="AW1289" s="132">
        <v>1008</v>
      </c>
    </row>
    <row r="1290" spans="49:49" ht="15" customHeight="1" x14ac:dyDescent="0.2">
      <c r="AW1290" s="132">
        <v>1009</v>
      </c>
    </row>
    <row r="1291" spans="49:49" ht="15" customHeight="1" x14ac:dyDescent="0.2">
      <c r="AW1291" s="132">
        <v>1010</v>
      </c>
    </row>
    <row r="1292" spans="49:49" ht="15" customHeight="1" x14ac:dyDescent="0.2">
      <c r="AW1292" s="132">
        <v>1011</v>
      </c>
    </row>
    <row r="1293" spans="49:49" ht="15" customHeight="1" x14ac:dyDescent="0.2">
      <c r="AW1293" s="132">
        <v>1012</v>
      </c>
    </row>
    <row r="1294" spans="49:49" ht="15" customHeight="1" x14ac:dyDescent="0.2">
      <c r="AW1294" s="132">
        <v>1013</v>
      </c>
    </row>
    <row r="1295" spans="49:49" ht="15" customHeight="1" x14ac:dyDescent="0.2">
      <c r="AW1295" s="132">
        <v>1014</v>
      </c>
    </row>
    <row r="1296" spans="49:49" ht="15" customHeight="1" x14ac:dyDescent="0.2">
      <c r="AW1296" s="132">
        <v>1015</v>
      </c>
    </row>
    <row r="1297" spans="49:49" ht="15" customHeight="1" x14ac:dyDescent="0.2">
      <c r="AW1297" s="132">
        <v>1016</v>
      </c>
    </row>
    <row r="1298" spans="49:49" ht="15" customHeight="1" x14ac:dyDescent="0.2">
      <c r="AW1298" s="132">
        <v>1017</v>
      </c>
    </row>
    <row r="1299" spans="49:49" ht="15" customHeight="1" x14ac:dyDescent="0.2">
      <c r="AW1299" s="132">
        <v>1018</v>
      </c>
    </row>
    <row r="1300" spans="49:49" ht="15" customHeight="1" x14ac:dyDescent="0.2">
      <c r="AW1300" s="132">
        <v>1019</v>
      </c>
    </row>
    <row r="1301" spans="49:49" ht="15" customHeight="1" x14ac:dyDescent="0.2">
      <c r="AW1301" s="132">
        <v>1020</v>
      </c>
    </row>
    <row r="1302" spans="49:49" ht="15" customHeight="1" x14ac:dyDescent="0.2">
      <c r="AW1302" s="132">
        <v>1021</v>
      </c>
    </row>
    <row r="1303" spans="49:49" ht="15" customHeight="1" x14ac:dyDescent="0.2">
      <c r="AW1303" s="132">
        <v>1022</v>
      </c>
    </row>
    <row r="1304" spans="49:49" ht="15" customHeight="1" x14ac:dyDescent="0.2">
      <c r="AW1304" s="132">
        <v>1023</v>
      </c>
    </row>
    <row r="1305" spans="49:49" ht="15" customHeight="1" x14ac:dyDescent="0.2">
      <c r="AW1305" s="132">
        <v>1024</v>
      </c>
    </row>
    <row r="1306" spans="49:49" ht="15" customHeight="1" x14ac:dyDescent="0.2">
      <c r="AW1306" s="132">
        <v>1025</v>
      </c>
    </row>
    <row r="1307" spans="49:49" ht="15" customHeight="1" x14ac:dyDescent="0.2">
      <c r="AW1307" s="132">
        <v>1026</v>
      </c>
    </row>
    <row r="1308" spans="49:49" ht="15" customHeight="1" x14ac:dyDescent="0.2">
      <c r="AW1308" s="132">
        <v>1027</v>
      </c>
    </row>
    <row r="1309" spans="49:49" ht="15" customHeight="1" x14ac:dyDescent="0.2">
      <c r="AW1309" s="132">
        <v>1028</v>
      </c>
    </row>
    <row r="1310" spans="49:49" ht="15" customHeight="1" x14ac:dyDescent="0.2">
      <c r="AW1310" s="132">
        <v>1029</v>
      </c>
    </row>
    <row r="1311" spans="49:49" ht="15" customHeight="1" x14ac:dyDescent="0.2">
      <c r="AW1311" s="132">
        <v>1030</v>
      </c>
    </row>
    <row r="1312" spans="49:49" ht="15" customHeight="1" x14ac:dyDescent="0.2">
      <c r="AW1312" s="132">
        <v>1031</v>
      </c>
    </row>
    <row r="1313" spans="49:49" ht="15" customHeight="1" x14ac:dyDescent="0.2">
      <c r="AW1313" s="132">
        <v>1032</v>
      </c>
    </row>
    <row r="1314" spans="49:49" ht="15" customHeight="1" x14ac:dyDescent="0.2">
      <c r="AW1314" s="132">
        <v>1033</v>
      </c>
    </row>
    <row r="1315" spans="49:49" ht="15" customHeight="1" x14ac:dyDescent="0.2">
      <c r="AW1315" s="132">
        <v>1034</v>
      </c>
    </row>
    <row r="1316" spans="49:49" ht="15" customHeight="1" x14ac:dyDescent="0.2">
      <c r="AW1316" s="132">
        <v>1035</v>
      </c>
    </row>
    <row r="1317" spans="49:49" ht="15" customHeight="1" x14ac:dyDescent="0.2">
      <c r="AW1317" s="132">
        <v>1036</v>
      </c>
    </row>
    <row r="1318" spans="49:49" ht="15" customHeight="1" x14ac:dyDescent="0.2">
      <c r="AW1318" s="132">
        <v>1037</v>
      </c>
    </row>
    <row r="1319" spans="49:49" ht="15" customHeight="1" x14ac:dyDescent="0.2">
      <c r="AW1319" s="132">
        <v>1038</v>
      </c>
    </row>
    <row r="1320" spans="49:49" ht="15" customHeight="1" x14ac:dyDescent="0.2">
      <c r="AW1320" s="132">
        <v>1039</v>
      </c>
    </row>
    <row r="1321" spans="49:49" ht="15" customHeight="1" x14ac:dyDescent="0.2">
      <c r="AW1321" s="132">
        <v>1040</v>
      </c>
    </row>
    <row r="1322" spans="49:49" ht="15" customHeight="1" x14ac:dyDescent="0.2">
      <c r="AW1322" s="132">
        <v>1041</v>
      </c>
    </row>
    <row r="1323" spans="49:49" ht="15" customHeight="1" x14ac:dyDescent="0.2">
      <c r="AW1323" s="132">
        <v>1042</v>
      </c>
    </row>
    <row r="1324" spans="49:49" ht="15" customHeight="1" x14ac:dyDescent="0.2">
      <c r="AW1324" s="132">
        <v>1043</v>
      </c>
    </row>
    <row r="1325" spans="49:49" ht="15" customHeight="1" x14ac:dyDescent="0.2">
      <c r="AW1325" s="132">
        <v>1044</v>
      </c>
    </row>
    <row r="1326" spans="49:49" ht="15" customHeight="1" x14ac:dyDescent="0.2">
      <c r="AW1326" s="132">
        <v>1045</v>
      </c>
    </row>
    <row r="1327" spans="49:49" ht="15" customHeight="1" x14ac:dyDescent="0.2">
      <c r="AW1327" s="132">
        <v>1046</v>
      </c>
    </row>
    <row r="1328" spans="49:49" ht="15" customHeight="1" x14ac:dyDescent="0.2">
      <c r="AW1328" s="132">
        <v>1047</v>
      </c>
    </row>
    <row r="1329" spans="49:49" ht="15" customHeight="1" x14ac:dyDescent="0.2">
      <c r="AW1329" s="132">
        <v>1048</v>
      </c>
    </row>
    <row r="1330" spans="49:49" ht="15" customHeight="1" x14ac:dyDescent="0.2">
      <c r="AW1330" s="132">
        <v>1049</v>
      </c>
    </row>
    <row r="1331" spans="49:49" ht="15" customHeight="1" x14ac:dyDescent="0.2">
      <c r="AW1331" s="132">
        <v>1050</v>
      </c>
    </row>
    <row r="1332" spans="49:49" ht="15" customHeight="1" x14ac:dyDescent="0.2">
      <c r="AW1332" s="132">
        <v>1051</v>
      </c>
    </row>
    <row r="1333" spans="49:49" ht="15" customHeight="1" x14ac:dyDescent="0.2">
      <c r="AW1333" s="132">
        <v>1052</v>
      </c>
    </row>
    <row r="1334" spans="49:49" ht="15" customHeight="1" x14ac:dyDescent="0.2">
      <c r="AW1334" s="132">
        <v>1053</v>
      </c>
    </row>
    <row r="1335" spans="49:49" ht="15" customHeight="1" x14ac:dyDescent="0.2">
      <c r="AW1335" s="132">
        <v>1054</v>
      </c>
    </row>
    <row r="1336" spans="49:49" ht="15" customHeight="1" x14ac:dyDescent="0.2">
      <c r="AW1336" s="132">
        <v>1055</v>
      </c>
    </row>
    <row r="1337" spans="49:49" ht="15" customHeight="1" x14ac:dyDescent="0.2">
      <c r="AW1337" s="132">
        <v>1056</v>
      </c>
    </row>
    <row r="1338" spans="49:49" ht="15" customHeight="1" x14ac:dyDescent="0.2">
      <c r="AW1338" s="132">
        <v>1057</v>
      </c>
    </row>
    <row r="1339" spans="49:49" ht="15" customHeight="1" x14ac:dyDescent="0.2">
      <c r="AW1339" s="132">
        <v>1058</v>
      </c>
    </row>
    <row r="1340" spans="49:49" ht="15" customHeight="1" x14ac:dyDescent="0.2">
      <c r="AW1340" s="132">
        <v>1059</v>
      </c>
    </row>
    <row r="1341" spans="49:49" ht="15" customHeight="1" x14ac:dyDescent="0.2">
      <c r="AW1341" s="132">
        <v>1060</v>
      </c>
    </row>
    <row r="1342" spans="49:49" ht="15" customHeight="1" x14ac:dyDescent="0.2">
      <c r="AW1342" s="132">
        <v>1061</v>
      </c>
    </row>
    <row r="1343" spans="49:49" ht="15" customHeight="1" x14ac:dyDescent="0.2">
      <c r="AW1343" s="132">
        <v>1062</v>
      </c>
    </row>
    <row r="1344" spans="49:49" ht="15" customHeight="1" x14ac:dyDescent="0.2">
      <c r="AW1344" s="132">
        <v>1063</v>
      </c>
    </row>
    <row r="1345" spans="49:49" ht="15" customHeight="1" x14ac:dyDescent="0.2">
      <c r="AW1345" s="132">
        <v>1064</v>
      </c>
    </row>
    <row r="1346" spans="49:49" ht="15" customHeight="1" x14ac:dyDescent="0.2">
      <c r="AW1346" s="132">
        <v>1065</v>
      </c>
    </row>
    <row r="1347" spans="49:49" ht="15" customHeight="1" x14ac:dyDescent="0.2">
      <c r="AW1347" s="132">
        <v>1066</v>
      </c>
    </row>
    <row r="1348" spans="49:49" ht="15" customHeight="1" x14ac:dyDescent="0.2">
      <c r="AW1348" s="132">
        <v>1067</v>
      </c>
    </row>
    <row r="1349" spans="49:49" ht="15" customHeight="1" x14ac:dyDescent="0.2">
      <c r="AW1349" s="132">
        <v>1068</v>
      </c>
    </row>
    <row r="1350" spans="49:49" ht="15" customHeight="1" x14ac:dyDescent="0.2">
      <c r="AW1350" s="132">
        <v>1069</v>
      </c>
    </row>
    <row r="1351" spans="49:49" ht="15" customHeight="1" x14ac:dyDescent="0.2">
      <c r="AW1351" s="132">
        <v>1070</v>
      </c>
    </row>
    <row r="1352" spans="49:49" ht="15" customHeight="1" x14ac:dyDescent="0.2">
      <c r="AW1352" s="132">
        <v>1071</v>
      </c>
    </row>
    <row r="1353" spans="49:49" ht="15" customHeight="1" x14ac:dyDescent="0.2">
      <c r="AW1353" s="132">
        <v>1072</v>
      </c>
    </row>
    <row r="1354" spans="49:49" ht="15" customHeight="1" x14ac:dyDescent="0.2">
      <c r="AW1354" s="132">
        <v>1073</v>
      </c>
    </row>
    <row r="1355" spans="49:49" ht="15" customHeight="1" x14ac:dyDescent="0.2">
      <c r="AW1355" s="132">
        <v>1074</v>
      </c>
    </row>
    <row r="1356" spans="49:49" ht="15" customHeight="1" x14ac:dyDescent="0.2">
      <c r="AW1356" s="132">
        <v>1075</v>
      </c>
    </row>
    <row r="1357" spans="49:49" ht="15" customHeight="1" x14ac:dyDescent="0.2">
      <c r="AW1357" s="132">
        <v>1076</v>
      </c>
    </row>
    <row r="1358" spans="49:49" ht="15" customHeight="1" x14ac:dyDescent="0.2">
      <c r="AW1358" s="132">
        <v>1077</v>
      </c>
    </row>
    <row r="1359" spans="49:49" ht="15" customHeight="1" x14ac:dyDescent="0.2">
      <c r="AW1359" s="132">
        <v>1078</v>
      </c>
    </row>
    <row r="1360" spans="49:49" ht="15" customHeight="1" x14ac:dyDescent="0.2">
      <c r="AW1360" s="132">
        <v>1079</v>
      </c>
    </row>
    <row r="1361" spans="49:49" ht="15" customHeight="1" x14ac:dyDescent="0.2">
      <c r="AW1361" s="132">
        <v>1080</v>
      </c>
    </row>
    <row r="1362" spans="49:49" ht="15" customHeight="1" x14ac:dyDescent="0.2">
      <c r="AW1362" s="132">
        <v>1081</v>
      </c>
    </row>
    <row r="1363" spans="49:49" ht="15" customHeight="1" x14ac:dyDescent="0.2">
      <c r="AW1363" s="132">
        <v>1082</v>
      </c>
    </row>
    <row r="1364" spans="49:49" ht="15" customHeight="1" x14ac:dyDescent="0.2">
      <c r="AW1364" s="132">
        <v>1083</v>
      </c>
    </row>
    <row r="1365" spans="49:49" ht="15" customHeight="1" x14ac:dyDescent="0.2">
      <c r="AW1365" s="132">
        <v>1084</v>
      </c>
    </row>
    <row r="1366" spans="49:49" ht="15" customHeight="1" x14ac:dyDescent="0.2">
      <c r="AW1366" s="132">
        <v>1085</v>
      </c>
    </row>
    <row r="1367" spans="49:49" ht="15" customHeight="1" x14ac:dyDescent="0.2">
      <c r="AW1367" s="132">
        <v>1086</v>
      </c>
    </row>
    <row r="1368" spans="49:49" ht="15" customHeight="1" x14ac:dyDescent="0.2">
      <c r="AW1368" s="132">
        <v>1087</v>
      </c>
    </row>
    <row r="1369" spans="49:49" ht="15" customHeight="1" x14ac:dyDescent="0.2">
      <c r="AW1369" s="132">
        <v>1088</v>
      </c>
    </row>
    <row r="1370" spans="49:49" ht="15" customHeight="1" x14ac:dyDescent="0.2">
      <c r="AW1370" s="132">
        <v>1089</v>
      </c>
    </row>
    <row r="1371" spans="49:49" ht="15" customHeight="1" x14ac:dyDescent="0.2">
      <c r="AW1371" s="132">
        <v>1090</v>
      </c>
    </row>
    <row r="1372" spans="49:49" ht="15" customHeight="1" x14ac:dyDescent="0.2">
      <c r="AW1372" s="132">
        <v>1091</v>
      </c>
    </row>
    <row r="1373" spans="49:49" ht="15" customHeight="1" x14ac:dyDescent="0.2">
      <c r="AW1373" s="132">
        <v>1092</v>
      </c>
    </row>
    <row r="1374" spans="49:49" ht="15" customHeight="1" x14ac:dyDescent="0.2">
      <c r="AW1374" s="132">
        <v>1093</v>
      </c>
    </row>
    <row r="1375" spans="49:49" ht="15" customHeight="1" x14ac:dyDescent="0.2">
      <c r="AW1375" s="132">
        <v>1094</v>
      </c>
    </row>
    <row r="1376" spans="49:49" ht="15" customHeight="1" x14ac:dyDescent="0.2">
      <c r="AW1376" s="132">
        <v>1095</v>
      </c>
    </row>
    <row r="1377" spans="49:49" ht="15" customHeight="1" x14ac:dyDescent="0.2">
      <c r="AW1377" s="132">
        <v>1096</v>
      </c>
    </row>
    <row r="1378" spans="49:49" ht="15" customHeight="1" x14ac:dyDescent="0.2">
      <c r="AW1378" s="132">
        <v>1097</v>
      </c>
    </row>
    <row r="1379" spans="49:49" ht="15" customHeight="1" x14ac:dyDescent="0.2">
      <c r="AW1379" s="132">
        <v>1098</v>
      </c>
    </row>
    <row r="1380" spans="49:49" ht="15" customHeight="1" x14ac:dyDescent="0.2">
      <c r="AW1380" s="132">
        <v>1099</v>
      </c>
    </row>
    <row r="1381" spans="49:49" ht="15" customHeight="1" x14ac:dyDescent="0.2">
      <c r="AW1381" s="132">
        <v>1100</v>
      </c>
    </row>
    <row r="1382" spans="49:49" ht="15" customHeight="1" x14ac:dyDescent="0.2">
      <c r="AW1382" s="132">
        <v>1101</v>
      </c>
    </row>
    <row r="1383" spans="49:49" ht="15" customHeight="1" x14ac:dyDescent="0.2">
      <c r="AW1383" s="132">
        <v>1102</v>
      </c>
    </row>
    <row r="1384" spans="49:49" ht="15" customHeight="1" x14ac:dyDescent="0.2">
      <c r="AW1384" s="132">
        <v>1103</v>
      </c>
    </row>
    <row r="1385" spans="49:49" ht="15" customHeight="1" x14ac:dyDescent="0.2">
      <c r="AW1385" s="132">
        <v>1104</v>
      </c>
    </row>
    <row r="1386" spans="49:49" ht="15" customHeight="1" x14ac:dyDescent="0.2">
      <c r="AW1386" s="132">
        <v>1105</v>
      </c>
    </row>
    <row r="1387" spans="49:49" ht="15" customHeight="1" x14ac:dyDescent="0.2">
      <c r="AW1387" s="132">
        <v>1106</v>
      </c>
    </row>
    <row r="1388" spans="49:49" ht="15" customHeight="1" x14ac:dyDescent="0.2">
      <c r="AW1388" s="132">
        <v>1107</v>
      </c>
    </row>
    <row r="1389" spans="49:49" ht="15" customHeight="1" x14ac:dyDescent="0.2">
      <c r="AW1389" s="132">
        <v>1108</v>
      </c>
    </row>
    <row r="1390" spans="49:49" ht="15" customHeight="1" x14ac:dyDescent="0.2">
      <c r="AW1390" s="132">
        <v>1109</v>
      </c>
    </row>
    <row r="1391" spans="49:49" ht="15" customHeight="1" x14ac:dyDescent="0.2">
      <c r="AW1391" s="132">
        <v>1110</v>
      </c>
    </row>
    <row r="1392" spans="49:49" ht="15" customHeight="1" x14ac:dyDescent="0.2">
      <c r="AW1392" s="132">
        <v>1111</v>
      </c>
    </row>
    <row r="1393" spans="49:49" ht="15" customHeight="1" x14ac:dyDescent="0.2">
      <c r="AW1393" s="132">
        <v>1112</v>
      </c>
    </row>
    <row r="1394" spans="49:49" ht="15" customHeight="1" x14ac:dyDescent="0.2">
      <c r="AW1394" s="132">
        <v>1113</v>
      </c>
    </row>
    <row r="1395" spans="49:49" ht="15" customHeight="1" x14ac:dyDescent="0.2">
      <c r="AW1395" s="132">
        <v>1114</v>
      </c>
    </row>
    <row r="1396" spans="49:49" ht="15" customHeight="1" x14ac:dyDescent="0.2">
      <c r="AW1396" s="132">
        <v>1115</v>
      </c>
    </row>
    <row r="1397" spans="49:49" ht="15" customHeight="1" x14ac:dyDescent="0.2">
      <c r="AW1397" s="132">
        <v>1116</v>
      </c>
    </row>
    <row r="1398" spans="49:49" ht="15" customHeight="1" x14ac:dyDescent="0.2">
      <c r="AW1398" s="132">
        <v>1117</v>
      </c>
    </row>
    <row r="1399" spans="49:49" ht="15" customHeight="1" x14ac:dyDescent="0.2">
      <c r="AW1399" s="132">
        <v>1118</v>
      </c>
    </row>
    <row r="1400" spans="49:49" ht="15" customHeight="1" x14ac:dyDescent="0.2">
      <c r="AW1400" s="132">
        <v>1119</v>
      </c>
    </row>
    <row r="1401" spans="49:49" ht="15" customHeight="1" x14ac:dyDescent="0.2">
      <c r="AW1401" s="132">
        <v>1120</v>
      </c>
    </row>
    <row r="1402" spans="49:49" ht="15" customHeight="1" x14ac:dyDescent="0.2">
      <c r="AW1402" s="132">
        <v>1121</v>
      </c>
    </row>
    <row r="1403" spans="49:49" ht="15" customHeight="1" x14ac:dyDescent="0.2">
      <c r="AW1403" s="132">
        <v>1122</v>
      </c>
    </row>
    <row r="1404" spans="49:49" ht="15" customHeight="1" x14ac:dyDescent="0.2">
      <c r="AW1404" s="132">
        <v>1123</v>
      </c>
    </row>
    <row r="1405" spans="49:49" ht="15" customHeight="1" x14ac:dyDescent="0.2">
      <c r="AW1405" s="132">
        <v>1124</v>
      </c>
    </row>
    <row r="1406" spans="49:49" ht="15" customHeight="1" x14ac:dyDescent="0.2">
      <c r="AW1406" s="132">
        <v>1125</v>
      </c>
    </row>
    <row r="1407" spans="49:49" ht="15" customHeight="1" x14ac:dyDescent="0.2">
      <c r="AW1407" s="132">
        <v>1126</v>
      </c>
    </row>
    <row r="1408" spans="49:49" ht="15" customHeight="1" x14ac:dyDescent="0.2">
      <c r="AW1408" s="132">
        <v>1127</v>
      </c>
    </row>
    <row r="1409" spans="49:49" ht="15" customHeight="1" x14ac:dyDescent="0.2">
      <c r="AW1409" s="132">
        <v>1128</v>
      </c>
    </row>
    <row r="1410" spans="49:49" ht="15" customHeight="1" x14ac:dyDescent="0.2">
      <c r="AW1410" s="132">
        <v>1129</v>
      </c>
    </row>
    <row r="1411" spans="49:49" ht="15" customHeight="1" x14ac:dyDescent="0.2">
      <c r="AW1411" s="132">
        <v>1130</v>
      </c>
    </row>
    <row r="1412" spans="49:49" ht="15" customHeight="1" x14ac:dyDescent="0.2">
      <c r="AW1412" s="132">
        <v>1131</v>
      </c>
    </row>
    <row r="1413" spans="49:49" ht="15" customHeight="1" x14ac:dyDescent="0.2">
      <c r="AW1413" s="132">
        <v>1132</v>
      </c>
    </row>
    <row r="1414" spans="49:49" ht="15" customHeight="1" x14ac:dyDescent="0.2">
      <c r="AW1414" s="132">
        <v>1133</v>
      </c>
    </row>
    <row r="1415" spans="49:49" ht="15" customHeight="1" x14ac:dyDescent="0.2">
      <c r="AW1415" s="132">
        <v>1134</v>
      </c>
    </row>
    <row r="1416" spans="49:49" ht="15" customHeight="1" x14ac:dyDescent="0.2">
      <c r="AW1416" s="132">
        <v>1135</v>
      </c>
    </row>
    <row r="1417" spans="49:49" ht="15" customHeight="1" x14ac:dyDescent="0.2">
      <c r="AW1417" s="132">
        <v>1136</v>
      </c>
    </row>
    <row r="1418" spans="49:49" ht="15" customHeight="1" x14ac:dyDescent="0.2">
      <c r="AW1418" s="132">
        <v>1137</v>
      </c>
    </row>
    <row r="1419" spans="49:49" ht="15" customHeight="1" x14ac:dyDescent="0.2">
      <c r="AW1419" s="132">
        <v>1138</v>
      </c>
    </row>
    <row r="1420" spans="49:49" ht="15" customHeight="1" x14ac:dyDescent="0.2">
      <c r="AW1420" s="132">
        <v>1139</v>
      </c>
    </row>
    <row r="1421" spans="49:49" ht="15" customHeight="1" x14ac:dyDescent="0.2">
      <c r="AW1421" s="132">
        <v>1140</v>
      </c>
    </row>
    <row r="1422" spans="49:49" ht="15" customHeight="1" x14ac:dyDescent="0.2">
      <c r="AW1422" s="132">
        <v>1141</v>
      </c>
    </row>
    <row r="1423" spans="49:49" ht="15" customHeight="1" x14ac:dyDescent="0.2">
      <c r="AW1423" s="132">
        <v>1142</v>
      </c>
    </row>
    <row r="1424" spans="49:49" ht="15" customHeight="1" x14ac:dyDescent="0.2">
      <c r="AW1424" s="132">
        <v>1143</v>
      </c>
    </row>
    <row r="1425" spans="49:49" ht="15" customHeight="1" x14ac:dyDescent="0.2">
      <c r="AW1425" s="132">
        <v>1144</v>
      </c>
    </row>
    <row r="1426" spans="49:49" ht="15" customHeight="1" x14ac:dyDescent="0.2">
      <c r="AW1426" s="132">
        <v>1145</v>
      </c>
    </row>
    <row r="1427" spans="49:49" ht="15" customHeight="1" x14ac:dyDescent="0.2">
      <c r="AW1427" s="132">
        <v>1146</v>
      </c>
    </row>
    <row r="1428" spans="49:49" ht="15" customHeight="1" x14ac:dyDescent="0.2">
      <c r="AW1428" s="132">
        <v>1147</v>
      </c>
    </row>
    <row r="1429" spans="49:49" ht="15" customHeight="1" x14ac:dyDescent="0.2">
      <c r="AW1429" s="132">
        <v>1148</v>
      </c>
    </row>
    <row r="1430" spans="49:49" ht="15" customHeight="1" x14ac:dyDescent="0.2">
      <c r="AW1430" s="132">
        <v>1149</v>
      </c>
    </row>
    <row r="1431" spans="49:49" ht="15" customHeight="1" x14ac:dyDescent="0.2">
      <c r="AW1431" s="132">
        <v>1150</v>
      </c>
    </row>
    <row r="1432" spans="49:49" ht="15" customHeight="1" x14ac:dyDescent="0.2">
      <c r="AW1432" s="132">
        <v>1151</v>
      </c>
    </row>
    <row r="1433" spans="49:49" ht="15" customHeight="1" x14ac:dyDescent="0.2">
      <c r="AW1433" s="132">
        <v>1152</v>
      </c>
    </row>
    <row r="1434" spans="49:49" ht="15" customHeight="1" x14ac:dyDescent="0.2">
      <c r="AW1434" s="132">
        <v>1153</v>
      </c>
    </row>
    <row r="1435" spans="49:49" ht="15" customHeight="1" x14ac:dyDescent="0.2">
      <c r="AW1435" s="132">
        <v>1154</v>
      </c>
    </row>
    <row r="1436" spans="49:49" ht="15" customHeight="1" x14ac:dyDescent="0.2">
      <c r="AW1436" s="132">
        <v>1155</v>
      </c>
    </row>
    <row r="1437" spans="49:49" ht="15" customHeight="1" x14ac:dyDescent="0.2">
      <c r="AW1437" s="132">
        <v>1156</v>
      </c>
    </row>
    <row r="1438" spans="49:49" ht="15" customHeight="1" x14ac:dyDescent="0.2">
      <c r="AW1438" s="132">
        <v>1157</v>
      </c>
    </row>
    <row r="1439" spans="49:49" ht="15" customHeight="1" x14ac:dyDescent="0.2">
      <c r="AW1439" s="132">
        <v>1158</v>
      </c>
    </row>
    <row r="1440" spans="49:49" ht="15" customHeight="1" x14ac:dyDescent="0.2">
      <c r="AW1440" s="132">
        <v>1159</v>
      </c>
    </row>
    <row r="1441" spans="49:49" ht="15" customHeight="1" x14ac:dyDescent="0.2">
      <c r="AW1441" s="132">
        <v>1160</v>
      </c>
    </row>
    <row r="1442" spans="49:49" ht="15" customHeight="1" x14ac:dyDescent="0.2">
      <c r="AW1442" s="132">
        <v>1161</v>
      </c>
    </row>
    <row r="1443" spans="49:49" ht="15" customHeight="1" x14ac:dyDescent="0.2">
      <c r="AW1443" s="132">
        <v>1162</v>
      </c>
    </row>
    <row r="1444" spans="49:49" ht="15" customHeight="1" x14ac:dyDescent="0.2">
      <c r="AW1444" s="132">
        <v>1163</v>
      </c>
    </row>
    <row r="1445" spans="49:49" ht="15" customHeight="1" x14ac:dyDescent="0.2">
      <c r="AW1445" s="132">
        <v>1164</v>
      </c>
    </row>
    <row r="1446" spans="49:49" ht="15" customHeight="1" x14ac:dyDescent="0.2">
      <c r="AW1446" s="132">
        <v>1165</v>
      </c>
    </row>
    <row r="1447" spans="49:49" ht="15" customHeight="1" x14ac:dyDescent="0.2">
      <c r="AW1447" s="132">
        <v>1166</v>
      </c>
    </row>
    <row r="1448" spans="49:49" ht="15" customHeight="1" x14ac:dyDescent="0.2">
      <c r="AW1448" s="132">
        <v>1167</v>
      </c>
    </row>
    <row r="1449" spans="49:49" ht="15" customHeight="1" x14ac:dyDescent="0.2">
      <c r="AW1449" s="132">
        <v>1168</v>
      </c>
    </row>
    <row r="1450" spans="49:49" ht="15" customHeight="1" x14ac:dyDescent="0.2">
      <c r="AW1450" s="132">
        <v>1169</v>
      </c>
    </row>
    <row r="1451" spans="49:49" ht="15" customHeight="1" x14ac:dyDescent="0.2">
      <c r="AW1451" s="132">
        <v>1170</v>
      </c>
    </row>
    <row r="1452" spans="49:49" ht="15" customHeight="1" x14ac:dyDescent="0.2">
      <c r="AW1452" s="132">
        <v>1171</v>
      </c>
    </row>
    <row r="1453" spans="49:49" ht="15" customHeight="1" x14ac:dyDescent="0.2">
      <c r="AW1453" s="132">
        <v>1172</v>
      </c>
    </row>
    <row r="1454" spans="49:49" ht="15" customHeight="1" x14ac:dyDescent="0.2">
      <c r="AW1454" s="132">
        <v>1173</v>
      </c>
    </row>
    <row r="1455" spans="49:49" ht="15" customHeight="1" x14ac:dyDescent="0.2">
      <c r="AW1455" s="132">
        <v>1174</v>
      </c>
    </row>
    <row r="1456" spans="49:49" ht="15" customHeight="1" x14ac:dyDescent="0.2">
      <c r="AW1456" s="132">
        <v>1175</v>
      </c>
    </row>
    <row r="1457" spans="49:49" ht="15" customHeight="1" x14ac:dyDescent="0.2">
      <c r="AW1457" s="132">
        <v>1176</v>
      </c>
    </row>
    <row r="1458" spans="49:49" ht="15" customHeight="1" x14ac:dyDescent="0.2">
      <c r="AW1458" s="132">
        <v>1177</v>
      </c>
    </row>
    <row r="1459" spans="49:49" ht="15" customHeight="1" x14ac:dyDescent="0.2">
      <c r="AW1459" s="132">
        <v>1178</v>
      </c>
    </row>
    <row r="1460" spans="49:49" ht="15" customHeight="1" x14ac:dyDescent="0.2">
      <c r="AW1460" s="132">
        <v>1179</v>
      </c>
    </row>
    <row r="1461" spans="49:49" ht="15" customHeight="1" x14ac:dyDescent="0.2">
      <c r="AW1461" s="132">
        <v>1180</v>
      </c>
    </row>
    <row r="1462" spans="49:49" ht="15" customHeight="1" x14ac:dyDescent="0.2">
      <c r="AW1462" s="132">
        <v>1181</v>
      </c>
    </row>
    <row r="1463" spans="49:49" ht="15" customHeight="1" x14ac:dyDescent="0.2">
      <c r="AW1463" s="132">
        <v>1182</v>
      </c>
    </row>
    <row r="1464" spans="49:49" ht="15" customHeight="1" x14ac:dyDescent="0.2">
      <c r="AW1464" s="132">
        <v>1183</v>
      </c>
    </row>
    <row r="1465" spans="49:49" ht="15" customHeight="1" x14ac:dyDescent="0.2">
      <c r="AW1465" s="132">
        <v>1184</v>
      </c>
    </row>
    <row r="1466" spans="49:49" ht="15" customHeight="1" x14ac:dyDescent="0.2">
      <c r="AW1466" s="132">
        <v>1185</v>
      </c>
    </row>
    <row r="1467" spans="49:49" ht="15" customHeight="1" x14ac:dyDescent="0.2">
      <c r="AW1467" s="132">
        <v>1186</v>
      </c>
    </row>
    <row r="1468" spans="49:49" ht="15" customHeight="1" x14ac:dyDescent="0.2">
      <c r="AW1468" s="132">
        <v>1187</v>
      </c>
    </row>
    <row r="1469" spans="49:49" ht="15" customHeight="1" x14ac:dyDescent="0.2">
      <c r="AW1469" s="132">
        <v>1188</v>
      </c>
    </row>
    <row r="1470" spans="49:49" ht="15" customHeight="1" x14ac:dyDescent="0.2">
      <c r="AW1470" s="132">
        <v>1189</v>
      </c>
    </row>
    <row r="1471" spans="49:49" ht="15" customHeight="1" x14ac:dyDescent="0.2">
      <c r="AW1471" s="132">
        <v>1190</v>
      </c>
    </row>
    <row r="1472" spans="49:49" ht="15" customHeight="1" x14ac:dyDescent="0.2">
      <c r="AW1472" s="132">
        <v>1191</v>
      </c>
    </row>
    <row r="1473" spans="49:49" ht="15" customHeight="1" x14ac:dyDescent="0.2">
      <c r="AW1473" s="132">
        <v>1192</v>
      </c>
    </row>
    <row r="1474" spans="49:49" ht="15" customHeight="1" x14ac:dyDescent="0.2">
      <c r="AW1474" s="132">
        <v>1193</v>
      </c>
    </row>
    <row r="1475" spans="49:49" ht="15" customHeight="1" x14ac:dyDescent="0.2">
      <c r="AW1475" s="132">
        <v>1194</v>
      </c>
    </row>
    <row r="1476" spans="49:49" ht="15" customHeight="1" x14ac:dyDescent="0.2">
      <c r="AW1476" s="132">
        <v>1195</v>
      </c>
    </row>
    <row r="1477" spans="49:49" ht="15" customHeight="1" x14ac:dyDescent="0.2">
      <c r="AW1477" s="132">
        <v>1196</v>
      </c>
    </row>
    <row r="1478" spans="49:49" ht="15" customHeight="1" x14ac:dyDescent="0.2">
      <c r="AW1478" s="132">
        <v>1197</v>
      </c>
    </row>
    <row r="1479" spans="49:49" ht="15" customHeight="1" x14ac:dyDescent="0.2">
      <c r="AW1479" s="132">
        <v>1198</v>
      </c>
    </row>
    <row r="1480" spans="49:49" ht="15" customHeight="1" x14ac:dyDescent="0.2">
      <c r="AW1480" s="132">
        <v>1199</v>
      </c>
    </row>
    <row r="1481" spans="49:49" ht="15" customHeight="1" x14ac:dyDescent="0.2">
      <c r="AW1481" s="132">
        <v>1200</v>
      </c>
    </row>
    <row r="1482" spans="49:49" ht="15" customHeight="1" x14ac:dyDescent="0.2">
      <c r="AW1482" s="132">
        <v>1201</v>
      </c>
    </row>
    <row r="1483" spans="49:49" ht="15" customHeight="1" x14ac:dyDescent="0.2">
      <c r="AW1483" s="132">
        <v>1202</v>
      </c>
    </row>
    <row r="1484" spans="49:49" ht="15" customHeight="1" x14ac:dyDescent="0.2">
      <c r="AW1484" s="132">
        <v>1203</v>
      </c>
    </row>
    <row r="1485" spans="49:49" ht="15" customHeight="1" x14ac:dyDescent="0.2">
      <c r="AW1485" s="132">
        <v>1204</v>
      </c>
    </row>
    <row r="1486" spans="49:49" ht="15" customHeight="1" x14ac:dyDescent="0.2">
      <c r="AW1486" s="132">
        <v>1205</v>
      </c>
    </row>
    <row r="1487" spans="49:49" ht="15" customHeight="1" x14ac:dyDescent="0.2">
      <c r="AW1487" s="132">
        <v>1206</v>
      </c>
    </row>
    <row r="1488" spans="49:49" ht="15" customHeight="1" x14ac:dyDescent="0.2">
      <c r="AW1488" s="132">
        <v>1207</v>
      </c>
    </row>
    <row r="1489" spans="49:49" ht="15" customHeight="1" x14ac:dyDescent="0.2">
      <c r="AW1489" s="132">
        <v>1208</v>
      </c>
    </row>
    <row r="1490" spans="49:49" ht="15" customHeight="1" x14ac:dyDescent="0.2">
      <c r="AW1490" s="132">
        <v>1209</v>
      </c>
    </row>
    <row r="1491" spans="49:49" ht="15" customHeight="1" x14ac:dyDescent="0.2">
      <c r="AW1491" s="132">
        <v>1210</v>
      </c>
    </row>
    <row r="1492" spans="49:49" ht="15" customHeight="1" x14ac:dyDescent="0.2">
      <c r="AW1492" s="132">
        <v>1211</v>
      </c>
    </row>
    <row r="1493" spans="49:49" ht="15" customHeight="1" x14ac:dyDescent="0.2">
      <c r="AW1493" s="132">
        <v>1212</v>
      </c>
    </row>
    <row r="1494" spans="49:49" ht="15" customHeight="1" x14ac:dyDescent="0.2">
      <c r="AW1494" s="132">
        <v>1213</v>
      </c>
    </row>
    <row r="1495" spans="49:49" ht="15" customHeight="1" x14ac:dyDescent="0.2">
      <c r="AW1495" s="132">
        <v>1214</v>
      </c>
    </row>
    <row r="1496" spans="49:49" ht="15" customHeight="1" x14ac:dyDescent="0.2">
      <c r="AW1496" s="132">
        <v>1215</v>
      </c>
    </row>
    <row r="1497" spans="49:49" ht="15" customHeight="1" x14ac:dyDescent="0.2">
      <c r="AW1497" s="132">
        <v>1216</v>
      </c>
    </row>
    <row r="1498" spans="49:49" ht="15" customHeight="1" x14ac:dyDescent="0.2">
      <c r="AW1498" s="132">
        <v>1217</v>
      </c>
    </row>
    <row r="1499" spans="49:49" ht="15" customHeight="1" x14ac:dyDescent="0.2">
      <c r="AW1499" s="132">
        <v>1218</v>
      </c>
    </row>
    <row r="1500" spans="49:49" ht="15" customHeight="1" x14ac:dyDescent="0.2">
      <c r="AW1500" s="132">
        <v>1219</v>
      </c>
    </row>
    <row r="1501" spans="49:49" ht="15" customHeight="1" x14ac:dyDescent="0.2">
      <c r="AW1501" s="132">
        <v>1220</v>
      </c>
    </row>
    <row r="1502" spans="49:49" ht="15" customHeight="1" x14ac:dyDescent="0.2">
      <c r="AW1502" s="132">
        <v>1221</v>
      </c>
    </row>
    <row r="1503" spans="49:49" ht="15" customHeight="1" x14ac:dyDescent="0.2">
      <c r="AW1503" s="132">
        <v>1222</v>
      </c>
    </row>
    <row r="1504" spans="49:49" ht="15" customHeight="1" x14ac:dyDescent="0.2">
      <c r="AW1504" s="132">
        <v>1223</v>
      </c>
    </row>
    <row r="1505" spans="49:49" ht="15" customHeight="1" x14ac:dyDescent="0.2">
      <c r="AW1505" s="132">
        <v>1224</v>
      </c>
    </row>
    <row r="1506" spans="49:49" ht="15" customHeight="1" x14ac:dyDescent="0.2">
      <c r="AW1506" s="132">
        <v>1225</v>
      </c>
    </row>
    <row r="1507" spans="49:49" ht="15" customHeight="1" x14ac:dyDescent="0.2">
      <c r="AW1507" s="132">
        <v>1226</v>
      </c>
    </row>
    <row r="1508" spans="49:49" ht="15" customHeight="1" x14ac:dyDescent="0.2">
      <c r="AW1508" s="132">
        <v>1227</v>
      </c>
    </row>
    <row r="1509" spans="49:49" ht="15" customHeight="1" x14ac:dyDescent="0.2">
      <c r="AW1509" s="132">
        <v>1228</v>
      </c>
    </row>
    <row r="1510" spans="49:49" ht="15" customHeight="1" x14ac:dyDescent="0.2">
      <c r="AW1510" s="132">
        <v>1229</v>
      </c>
    </row>
    <row r="1511" spans="49:49" ht="15" customHeight="1" x14ac:dyDescent="0.2">
      <c r="AW1511" s="132">
        <v>1230</v>
      </c>
    </row>
    <row r="1512" spans="49:49" ht="15" customHeight="1" x14ac:dyDescent="0.2">
      <c r="AW1512" s="132">
        <v>1231</v>
      </c>
    </row>
    <row r="1513" spans="49:49" ht="15" customHeight="1" x14ac:dyDescent="0.2">
      <c r="AW1513" s="132">
        <v>1232</v>
      </c>
    </row>
    <row r="1514" spans="49:49" ht="15" customHeight="1" x14ac:dyDescent="0.2">
      <c r="AW1514" s="132">
        <v>1233</v>
      </c>
    </row>
    <row r="1515" spans="49:49" ht="15" customHeight="1" x14ac:dyDescent="0.2">
      <c r="AW1515" s="132">
        <v>1234</v>
      </c>
    </row>
    <row r="1516" spans="49:49" ht="15" customHeight="1" x14ac:dyDescent="0.2">
      <c r="AW1516" s="132">
        <v>1235</v>
      </c>
    </row>
    <row r="1517" spans="49:49" ht="15" customHeight="1" x14ac:dyDescent="0.2">
      <c r="AW1517" s="132">
        <v>1236</v>
      </c>
    </row>
    <row r="1518" spans="49:49" ht="15" customHeight="1" x14ac:dyDescent="0.2">
      <c r="AW1518" s="132">
        <v>1237</v>
      </c>
    </row>
    <row r="1519" spans="49:49" ht="15" customHeight="1" x14ac:dyDescent="0.2">
      <c r="AW1519" s="132">
        <v>1238</v>
      </c>
    </row>
    <row r="1520" spans="49:49" ht="15" customHeight="1" x14ac:dyDescent="0.2">
      <c r="AW1520" s="132">
        <v>1239</v>
      </c>
    </row>
    <row r="1521" spans="49:49" ht="15" customHeight="1" x14ac:dyDescent="0.2">
      <c r="AW1521" s="132">
        <v>1240</v>
      </c>
    </row>
    <row r="1522" spans="49:49" ht="15" customHeight="1" x14ac:dyDescent="0.2">
      <c r="AW1522" s="132">
        <v>1241</v>
      </c>
    </row>
    <row r="1523" spans="49:49" ht="15" customHeight="1" x14ac:dyDescent="0.2">
      <c r="AW1523" s="132">
        <v>1242</v>
      </c>
    </row>
    <row r="1524" spans="49:49" ht="15" customHeight="1" x14ac:dyDescent="0.2">
      <c r="AW1524" s="132">
        <v>1243</v>
      </c>
    </row>
    <row r="1525" spans="49:49" ht="15" customHeight="1" x14ac:dyDescent="0.2">
      <c r="AW1525" s="132">
        <v>1244</v>
      </c>
    </row>
    <row r="1526" spans="49:49" ht="15" customHeight="1" x14ac:dyDescent="0.2">
      <c r="AW1526" s="132">
        <v>1245</v>
      </c>
    </row>
    <row r="1527" spans="49:49" ht="15" customHeight="1" x14ac:dyDescent="0.2">
      <c r="AW1527" s="132">
        <v>1246</v>
      </c>
    </row>
    <row r="1528" spans="49:49" ht="15" customHeight="1" x14ac:dyDescent="0.2">
      <c r="AW1528" s="132">
        <v>1247</v>
      </c>
    </row>
    <row r="1529" spans="49:49" ht="15" customHeight="1" x14ac:dyDescent="0.2">
      <c r="AW1529" s="132">
        <v>1248</v>
      </c>
    </row>
    <row r="1530" spans="49:49" ht="15" customHeight="1" x14ac:dyDescent="0.2">
      <c r="AW1530" s="132">
        <v>1249</v>
      </c>
    </row>
    <row r="1531" spans="49:49" ht="15" customHeight="1" x14ac:dyDescent="0.2">
      <c r="AW1531" s="132">
        <v>1250</v>
      </c>
    </row>
    <row r="1532" spans="49:49" ht="15" customHeight="1" x14ac:dyDescent="0.2">
      <c r="AW1532" s="132">
        <v>1251</v>
      </c>
    </row>
    <row r="1533" spans="49:49" ht="15" customHeight="1" x14ac:dyDescent="0.2">
      <c r="AW1533" s="132">
        <v>1252</v>
      </c>
    </row>
    <row r="1534" spans="49:49" ht="15" customHeight="1" x14ac:dyDescent="0.2">
      <c r="AW1534" s="132">
        <v>1253</v>
      </c>
    </row>
    <row r="1535" spans="49:49" ht="15" customHeight="1" x14ac:dyDescent="0.2">
      <c r="AW1535" s="132">
        <v>1254</v>
      </c>
    </row>
    <row r="1536" spans="49:49" ht="15" customHeight="1" x14ac:dyDescent="0.2">
      <c r="AW1536" s="132">
        <v>1255</v>
      </c>
    </row>
    <row r="1537" spans="49:49" ht="15" customHeight="1" x14ac:dyDescent="0.2">
      <c r="AW1537" s="132">
        <v>1256</v>
      </c>
    </row>
    <row r="1538" spans="49:49" ht="15" customHeight="1" x14ac:dyDescent="0.2">
      <c r="AW1538" s="132">
        <v>1257</v>
      </c>
    </row>
    <row r="1539" spans="49:49" ht="15" customHeight="1" x14ac:dyDescent="0.2">
      <c r="AW1539" s="132">
        <v>1258</v>
      </c>
    </row>
    <row r="1540" spans="49:49" ht="15" customHeight="1" x14ac:dyDescent="0.2">
      <c r="AW1540" s="132">
        <v>1259</v>
      </c>
    </row>
    <row r="1541" spans="49:49" ht="15" customHeight="1" x14ac:dyDescent="0.2">
      <c r="AW1541" s="132">
        <v>1260</v>
      </c>
    </row>
    <row r="1542" spans="49:49" ht="15" customHeight="1" x14ac:dyDescent="0.2">
      <c r="AW1542" s="132">
        <v>1261</v>
      </c>
    </row>
    <row r="1543" spans="49:49" ht="15" customHeight="1" x14ac:dyDescent="0.2">
      <c r="AW1543" s="132">
        <v>1262</v>
      </c>
    </row>
    <row r="1544" spans="49:49" ht="15" customHeight="1" x14ac:dyDescent="0.2">
      <c r="AW1544" s="132">
        <v>1263</v>
      </c>
    </row>
    <row r="1545" spans="49:49" ht="15" customHeight="1" x14ac:dyDescent="0.2">
      <c r="AW1545" s="132">
        <v>1264</v>
      </c>
    </row>
    <row r="1546" spans="49:49" ht="15" customHeight="1" x14ac:dyDescent="0.2">
      <c r="AW1546" s="132">
        <v>1265</v>
      </c>
    </row>
    <row r="1547" spans="49:49" ht="15" customHeight="1" x14ac:dyDescent="0.2">
      <c r="AW1547" s="132">
        <v>1266</v>
      </c>
    </row>
    <row r="1548" spans="49:49" ht="15" customHeight="1" x14ac:dyDescent="0.2">
      <c r="AW1548" s="132">
        <v>1267</v>
      </c>
    </row>
    <row r="1549" spans="49:49" ht="15" customHeight="1" x14ac:dyDescent="0.2">
      <c r="AW1549" s="132">
        <v>1268</v>
      </c>
    </row>
    <row r="1550" spans="49:49" ht="15" customHeight="1" x14ac:dyDescent="0.2">
      <c r="AW1550" s="132">
        <v>1269</v>
      </c>
    </row>
    <row r="1551" spans="49:49" ht="15" customHeight="1" x14ac:dyDescent="0.2">
      <c r="AW1551" s="132">
        <v>1270</v>
      </c>
    </row>
    <row r="1552" spans="49:49" ht="15" customHeight="1" x14ac:dyDescent="0.2">
      <c r="AW1552" s="132">
        <v>1271</v>
      </c>
    </row>
    <row r="1553" spans="49:49" ht="15" customHeight="1" x14ac:dyDescent="0.2">
      <c r="AW1553" s="132">
        <v>1272</v>
      </c>
    </row>
    <row r="1554" spans="49:49" ht="15" customHeight="1" x14ac:dyDescent="0.2">
      <c r="AW1554" s="132">
        <v>1273</v>
      </c>
    </row>
    <row r="1555" spans="49:49" ht="15" customHeight="1" x14ac:dyDescent="0.2">
      <c r="AW1555" s="132">
        <v>1274</v>
      </c>
    </row>
    <row r="1556" spans="49:49" ht="15" customHeight="1" x14ac:dyDescent="0.2">
      <c r="AW1556" s="132">
        <v>1275</v>
      </c>
    </row>
    <row r="1557" spans="49:49" ht="15" customHeight="1" x14ac:dyDescent="0.2">
      <c r="AW1557" s="132">
        <v>1276</v>
      </c>
    </row>
    <row r="1558" spans="49:49" ht="15" customHeight="1" x14ac:dyDescent="0.2">
      <c r="AW1558" s="132">
        <v>1277</v>
      </c>
    </row>
    <row r="1559" spans="49:49" ht="15" customHeight="1" x14ac:dyDescent="0.2">
      <c r="AW1559" s="132">
        <v>1278</v>
      </c>
    </row>
    <row r="1560" spans="49:49" ht="15" customHeight="1" x14ac:dyDescent="0.2">
      <c r="AW1560" s="132">
        <v>1279</v>
      </c>
    </row>
    <row r="1561" spans="49:49" ht="15" customHeight="1" x14ac:dyDescent="0.2">
      <c r="AW1561" s="132">
        <v>1280</v>
      </c>
    </row>
    <row r="1562" spans="49:49" ht="15" customHeight="1" x14ac:dyDescent="0.2">
      <c r="AW1562" s="132">
        <v>1281</v>
      </c>
    </row>
    <row r="1563" spans="49:49" ht="15" customHeight="1" x14ac:dyDescent="0.2">
      <c r="AW1563" s="132">
        <v>1282</v>
      </c>
    </row>
    <row r="1564" spans="49:49" ht="15" customHeight="1" x14ac:dyDescent="0.2">
      <c r="AW1564" s="132">
        <v>1283</v>
      </c>
    </row>
    <row r="1565" spans="49:49" ht="15" customHeight="1" x14ac:dyDescent="0.2">
      <c r="AW1565" s="132">
        <v>1284</v>
      </c>
    </row>
    <row r="1566" spans="49:49" ht="15" customHeight="1" x14ac:dyDescent="0.2">
      <c r="AW1566" s="132">
        <v>1285</v>
      </c>
    </row>
    <row r="1567" spans="49:49" ht="15" customHeight="1" x14ac:dyDescent="0.2">
      <c r="AW1567" s="132">
        <v>1286</v>
      </c>
    </row>
    <row r="1568" spans="49:49" ht="15" customHeight="1" x14ac:dyDescent="0.2">
      <c r="AW1568" s="132">
        <v>1287</v>
      </c>
    </row>
    <row r="1569" spans="49:49" ht="15" customHeight="1" x14ac:dyDescent="0.2">
      <c r="AW1569" s="132">
        <v>1288</v>
      </c>
    </row>
    <row r="1570" spans="49:49" ht="15" customHeight="1" x14ac:dyDescent="0.2">
      <c r="AW1570" s="132">
        <v>1289</v>
      </c>
    </row>
    <row r="1571" spans="49:49" ht="15" customHeight="1" x14ac:dyDescent="0.2">
      <c r="AW1571" s="132">
        <v>1290</v>
      </c>
    </row>
    <row r="1572" spans="49:49" ht="15" customHeight="1" x14ac:dyDescent="0.2">
      <c r="AW1572" s="132">
        <v>1291</v>
      </c>
    </row>
    <row r="1573" spans="49:49" ht="15" customHeight="1" x14ac:dyDescent="0.2">
      <c r="AW1573" s="132">
        <v>1292</v>
      </c>
    </row>
    <row r="1574" spans="49:49" ht="15" customHeight="1" x14ac:dyDescent="0.2">
      <c r="AW1574" s="132">
        <v>1293</v>
      </c>
    </row>
    <row r="1575" spans="49:49" ht="15" customHeight="1" x14ac:dyDescent="0.2">
      <c r="AW1575" s="132">
        <v>1294</v>
      </c>
    </row>
    <row r="1576" spans="49:49" ht="15" customHeight="1" x14ac:dyDescent="0.2">
      <c r="AW1576" s="132">
        <v>1295</v>
      </c>
    </row>
    <row r="1577" spans="49:49" ht="15" customHeight="1" x14ac:dyDescent="0.2">
      <c r="AW1577" s="132">
        <v>1296</v>
      </c>
    </row>
    <row r="1578" spans="49:49" ht="15" customHeight="1" x14ac:dyDescent="0.2">
      <c r="AW1578" s="132">
        <v>1297</v>
      </c>
    </row>
    <row r="1579" spans="49:49" ht="15" customHeight="1" x14ac:dyDescent="0.2">
      <c r="AW1579" s="132">
        <v>1298</v>
      </c>
    </row>
    <row r="1580" spans="49:49" ht="15" customHeight="1" x14ac:dyDescent="0.2">
      <c r="AW1580" s="132">
        <v>1299</v>
      </c>
    </row>
    <row r="1581" spans="49:49" ht="15" customHeight="1" x14ac:dyDescent="0.2">
      <c r="AW1581" s="132">
        <v>1300</v>
      </c>
    </row>
    <row r="1582" spans="49:49" ht="15" customHeight="1" x14ac:dyDescent="0.2">
      <c r="AW1582" s="132">
        <v>1301</v>
      </c>
    </row>
    <row r="1583" spans="49:49" ht="15" customHeight="1" x14ac:dyDescent="0.2">
      <c r="AW1583" s="132">
        <v>1302</v>
      </c>
    </row>
    <row r="1584" spans="49:49" ht="15" customHeight="1" x14ac:dyDescent="0.2">
      <c r="AW1584" s="132">
        <v>1303</v>
      </c>
    </row>
    <row r="1585" spans="49:49" ht="15" customHeight="1" x14ac:dyDescent="0.2">
      <c r="AW1585" s="132">
        <v>1304</v>
      </c>
    </row>
    <row r="1586" spans="49:49" ht="15" customHeight="1" x14ac:dyDescent="0.2">
      <c r="AW1586" s="132">
        <v>1305</v>
      </c>
    </row>
    <row r="1587" spans="49:49" ht="15" customHeight="1" x14ac:dyDescent="0.2">
      <c r="AW1587" s="132">
        <v>1306</v>
      </c>
    </row>
    <row r="1588" spans="49:49" ht="15" customHeight="1" x14ac:dyDescent="0.2">
      <c r="AW1588" s="132">
        <v>1307</v>
      </c>
    </row>
    <row r="1589" spans="49:49" ht="15" customHeight="1" x14ac:dyDescent="0.2">
      <c r="AW1589" s="132">
        <v>1308</v>
      </c>
    </row>
    <row r="1590" spans="49:49" ht="15" customHeight="1" x14ac:dyDescent="0.2">
      <c r="AW1590" s="132">
        <v>1309</v>
      </c>
    </row>
    <row r="1591" spans="49:49" ht="15" customHeight="1" x14ac:dyDescent="0.2">
      <c r="AW1591" s="132">
        <v>1310</v>
      </c>
    </row>
    <row r="1592" spans="49:49" ht="15" customHeight="1" x14ac:dyDescent="0.2">
      <c r="AW1592" s="132">
        <v>1311</v>
      </c>
    </row>
    <row r="1593" spans="49:49" ht="15" customHeight="1" x14ac:dyDescent="0.2">
      <c r="AW1593" s="132">
        <v>1312</v>
      </c>
    </row>
    <row r="1594" spans="49:49" ht="15" customHeight="1" x14ac:dyDescent="0.2">
      <c r="AW1594" s="132">
        <v>1313</v>
      </c>
    </row>
    <row r="1595" spans="49:49" ht="15" customHeight="1" x14ac:dyDescent="0.2">
      <c r="AW1595" s="132">
        <v>1314</v>
      </c>
    </row>
    <row r="1596" spans="49:49" ht="15" customHeight="1" x14ac:dyDescent="0.2">
      <c r="AW1596" s="132">
        <v>1315</v>
      </c>
    </row>
    <row r="1597" spans="49:49" ht="15" customHeight="1" x14ac:dyDescent="0.2">
      <c r="AW1597" s="132">
        <v>1316</v>
      </c>
    </row>
    <row r="1598" spans="49:49" ht="15" customHeight="1" x14ac:dyDescent="0.2">
      <c r="AW1598" s="132">
        <v>1317</v>
      </c>
    </row>
    <row r="1599" spans="49:49" ht="15" customHeight="1" x14ac:dyDescent="0.2">
      <c r="AW1599" s="132">
        <v>1318</v>
      </c>
    </row>
    <row r="1600" spans="49:49" ht="15" customHeight="1" x14ac:dyDescent="0.2">
      <c r="AW1600" s="132">
        <v>1319</v>
      </c>
    </row>
    <row r="1601" spans="49:49" ht="15" customHeight="1" x14ac:dyDescent="0.2">
      <c r="AW1601" s="132">
        <v>1320</v>
      </c>
    </row>
    <row r="1602" spans="49:49" ht="15" customHeight="1" x14ac:dyDescent="0.2">
      <c r="AW1602" s="132">
        <v>1321</v>
      </c>
    </row>
    <row r="1603" spans="49:49" ht="15" customHeight="1" x14ac:dyDescent="0.2">
      <c r="AW1603" s="132">
        <v>1322</v>
      </c>
    </row>
    <row r="1604" spans="49:49" ht="15" customHeight="1" x14ac:dyDescent="0.2">
      <c r="AW1604" s="132">
        <v>1323</v>
      </c>
    </row>
    <row r="1605" spans="49:49" ht="15" customHeight="1" x14ac:dyDescent="0.2">
      <c r="AW1605" s="132">
        <v>1324</v>
      </c>
    </row>
    <row r="1606" spans="49:49" ht="15" customHeight="1" x14ac:dyDescent="0.2">
      <c r="AW1606" s="132">
        <v>1325</v>
      </c>
    </row>
    <row r="1607" spans="49:49" ht="15" customHeight="1" x14ac:dyDescent="0.2">
      <c r="AW1607" s="132">
        <v>1326</v>
      </c>
    </row>
    <row r="1608" spans="49:49" ht="15" customHeight="1" x14ac:dyDescent="0.2">
      <c r="AW1608" s="132">
        <v>1327</v>
      </c>
    </row>
    <row r="1609" spans="49:49" ht="15" customHeight="1" x14ac:dyDescent="0.2">
      <c r="AW1609" s="132">
        <v>1328</v>
      </c>
    </row>
    <row r="1610" spans="49:49" ht="15" customHeight="1" x14ac:dyDescent="0.2">
      <c r="AW1610" s="132">
        <v>1329</v>
      </c>
    </row>
    <row r="1611" spans="49:49" ht="15" customHeight="1" x14ac:dyDescent="0.2">
      <c r="AW1611" s="132">
        <v>1330</v>
      </c>
    </row>
    <row r="1612" spans="49:49" ht="15" customHeight="1" x14ac:dyDescent="0.2">
      <c r="AW1612" s="132">
        <v>1331</v>
      </c>
    </row>
    <row r="1613" spans="49:49" ht="15" customHeight="1" x14ac:dyDescent="0.2">
      <c r="AW1613" s="132">
        <v>1332</v>
      </c>
    </row>
    <row r="1614" spans="49:49" ht="15" customHeight="1" x14ac:dyDescent="0.2">
      <c r="AW1614" s="132">
        <v>1333</v>
      </c>
    </row>
    <row r="1615" spans="49:49" ht="15" customHeight="1" x14ac:dyDescent="0.2">
      <c r="AW1615" s="132">
        <v>1334</v>
      </c>
    </row>
    <row r="1616" spans="49:49" ht="15" customHeight="1" x14ac:dyDescent="0.2">
      <c r="AW1616" s="132">
        <v>1335</v>
      </c>
    </row>
    <row r="1617" spans="49:49" ht="15" customHeight="1" x14ac:dyDescent="0.2">
      <c r="AW1617" s="132">
        <v>1336</v>
      </c>
    </row>
    <row r="1618" spans="49:49" ht="15" customHeight="1" x14ac:dyDescent="0.2">
      <c r="AW1618" s="132">
        <v>1337</v>
      </c>
    </row>
    <row r="1619" spans="49:49" ht="15" customHeight="1" x14ac:dyDescent="0.2">
      <c r="AW1619" s="132">
        <v>1338</v>
      </c>
    </row>
    <row r="1620" spans="49:49" ht="15" customHeight="1" x14ac:dyDescent="0.2">
      <c r="AW1620" s="132">
        <v>1339</v>
      </c>
    </row>
    <row r="1621" spans="49:49" ht="15" customHeight="1" x14ac:dyDescent="0.2">
      <c r="AW1621" s="132">
        <v>1340</v>
      </c>
    </row>
    <row r="1622" spans="49:49" ht="15" customHeight="1" x14ac:dyDescent="0.2">
      <c r="AW1622" s="132">
        <v>1341</v>
      </c>
    </row>
    <row r="1623" spans="49:49" ht="15" customHeight="1" x14ac:dyDescent="0.2">
      <c r="AW1623" s="132">
        <v>1342</v>
      </c>
    </row>
    <row r="1624" spans="49:49" ht="15" customHeight="1" x14ac:dyDescent="0.2">
      <c r="AW1624" s="132">
        <v>1343</v>
      </c>
    </row>
    <row r="1625" spans="49:49" ht="15" customHeight="1" x14ac:dyDescent="0.2">
      <c r="AW1625" s="132">
        <v>1344</v>
      </c>
    </row>
    <row r="1626" spans="49:49" ht="15" customHeight="1" x14ac:dyDescent="0.2">
      <c r="AW1626" s="132">
        <v>1345</v>
      </c>
    </row>
    <row r="1627" spans="49:49" ht="15" customHeight="1" x14ac:dyDescent="0.2">
      <c r="AW1627" s="132">
        <v>1346</v>
      </c>
    </row>
    <row r="1628" spans="49:49" ht="15" customHeight="1" x14ac:dyDescent="0.2">
      <c r="AW1628" s="132">
        <v>1347</v>
      </c>
    </row>
    <row r="1629" spans="49:49" ht="15" customHeight="1" x14ac:dyDescent="0.2">
      <c r="AW1629" s="132">
        <v>1348</v>
      </c>
    </row>
    <row r="1630" spans="49:49" ht="15" customHeight="1" x14ac:dyDescent="0.2">
      <c r="AW1630" s="132">
        <v>1349</v>
      </c>
    </row>
    <row r="1631" spans="49:49" ht="15" customHeight="1" x14ac:dyDescent="0.2">
      <c r="AW1631" s="132">
        <v>1350</v>
      </c>
    </row>
    <row r="1632" spans="49:49" ht="15" customHeight="1" x14ac:dyDescent="0.2">
      <c r="AW1632" s="132">
        <v>1351</v>
      </c>
    </row>
    <row r="1633" spans="49:49" ht="15" customHeight="1" x14ac:dyDescent="0.2">
      <c r="AW1633" s="132">
        <v>1352</v>
      </c>
    </row>
    <row r="1634" spans="49:49" ht="15" customHeight="1" x14ac:dyDescent="0.2">
      <c r="AW1634" s="132">
        <v>1353</v>
      </c>
    </row>
    <row r="1635" spans="49:49" ht="15" customHeight="1" x14ac:dyDescent="0.2">
      <c r="AW1635" s="132">
        <v>1354</v>
      </c>
    </row>
    <row r="1636" spans="49:49" ht="15" customHeight="1" x14ac:dyDescent="0.2">
      <c r="AW1636" s="132">
        <v>1355</v>
      </c>
    </row>
    <row r="1637" spans="49:49" ht="15" customHeight="1" x14ac:dyDescent="0.2">
      <c r="AW1637" s="132">
        <v>1356</v>
      </c>
    </row>
    <row r="1638" spans="49:49" ht="15" customHeight="1" x14ac:dyDescent="0.2">
      <c r="AW1638" s="132">
        <v>1357</v>
      </c>
    </row>
    <row r="1639" spans="49:49" ht="15" customHeight="1" x14ac:dyDescent="0.2">
      <c r="AW1639" s="132">
        <v>1358</v>
      </c>
    </row>
    <row r="1640" spans="49:49" ht="15" customHeight="1" x14ac:dyDescent="0.2">
      <c r="AW1640" s="132">
        <v>1359</v>
      </c>
    </row>
    <row r="1641" spans="49:49" ht="15" customHeight="1" x14ac:dyDescent="0.2">
      <c r="AW1641" s="132">
        <v>1360</v>
      </c>
    </row>
    <row r="1642" spans="49:49" ht="15" customHeight="1" x14ac:dyDescent="0.2">
      <c r="AW1642" s="132">
        <v>1361</v>
      </c>
    </row>
    <row r="1643" spans="49:49" ht="15" customHeight="1" x14ac:dyDescent="0.2">
      <c r="AW1643" s="132">
        <v>1362</v>
      </c>
    </row>
    <row r="1644" spans="49:49" ht="15" customHeight="1" x14ac:dyDescent="0.2">
      <c r="AW1644" s="132">
        <v>1363</v>
      </c>
    </row>
    <row r="1645" spans="49:49" ht="15" customHeight="1" x14ac:dyDescent="0.2">
      <c r="AW1645" s="132">
        <v>1364</v>
      </c>
    </row>
    <row r="1646" spans="49:49" ht="15" customHeight="1" x14ac:dyDescent="0.2">
      <c r="AW1646" s="132">
        <v>1365</v>
      </c>
    </row>
    <row r="1647" spans="49:49" ht="15" customHeight="1" x14ac:dyDescent="0.2">
      <c r="AW1647" s="132">
        <v>1366</v>
      </c>
    </row>
    <row r="1648" spans="49:49" ht="15" customHeight="1" x14ac:dyDescent="0.2">
      <c r="AW1648" s="132">
        <v>1367</v>
      </c>
    </row>
    <row r="1649" spans="49:49" ht="15" customHeight="1" x14ac:dyDescent="0.2">
      <c r="AW1649" s="132">
        <v>1368</v>
      </c>
    </row>
    <row r="1650" spans="49:49" ht="15" customHeight="1" x14ac:dyDescent="0.2">
      <c r="AW1650" s="132">
        <v>1369</v>
      </c>
    </row>
    <row r="1651" spans="49:49" ht="15" customHeight="1" x14ac:dyDescent="0.2">
      <c r="AW1651" s="132">
        <v>1370</v>
      </c>
    </row>
    <row r="1652" spans="49:49" ht="15" customHeight="1" x14ac:dyDescent="0.2">
      <c r="AW1652" s="132">
        <v>1371</v>
      </c>
    </row>
    <row r="1653" spans="49:49" ht="15" customHeight="1" x14ac:dyDescent="0.2">
      <c r="AW1653" s="132">
        <v>1372</v>
      </c>
    </row>
    <row r="1654" spans="49:49" ht="15" customHeight="1" x14ac:dyDescent="0.2">
      <c r="AW1654" s="132">
        <v>1373</v>
      </c>
    </row>
    <row r="1655" spans="49:49" ht="15" customHeight="1" x14ac:dyDescent="0.2">
      <c r="AW1655" s="132">
        <v>1374</v>
      </c>
    </row>
    <row r="1656" spans="49:49" ht="15" customHeight="1" x14ac:dyDescent="0.2">
      <c r="AW1656" s="132">
        <v>1375</v>
      </c>
    </row>
    <row r="1657" spans="49:49" ht="15" customHeight="1" x14ac:dyDescent="0.2">
      <c r="AW1657" s="132">
        <v>1376</v>
      </c>
    </row>
    <row r="1658" spans="49:49" ht="15" customHeight="1" x14ac:dyDescent="0.2">
      <c r="AW1658" s="132">
        <v>1377</v>
      </c>
    </row>
    <row r="1659" spans="49:49" ht="15" customHeight="1" x14ac:dyDescent="0.2">
      <c r="AW1659" s="132">
        <v>1378</v>
      </c>
    </row>
    <row r="1660" spans="49:49" ht="15" customHeight="1" x14ac:dyDescent="0.2">
      <c r="AW1660" s="132">
        <v>1379</v>
      </c>
    </row>
    <row r="1661" spans="49:49" ht="15" customHeight="1" x14ac:dyDescent="0.2">
      <c r="AW1661" s="132">
        <v>1380</v>
      </c>
    </row>
    <row r="1662" spans="49:49" ht="15" customHeight="1" x14ac:dyDescent="0.2">
      <c r="AW1662" s="132">
        <v>1381</v>
      </c>
    </row>
    <row r="1663" spans="49:49" ht="15" customHeight="1" x14ac:dyDescent="0.2">
      <c r="AW1663" s="132">
        <v>1382</v>
      </c>
    </row>
    <row r="1664" spans="49:49" ht="15" customHeight="1" x14ac:dyDescent="0.2">
      <c r="AW1664" s="132">
        <v>1383</v>
      </c>
    </row>
    <row r="1665" spans="49:49" ht="15" customHeight="1" x14ac:dyDescent="0.2">
      <c r="AW1665" s="132">
        <v>1384</v>
      </c>
    </row>
    <row r="1666" spans="49:49" ht="15" customHeight="1" x14ac:dyDescent="0.2">
      <c r="AW1666" s="132">
        <v>1385</v>
      </c>
    </row>
    <row r="1667" spans="49:49" ht="15" customHeight="1" x14ac:dyDescent="0.2">
      <c r="AW1667" s="132">
        <v>1386</v>
      </c>
    </row>
    <row r="1668" spans="49:49" ht="15" customHeight="1" x14ac:dyDescent="0.2">
      <c r="AW1668" s="132">
        <v>1387</v>
      </c>
    </row>
    <row r="1669" spans="49:49" ht="15" customHeight="1" x14ac:dyDescent="0.2">
      <c r="AW1669" s="132">
        <v>1388</v>
      </c>
    </row>
    <row r="1670" spans="49:49" ht="15" customHeight="1" x14ac:dyDescent="0.2">
      <c r="AW1670" s="132">
        <v>1389</v>
      </c>
    </row>
    <row r="1671" spans="49:49" ht="15" customHeight="1" x14ac:dyDescent="0.2">
      <c r="AW1671" s="132">
        <v>1390</v>
      </c>
    </row>
    <row r="1672" spans="49:49" ht="15" customHeight="1" x14ac:dyDescent="0.2">
      <c r="AW1672" s="132">
        <v>1391</v>
      </c>
    </row>
    <row r="1673" spans="49:49" ht="15" customHeight="1" x14ac:dyDescent="0.2">
      <c r="AW1673" s="132">
        <v>1392</v>
      </c>
    </row>
    <row r="1674" spans="49:49" ht="15" customHeight="1" x14ac:dyDescent="0.2">
      <c r="AW1674" s="132">
        <v>1393</v>
      </c>
    </row>
    <row r="1675" spans="49:49" ht="15" customHeight="1" x14ac:dyDescent="0.2">
      <c r="AW1675" s="132">
        <v>1394</v>
      </c>
    </row>
    <row r="1676" spans="49:49" ht="15" customHeight="1" x14ac:dyDescent="0.2">
      <c r="AW1676" s="132">
        <v>1395</v>
      </c>
    </row>
    <row r="1677" spans="49:49" ht="15" customHeight="1" x14ac:dyDescent="0.2">
      <c r="AW1677" s="132">
        <v>1396</v>
      </c>
    </row>
    <row r="1678" spans="49:49" ht="15" customHeight="1" x14ac:dyDescent="0.2">
      <c r="AW1678" s="132">
        <v>1397</v>
      </c>
    </row>
    <row r="1679" spans="49:49" ht="15" customHeight="1" x14ac:dyDescent="0.2">
      <c r="AW1679" s="132">
        <v>1398</v>
      </c>
    </row>
    <row r="1680" spans="49:49" ht="15" customHeight="1" x14ac:dyDescent="0.2">
      <c r="AW1680" s="132">
        <v>1399</v>
      </c>
    </row>
    <row r="1681" spans="49:49" ht="15" customHeight="1" x14ac:dyDescent="0.2">
      <c r="AW1681" s="132">
        <v>1400</v>
      </c>
    </row>
    <row r="1682" spans="49:49" ht="15" customHeight="1" x14ac:dyDescent="0.2">
      <c r="AW1682" s="132">
        <v>1401</v>
      </c>
    </row>
    <row r="1683" spans="49:49" ht="15" customHeight="1" x14ac:dyDescent="0.2">
      <c r="AW1683" s="132">
        <v>1402</v>
      </c>
    </row>
    <row r="1684" spans="49:49" ht="15" customHeight="1" x14ac:dyDescent="0.2">
      <c r="AW1684" s="132">
        <v>1403</v>
      </c>
    </row>
    <row r="1685" spans="49:49" ht="15" customHeight="1" x14ac:dyDescent="0.2">
      <c r="AW1685" s="132">
        <v>1404</v>
      </c>
    </row>
    <row r="1686" spans="49:49" ht="15" customHeight="1" x14ac:dyDescent="0.2">
      <c r="AW1686" s="132">
        <v>1405</v>
      </c>
    </row>
    <row r="1687" spans="49:49" ht="15" customHeight="1" x14ac:dyDescent="0.2">
      <c r="AW1687" s="132">
        <v>1406</v>
      </c>
    </row>
    <row r="1688" spans="49:49" ht="15" customHeight="1" x14ac:dyDescent="0.2">
      <c r="AW1688" s="132">
        <v>1407</v>
      </c>
    </row>
    <row r="1689" spans="49:49" ht="15" customHeight="1" x14ac:dyDescent="0.2">
      <c r="AW1689" s="132">
        <v>1408</v>
      </c>
    </row>
    <row r="1690" spans="49:49" ht="15" customHeight="1" x14ac:dyDescent="0.2">
      <c r="AW1690" s="132">
        <v>1409</v>
      </c>
    </row>
    <row r="1691" spans="49:49" ht="15" customHeight="1" x14ac:dyDescent="0.2">
      <c r="AW1691" s="132">
        <v>1410</v>
      </c>
    </row>
    <row r="1692" spans="49:49" ht="15" customHeight="1" x14ac:dyDescent="0.2">
      <c r="AW1692" s="132">
        <v>1411</v>
      </c>
    </row>
    <row r="1693" spans="49:49" ht="15" customHeight="1" x14ac:dyDescent="0.2">
      <c r="AW1693" s="132">
        <v>1412</v>
      </c>
    </row>
    <row r="1694" spans="49:49" ht="15" customHeight="1" x14ac:dyDescent="0.2">
      <c r="AW1694" s="132">
        <v>1413</v>
      </c>
    </row>
    <row r="1695" spans="49:49" ht="15" customHeight="1" x14ac:dyDescent="0.2">
      <c r="AW1695" s="132">
        <v>1414</v>
      </c>
    </row>
    <row r="1696" spans="49:49" ht="15" customHeight="1" x14ac:dyDescent="0.2">
      <c r="AW1696" s="132">
        <v>1415</v>
      </c>
    </row>
    <row r="1697" spans="49:49" ht="15" customHeight="1" x14ac:dyDescent="0.2">
      <c r="AW1697" s="132">
        <v>1416</v>
      </c>
    </row>
    <row r="1698" spans="49:49" ht="15" customHeight="1" x14ac:dyDescent="0.2">
      <c r="AW1698" s="132">
        <v>1417</v>
      </c>
    </row>
    <row r="1699" spans="49:49" ht="15" customHeight="1" x14ac:dyDescent="0.2">
      <c r="AW1699" s="132">
        <v>1418</v>
      </c>
    </row>
    <row r="1700" spans="49:49" ht="15" customHeight="1" x14ac:dyDescent="0.2">
      <c r="AW1700" s="132">
        <v>1419</v>
      </c>
    </row>
    <row r="1701" spans="49:49" ht="15" customHeight="1" x14ac:dyDescent="0.2">
      <c r="AW1701" s="132">
        <v>1420</v>
      </c>
    </row>
    <row r="1702" spans="49:49" ht="15" customHeight="1" x14ac:dyDescent="0.2">
      <c r="AW1702" s="132">
        <v>1421</v>
      </c>
    </row>
    <row r="1703" spans="49:49" ht="15" customHeight="1" x14ac:dyDescent="0.2">
      <c r="AW1703" s="132">
        <v>1422</v>
      </c>
    </row>
    <row r="1704" spans="49:49" ht="15" customHeight="1" x14ac:dyDescent="0.2">
      <c r="AW1704" s="132">
        <v>1423</v>
      </c>
    </row>
    <row r="1705" spans="49:49" ht="15" customHeight="1" x14ac:dyDescent="0.2">
      <c r="AW1705" s="132">
        <v>1424</v>
      </c>
    </row>
    <row r="1706" spans="49:49" ht="15" customHeight="1" x14ac:dyDescent="0.2">
      <c r="AW1706" s="132">
        <v>1425</v>
      </c>
    </row>
    <row r="1707" spans="49:49" ht="15" customHeight="1" x14ac:dyDescent="0.2">
      <c r="AW1707" s="132">
        <v>1426</v>
      </c>
    </row>
    <row r="1708" spans="49:49" ht="15" customHeight="1" x14ac:dyDescent="0.2">
      <c r="AW1708" s="132">
        <v>1427</v>
      </c>
    </row>
    <row r="1709" spans="49:49" ht="15" customHeight="1" x14ac:dyDescent="0.2">
      <c r="AW1709" s="132">
        <v>1428</v>
      </c>
    </row>
    <row r="1710" spans="49:49" ht="15" customHeight="1" x14ac:dyDescent="0.2">
      <c r="AW1710" s="132">
        <v>1429</v>
      </c>
    </row>
    <row r="1711" spans="49:49" ht="15" customHeight="1" x14ac:dyDescent="0.2">
      <c r="AW1711" s="132">
        <v>1430</v>
      </c>
    </row>
    <row r="1712" spans="49:49" ht="15" customHeight="1" x14ac:dyDescent="0.2">
      <c r="AW1712" s="132">
        <v>1431</v>
      </c>
    </row>
    <row r="1713" spans="49:49" ht="15" customHeight="1" x14ac:dyDescent="0.2">
      <c r="AW1713" s="132">
        <v>1432</v>
      </c>
    </row>
    <row r="1714" spans="49:49" ht="15" customHeight="1" x14ac:dyDescent="0.2">
      <c r="AW1714" s="132">
        <v>1433</v>
      </c>
    </row>
    <row r="1715" spans="49:49" ht="15" customHeight="1" x14ac:dyDescent="0.2">
      <c r="AW1715" s="132">
        <v>1434</v>
      </c>
    </row>
    <row r="1716" spans="49:49" ht="15" customHeight="1" x14ac:dyDescent="0.2">
      <c r="AW1716" s="132">
        <v>1435</v>
      </c>
    </row>
    <row r="1717" spans="49:49" ht="15" customHeight="1" x14ac:dyDescent="0.2">
      <c r="AW1717" s="132">
        <v>1436</v>
      </c>
    </row>
    <row r="1718" spans="49:49" ht="15" customHeight="1" x14ac:dyDescent="0.2">
      <c r="AW1718" s="132">
        <v>1437</v>
      </c>
    </row>
    <row r="1719" spans="49:49" ht="15" customHeight="1" x14ac:dyDescent="0.2">
      <c r="AW1719" s="132">
        <v>1438</v>
      </c>
    </row>
    <row r="1720" spans="49:49" ht="15" customHeight="1" x14ac:dyDescent="0.2">
      <c r="AW1720" s="132">
        <v>1439</v>
      </c>
    </row>
    <row r="1721" spans="49:49" ht="15" customHeight="1" x14ac:dyDescent="0.2">
      <c r="AW1721" s="132">
        <v>1440</v>
      </c>
    </row>
    <row r="1722" spans="49:49" ht="15" customHeight="1" x14ac:dyDescent="0.2">
      <c r="AW1722" s="132">
        <v>1441</v>
      </c>
    </row>
    <row r="1723" spans="49:49" ht="15" customHeight="1" x14ac:dyDescent="0.2">
      <c r="AW1723" s="132">
        <v>1442</v>
      </c>
    </row>
    <row r="1724" spans="49:49" ht="15" customHeight="1" x14ac:dyDescent="0.2">
      <c r="AW1724" s="132">
        <v>1443</v>
      </c>
    </row>
    <row r="1725" spans="49:49" ht="15" customHeight="1" x14ac:dyDescent="0.2">
      <c r="AW1725" s="132">
        <v>1444</v>
      </c>
    </row>
    <row r="1726" spans="49:49" ht="15" customHeight="1" x14ac:dyDescent="0.2">
      <c r="AW1726" s="132">
        <v>1445</v>
      </c>
    </row>
    <row r="1727" spans="49:49" ht="15" customHeight="1" x14ac:dyDescent="0.2">
      <c r="AW1727" s="132">
        <v>1446</v>
      </c>
    </row>
    <row r="1728" spans="49:49" ht="15" customHeight="1" x14ac:dyDescent="0.2">
      <c r="AW1728" s="132">
        <v>1447</v>
      </c>
    </row>
    <row r="1729" spans="49:49" ht="15" customHeight="1" x14ac:dyDescent="0.2">
      <c r="AW1729" s="132">
        <v>1448</v>
      </c>
    </row>
    <row r="1730" spans="49:49" ht="15" customHeight="1" x14ac:dyDescent="0.2">
      <c r="AW1730" s="132">
        <v>1449</v>
      </c>
    </row>
    <row r="1731" spans="49:49" ht="15" customHeight="1" x14ac:dyDescent="0.2">
      <c r="AW1731" s="132">
        <v>1450</v>
      </c>
    </row>
    <row r="1732" spans="49:49" ht="15" customHeight="1" x14ac:dyDescent="0.2">
      <c r="AW1732" s="132">
        <v>1451</v>
      </c>
    </row>
    <row r="1733" spans="49:49" ht="15" customHeight="1" x14ac:dyDescent="0.2">
      <c r="AW1733" s="132">
        <v>1452</v>
      </c>
    </row>
    <row r="1734" spans="49:49" ht="15" customHeight="1" x14ac:dyDescent="0.2">
      <c r="AW1734" s="132">
        <v>1453</v>
      </c>
    </row>
    <row r="1735" spans="49:49" ht="15" customHeight="1" x14ac:dyDescent="0.2">
      <c r="AW1735" s="132">
        <v>1454</v>
      </c>
    </row>
    <row r="1736" spans="49:49" ht="15" customHeight="1" x14ac:dyDescent="0.2">
      <c r="AW1736" s="132">
        <v>1455</v>
      </c>
    </row>
    <row r="1737" spans="49:49" ht="15" customHeight="1" x14ac:dyDescent="0.2">
      <c r="AW1737" s="132">
        <v>1456</v>
      </c>
    </row>
    <row r="1738" spans="49:49" ht="15" customHeight="1" x14ac:dyDescent="0.2">
      <c r="AW1738" s="132">
        <v>1457</v>
      </c>
    </row>
    <row r="1739" spans="49:49" ht="15" customHeight="1" x14ac:dyDescent="0.2">
      <c r="AW1739" s="132">
        <v>1458</v>
      </c>
    </row>
    <row r="1740" spans="49:49" ht="15" customHeight="1" x14ac:dyDescent="0.2">
      <c r="AW1740" s="132">
        <v>1459</v>
      </c>
    </row>
    <row r="1741" spans="49:49" ht="15" customHeight="1" x14ac:dyDescent="0.2">
      <c r="AW1741" s="132">
        <v>1460</v>
      </c>
    </row>
    <row r="1742" spans="49:49" ht="15" customHeight="1" x14ac:dyDescent="0.2">
      <c r="AW1742" s="132">
        <v>1461</v>
      </c>
    </row>
    <row r="1743" spans="49:49" ht="15" customHeight="1" x14ac:dyDescent="0.2">
      <c r="AW1743" s="132">
        <v>1462</v>
      </c>
    </row>
    <row r="1744" spans="49:49" ht="15" customHeight="1" x14ac:dyDescent="0.2">
      <c r="AW1744" s="132">
        <v>1463</v>
      </c>
    </row>
    <row r="1745" spans="49:49" ht="15" customHeight="1" x14ac:dyDescent="0.2">
      <c r="AW1745" s="132">
        <v>1464</v>
      </c>
    </row>
    <row r="1746" spans="49:49" ht="15" customHeight="1" x14ac:dyDescent="0.2">
      <c r="AW1746" s="132">
        <v>1465</v>
      </c>
    </row>
    <row r="1747" spans="49:49" ht="15" customHeight="1" x14ac:dyDescent="0.2">
      <c r="AW1747" s="132">
        <v>1466</v>
      </c>
    </row>
    <row r="1748" spans="49:49" ht="15" customHeight="1" x14ac:dyDescent="0.2">
      <c r="AW1748" s="132">
        <v>1467</v>
      </c>
    </row>
    <row r="1749" spans="49:49" ht="15" customHeight="1" x14ac:dyDescent="0.2">
      <c r="AW1749" s="132">
        <v>1468</v>
      </c>
    </row>
    <row r="1750" spans="49:49" ht="15" customHeight="1" x14ac:dyDescent="0.2">
      <c r="AW1750" s="132">
        <v>1469</v>
      </c>
    </row>
    <row r="1751" spans="49:49" ht="15" customHeight="1" x14ac:dyDescent="0.2">
      <c r="AW1751" s="132">
        <v>1470</v>
      </c>
    </row>
    <row r="1752" spans="49:49" ht="15" customHeight="1" x14ac:dyDescent="0.2">
      <c r="AW1752" s="132">
        <v>1471</v>
      </c>
    </row>
    <row r="1753" spans="49:49" ht="15" customHeight="1" x14ac:dyDescent="0.2">
      <c r="AW1753" s="132">
        <v>1472</v>
      </c>
    </row>
    <row r="1754" spans="49:49" ht="15" customHeight="1" x14ac:dyDescent="0.2">
      <c r="AW1754" s="132">
        <v>1473</v>
      </c>
    </row>
    <row r="1755" spans="49:49" ht="15" customHeight="1" x14ac:dyDescent="0.2">
      <c r="AW1755" s="132">
        <v>1474</v>
      </c>
    </row>
    <row r="1756" spans="49:49" ht="15" customHeight="1" x14ac:dyDescent="0.2">
      <c r="AW1756" s="132">
        <v>1475</v>
      </c>
    </row>
    <row r="1757" spans="49:49" ht="15" customHeight="1" x14ac:dyDescent="0.2">
      <c r="AW1757" s="132">
        <v>1476</v>
      </c>
    </row>
    <row r="1758" spans="49:49" ht="15" customHeight="1" x14ac:dyDescent="0.2">
      <c r="AW1758" s="132">
        <v>1477</v>
      </c>
    </row>
    <row r="1759" spans="49:49" ht="15" customHeight="1" x14ac:dyDescent="0.2">
      <c r="AW1759" s="132">
        <v>1478</v>
      </c>
    </row>
    <row r="1760" spans="49:49" ht="15" customHeight="1" x14ac:dyDescent="0.2">
      <c r="AW1760" s="132">
        <v>1479</v>
      </c>
    </row>
    <row r="1761" spans="49:49" ht="15" customHeight="1" x14ac:dyDescent="0.2">
      <c r="AW1761" s="132">
        <v>1480</v>
      </c>
    </row>
    <row r="1762" spans="49:49" ht="15" customHeight="1" x14ac:dyDescent="0.2">
      <c r="AW1762" s="132">
        <v>1481</v>
      </c>
    </row>
    <row r="1763" spans="49:49" ht="15" customHeight="1" x14ac:dyDescent="0.2">
      <c r="AW1763" s="132">
        <v>1482</v>
      </c>
    </row>
    <row r="1764" spans="49:49" ht="15" customHeight="1" x14ac:dyDescent="0.2">
      <c r="AW1764" s="132">
        <v>1483</v>
      </c>
    </row>
    <row r="1765" spans="49:49" ht="15" customHeight="1" x14ac:dyDescent="0.2">
      <c r="AW1765" s="132">
        <v>1484</v>
      </c>
    </row>
    <row r="1766" spans="49:49" ht="15" customHeight="1" x14ac:dyDescent="0.2">
      <c r="AW1766" s="132">
        <v>1485</v>
      </c>
    </row>
    <row r="1767" spans="49:49" ht="15" customHeight="1" x14ac:dyDescent="0.2">
      <c r="AW1767" s="132">
        <v>1486</v>
      </c>
    </row>
    <row r="1768" spans="49:49" ht="15" customHeight="1" x14ac:dyDescent="0.2">
      <c r="AW1768" s="132">
        <v>1487</v>
      </c>
    </row>
    <row r="1769" spans="49:49" ht="15" customHeight="1" x14ac:dyDescent="0.2">
      <c r="AW1769" s="132">
        <v>1488</v>
      </c>
    </row>
    <row r="1770" spans="49:49" ht="15" customHeight="1" x14ac:dyDescent="0.2">
      <c r="AW1770" s="132">
        <v>1489</v>
      </c>
    </row>
    <row r="1771" spans="49:49" ht="15" customHeight="1" x14ac:dyDescent="0.2">
      <c r="AW1771" s="132">
        <v>1490</v>
      </c>
    </row>
    <row r="1772" spans="49:49" ht="15" customHeight="1" x14ac:dyDescent="0.2">
      <c r="AW1772" s="132">
        <v>1491</v>
      </c>
    </row>
    <row r="1773" spans="49:49" ht="15" customHeight="1" x14ac:dyDescent="0.2">
      <c r="AW1773" s="132">
        <v>1492</v>
      </c>
    </row>
  </sheetData>
  <mergeCells count="15">
    <mergeCell ref="B273:C273"/>
    <mergeCell ref="D273:O273"/>
    <mergeCell ref="B274:C274"/>
    <mergeCell ref="D274:N274"/>
    <mergeCell ref="B275:C275"/>
    <mergeCell ref="D275:N275"/>
    <mergeCell ref="B280:C280"/>
    <mergeCell ref="D279:N279"/>
    <mergeCell ref="D280:N280"/>
    <mergeCell ref="B276:C276"/>
    <mergeCell ref="D276:N276"/>
    <mergeCell ref="B277:C277"/>
    <mergeCell ref="D277:O277"/>
    <mergeCell ref="B278:C278"/>
    <mergeCell ref="D278:O278"/>
  </mergeCells>
  <conditionalFormatting sqref="AP296:AR298">
    <cfRule type="colorScale" priority="2">
      <colorScale>
        <cfvo type="formula" val="$Q$210*0.5"/>
        <cfvo type="num" val="$Q$210"/>
        <cfvo type="formula" val="$Q$210*2"/>
        <color rgb="FFF8696B"/>
        <color rgb="FFFCFCFF"/>
        <color rgb="FF63BE7B"/>
      </colorScale>
    </cfRule>
  </conditionalFormatting>
  <conditionalFormatting sqref="AP286:AT290 AP299:AT300 AP297:AR298 AS294:AT298">
    <cfRule type="colorScale" priority="1">
      <colorScale>
        <cfvo type="formula" val="$Q$210*0.5"/>
        <cfvo type="num" val="$Q$210"/>
        <cfvo type="formula" val="$Q$210*2"/>
        <color rgb="FFF8696B"/>
        <color rgb="FFFCFCFF"/>
        <color rgb="FF63BE7B"/>
      </colorScale>
    </cfRule>
  </conditionalFormatting>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249977111117893"/>
  </sheetPr>
  <dimension ref="A2:T396"/>
  <sheetViews>
    <sheetView showGridLines="0" topLeftCell="A61" zoomScale="87" zoomScaleNormal="87" workbookViewId="0">
      <selection activeCell="H87" sqref="H87"/>
    </sheetView>
  </sheetViews>
  <sheetFormatPr defaultRowHeight="14.25" x14ac:dyDescent="0.2"/>
  <cols>
    <col min="1" max="1" width="2.375" customWidth="1"/>
    <col min="2" max="2" width="18.125" customWidth="1"/>
    <col min="3" max="3" width="25.125" bestFit="1" customWidth="1"/>
    <col min="6" max="6" width="13.25" customWidth="1"/>
    <col min="7" max="11" width="11.125" style="26" bestFit="1" customWidth="1"/>
    <col min="12" max="17" width="10.75" style="26" customWidth="1"/>
    <col min="18" max="18" width="21.75" style="6" customWidth="1"/>
  </cols>
  <sheetData>
    <row r="2" spans="1:18" s="41" customFormat="1" ht="20.100000000000001" customHeight="1" x14ac:dyDescent="0.3">
      <c r="B2" s="40" t="s">
        <v>437</v>
      </c>
      <c r="G2" s="233"/>
      <c r="H2" s="233"/>
      <c r="I2" s="233"/>
      <c r="J2" s="233"/>
      <c r="K2" s="233"/>
      <c r="L2" s="233"/>
      <c r="M2" s="233"/>
      <c r="N2" s="233"/>
      <c r="O2" s="233"/>
      <c r="P2" s="233"/>
      <c r="Q2" s="233"/>
      <c r="R2" s="42"/>
    </row>
    <row r="3" spans="1:18" x14ac:dyDescent="0.2">
      <c r="B3" s="89" t="s">
        <v>438</v>
      </c>
      <c r="Q3" s="268"/>
    </row>
    <row r="4" spans="1:18" ht="15.75" x14ac:dyDescent="0.25">
      <c r="A4" t="s">
        <v>306</v>
      </c>
      <c r="B4" s="234" t="s">
        <v>211</v>
      </c>
      <c r="C4" s="56"/>
      <c r="D4" s="56"/>
      <c r="E4" s="56"/>
      <c r="F4" s="56"/>
      <c r="G4" s="235">
        <v>2014</v>
      </c>
      <c r="H4" s="235">
        <f>+G4+1</f>
        <v>2015</v>
      </c>
      <c r="I4" s="235">
        <f t="shared" ref="I4:M4" si="0">+H4+1</f>
        <v>2016</v>
      </c>
      <c r="J4" s="235">
        <f t="shared" si="0"/>
        <v>2017</v>
      </c>
      <c r="K4" s="235">
        <f t="shared" si="0"/>
        <v>2018</v>
      </c>
      <c r="L4" s="235">
        <f t="shared" si="0"/>
        <v>2019</v>
      </c>
      <c r="M4" s="235">
        <f t="shared" si="0"/>
        <v>2020</v>
      </c>
      <c r="N4" s="235">
        <f>+M4+1</f>
        <v>2021</v>
      </c>
      <c r="O4" s="235">
        <f>+N4+1</f>
        <v>2022</v>
      </c>
      <c r="P4" s="235">
        <f t="shared" ref="P4" si="1">+O4+1</f>
        <v>2023</v>
      </c>
      <c r="Q4" s="235">
        <f>+P4+1</f>
        <v>2024</v>
      </c>
      <c r="R4" s="58" t="str">
        <f>"CAGR "&amp;$G$4&amp;" - "&amp;$Q$4</f>
        <v>CAGR 2014 - 2024</v>
      </c>
    </row>
    <row r="5" spans="1:18" ht="3.95" customHeight="1" x14ac:dyDescent="0.2">
      <c r="B5" s="53"/>
      <c r="C5" s="53"/>
      <c r="D5" s="53"/>
      <c r="E5" s="53"/>
      <c r="F5" s="53"/>
      <c r="G5" s="236"/>
      <c r="H5" s="236"/>
      <c r="I5" s="236"/>
      <c r="J5" s="236"/>
      <c r="K5" s="236"/>
      <c r="L5" s="236"/>
      <c r="M5" s="236"/>
      <c r="N5" s="236"/>
      <c r="O5" s="236"/>
      <c r="P5" s="236"/>
      <c r="Q5" s="236"/>
      <c r="R5" s="60"/>
    </row>
    <row r="6" spans="1:18" ht="15" x14ac:dyDescent="0.25">
      <c r="B6" s="1" t="s">
        <v>344</v>
      </c>
      <c r="G6" s="237"/>
      <c r="H6" s="237"/>
      <c r="I6" s="237"/>
      <c r="J6" s="237"/>
      <c r="K6" s="237"/>
      <c r="L6" s="237"/>
      <c r="M6" s="237"/>
      <c r="N6" s="237"/>
      <c r="O6" s="237"/>
      <c r="P6" s="237"/>
      <c r="Q6" s="237"/>
      <c r="R6" s="67" t="str">
        <f t="shared" ref="R6:R26" si="2">IFERROR((Q6/G6)^(1/COUNT($G$4:$Q$4))-1,"")</f>
        <v/>
      </c>
    </row>
    <row r="7" spans="1:18" ht="15" x14ac:dyDescent="0.25">
      <c r="B7" t="s">
        <v>224</v>
      </c>
      <c r="G7" s="237"/>
      <c r="H7" s="237"/>
      <c r="I7" s="237"/>
      <c r="J7" s="237"/>
      <c r="K7" s="237"/>
      <c r="L7" s="237"/>
      <c r="M7" s="237"/>
      <c r="N7" s="237"/>
      <c r="O7" s="237"/>
      <c r="P7" s="237"/>
      <c r="Q7" s="237"/>
      <c r="R7" s="67" t="str">
        <f t="shared" si="2"/>
        <v/>
      </c>
    </row>
    <row r="8" spans="1:18" ht="15" x14ac:dyDescent="0.25">
      <c r="B8" s="1" t="s">
        <v>225</v>
      </c>
      <c r="G8" s="238">
        <f>G6-G7</f>
        <v>0</v>
      </c>
      <c r="H8" s="238">
        <f t="shared" ref="H8:Q8" si="3">H6-H7</f>
        <v>0</v>
      </c>
      <c r="I8" s="238">
        <f t="shared" si="3"/>
        <v>0</v>
      </c>
      <c r="J8" s="238">
        <f t="shared" si="3"/>
        <v>0</v>
      </c>
      <c r="K8" s="238">
        <f t="shared" si="3"/>
        <v>0</v>
      </c>
      <c r="L8" s="238">
        <f t="shared" si="3"/>
        <v>0</v>
      </c>
      <c r="M8" s="238">
        <f t="shared" si="3"/>
        <v>0</v>
      </c>
      <c r="N8" s="238">
        <f t="shared" si="3"/>
        <v>0</v>
      </c>
      <c r="O8" s="238">
        <f t="shared" si="3"/>
        <v>0</v>
      </c>
      <c r="P8" s="238">
        <f t="shared" si="3"/>
        <v>0</v>
      </c>
      <c r="Q8" s="238">
        <f t="shared" si="3"/>
        <v>0</v>
      </c>
      <c r="R8" s="67" t="str">
        <f t="shared" si="2"/>
        <v/>
      </c>
    </row>
    <row r="9" spans="1:18" ht="15" x14ac:dyDescent="0.25">
      <c r="B9" t="s">
        <v>347</v>
      </c>
      <c r="G9" s="237"/>
      <c r="H9" s="237"/>
      <c r="I9" s="237"/>
      <c r="J9" s="237"/>
      <c r="K9" s="237"/>
      <c r="L9" s="237"/>
      <c r="M9" s="237"/>
      <c r="N9" s="237"/>
      <c r="O9" s="237"/>
      <c r="P9" s="237"/>
      <c r="Q9" s="237"/>
      <c r="R9" s="67" t="str">
        <f t="shared" si="2"/>
        <v/>
      </c>
    </row>
    <row r="10" spans="1:18" ht="15" x14ac:dyDescent="0.25">
      <c r="B10" t="s">
        <v>232</v>
      </c>
      <c r="G10" s="237"/>
      <c r="H10" s="237"/>
      <c r="I10" s="237"/>
      <c r="J10" s="237"/>
      <c r="K10" s="237"/>
      <c r="L10" s="237"/>
      <c r="M10" s="237"/>
      <c r="N10" s="237"/>
      <c r="O10" s="237"/>
      <c r="P10" s="237"/>
      <c r="Q10" s="237"/>
      <c r="R10" s="67" t="str">
        <f t="shared" si="2"/>
        <v/>
      </c>
    </row>
    <row r="11" spans="1:18" ht="15" x14ac:dyDescent="0.25">
      <c r="B11" t="s">
        <v>348</v>
      </c>
      <c r="G11" s="237"/>
      <c r="H11" s="237"/>
      <c r="I11" s="237"/>
      <c r="J11" s="237"/>
      <c r="K11" s="237"/>
      <c r="L11" s="237"/>
      <c r="M11" s="237"/>
      <c r="N11" s="237"/>
      <c r="O11" s="237"/>
      <c r="P11" s="237"/>
      <c r="Q11" s="237"/>
      <c r="R11" s="67" t="str">
        <f t="shared" si="2"/>
        <v/>
      </c>
    </row>
    <row r="12" spans="1:18" ht="15" x14ac:dyDescent="0.25">
      <c r="B12" s="1" t="s">
        <v>163</v>
      </c>
      <c r="G12" s="239">
        <f>+G8-G9-G10-G11</f>
        <v>0</v>
      </c>
      <c r="H12" s="239">
        <f t="shared" ref="H12:Q12" si="4">+H8-H9-H10-H11</f>
        <v>0</v>
      </c>
      <c r="I12" s="239">
        <f t="shared" si="4"/>
        <v>0</v>
      </c>
      <c r="J12" s="239">
        <f t="shared" si="4"/>
        <v>0</v>
      </c>
      <c r="K12" s="239">
        <f t="shared" si="4"/>
        <v>0</v>
      </c>
      <c r="L12" s="239">
        <f t="shared" si="4"/>
        <v>0</v>
      </c>
      <c r="M12" s="239">
        <f t="shared" si="4"/>
        <v>0</v>
      </c>
      <c r="N12" s="239">
        <f t="shared" si="4"/>
        <v>0</v>
      </c>
      <c r="O12" s="239">
        <f t="shared" si="4"/>
        <v>0</v>
      </c>
      <c r="P12" s="239">
        <f t="shared" si="4"/>
        <v>0</v>
      </c>
      <c r="Q12" s="239">
        <f t="shared" si="4"/>
        <v>0</v>
      </c>
      <c r="R12" s="67" t="str">
        <f t="shared" si="2"/>
        <v/>
      </c>
    </row>
    <row r="13" spans="1:18" ht="15" x14ac:dyDescent="0.25">
      <c r="B13" t="s">
        <v>349</v>
      </c>
      <c r="G13" s="250">
        <f>+SUM(G14:G15)</f>
        <v>0</v>
      </c>
      <c r="H13" s="250">
        <f t="shared" ref="H13:Q13" si="5">+SUM(H14:H15)</f>
        <v>0</v>
      </c>
      <c r="I13" s="250">
        <f t="shared" si="5"/>
        <v>0</v>
      </c>
      <c r="J13" s="250">
        <f t="shared" si="5"/>
        <v>0</v>
      </c>
      <c r="K13" s="250">
        <f t="shared" si="5"/>
        <v>0</v>
      </c>
      <c r="L13" s="250">
        <f t="shared" si="5"/>
        <v>0</v>
      </c>
      <c r="M13" s="250">
        <f t="shared" si="5"/>
        <v>0</v>
      </c>
      <c r="N13" s="250">
        <f t="shared" si="5"/>
        <v>0</v>
      </c>
      <c r="O13" s="250">
        <f t="shared" si="5"/>
        <v>0</v>
      </c>
      <c r="P13" s="250">
        <f t="shared" si="5"/>
        <v>0</v>
      </c>
      <c r="Q13" s="250">
        <f t="shared" si="5"/>
        <v>0</v>
      </c>
      <c r="R13" s="67" t="str">
        <f t="shared" si="2"/>
        <v/>
      </c>
    </row>
    <row r="14" spans="1:18" ht="15" x14ac:dyDescent="0.25">
      <c r="B14" s="271" t="s">
        <v>351</v>
      </c>
      <c r="G14" s="272"/>
      <c r="H14" s="272"/>
      <c r="I14" s="272"/>
      <c r="J14" s="272"/>
      <c r="K14" s="272"/>
      <c r="L14" s="272"/>
      <c r="M14" s="272"/>
      <c r="N14" s="272"/>
      <c r="O14" s="272"/>
      <c r="P14" s="272"/>
      <c r="Q14" s="272"/>
      <c r="R14" s="67" t="str">
        <f t="shared" si="2"/>
        <v/>
      </c>
    </row>
    <row r="15" spans="1:18" ht="15" x14ac:dyDescent="0.25">
      <c r="B15" s="271" t="s">
        <v>353</v>
      </c>
      <c r="G15" s="286"/>
      <c r="H15" s="286"/>
      <c r="I15" s="286"/>
      <c r="J15" s="286"/>
      <c r="K15" s="286"/>
      <c r="L15" s="286"/>
      <c r="M15" s="286"/>
      <c r="N15" s="286"/>
      <c r="O15" s="286"/>
      <c r="P15" s="286"/>
      <c r="Q15" s="286"/>
      <c r="R15" s="67" t="str">
        <f t="shared" si="2"/>
        <v/>
      </c>
    </row>
    <row r="16" spans="1:18" ht="15" x14ac:dyDescent="0.25">
      <c r="B16" s="1" t="s">
        <v>226</v>
      </c>
      <c r="G16" s="239">
        <f>+G12-G13</f>
        <v>0</v>
      </c>
      <c r="H16" s="239">
        <f t="shared" ref="H16:Q16" si="6">+H12-H13</f>
        <v>0</v>
      </c>
      <c r="I16" s="239">
        <f t="shared" si="6"/>
        <v>0</v>
      </c>
      <c r="J16" s="239">
        <f t="shared" si="6"/>
        <v>0</v>
      </c>
      <c r="K16" s="239">
        <f t="shared" si="6"/>
        <v>0</v>
      </c>
      <c r="L16" s="239">
        <f t="shared" si="6"/>
        <v>0</v>
      </c>
      <c r="M16" s="239">
        <f t="shared" si="6"/>
        <v>0</v>
      </c>
      <c r="N16" s="239">
        <f t="shared" si="6"/>
        <v>0</v>
      </c>
      <c r="O16" s="239">
        <f t="shared" si="6"/>
        <v>0</v>
      </c>
      <c r="P16" s="239">
        <f t="shared" si="6"/>
        <v>0</v>
      </c>
      <c r="Q16" s="239">
        <f t="shared" si="6"/>
        <v>0</v>
      </c>
      <c r="R16" s="67" t="str">
        <f t="shared" si="2"/>
        <v/>
      </c>
    </row>
    <row r="17" spans="1:18" ht="15" x14ac:dyDescent="0.25">
      <c r="B17" t="s">
        <v>227</v>
      </c>
      <c r="G17" s="250">
        <f>+G18-G19</f>
        <v>0</v>
      </c>
      <c r="H17" s="250">
        <f t="shared" ref="H17:Q17" si="7">+H18-H19</f>
        <v>0</v>
      </c>
      <c r="I17" s="250">
        <f t="shared" si="7"/>
        <v>0</v>
      </c>
      <c r="J17" s="250">
        <f t="shared" si="7"/>
        <v>0</v>
      </c>
      <c r="K17" s="250">
        <f t="shared" si="7"/>
        <v>0</v>
      </c>
      <c r="L17" s="250">
        <f t="shared" si="7"/>
        <v>0</v>
      </c>
      <c r="M17" s="250">
        <f t="shared" si="7"/>
        <v>0</v>
      </c>
      <c r="N17" s="250">
        <f t="shared" si="7"/>
        <v>0</v>
      </c>
      <c r="O17" s="250">
        <f t="shared" si="7"/>
        <v>0</v>
      </c>
      <c r="P17" s="250">
        <f t="shared" si="7"/>
        <v>0</v>
      </c>
      <c r="Q17" s="250">
        <f t="shared" si="7"/>
        <v>0</v>
      </c>
      <c r="R17" s="67" t="str">
        <f t="shared" si="2"/>
        <v/>
      </c>
    </row>
    <row r="18" spans="1:18" ht="15" x14ac:dyDescent="0.25">
      <c r="B18" s="271" t="s">
        <v>356</v>
      </c>
      <c r="C18" s="89"/>
      <c r="D18" s="89"/>
      <c r="E18" s="89"/>
      <c r="G18" s="272"/>
      <c r="H18" s="272"/>
      <c r="I18" s="272"/>
      <c r="J18" s="272"/>
      <c r="K18" s="272"/>
      <c r="L18" s="272"/>
      <c r="M18" s="272"/>
      <c r="N18" s="272"/>
      <c r="O18" s="272"/>
      <c r="P18" s="272"/>
      <c r="Q18" s="272"/>
      <c r="R18" s="67" t="str">
        <f t="shared" si="2"/>
        <v/>
      </c>
    </row>
    <row r="19" spans="1:18" ht="15" x14ac:dyDescent="0.25">
      <c r="B19" s="271" t="s">
        <v>358</v>
      </c>
      <c r="C19" s="89"/>
      <c r="D19" s="89"/>
      <c r="E19" s="89"/>
      <c r="G19" s="272"/>
      <c r="H19" s="272"/>
      <c r="I19" s="272"/>
      <c r="J19" s="272"/>
      <c r="K19" s="272"/>
      <c r="L19" s="272"/>
      <c r="M19" s="272"/>
      <c r="N19" s="272"/>
      <c r="O19" s="272"/>
      <c r="P19" s="272"/>
      <c r="Q19" s="272"/>
      <c r="R19" s="67" t="str">
        <f t="shared" si="2"/>
        <v/>
      </c>
    </row>
    <row r="20" spans="1:18" ht="15" x14ac:dyDescent="0.25">
      <c r="B20" t="s">
        <v>360</v>
      </c>
      <c r="G20" s="237"/>
      <c r="H20" s="237"/>
      <c r="I20" s="237"/>
      <c r="J20" s="237"/>
      <c r="K20" s="237"/>
      <c r="L20" s="237"/>
      <c r="M20" s="237"/>
      <c r="N20" s="237"/>
      <c r="O20" s="237"/>
      <c r="P20" s="237"/>
      <c r="Q20" s="237"/>
      <c r="R20" s="67" t="str">
        <f t="shared" si="2"/>
        <v/>
      </c>
    </row>
    <row r="21" spans="1:18" ht="15" x14ac:dyDescent="0.25">
      <c r="B21" t="s">
        <v>361</v>
      </c>
      <c r="G21" s="237"/>
      <c r="H21" s="237"/>
      <c r="I21" s="237"/>
      <c r="J21" s="237"/>
      <c r="K21" s="237"/>
      <c r="L21" s="237"/>
      <c r="M21" s="237"/>
      <c r="N21" s="237"/>
      <c r="O21" s="237"/>
      <c r="P21" s="237"/>
      <c r="Q21" s="237"/>
      <c r="R21" s="67" t="str">
        <f t="shared" si="2"/>
        <v/>
      </c>
    </row>
    <row r="22" spans="1:18" ht="15" x14ac:dyDescent="0.25">
      <c r="B22" s="1" t="s">
        <v>228</v>
      </c>
      <c r="D22" s="1"/>
      <c r="E22" s="1"/>
      <c r="G22" s="500">
        <f>+G16-G17-G20-G21</f>
        <v>0</v>
      </c>
      <c r="H22" s="500">
        <f t="shared" ref="H22:Q22" si="8">+H16-H17-H20-H21</f>
        <v>0</v>
      </c>
      <c r="I22" s="500">
        <f t="shared" si="8"/>
        <v>0</v>
      </c>
      <c r="J22" s="500">
        <f t="shared" si="8"/>
        <v>0</v>
      </c>
      <c r="K22" s="500">
        <f t="shared" si="8"/>
        <v>0</v>
      </c>
      <c r="L22" s="500">
        <f t="shared" si="8"/>
        <v>0</v>
      </c>
      <c r="M22" s="500">
        <f t="shared" si="8"/>
        <v>0</v>
      </c>
      <c r="N22" s="500">
        <f t="shared" si="8"/>
        <v>0</v>
      </c>
      <c r="O22" s="500">
        <f t="shared" si="8"/>
        <v>0</v>
      </c>
      <c r="P22" s="500">
        <f t="shared" si="8"/>
        <v>0</v>
      </c>
      <c r="Q22" s="500">
        <f t="shared" si="8"/>
        <v>0</v>
      </c>
      <c r="R22" s="67" t="str">
        <f t="shared" si="2"/>
        <v/>
      </c>
    </row>
    <row r="23" spans="1:18" ht="15" x14ac:dyDescent="0.25">
      <c r="B23" t="s">
        <v>229</v>
      </c>
      <c r="G23" s="237"/>
      <c r="H23" s="237"/>
      <c r="I23" s="237"/>
      <c r="J23" s="237"/>
      <c r="K23" s="237"/>
      <c r="L23" s="237"/>
      <c r="M23" s="237"/>
      <c r="N23" s="237"/>
      <c r="O23" s="237"/>
      <c r="P23" s="237"/>
      <c r="Q23" s="237"/>
      <c r="R23" s="67" t="str">
        <f t="shared" si="2"/>
        <v/>
      </c>
    </row>
    <row r="24" spans="1:18" ht="15" x14ac:dyDescent="0.25">
      <c r="B24" s="1" t="s">
        <v>230</v>
      </c>
      <c r="G24" s="239">
        <f>+G22-G23</f>
        <v>0</v>
      </c>
      <c r="H24" s="239">
        <f t="shared" ref="H24:Q24" si="9">+H22-H23</f>
        <v>0</v>
      </c>
      <c r="I24" s="239">
        <f t="shared" si="9"/>
        <v>0</v>
      </c>
      <c r="J24" s="239">
        <f t="shared" si="9"/>
        <v>0</v>
      </c>
      <c r="K24" s="239">
        <f t="shared" si="9"/>
        <v>0</v>
      </c>
      <c r="L24" s="239">
        <f t="shared" si="9"/>
        <v>0</v>
      </c>
      <c r="M24" s="239">
        <f t="shared" si="9"/>
        <v>0</v>
      </c>
      <c r="N24" s="239">
        <f t="shared" si="9"/>
        <v>0</v>
      </c>
      <c r="O24" s="239">
        <f t="shared" si="9"/>
        <v>0</v>
      </c>
      <c r="P24" s="239">
        <f t="shared" si="9"/>
        <v>0</v>
      </c>
      <c r="Q24" s="239">
        <f t="shared" si="9"/>
        <v>0</v>
      </c>
      <c r="R24" s="67" t="str">
        <f t="shared" si="2"/>
        <v/>
      </c>
    </row>
    <row r="25" spans="1:18" ht="15" x14ac:dyDescent="0.25">
      <c r="B25" s="1" t="s">
        <v>231</v>
      </c>
      <c r="G25" s="240"/>
      <c r="H25" s="240"/>
      <c r="I25" s="240"/>
      <c r="J25" s="240"/>
      <c r="K25" s="240"/>
      <c r="L25" s="240"/>
      <c r="M25" s="240"/>
      <c r="N25" s="240"/>
      <c r="O25" s="240"/>
      <c r="P25" s="240"/>
      <c r="Q25" s="240"/>
      <c r="R25" s="67" t="str">
        <f t="shared" si="2"/>
        <v/>
      </c>
    </row>
    <row r="26" spans="1:18" ht="15" x14ac:dyDescent="0.25">
      <c r="B26" s="1" t="s">
        <v>439</v>
      </c>
      <c r="G26" s="240"/>
      <c r="H26" s="240"/>
      <c r="I26" s="240"/>
      <c r="J26" s="240"/>
      <c r="K26" s="240"/>
      <c r="L26" s="240"/>
      <c r="M26" s="240"/>
      <c r="N26" s="240"/>
      <c r="O26" s="240"/>
      <c r="P26" s="240"/>
      <c r="Q26" s="240"/>
      <c r="R26" s="67" t="str">
        <f t="shared" si="2"/>
        <v/>
      </c>
    </row>
    <row r="27" spans="1:18" x14ac:dyDescent="0.2">
      <c r="B27" t="s">
        <v>440</v>
      </c>
      <c r="G27" s="237"/>
      <c r="H27" s="237"/>
      <c r="I27" s="237"/>
      <c r="J27" s="237"/>
      <c r="K27" s="237"/>
      <c r="L27" s="237"/>
      <c r="M27" s="237"/>
      <c r="N27" s="237"/>
      <c r="O27" s="237"/>
      <c r="P27" s="237"/>
      <c r="Q27" s="237"/>
      <c r="R27" s="64" t="s">
        <v>441</v>
      </c>
    </row>
    <row r="28" spans="1:18" x14ac:dyDescent="0.2">
      <c r="B28" t="s">
        <v>442</v>
      </c>
      <c r="G28" s="237"/>
      <c r="H28" s="237"/>
      <c r="I28" s="237"/>
      <c r="J28" s="237"/>
      <c r="K28" s="237"/>
      <c r="L28" s="237"/>
      <c r="M28" s="237"/>
      <c r="N28" s="237"/>
      <c r="O28" s="237"/>
      <c r="P28" s="237"/>
      <c r="Q28" s="237"/>
      <c r="R28" s="64" t="str">
        <f>IFERROR((Q28/G28)^(1/COUNT($G$4:$Q$4))-1,"")</f>
        <v/>
      </c>
    </row>
    <row r="29" spans="1:18" ht="3.95" customHeight="1" x14ac:dyDescent="0.2"/>
    <row r="30" spans="1:18" ht="15.75" x14ac:dyDescent="0.25">
      <c r="A30" t="s">
        <v>306</v>
      </c>
      <c r="B30" s="52" t="s">
        <v>233</v>
      </c>
      <c r="C30" s="56"/>
      <c r="D30" s="56"/>
      <c r="E30" s="56"/>
      <c r="F30" s="56"/>
      <c r="G30" s="235">
        <v>2014</v>
      </c>
      <c r="H30" s="235">
        <f>+G30+1</f>
        <v>2015</v>
      </c>
      <c r="I30" s="235">
        <f t="shared" ref="I30:M30" si="10">+H30+1</f>
        <v>2016</v>
      </c>
      <c r="J30" s="235">
        <f t="shared" si="10"/>
        <v>2017</v>
      </c>
      <c r="K30" s="235">
        <f t="shared" si="10"/>
        <v>2018</v>
      </c>
      <c r="L30" s="235">
        <f t="shared" si="10"/>
        <v>2019</v>
      </c>
      <c r="M30" s="235">
        <f t="shared" si="10"/>
        <v>2020</v>
      </c>
      <c r="N30" s="235">
        <f>+M30+1</f>
        <v>2021</v>
      </c>
      <c r="O30" s="235">
        <f>+N30+1</f>
        <v>2022</v>
      </c>
      <c r="P30" s="235">
        <f t="shared" ref="P30" si="11">+O30+1</f>
        <v>2023</v>
      </c>
      <c r="Q30" s="235">
        <f>+P30+1</f>
        <v>2024</v>
      </c>
      <c r="R30" s="58" t="str">
        <f>"CAGR "&amp;$G$4&amp;" - "&amp;$Q$4</f>
        <v>CAGR 2014 - 2024</v>
      </c>
    </row>
    <row r="31" spans="1:18" s="94" customFormat="1" ht="3.95" customHeight="1" x14ac:dyDescent="0.2">
      <c r="B31" s="241"/>
      <c r="C31" s="241"/>
      <c r="D31" s="241"/>
      <c r="E31" s="241"/>
      <c r="F31" s="241"/>
      <c r="G31" s="242"/>
      <c r="H31" s="242"/>
      <c r="I31" s="242"/>
      <c r="J31" s="242"/>
      <c r="K31" s="242"/>
      <c r="L31" s="242"/>
      <c r="M31" s="242"/>
      <c r="N31" s="242"/>
      <c r="O31" s="242"/>
      <c r="P31" s="242"/>
      <c r="Q31" s="242"/>
      <c r="R31" s="60"/>
    </row>
    <row r="32" spans="1:18" x14ac:dyDescent="0.2">
      <c r="B32" t="s">
        <v>364</v>
      </c>
      <c r="G32" s="245">
        <f>+SUM(G33:G34)</f>
        <v>0</v>
      </c>
      <c r="H32" s="245">
        <f t="shared" ref="H32:Q32" si="12">+SUM(H33:H34)</f>
        <v>0</v>
      </c>
      <c r="I32" s="245">
        <f t="shared" si="12"/>
        <v>0</v>
      </c>
      <c r="J32" s="245">
        <f t="shared" si="12"/>
        <v>0</v>
      </c>
      <c r="K32" s="245">
        <f t="shared" si="12"/>
        <v>0</v>
      </c>
      <c r="L32" s="245">
        <f t="shared" si="12"/>
        <v>0</v>
      </c>
      <c r="M32" s="245">
        <f t="shared" si="12"/>
        <v>0</v>
      </c>
      <c r="N32" s="245">
        <f t="shared" si="12"/>
        <v>0</v>
      </c>
      <c r="O32" s="245">
        <f t="shared" si="12"/>
        <v>0</v>
      </c>
      <c r="P32" s="245">
        <f t="shared" si="12"/>
        <v>0</v>
      </c>
      <c r="Q32" s="245">
        <f t="shared" si="12"/>
        <v>0</v>
      </c>
      <c r="R32" s="64" t="str">
        <f t="shared" ref="R32:R62" si="13">IFERROR((Q32/G32)^(1/COUNT($G$4:$Q$4))-1,"")</f>
        <v/>
      </c>
    </row>
    <row r="33" spans="2:20" x14ac:dyDescent="0.2">
      <c r="B33" s="271" t="s">
        <v>234</v>
      </c>
      <c r="C33" s="89"/>
      <c r="D33" s="89"/>
      <c r="E33" s="89"/>
      <c r="G33" s="272"/>
      <c r="H33" s="272"/>
      <c r="I33" s="272"/>
      <c r="J33" s="272"/>
      <c r="K33" s="272"/>
      <c r="L33" s="272"/>
      <c r="M33" s="272"/>
      <c r="N33" s="272"/>
      <c r="O33" s="272"/>
      <c r="P33" s="272"/>
      <c r="Q33" s="272"/>
      <c r="R33" s="64" t="str">
        <f t="shared" si="13"/>
        <v/>
      </c>
    </row>
    <row r="34" spans="2:20" x14ac:dyDescent="0.2">
      <c r="B34" s="271" t="s">
        <v>443</v>
      </c>
      <c r="C34" s="89"/>
      <c r="D34" s="89"/>
      <c r="E34" s="89"/>
      <c r="G34" s="272"/>
      <c r="H34" s="272"/>
      <c r="I34" s="272"/>
      <c r="J34" s="272"/>
      <c r="K34" s="272"/>
      <c r="L34" s="272"/>
      <c r="M34" s="272"/>
      <c r="N34" s="272"/>
      <c r="O34" s="272"/>
      <c r="P34" s="272"/>
      <c r="Q34" s="272"/>
      <c r="R34" s="64" t="str">
        <f t="shared" si="13"/>
        <v/>
      </c>
    </row>
    <row r="35" spans="2:20" x14ac:dyDescent="0.2">
      <c r="B35" t="s">
        <v>235</v>
      </c>
      <c r="G35" s="237"/>
      <c r="H35" s="237"/>
      <c r="I35" s="237"/>
      <c r="J35" s="237"/>
      <c r="K35" s="237"/>
      <c r="L35" s="237"/>
      <c r="M35" s="237"/>
      <c r="N35" s="237"/>
      <c r="O35" s="237"/>
      <c r="P35" s="237"/>
      <c r="Q35" s="237"/>
      <c r="R35" s="64" t="str">
        <f t="shared" si="13"/>
        <v/>
      </c>
    </row>
    <row r="36" spans="2:20" x14ac:dyDescent="0.2">
      <c r="B36" t="s">
        <v>366</v>
      </c>
      <c r="G36" s="237"/>
      <c r="H36" s="237"/>
      <c r="I36" s="237"/>
      <c r="J36" s="237"/>
      <c r="K36" s="237"/>
      <c r="L36" s="237"/>
      <c r="M36" s="237"/>
      <c r="N36" s="237"/>
      <c r="O36" s="237"/>
      <c r="P36" s="237"/>
      <c r="Q36" s="237"/>
      <c r="R36" s="64" t="str">
        <f t="shared" si="13"/>
        <v/>
      </c>
    </row>
    <row r="37" spans="2:20" x14ac:dyDescent="0.2">
      <c r="B37" s="38" t="s">
        <v>368</v>
      </c>
      <c r="C37" s="38"/>
      <c r="D37" s="38"/>
      <c r="E37" s="38"/>
      <c r="G37" s="243">
        <f t="shared" ref="G37:Q37" si="14">+G38-G32-G35-G36</f>
        <v>0</v>
      </c>
      <c r="H37" s="243">
        <f t="shared" si="14"/>
        <v>0</v>
      </c>
      <c r="I37" s="243">
        <f t="shared" si="14"/>
        <v>0</v>
      </c>
      <c r="J37" s="243">
        <f t="shared" si="14"/>
        <v>0</v>
      </c>
      <c r="K37" s="243">
        <f t="shared" si="14"/>
        <v>0</v>
      </c>
      <c r="L37" s="243">
        <f t="shared" si="14"/>
        <v>0</v>
      </c>
      <c r="M37" s="243">
        <f t="shared" si="14"/>
        <v>0</v>
      </c>
      <c r="N37" s="243">
        <f t="shared" si="14"/>
        <v>0</v>
      </c>
      <c r="O37" s="243">
        <f t="shared" si="14"/>
        <v>0</v>
      </c>
      <c r="P37" s="243">
        <f t="shared" si="14"/>
        <v>0</v>
      </c>
      <c r="Q37" s="243">
        <f t="shared" si="14"/>
        <v>0</v>
      </c>
      <c r="R37" s="64" t="str">
        <f t="shared" si="13"/>
        <v/>
      </c>
      <c r="T37" s="73"/>
    </row>
    <row r="38" spans="2:20" s="1" customFormat="1" ht="15" x14ac:dyDescent="0.25">
      <c r="B38" s="76" t="s">
        <v>238</v>
      </c>
      <c r="C38" s="76"/>
      <c r="D38" s="76"/>
      <c r="E38" s="76"/>
      <c r="F38" s="645"/>
      <c r="G38" s="269"/>
      <c r="H38" s="269"/>
      <c r="I38" s="269"/>
      <c r="J38" s="269"/>
      <c r="K38" s="269"/>
      <c r="L38" s="269"/>
      <c r="M38" s="269"/>
      <c r="N38" s="269"/>
      <c r="O38" s="269"/>
      <c r="P38" s="269"/>
      <c r="Q38" s="269"/>
      <c r="R38" s="244" t="str">
        <f t="shared" si="13"/>
        <v/>
      </c>
    </row>
    <row r="39" spans="2:20" x14ac:dyDescent="0.2">
      <c r="B39" t="s">
        <v>239</v>
      </c>
      <c r="G39" s="270">
        <f t="shared" ref="G39:Q39" si="15">+G40-G41</f>
        <v>0</v>
      </c>
      <c r="H39" s="270">
        <f t="shared" si="15"/>
        <v>0</v>
      </c>
      <c r="I39" s="270">
        <f t="shared" si="15"/>
        <v>0</v>
      </c>
      <c r="J39" s="270">
        <f t="shared" si="15"/>
        <v>0</v>
      </c>
      <c r="K39" s="270">
        <f t="shared" si="15"/>
        <v>0</v>
      </c>
      <c r="L39" s="270">
        <f t="shared" si="15"/>
        <v>0</v>
      </c>
      <c r="M39" s="270">
        <f t="shared" si="15"/>
        <v>0</v>
      </c>
      <c r="N39" s="270">
        <f t="shared" si="15"/>
        <v>0</v>
      </c>
      <c r="O39" s="270">
        <f t="shared" si="15"/>
        <v>0</v>
      </c>
      <c r="P39" s="270">
        <f t="shared" si="15"/>
        <v>0</v>
      </c>
      <c r="Q39" s="270">
        <f t="shared" si="15"/>
        <v>0</v>
      </c>
      <c r="R39" s="64" t="str">
        <f t="shared" si="13"/>
        <v/>
      </c>
    </row>
    <row r="40" spans="2:20" x14ac:dyDescent="0.2">
      <c r="B40" s="271" t="s">
        <v>444</v>
      </c>
      <c r="C40" s="89"/>
      <c r="D40" s="89"/>
      <c r="E40" s="89"/>
      <c r="G40" s="272"/>
      <c r="H40" s="272"/>
      <c r="I40" s="272"/>
      <c r="J40" s="272"/>
      <c r="K40" s="272"/>
      <c r="L40" s="272"/>
      <c r="M40" s="272"/>
      <c r="N40" s="272"/>
      <c r="O40" s="272"/>
      <c r="P40" s="272"/>
      <c r="Q40" s="272"/>
      <c r="R40" s="64" t="str">
        <f t="shared" si="13"/>
        <v/>
      </c>
    </row>
    <row r="41" spans="2:20" x14ac:dyDescent="0.2">
      <c r="B41" s="271" t="s">
        <v>372</v>
      </c>
      <c r="C41" s="89"/>
      <c r="D41" s="89"/>
      <c r="E41" s="89"/>
      <c r="G41" s="272"/>
      <c r="H41" s="272"/>
      <c r="I41" s="272"/>
      <c r="J41" s="272"/>
      <c r="K41" s="272"/>
      <c r="L41" s="272"/>
      <c r="M41" s="272"/>
      <c r="N41" s="272"/>
      <c r="O41" s="272"/>
      <c r="P41" s="272"/>
      <c r="Q41" s="272"/>
      <c r="R41" s="64" t="str">
        <f t="shared" si="13"/>
        <v/>
      </c>
    </row>
    <row r="42" spans="2:20" x14ac:dyDescent="0.2">
      <c r="B42" t="s">
        <v>371</v>
      </c>
      <c r="G42" s="299"/>
      <c r="H42" s="299"/>
      <c r="I42" s="299"/>
      <c r="J42" s="299"/>
      <c r="K42" s="299"/>
      <c r="L42" s="299"/>
      <c r="M42" s="299"/>
      <c r="N42" s="299"/>
      <c r="O42" s="299"/>
      <c r="P42" s="299"/>
      <c r="Q42" s="299"/>
      <c r="R42" s="64" t="str">
        <f t="shared" si="13"/>
        <v/>
      </c>
    </row>
    <row r="43" spans="2:20" x14ac:dyDescent="0.2">
      <c r="B43" t="s">
        <v>445</v>
      </c>
      <c r="G43" s="237"/>
      <c r="H43" s="237"/>
      <c r="I43" s="237"/>
      <c r="J43" s="237"/>
      <c r="K43" s="237"/>
      <c r="L43" s="237"/>
      <c r="M43" s="237"/>
      <c r="N43" s="237"/>
      <c r="O43" s="237"/>
      <c r="P43" s="237"/>
      <c r="Q43" s="237"/>
      <c r="R43" s="64" t="str">
        <f t="shared" si="13"/>
        <v/>
      </c>
    </row>
    <row r="44" spans="2:20" x14ac:dyDescent="0.2">
      <c r="B44" s="271" t="s">
        <v>446</v>
      </c>
      <c r="C44" s="89"/>
      <c r="D44" s="89"/>
      <c r="E44" s="89"/>
      <c r="G44" s="272"/>
      <c r="H44" s="272"/>
      <c r="I44" s="272"/>
      <c r="J44" s="272"/>
      <c r="K44" s="272"/>
      <c r="L44" s="272"/>
      <c r="M44" s="272"/>
      <c r="N44" s="272"/>
      <c r="O44" s="272"/>
      <c r="P44" s="272"/>
      <c r="Q44" s="272"/>
      <c r="R44" s="64" t="str">
        <f t="shared" si="13"/>
        <v/>
      </c>
    </row>
    <row r="45" spans="2:20" x14ac:dyDescent="0.2">
      <c r="B45" s="271" t="s">
        <v>373</v>
      </c>
      <c r="C45" s="89"/>
      <c r="D45" s="89"/>
      <c r="E45" s="89"/>
      <c r="G45" s="273">
        <f>+G43-G44</f>
        <v>0</v>
      </c>
      <c r="H45" s="273">
        <f t="shared" ref="H45:Q45" si="16">+H43-H44</f>
        <v>0</v>
      </c>
      <c r="I45" s="273">
        <f t="shared" si="16"/>
        <v>0</v>
      </c>
      <c r="J45" s="273">
        <f t="shared" si="16"/>
        <v>0</v>
      </c>
      <c r="K45" s="273">
        <f t="shared" si="16"/>
        <v>0</v>
      </c>
      <c r="L45" s="273">
        <f t="shared" si="16"/>
        <v>0</v>
      </c>
      <c r="M45" s="273">
        <f t="shared" si="16"/>
        <v>0</v>
      </c>
      <c r="N45" s="273">
        <f t="shared" si="16"/>
        <v>0</v>
      </c>
      <c r="O45" s="273">
        <f t="shared" si="16"/>
        <v>0</v>
      </c>
      <c r="P45" s="273">
        <f t="shared" si="16"/>
        <v>0</v>
      </c>
      <c r="Q45" s="273">
        <f t="shared" si="16"/>
        <v>0</v>
      </c>
      <c r="R45" s="64" t="str">
        <f t="shared" si="13"/>
        <v/>
      </c>
    </row>
    <row r="46" spans="2:20" x14ac:dyDescent="0.2">
      <c r="B46" s="38" t="s">
        <v>447</v>
      </c>
      <c r="C46" s="38"/>
      <c r="D46" s="38"/>
      <c r="E46" s="38"/>
      <c r="G46" s="243">
        <f>+G47-G39-G42-G43</f>
        <v>0</v>
      </c>
      <c r="H46" s="243">
        <f t="shared" ref="H46:Q46" si="17">+H47-H39-H42-H43</f>
        <v>0</v>
      </c>
      <c r="I46" s="243">
        <f t="shared" si="17"/>
        <v>0</v>
      </c>
      <c r="J46" s="243">
        <f t="shared" si="17"/>
        <v>0</v>
      </c>
      <c r="K46" s="243">
        <f t="shared" si="17"/>
        <v>0</v>
      </c>
      <c r="L46" s="243">
        <f t="shared" si="17"/>
        <v>0</v>
      </c>
      <c r="M46" s="243">
        <f t="shared" si="17"/>
        <v>0</v>
      </c>
      <c r="N46" s="243">
        <f t="shared" si="17"/>
        <v>0</v>
      </c>
      <c r="O46" s="243">
        <f t="shared" si="17"/>
        <v>0</v>
      </c>
      <c r="P46" s="243">
        <f t="shared" si="17"/>
        <v>0</v>
      </c>
      <c r="Q46" s="243">
        <f t="shared" si="17"/>
        <v>0</v>
      </c>
      <c r="R46" s="64" t="str">
        <f t="shared" si="13"/>
        <v/>
      </c>
    </row>
    <row r="47" spans="2:20" s="1" customFormat="1" ht="15.75" thickBot="1" x14ac:dyDescent="0.3">
      <c r="B47" s="1" t="s">
        <v>448</v>
      </c>
      <c r="F47" s="644"/>
      <c r="G47" s="246"/>
      <c r="H47" s="246"/>
      <c r="I47" s="246"/>
      <c r="J47" s="246"/>
      <c r="K47" s="246"/>
      <c r="L47" s="246"/>
      <c r="M47" s="246"/>
      <c r="N47" s="246"/>
      <c r="O47" s="246"/>
      <c r="P47" s="246"/>
      <c r="Q47" s="246"/>
      <c r="R47" s="64" t="str">
        <f t="shared" si="13"/>
        <v/>
      </c>
    </row>
    <row r="48" spans="2:20" s="1" customFormat="1" ht="15.75" thickBot="1" x14ac:dyDescent="0.3">
      <c r="B48" s="247" t="s">
        <v>240</v>
      </c>
      <c r="C48" s="247"/>
      <c r="D48" s="247"/>
      <c r="E48" s="247"/>
      <c r="F48" s="646"/>
      <c r="G48" s="248">
        <f t="shared" ref="G48:Q48" si="18">SUM(G47,G38)</f>
        <v>0</v>
      </c>
      <c r="H48" s="248">
        <f t="shared" si="18"/>
        <v>0</v>
      </c>
      <c r="I48" s="248">
        <f t="shared" si="18"/>
        <v>0</v>
      </c>
      <c r="J48" s="248">
        <f t="shared" si="18"/>
        <v>0</v>
      </c>
      <c r="K48" s="248">
        <f t="shared" si="18"/>
        <v>0</v>
      </c>
      <c r="L48" s="248">
        <f t="shared" si="18"/>
        <v>0</v>
      </c>
      <c r="M48" s="248">
        <f t="shared" si="18"/>
        <v>0</v>
      </c>
      <c r="N48" s="248">
        <f t="shared" si="18"/>
        <v>0</v>
      </c>
      <c r="O48" s="248">
        <f t="shared" si="18"/>
        <v>0</v>
      </c>
      <c r="P48" s="248">
        <f t="shared" si="18"/>
        <v>0</v>
      </c>
      <c r="Q48" s="248">
        <f t="shared" si="18"/>
        <v>0</v>
      </c>
      <c r="R48" s="64" t="str">
        <f t="shared" si="13"/>
        <v/>
      </c>
    </row>
    <row r="49" spans="1:18" x14ac:dyDescent="0.2">
      <c r="B49" t="s">
        <v>241</v>
      </c>
      <c r="G49" s="237"/>
      <c r="H49" s="237"/>
      <c r="I49" s="237"/>
      <c r="J49" s="237"/>
      <c r="K49" s="237"/>
      <c r="L49" s="237"/>
      <c r="M49" s="237"/>
      <c r="N49" s="237"/>
      <c r="O49" s="237"/>
      <c r="P49" s="237"/>
      <c r="Q49" s="237"/>
      <c r="R49" s="64" t="str">
        <f t="shared" si="13"/>
        <v/>
      </c>
    </row>
    <row r="50" spans="1:18" x14ac:dyDescent="0.2">
      <c r="B50" t="s">
        <v>449</v>
      </c>
      <c r="G50" s="245">
        <f>+SUM(G51:G52)</f>
        <v>0</v>
      </c>
      <c r="H50" s="245">
        <f t="shared" ref="H50:Q50" si="19">+SUM(H51:H52)</f>
        <v>0</v>
      </c>
      <c r="I50" s="245">
        <f t="shared" si="19"/>
        <v>0</v>
      </c>
      <c r="J50" s="245">
        <f t="shared" si="19"/>
        <v>0</v>
      </c>
      <c r="K50" s="245">
        <f t="shared" si="19"/>
        <v>0</v>
      </c>
      <c r="L50" s="245">
        <f t="shared" si="19"/>
        <v>0</v>
      </c>
      <c r="M50" s="245">
        <f t="shared" si="19"/>
        <v>0</v>
      </c>
      <c r="N50" s="245">
        <f t="shared" si="19"/>
        <v>0</v>
      </c>
      <c r="O50" s="245">
        <f t="shared" si="19"/>
        <v>0</v>
      </c>
      <c r="P50" s="245">
        <f t="shared" si="19"/>
        <v>0</v>
      </c>
      <c r="Q50" s="245">
        <f t="shared" si="19"/>
        <v>0</v>
      </c>
      <c r="R50" s="64" t="str">
        <f t="shared" si="13"/>
        <v/>
      </c>
    </row>
    <row r="51" spans="1:18" x14ac:dyDescent="0.2">
      <c r="B51" s="271" t="s">
        <v>450</v>
      </c>
      <c r="G51" s="272"/>
      <c r="H51" s="272"/>
      <c r="I51" s="272"/>
      <c r="J51" s="272"/>
      <c r="K51" s="272"/>
      <c r="L51" s="272"/>
      <c r="M51" s="272"/>
      <c r="N51" s="272"/>
      <c r="O51" s="272"/>
      <c r="P51" s="272"/>
      <c r="Q51" s="272"/>
      <c r="R51" s="64" t="str">
        <f t="shared" si="13"/>
        <v/>
      </c>
    </row>
    <row r="52" spans="1:18" x14ac:dyDescent="0.2">
      <c r="B52" s="271" t="s">
        <v>451</v>
      </c>
      <c r="G52" s="272"/>
      <c r="H52" s="272"/>
      <c r="I52" s="272"/>
      <c r="J52" s="272"/>
      <c r="K52" s="272"/>
      <c r="L52" s="272"/>
      <c r="M52" s="272"/>
      <c r="N52" s="272"/>
      <c r="O52" s="272"/>
      <c r="P52" s="272"/>
      <c r="Q52" s="272"/>
      <c r="R52" s="64" t="str">
        <f t="shared" si="13"/>
        <v/>
      </c>
    </row>
    <row r="53" spans="1:18" x14ac:dyDescent="0.2">
      <c r="B53" s="38" t="s">
        <v>377</v>
      </c>
      <c r="C53" s="38"/>
      <c r="D53" s="38"/>
      <c r="E53" s="38"/>
      <c r="G53" s="243">
        <f t="shared" ref="G53:Q53" si="20">+G54-G49-G50</f>
        <v>0</v>
      </c>
      <c r="H53" s="243">
        <f t="shared" si="20"/>
        <v>0</v>
      </c>
      <c r="I53" s="243">
        <f t="shared" si="20"/>
        <v>0</v>
      </c>
      <c r="J53" s="243">
        <f t="shared" si="20"/>
        <v>0</v>
      </c>
      <c r="K53" s="243">
        <f t="shared" si="20"/>
        <v>0</v>
      </c>
      <c r="L53" s="243">
        <f t="shared" si="20"/>
        <v>0</v>
      </c>
      <c r="M53" s="243">
        <f t="shared" si="20"/>
        <v>0</v>
      </c>
      <c r="N53" s="243">
        <f t="shared" si="20"/>
        <v>0</v>
      </c>
      <c r="O53" s="243">
        <f t="shared" si="20"/>
        <v>0</v>
      </c>
      <c r="P53" s="243">
        <f t="shared" si="20"/>
        <v>0</v>
      </c>
      <c r="Q53" s="243">
        <f t="shared" si="20"/>
        <v>0</v>
      </c>
      <c r="R53" s="64" t="str">
        <f t="shared" si="13"/>
        <v/>
      </c>
    </row>
    <row r="54" spans="1:18" x14ac:dyDescent="0.2">
      <c r="B54" s="38" t="s">
        <v>242</v>
      </c>
      <c r="C54" s="38"/>
      <c r="D54" s="38"/>
      <c r="E54" s="38"/>
      <c r="F54" s="645"/>
      <c r="G54" s="237"/>
      <c r="H54" s="237"/>
      <c r="I54" s="237"/>
      <c r="J54" s="237"/>
      <c r="K54" s="237"/>
      <c r="L54" s="237"/>
      <c r="M54" s="237"/>
      <c r="N54" s="237"/>
      <c r="O54" s="237"/>
      <c r="P54" s="237"/>
      <c r="Q54" s="237"/>
      <c r="R54" s="64" t="str">
        <f t="shared" si="13"/>
        <v/>
      </c>
    </row>
    <row r="55" spans="1:18" x14ac:dyDescent="0.2">
      <c r="B55" t="s">
        <v>452</v>
      </c>
      <c r="G55" s="270">
        <f>+SUM(G56:G57)</f>
        <v>0</v>
      </c>
      <c r="H55" s="270">
        <f t="shared" ref="H55:Q55" si="21">+SUM(H56:H57)</f>
        <v>0</v>
      </c>
      <c r="I55" s="270">
        <f t="shared" si="21"/>
        <v>0</v>
      </c>
      <c r="J55" s="270">
        <f t="shared" si="21"/>
        <v>0</v>
      </c>
      <c r="K55" s="270">
        <f t="shared" si="21"/>
        <v>0</v>
      </c>
      <c r="L55" s="270">
        <f t="shared" si="21"/>
        <v>0</v>
      </c>
      <c r="M55" s="270">
        <f t="shared" si="21"/>
        <v>0</v>
      </c>
      <c r="N55" s="270">
        <f t="shared" si="21"/>
        <v>0</v>
      </c>
      <c r="O55" s="270">
        <f t="shared" si="21"/>
        <v>0</v>
      </c>
      <c r="P55" s="270">
        <f t="shared" si="21"/>
        <v>0</v>
      </c>
      <c r="Q55" s="270">
        <f t="shared" si="21"/>
        <v>0</v>
      </c>
      <c r="R55" s="64" t="str">
        <f t="shared" si="13"/>
        <v/>
      </c>
    </row>
    <row r="56" spans="1:18" x14ac:dyDescent="0.2">
      <c r="B56" s="271" t="s">
        <v>453</v>
      </c>
      <c r="G56" s="272"/>
      <c r="H56" s="272"/>
      <c r="I56" s="272"/>
      <c r="J56" s="272"/>
      <c r="K56" s="272"/>
      <c r="L56" s="272"/>
      <c r="M56" s="272"/>
      <c r="N56" s="272"/>
      <c r="O56" s="272"/>
      <c r="P56" s="272"/>
      <c r="Q56" s="272"/>
      <c r="R56" s="64" t="str">
        <f t="shared" si="13"/>
        <v/>
      </c>
    </row>
    <row r="57" spans="1:18" x14ac:dyDescent="0.2">
      <c r="B57" s="271" t="s">
        <v>454</v>
      </c>
      <c r="G57" s="272"/>
      <c r="H57" s="272"/>
      <c r="I57" s="272"/>
      <c r="J57" s="272"/>
      <c r="K57" s="272"/>
      <c r="L57" s="272"/>
      <c r="M57" s="272"/>
      <c r="N57" s="272"/>
      <c r="O57" s="272"/>
      <c r="P57" s="272"/>
      <c r="Q57" s="272"/>
      <c r="R57" s="64" t="str">
        <f t="shared" si="13"/>
        <v/>
      </c>
    </row>
    <row r="58" spans="1:18" x14ac:dyDescent="0.2">
      <c r="B58" s="38" t="s">
        <v>455</v>
      </c>
      <c r="C58" s="38"/>
      <c r="D58" s="38"/>
      <c r="E58" s="38"/>
      <c r="G58" s="249">
        <f>+G59-G55</f>
        <v>0</v>
      </c>
      <c r="H58" s="249">
        <f t="shared" ref="H58:Q58" si="22">+H59-H55</f>
        <v>0</v>
      </c>
      <c r="I58" s="249">
        <f t="shared" si="22"/>
        <v>0</v>
      </c>
      <c r="J58" s="249">
        <f t="shared" si="22"/>
        <v>0</v>
      </c>
      <c r="K58" s="249">
        <f t="shared" si="22"/>
        <v>0</v>
      </c>
      <c r="L58" s="249">
        <f t="shared" si="22"/>
        <v>0</v>
      </c>
      <c r="M58" s="249">
        <f t="shared" si="22"/>
        <v>0</v>
      </c>
      <c r="N58" s="249">
        <f t="shared" si="22"/>
        <v>0</v>
      </c>
      <c r="O58" s="249">
        <f t="shared" si="22"/>
        <v>0</v>
      </c>
      <c r="P58" s="249">
        <f t="shared" si="22"/>
        <v>0</v>
      </c>
      <c r="Q58" s="249">
        <f t="shared" si="22"/>
        <v>0</v>
      </c>
      <c r="R58" s="64" t="str">
        <f t="shared" si="13"/>
        <v/>
      </c>
    </row>
    <row r="59" spans="1:18" s="1" customFormat="1" ht="15.75" thickBot="1" x14ac:dyDescent="0.3">
      <c r="B59" s="1" t="s">
        <v>456</v>
      </c>
      <c r="F59" s="644"/>
      <c r="G59" s="237"/>
      <c r="H59" s="237"/>
      <c r="I59" s="237"/>
      <c r="J59" s="237"/>
      <c r="K59" s="237"/>
      <c r="L59" s="237"/>
      <c r="M59" s="237"/>
      <c r="N59" s="237"/>
      <c r="O59" s="237"/>
      <c r="P59" s="237"/>
      <c r="Q59" s="237"/>
      <c r="R59" s="64" t="str">
        <f t="shared" si="13"/>
        <v/>
      </c>
    </row>
    <row r="60" spans="1:18" s="1" customFormat="1" ht="15.75" thickBot="1" x14ac:dyDescent="0.3">
      <c r="B60" s="247" t="s">
        <v>324</v>
      </c>
      <c r="C60" s="247"/>
      <c r="D60" s="247"/>
      <c r="E60" s="247"/>
      <c r="F60" s="646"/>
      <c r="G60" s="248">
        <f t="shared" ref="G60:Q60" si="23">SUM(G59,G54)</f>
        <v>0</v>
      </c>
      <c r="H60" s="248">
        <f t="shared" si="23"/>
        <v>0</v>
      </c>
      <c r="I60" s="248">
        <f t="shared" si="23"/>
        <v>0</v>
      </c>
      <c r="J60" s="248">
        <f t="shared" si="23"/>
        <v>0</v>
      </c>
      <c r="K60" s="248">
        <f t="shared" si="23"/>
        <v>0</v>
      </c>
      <c r="L60" s="248">
        <f t="shared" si="23"/>
        <v>0</v>
      </c>
      <c r="M60" s="248">
        <f t="shared" si="23"/>
        <v>0</v>
      </c>
      <c r="N60" s="248">
        <f t="shared" si="23"/>
        <v>0</v>
      </c>
      <c r="O60" s="248">
        <f t="shared" si="23"/>
        <v>0</v>
      </c>
      <c r="P60" s="248">
        <f t="shared" si="23"/>
        <v>0</v>
      </c>
      <c r="Q60" s="248">
        <f t="shared" si="23"/>
        <v>0</v>
      </c>
      <c r="R60" s="64" t="str">
        <f t="shared" si="13"/>
        <v/>
      </c>
    </row>
    <row r="61" spans="1:18" s="1" customFormat="1" ht="15" x14ac:dyDescent="0.25">
      <c r="B61" s="1" t="s">
        <v>245</v>
      </c>
      <c r="F61"/>
      <c r="G61" s="239">
        <f t="shared" ref="G61:Q61" si="24">G48-G60</f>
        <v>0</v>
      </c>
      <c r="H61" s="239">
        <f t="shared" si="24"/>
        <v>0</v>
      </c>
      <c r="I61" s="239">
        <f t="shared" si="24"/>
        <v>0</v>
      </c>
      <c r="J61" s="239">
        <f t="shared" si="24"/>
        <v>0</v>
      </c>
      <c r="K61" s="239">
        <f t="shared" si="24"/>
        <v>0</v>
      </c>
      <c r="L61" s="239">
        <f t="shared" si="24"/>
        <v>0</v>
      </c>
      <c r="M61" s="239">
        <f t="shared" si="24"/>
        <v>0</v>
      </c>
      <c r="N61" s="239">
        <f t="shared" si="24"/>
        <v>0</v>
      </c>
      <c r="O61" s="239">
        <f t="shared" si="24"/>
        <v>0</v>
      </c>
      <c r="P61" s="239">
        <f t="shared" si="24"/>
        <v>0</v>
      </c>
      <c r="Q61" s="239">
        <f t="shared" si="24"/>
        <v>0</v>
      </c>
      <c r="R61" s="64" t="str">
        <f t="shared" si="13"/>
        <v/>
      </c>
    </row>
    <row r="62" spans="1:18" x14ac:dyDescent="0.2">
      <c r="B62" t="s">
        <v>457</v>
      </c>
      <c r="G62" s="272"/>
      <c r="H62" s="272"/>
      <c r="I62" s="272"/>
      <c r="J62" s="272"/>
      <c r="K62" s="272"/>
      <c r="L62" s="272"/>
      <c r="M62" s="272"/>
      <c r="N62" s="272"/>
      <c r="O62" s="272"/>
      <c r="P62" s="272"/>
      <c r="Q62" s="272"/>
      <c r="R62" s="64" t="str">
        <f t="shared" si="13"/>
        <v/>
      </c>
    </row>
    <row r="63" spans="1:18" ht="3.95" customHeight="1" x14ac:dyDescent="0.2"/>
    <row r="64" spans="1:18" ht="15.75" x14ac:dyDescent="0.25">
      <c r="A64" t="s">
        <v>306</v>
      </c>
      <c r="B64" s="52" t="s">
        <v>191</v>
      </c>
      <c r="C64" s="56"/>
      <c r="D64" s="56"/>
      <c r="E64" s="56"/>
      <c r="F64" s="56"/>
      <c r="G64" s="235">
        <v>2014</v>
      </c>
      <c r="H64" s="235">
        <f>+G64+1</f>
        <v>2015</v>
      </c>
      <c r="I64" s="235">
        <f t="shared" ref="I64:M64" si="25">+H64+1</f>
        <v>2016</v>
      </c>
      <c r="J64" s="235">
        <f t="shared" si="25"/>
        <v>2017</v>
      </c>
      <c r="K64" s="235">
        <f t="shared" si="25"/>
        <v>2018</v>
      </c>
      <c r="L64" s="235">
        <f t="shared" si="25"/>
        <v>2019</v>
      </c>
      <c r="M64" s="235">
        <f t="shared" si="25"/>
        <v>2020</v>
      </c>
      <c r="N64" s="235">
        <f>+M64+1</f>
        <v>2021</v>
      </c>
      <c r="O64" s="235">
        <f>+N64+1</f>
        <v>2022</v>
      </c>
      <c r="P64" s="235">
        <f t="shared" ref="P64" si="26">+O64+1</f>
        <v>2023</v>
      </c>
      <c r="Q64" s="235">
        <f>+P64+1</f>
        <v>2024</v>
      </c>
      <c r="R64" s="58" t="str">
        <f>"CAGR "&amp;$G$4&amp;" - "&amp;$Q$4</f>
        <v>CAGR 2014 - 2024</v>
      </c>
    </row>
    <row r="65" spans="2:18" ht="3.95" customHeight="1" x14ac:dyDescent="0.2">
      <c r="B65" s="241"/>
      <c r="C65" s="241"/>
      <c r="D65" s="241"/>
      <c r="E65" s="241"/>
      <c r="F65" s="241"/>
      <c r="G65" s="242"/>
      <c r="H65" s="242"/>
      <c r="I65" s="242"/>
      <c r="J65" s="242"/>
      <c r="K65" s="242"/>
      <c r="L65" s="242"/>
      <c r="M65" s="242"/>
      <c r="N65" s="242"/>
      <c r="O65" s="242"/>
      <c r="P65" s="242"/>
      <c r="Q65" s="242"/>
      <c r="R65" s="60"/>
    </row>
    <row r="66" spans="2:18" x14ac:dyDescent="0.2">
      <c r="B66" t="s">
        <v>230</v>
      </c>
      <c r="G66" s="250">
        <f>G24</f>
        <v>0</v>
      </c>
      <c r="H66" s="250">
        <f t="shared" ref="H66:Q66" si="27">H24</f>
        <v>0</v>
      </c>
      <c r="I66" s="250">
        <f t="shared" si="27"/>
        <v>0</v>
      </c>
      <c r="J66" s="250">
        <f t="shared" si="27"/>
        <v>0</v>
      </c>
      <c r="K66" s="250">
        <f t="shared" si="27"/>
        <v>0</v>
      </c>
      <c r="L66" s="250">
        <f t="shared" si="27"/>
        <v>0</v>
      </c>
      <c r="M66" s="250">
        <f t="shared" si="27"/>
        <v>0</v>
      </c>
      <c r="N66" s="250">
        <f t="shared" si="27"/>
        <v>0</v>
      </c>
      <c r="O66" s="250">
        <f t="shared" si="27"/>
        <v>0</v>
      </c>
      <c r="P66" s="250">
        <f t="shared" si="27"/>
        <v>0</v>
      </c>
      <c r="Q66" s="250">
        <f t="shared" si="27"/>
        <v>0</v>
      </c>
      <c r="R66" s="64" t="str">
        <f>IFERROR((Q66/G66)^(1/COUNT($G$4:$Q$4))-1,"")</f>
        <v/>
      </c>
    </row>
    <row r="67" spans="2:18" x14ac:dyDescent="0.2">
      <c r="B67" t="s">
        <v>458</v>
      </c>
      <c r="G67" s="245">
        <f>+G13</f>
        <v>0</v>
      </c>
      <c r="H67" s="245">
        <f t="shared" ref="H67:Q67" si="28">+H13</f>
        <v>0</v>
      </c>
      <c r="I67" s="245">
        <f t="shared" si="28"/>
        <v>0</v>
      </c>
      <c r="J67" s="245">
        <f t="shared" si="28"/>
        <v>0</v>
      </c>
      <c r="K67" s="245">
        <f t="shared" si="28"/>
        <v>0</v>
      </c>
      <c r="L67" s="245">
        <f t="shared" si="28"/>
        <v>0</v>
      </c>
      <c r="M67" s="245">
        <f t="shared" si="28"/>
        <v>0</v>
      </c>
      <c r="N67" s="245">
        <f t="shared" si="28"/>
        <v>0</v>
      </c>
      <c r="O67" s="245">
        <f t="shared" si="28"/>
        <v>0</v>
      </c>
      <c r="P67" s="245">
        <f t="shared" si="28"/>
        <v>0</v>
      </c>
      <c r="Q67" s="245">
        <f t="shared" si="28"/>
        <v>0</v>
      </c>
      <c r="R67" s="64" t="str">
        <f t="shared" ref="R67:R95" si="29">IFERROR((Q67/G67)^(1/COUNT($G$4:$Q$4))-1,"")</f>
        <v/>
      </c>
    </row>
    <row r="68" spans="2:18" x14ac:dyDescent="0.2">
      <c r="B68" t="s">
        <v>384</v>
      </c>
      <c r="G68" s="270">
        <f>+SUM(G69:G73)</f>
        <v>0</v>
      </c>
      <c r="H68" s="270">
        <f t="shared" ref="H68:Q68" si="30">+SUM(H69:H73)</f>
        <v>0</v>
      </c>
      <c r="I68" s="270">
        <f t="shared" si="30"/>
        <v>0</v>
      </c>
      <c r="J68" s="270">
        <f t="shared" si="30"/>
        <v>0</v>
      </c>
      <c r="K68" s="270">
        <f t="shared" si="30"/>
        <v>0</v>
      </c>
      <c r="L68" s="270">
        <f t="shared" si="30"/>
        <v>0</v>
      </c>
      <c r="M68" s="270">
        <f t="shared" si="30"/>
        <v>0</v>
      </c>
      <c r="N68" s="270">
        <f t="shared" si="30"/>
        <v>0</v>
      </c>
      <c r="O68" s="270">
        <f t="shared" si="30"/>
        <v>0</v>
      </c>
      <c r="P68" s="270">
        <f t="shared" si="30"/>
        <v>0</v>
      </c>
      <c r="Q68" s="270">
        <f t="shared" si="30"/>
        <v>0</v>
      </c>
      <c r="R68" s="64" t="str">
        <f t="shared" si="29"/>
        <v/>
      </c>
    </row>
    <row r="69" spans="2:18" x14ac:dyDescent="0.2">
      <c r="B69" s="781" t="s">
        <v>459</v>
      </c>
      <c r="G69" s="237"/>
      <c r="H69" s="237"/>
      <c r="I69" s="237"/>
      <c r="J69" s="237"/>
      <c r="K69" s="237"/>
      <c r="L69" s="237"/>
      <c r="M69" s="237"/>
      <c r="N69" s="237"/>
      <c r="O69" s="237"/>
      <c r="P69" s="237"/>
      <c r="Q69" s="237"/>
      <c r="R69" s="64" t="str">
        <f t="shared" si="29"/>
        <v/>
      </c>
    </row>
    <row r="70" spans="2:18" x14ac:dyDescent="0.2">
      <c r="B70" s="781" t="s">
        <v>460</v>
      </c>
      <c r="G70" s="237"/>
      <c r="H70" s="237"/>
      <c r="I70" s="237"/>
      <c r="J70" s="237"/>
      <c r="K70" s="237"/>
      <c r="L70" s="237"/>
      <c r="M70" s="237"/>
      <c r="N70" s="237"/>
      <c r="O70" s="237"/>
      <c r="P70" s="237"/>
      <c r="Q70" s="237"/>
      <c r="R70" s="64" t="str">
        <f t="shared" si="29"/>
        <v/>
      </c>
    </row>
    <row r="71" spans="2:18" x14ac:dyDescent="0.2">
      <c r="B71" s="782" t="s">
        <v>515</v>
      </c>
      <c r="G71" s="237"/>
      <c r="H71" s="237"/>
      <c r="I71" s="237"/>
      <c r="J71" s="237"/>
      <c r="K71" s="237"/>
      <c r="L71" s="237"/>
      <c r="M71" s="237"/>
      <c r="N71" s="237"/>
      <c r="O71" s="237"/>
      <c r="P71" s="237"/>
      <c r="Q71" s="237"/>
      <c r="R71" s="64" t="str">
        <f t="shared" si="29"/>
        <v/>
      </c>
    </row>
    <row r="72" spans="2:18" x14ac:dyDescent="0.2">
      <c r="B72" s="782" t="s">
        <v>516</v>
      </c>
      <c r="G72" s="237"/>
      <c r="H72" s="237"/>
      <c r="I72" s="237"/>
      <c r="J72" s="237"/>
      <c r="K72" s="237"/>
      <c r="L72" s="237"/>
      <c r="M72" s="237"/>
      <c r="N72" s="237"/>
      <c r="O72" s="237"/>
      <c r="P72" s="237"/>
      <c r="Q72" s="237"/>
      <c r="R72" s="64" t="str">
        <f t="shared" si="29"/>
        <v/>
      </c>
    </row>
    <row r="73" spans="2:18" x14ac:dyDescent="0.2">
      <c r="B73" s="782" t="s">
        <v>517</v>
      </c>
      <c r="G73" s="237"/>
      <c r="H73" s="237"/>
      <c r="I73" s="237"/>
      <c r="J73" s="237"/>
      <c r="K73" s="237"/>
      <c r="L73" s="237"/>
      <c r="M73" s="237"/>
      <c r="N73" s="237"/>
      <c r="O73" s="237"/>
      <c r="P73" s="237"/>
      <c r="Q73" s="237"/>
      <c r="R73" s="64" t="str">
        <f t="shared" si="29"/>
        <v/>
      </c>
    </row>
    <row r="74" spans="2:18" x14ac:dyDescent="0.2">
      <c r="B74" t="s">
        <v>382</v>
      </c>
      <c r="G74" s="237"/>
      <c r="H74" s="237"/>
      <c r="I74" s="237"/>
      <c r="J74" s="237"/>
      <c r="K74" s="237"/>
      <c r="L74" s="237"/>
      <c r="M74" s="237"/>
      <c r="N74" s="237"/>
      <c r="O74" s="237"/>
      <c r="P74" s="237"/>
      <c r="Q74" s="237"/>
      <c r="R74" s="64" t="str">
        <f t="shared" si="29"/>
        <v/>
      </c>
    </row>
    <row r="75" spans="2:18" x14ac:dyDescent="0.2">
      <c r="B75" t="s">
        <v>385</v>
      </c>
      <c r="G75" s="270">
        <f>+G76-G66-G67-G68-G74</f>
        <v>0</v>
      </c>
      <c r="H75" s="270">
        <f t="shared" ref="H75:Q75" si="31">+H76-H66-H67-H68-H74</f>
        <v>0</v>
      </c>
      <c r="I75" s="270">
        <f t="shared" si="31"/>
        <v>0</v>
      </c>
      <c r="J75" s="270">
        <f t="shared" si="31"/>
        <v>0</v>
      </c>
      <c r="K75" s="270">
        <f t="shared" si="31"/>
        <v>0</v>
      </c>
      <c r="L75" s="270">
        <f t="shared" si="31"/>
        <v>0</v>
      </c>
      <c r="M75" s="270">
        <f t="shared" si="31"/>
        <v>0</v>
      </c>
      <c r="N75" s="270">
        <f t="shared" si="31"/>
        <v>0</v>
      </c>
      <c r="O75" s="270">
        <f t="shared" si="31"/>
        <v>0</v>
      </c>
      <c r="P75" s="270">
        <f t="shared" si="31"/>
        <v>0</v>
      </c>
      <c r="Q75" s="270">
        <f t="shared" si="31"/>
        <v>0</v>
      </c>
      <c r="R75" s="64" t="str">
        <f t="shared" si="29"/>
        <v/>
      </c>
    </row>
    <row r="76" spans="2:18" s="1" customFormat="1" ht="15" x14ac:dyDescent="0.25">
      <c r="B76" s="274" t="s">
        <v>247</v>
      </c>
      <c r="C76" s="274"/>
      <c r="D76" s="274"/>
      <c r="E76" s="274"/>
      <c r="F76" s="645"/>
      <c r="G76" s="275"/>
      <c r="H76" s="275"/>
      <c r="I76" s="275"/>
      <c r="J76" s="275"/>
      <c r="K76" s="275"/>
      <c r="L76" s="275"/>
      <c r="M76" s="275"/>
      <c r="N76" s="275"/>
      <c r="O76" s="275"/>
      <c r="P76" s="275"/>
      <c r="Q76" s="275"/>
      <c r="R76" s="64" t="str">
        <f t="shared" si="29"/>
        <v/>
      </c>
    </row>
    <row r="77" spans="2:18" x14ac:dyDescent="0.2">
      <c r="B77" t="s">
        <v>23</v>
      </c>
      <c r="G77" s="245">
        <f t="shared" ref="G77:Q77" si="32">+SUM(G78:G79)</f>
        <v>0</v>
      </c>
      <c r="H77" s="245">
        <f t="shared" si="32"/>
        <v>0</v>
      </c>
      <c r="I77" s="245">
        <f t="shared" si="32"/>
        <v>0</v>
      </c>
      <c r="J77" s="245">
        <f t="shared" si="32"/>
        <v>0</v>
      </c>
      <c r="K77" s="245">
        <f t="shared" si="32"/>
        <v>0</v>
      </c>
      <c r="L77" s="245">
        <f t="shared" si="32"/>
        <v>0</v>
      </c>
      <c r="M77" s="245">
        <f t="shared" si="32"/>
        <v>0</v>
      </c>
      <c r="N77" s="245">
        <f t="shared" si="32"/>
        <v>0</v>
      </c>
      <c r="O77" s="245">
        <f t="shared" si="32"/>
        <v>0</v>
      </c>
      <c r="P77" s="245">
        <f t="shared" si="32"/>
        <v>0</v>
      </c>
      <c r="Q77" s="245">
        <f t="shared" si="32"/>
        <v>0</v>
      </c>
      <c r="R77" s="64" t="str">
        <f t="shared" si="29"/>
        <v/>
      </c>
    </row>
    <row r="78" spans="2:18" x14ac:dyDescent="0.2">
      <c r="B78" s="271" t="s">
        <v>387</v>
      </c>
      <c r="G78" s="272"/>
      <c r="H78" s="272"/>
      <c r="I78" s="272"/>
      <c r="J78" s="272"/>
      <c r="K78" s="272"/>
      <c r="L78" s="272"/>
      <c r="M78" s="272"/>
      <c r="N78" s="272"/>
      <c r="O78" s="272"/>
      <c r="P78" s="272"/>
      <c r="Q78" s="272"/>
      <c r="R78" s="64" t="str">
        <f t="shared" si="29"/>
        <v/>
      </c>
    </row>
    <row r="79" spans="2:18" x14ac:dyDescent="0.2">
      <c r="B79" s="271" t="s">
        <v>388</v>
      </c>
      <c r="G79" s="272"/>
      <c r="H79" s="272"/>
      <c r="I79" s="272"/>
      <c r="J79" s="272"/>
      <c r="K79" s="272"/>
      <c r="L79" s="272"/>
      <c r="M79" s="272"/>
      <c r="N79" s="272"/>
      <c r="O79" s="272"/>
      <c r="P79" s="272"/>
      <c r="Q79" s="272"/>
      <c r="R79" s="64" t="str">
        <f t="shared" si="29"/>
        <v/>
      </c>
    </row>
    <row r="80" spans="2:18" x14ac:dyDescent="0.2">
      <c r="B80" s="89" t="s">
        <v>390</v>
      </c>
      <c r="G80" s="245">
        <f t="shared" ref="G80:Q80" si="33">+SUM(G81:G84)</f>
        <v>0</v>
      </c>
      <c r="H80" s="245">
        <f t="shared" si="33"/>
        <v>0</v>
      </c>
      <c r="I80" s="245">
        <f t="shared" si="33"/>
        <v>0</v>
      </c>
      <c r="J80" s="245">
        <f t="shared" si="33"/>
        <v>0</v>
      </c>
      <c r="K80" s="245">
        <f t="shared" si="33"/>
        <v>0</v>
      </c>
      <c r="L80" s="245">
        <f t="shared" si="33"/>
        <v>0</v>
      </c>
      <c r="M80" s="245">
        <f>+SUM(M81:M84)</f>
        <v>0</v>
      </c>
      <c r="N80" s="245">
        <f t="shared" si="33"/>
        <v>0</v>
      </c>
      <c r="O80" s="245">
        <f t="shared" si="33"/>
        <v>0</v>
      </c>
      <c r="P80" s="245">
        <f t="shared" si="33"/>
        <v>0</v>
      </c>
      <c r="Q80" s="245">
        <f t="shared" si="33"/>
        <v>0</v>
      </c>
      <c r="R80" s="64" t="str">
        <f t="shared" si="29"/>
        <v/>
      </c>
    </row>
    <row r="81" spans="2:18" x14ac:dyDescent="0.2">
      <c r="B81" s="271" t="s">
        <v>461</v>
      </c>
      <c r="G81" s="272"/>
      <c r="H81" s="272"/>
      <c r="I81" s="272"/>
      <c r="J81" s="272"/>
      <c r="K81" s="272"/>
      <c r="L81" s="272"/>
      <c r="M81" s="272"/>
      <c r="N81" s="272"/>
      <c r="O81" s="272"/>
      <c r="P81" s="272"/>
      <c r="Q81" s="272"/>
      <c r="R81" s="64" t="str">
        <f t="shared" si="29"/>
        <v/>
      </c>
    </row>
    <row r="82" spans="2:18" x14ac:dyDescent="0.2">
      <c r="B82" s="271" t="s">
        <v>462</v>
      </c>
      <c r="G82" s="272"/>
      <c r="H82" s="272"/>
      <c r="I82" s="272"/>
      <c r="J82" s="272"/>
      <c r="K82" s="272"/>
      <c r="L82" s="272"/>
      <c r="M82" s="272"/>
      <c r="N82" s="272"/>
      <c r="O82" s="272"/>
      <c r="P82" s="272"/>
      <c r="Q82" s="272"/>
      <c r="R82" s="64" t="str">
        <f t="shared" si="29"/>
        <v/>
      </c>
    </row>
    <row r="83" spans="2:18" x14ac:dyDescent="0.2">
      <c r="B83" s="271" t="s">
        <v>463</v>
      </c>
      <c r="G83" s="272"/>
      <c r="H83" s="272"/>
      <c r="I83" s="272"/>
      <c r="J83" s="272"/>
      <c r="K83" s="272"/>
      <c r="L83" s="272"/>
      <c r="M83" s="272"/>
      <c r="N83" s="272"/>
      <c r="O83" s="272"/>
      <c r="P83" s="272"/>
      <c r="Q83" s="272"/>
      <c r="R83" s="64" t="str">
        <f t="shared" si="29"/>
        <v/>
      </c>
    </row>
    <row r="84" spans="2:18" x14ac:dyDescent="0.2">
      <c r="B84" s="271" t="s">
        <v>464</v>
      </c>
      <c r="G84" s="272"/>
      <c r="H84" s="272"/>
      <c r="I84" s="272"/>
      <c r="J84" s="272"/>
      <c r="K84" s="272"/>
      <c r="L84" s="272"/>
      <c r="M84" s="272"/>
      <c r="N84" s="272"/>
      <c r="O84" s="272"/>
      <c r="P84" s="272"/>
      <c r="Q84" s="272"/>
      <c r="R84" s="64" t="str">
        <f t="shared" si="29"/>
        <v/>
      </c>
    </row>
    <row r="85" spans="2:18" x14ac:dyDescent="0.2">
      <c r="B85" t="s">
        <v>391</v>
      </c>
      <c r="G85" s="245">
        <f>+G86-G77-G80</f>
        <v>0</v>
      </c>
      <c r="H85" s="245">
        <f t="shared" ref="H85:Q85" si="34">+H86-H77-H80</f>
        <v>0</v>
      </c>
      <c r="I85" s="245">
        <f t="shared" si="34"/>
        <v>0</v>
      </c>
      <c r="J85" s="245">
        <f t="shared" si="34"/>
        <v>0</v>
      </c>
      <c r="K85" s="245">
        <f t="shared" si="34"/>
        <v>0</v>
      </c>
      <c r="L85" s="245">
        <f t="shared" si="34"/>
        <v>0</v>
      </c>
      <c r="M85" s="245">
        <f t="shared" si="34"/>
        <v>0</v>
      </c>
      <c r="N85" s="245">
        <f t="shared" si="34"/>
        <v>0</v>
      </c>
      <c r="O85" s="245">
        <f t="shared" si="34"/>
        <v>0</v>
      </c>
      <c r="P85" s="245">
        <f t="shared" si="34"/>
        <v>0</v>
      </c>
      <c r="Q85" s="245">
        <f t="shared" si="34"/>
        <v>0</v>
      </c>
      <c r="R85" s="64" t="str">
        <f t="shared" si="29"/>
        <v/>
      </c>
    </row>
    <row r="86" spans="2:18" s="1" customFormat="1" ht="15" x14ac:dyDescent="0.25">
      <c r="B86" s="274" t="s">
        <v>248</v>
      </c>
      <c r="C86" s="274"/>
      <c r="D86" s="274"/>
      <c r="E86" s="274"/>
      <c r="F86" s="645"/>
      <c r="G86" s="275"/>
      <c r="H86" s="275"/>
      <c r="I86" s="275"/>
      <c r="J86" s="275"/>
      <c r="K86" s="275"/>
      <c r="L86" s="275"/>
      <c r="M86" s="275"/>
      <c r="N86" s="275"/>
      <c r="O86" s="275"/>
      <c r="P86" s="275"/>
      <c r="Q86" s="275"/>
      <c r="R86" s="64" t="str">
        <f t="shared" si="29"/>
        <v/>
      </c>
    </row>
    <row r="87" spans="2:18" x14ac:dyDescent="0.2">
      <c r="B87" t="s">
        <v>249</v>
      </c>
      <c r="G87" s="237"/>
      <c r="H87" s="237"/>
      <c r="I87" s="237"/>
      <c r="J87" s="237"/>
      <c r="K87" s="237"/>
      <c r="L87" s="237"/>
      <c r="M87" s="237"/>
      <c r="N87" s="237"/>
      <c r="O87" s="237"/>
      <c r="P87" s="237"/>
      <c r="Q87" s="237"/>
      <c r="R87" s="64" t="str">
        <f t="shared" si="29"/>
        <v/>
      </c>
    </row>
    <row r="88" spans="2:18" x14ac:dyDescent="0.2">
      <c r="B88" t="s">
        <v>250</v>
      </c>
      <c r="G88" s="237"/>
      <c r="H88" s="237"/>
      <c r="I88" s="237"/>
      <c r="J88" s="237"/>
      <c r="K88" s="237"/>
      <c r="L88" s="237"/>
      <c r="M88" s="237"/>
      <c r="N88" s="237"/>
      <c r="O88" s="237"/>
      <c r="P88" s="237"/>
      <c r="Q88" s="237"/>
      <c r="R88" s="64" t="str">
        <f t="shared" si="29"/>
        <v/>
      </c>
    </row>
    <row r="89" spans="2:18" x14ac:dyDescent="0.2">
      <c r="B89" t="s">
        <v>396</v>
      </c>
      <c r="G89" s="237"/>
      <c r="H89" s="237"/>
      <c r="I89" s="237"/>
      <c r="J89" s="237"/>
      <c r="K89" s="237"/>
      <c r="L89" s="237"/>
      <c r="M89" s="237"/>
      <c r="N89" s="237"/>
      <c r="O89" s="237"/>
      <c r="P89" s="237"/>
      <c r="Q89" s="237"/>
      <c r="R89" s="64" t="str">
        <f t="shared" si="29"/>
        <v/>
      </c>
    </row>
    <row r="90" spans="2:18" x14ac:dyDescent="0.2">
      <c r="B90" t="s">
        <v>392</v>
      </c>
      <c r="G90" s="237"/>
      <c r="H90" s="237"/>
      <c r="I90" s="237"/>
      <c r="J90" s="237"/>
      <c r="K90" s="237"/>
      <c r="L90" s="237"/>
      <c r="M90" s="237"/>
      <c r="N90" s="237"/>
      <c r="O90" s="237"/>
      <c r="P90" s="237"/>
      <c r="Q90" s="237"/>
      <c r="R90" s="64" t="str">
        <f t="shared" si="29"/>
        <v/>
      </c>
    </row>
    <row r="91" spans="2:18" x14ac:dyDescent="0.2">
      <c r="B91" t="s">
        <v>394</v>
      </c>
      <c r="G91" s="237"/>
      <c r="H91" s="237"/>
      <c r="I91" s="237"/>
      <c r="J91" s="237"/>
      <c r="K91" s="237"/>
      <c r="L91" s="237"/>
      <c r="M91" s="237"/>
      <c r="N91" s="237"/>
      <c r="O91" s="237"/>
      <c r="P91" s="237"/>
      <c r="Q91" s="237"/>
      <c r="R91" s="64" t="str">
        <f t="shared" si="29"/>
        <v/>
      </c>
    </row>
    <row r="92" spans="2:18" x14ac:dyDescent="0.2">
      <c r="B92" t="s">
        <v>399</v>
      </c>
      <c r="G92" s="245">
        <f>+G93-G87-G88-G89-G90-G91</f>
        <v>0</v>
      </c>
      <c r="H92" s="245">
        <f t="shared" ref="H92:Q92" si="35">+H93-H87-H88-H89-H90-H91</f>
        <v>0</v>
      </c>
      <c r="I92" s="245">
        <f t="shared" si="35"/>
        <v>0</v>
      </c>
      <c r="J92" s="245">
        <f t="shared" si="35"/>
        <v>0</v>
      </c>
      <c r="K92" s="245">
        <f t="shared" si="35"/>
        <v>0</v>
      </c>
      <c r="L92" s="245">
        <f t="shared" si="35"/>
        <v>0</v>
      </c>
      <c r="M92" s="245">
        <f t="shared" si="35"/>
        <v>0</v>
      </c>
      <c r="N92" s="245">
        <f t="shared" si="35"/>
        <v>0</v>
      </c>
      <c r="O92" s="245">
        <f t="shared" si="35"/>
        <v>0</v>
      </c>
      <c r="P92" s="245">
        <f t="shared" si="35"/>
        <v>0</v>
      </c>
      <c r="Q92" s="245">
        <f t="shared" si="35"/>
        <v>0</v>
      </c>
      <c r="R92" s="64" t="str">
        <f t="shared" si="29"/>
        <v/>
      </c>
    </row>
    <row r="93" spans="2:18" s="1" customFormat="1" ht="15" x14ac:dyDescent="0.25">
      <c r="B93" s="274" t="s">
        <v>251</v>
      </c>
      <c r="C93" s="274"/>
      <c r="D93" s="274"/>
      <c r="E93" s="274"/>
      <c r="F93" s="645"/>
      <c r="G93" s="277"/>
      <c r="H93" s="277"/>
      <c r="I93" s="277"/>
      <c r="J93" s="277"/>
      <c r="K93" s="277"/>
      <c r="L93" s="277"/>
      <c r="M93" s="277"/>
      <c r="N93" s="277"/>
      <c r="O93" s="277"/>
      <c r="P93" s="277"/>
      <c r="Q93" s="277"/>
      <c r="R93" s="64" t="str">
        <f t="shared" si="29"/>
        <v/>
      </c>
    </row>
    <row r="94" spans="2:18" s="1" customFormat="1" ht="15.75" thickBot="1" x14ac:dyDescent="0.3">
      <c r="B94" s="278" t="s">
        <v>465</v>
      </c>
      <c r="C94" s="276"/>
      <c r="D94" s="276"/>
      <c r="E94" s="276"/>
      <c r="F94" s="647"/>
      <c r="G94" s="279"/>
      <c r="H94" s="279"/>
      <c r="I94" s="279"/>
      <c r="J94" s="279"/>
      <c r="K94" s="279"/>
      <c r="L94" s="279"/>
      <c r="M94" s="279"/>
      <c r="N94" s="279"/>
      <c r="O94" s="279"/>
      <c r="P94" s="279"/>
      <c r="Q94" s="279"/>
      <c r="R94" s="64" t="str">
        <f t="shared" si="29"/>
        <v/>
      </c>
    </row>
    <row r="95" spans="2:18" s="1" customFormat="1" ht="15" x14ac:dyDescent="0.25">
      <c r="B95" s="1" t="s">
        <v>252</v>
      </c>
      <c r="F95"/>
      <c r="G95" s="246">
        <f>+G94+G93+G86+G76</f>
        <v>0</v>
      </c>
      <c r="H95" s="780">
        <f t="shared" ref="H95:Q95" si="36">+H94+H93+H86+H76</f>
        <v>0</v>
      </c>
      <c r="I95" s="780">
        <f t="shared" si="36"/>
        <v>0</v>
      </c>
      <c r="J95" s="780">
        <f t="shared" si="36"/>
        <v>0</v>
      </c>
      <c r="K95" s="780">
        <f t="shared" si="36"/>
        <v>0</v>
      </c>
      <c r="L95" s="780">
        <f t="shared" si="36"/>
        <v>0</v>
      </c>
      <c r="M95" s="780">
        <f t="shared" si="36"/>
        <v>0</v>
      </c>
      <c r="N95" s="780">
        <f t="shared" si="36"/>
        <v>0</v>
      </c>
      <c r="O95" s="780">
        <f t="shared" si="36"/>
        <v>0</v>
      </c>
      <c r="P95" s="780">
        <f t="shared" si="36"/>
        <v>0</v>
      </c>
      <c r="Q95" s="780">
        <f t="shared" si="36"/>
        <v>0</v>
      </c>
      <c r="R95" s="64" t="str">
        <f t="shared" si="29"/>
        <v/>
      </c>
    </row>
    <row r="96" spans="2:18" x14ac:dyDescent="0.2">
      <c r="B96" s="89" t="s">
        <v>466</v>
      </c>
    </row>
    <row r="97" spans="1:18" ht="15.75" x14ac:dyDescent="0.25">
      <c r="A97" t="s">
        <v>306</v>
      </c>
      <c r="B97" s="234" t="s">
        <v>467</v>
      </c>
      <c r="C97" s="56"/>
      <c r="D97" s="56"/>
      <c r="E97" s="56"/>
      <c r="F97" s="56"/>
      <c r="G97" s="503">
        <v>42004</v>
      </c>
      <c r="H97" s="503">
        <v>42369</v>
      </c>
      <c r="I97" s="503">
        <v>42735</v>
      </c>
      <c r="J97" s="503">
        <v>43100</v>
      </c>
      <c r="K97" s="503">
        <v>43465</v>
      </c>
      <c r="L97" s="503">
        <v>43830</v>
      </c>
      <c r="M97" s="503">
        <v>44196</v>
      </c>
      <c r="N97" s="503">
        <v>44561</v>
      </c>
      <c r="O97" s="503">
        <v>44926</v>
      </c>
      <c r="P97" s="503">
        <v>45291</v>
      </c>
      <c r="Q97" s="503">
        <v>45657</v>
      </c>
      <c r="R97" s="26"/>
    </row>
    <row r="98" spans="1:18" ht="3.95" customHeight="1" x14ac:dyDescent="0.2">
      <c r="B98" s="241"/>
      <c r="C98" s="241"/>
      <c r="D98" s="241"/>
      <c r="E98" s="241"/>
      <c r="F98" s="241"/>
      <c r="G98" s="242"/>
      <c r="H98" s="242"/>
      <c r="I98" s="242"/>
      <c r="J98" s="242"/>
      <c r="K98" s="242"/>
      <c r="L98" s="242"/>
      <c r="M98" s="242"/>
      <c r="N98" s="242"/>
      <c r="O98" s="242"/>
      <c r="P98" s="242"/>
      <c r="Q98" s="242"/>
      <c r="R98" s="26"/>
    </row>
    <row r="99" spans="1:18" x14ac:dyDescent="0.2">
      <c r="B99" t="s">
        <v>468</v>
      </c>
      <c r="G99" s="270"/>
      <c r="H99" s="270"/>
      <c r="I99" s="270"/>
      <c r="J99" s="270"/>
      <c r="K99" s="270"/>
      <c r="L99" s="270"/>
      <c r="M99" s="270"/>
      <c r="N99" s="270"/>
      <c r="O99" s="270"/>
      <c r="P99" s="270"/>
      <c r="Q99" s="270"/>
    </row>
    <row r="100" spans="1:18" x14ac:dyDescent="0.2">
      <c r="B100" t="s">
        <v>234</v>
      </c>
      <c r="G100" s="251">
        <f t="shared" ref="G100:M100" si="37">_xlfn.XLOOKUP("Cash &amp; Cash Equivalents &amp; ST Investments",$B$30:$B$62,G$30:G$62)/1000</f>
        <v>0</v>
      </c>
      <c r="H100" s="251">
        <f t="shared" si="37"/>
        <v>0</v>
      </c>
      <c r="I100" s="251">
        <f t="shared" si="37"/>
        <v>0</v>
      </c>
      <c r="J100" s="251">
        <f t="shared" si="37"/>
        <v>0</v>
      </c>
      <c r="K100" s="251">
        <f t="shared" si="37"/>
        <v>0</v>
      </c>
      <c r="L100" s="251">
        <f t="shared" si="37"/>
        <v>0</v>
      </c>
      <c r="M100" s="251">
        <f t="shared" si="37"/>
        <v>0</v>
      </c>
      <c r="N100" s="251">
        <f>_xlfn.XLOOKUP("Cash &amp; Cash Equivalents &amp; ST Investments",$B$30:$B$62,N$30:N$62)/1000</f>
        <v>0</v>
      </c>
      <c r="O100" s="251">
        <f>_xlfn.XLOOKUP("Cash &amp; Cash Equivalents &amp; ST Investments",$B$30:$B$62,O$30:O$62)/1000</f>
        <v>0</v>
      </c>
      <c r="P100" s="251">
        <f>_xlfn.XLOOKUP("Cash &amp; Cash Equivalents &amp; ST Investments",$B$30:$B$62,P$30:P$62)/1000</f>
        <v>0</v>
      </c>
      <c r="Q100" s="251">
        <f>_xlfn.XLOOKUP("Cash &amp; Cash Equivalents &amp; ST Investments",$B$30:$B$62,Q$30:Q$62)/1000</f>
        <v>0</v>
      </c>
    </row>
    <row r="101" spans="1:18" x14ac:dyDescent="0.2">
      <c r="B101" t="s">
        <v>244</v>
      </c>
      <c r="G101" s="251">
        <f t="shared" ref="G101:M101" si="38">(_xlfn.XLOOKUP("Short-Term Debt",$B$30:$B$62,G$30:G$62)+_xlfn.XLOOKUP("Long-Term Debt",$B$30:$B$62,G$30:G$62))/1000</f>
        <v>0</v>
      </c>
      <c r="H101" s="251">
        <f t="shared" si="38"/>
        <v>0</v>
      </c>
      <c r="I101" s="251">
        <f t="shared" si="38"/>
        <v>0</v>
      </c>
      <c r="J101" s="251">
        <f t="shared" si="38"/>
        <v>0</v>
      </c>
      <c r="K101" s="251">
        <f t="shared" si="38"/>
        <v>0</v>
      </c>
      <c r="L101" s="251">
        <f t="shared" si="38"/>
        <v>0</v>
      </c>
      <c r="M101" s="251">
        <f t="shared" si="38"/>
        <v>0</v>
      </c>
      <c r="N101" s="251">
        <f>(_xlfn.XLOOKUP("Short-Term Debt",$B$30:$B$62,N$30:N$62)+_xlfn.XLOOKUP("Long-Term Debt",$B$30:$B$62,N$30:N$62))/1000</f>
        <v>0</v>
      </c>
      <c r="O101" s="251">
        <f>(_xlfn.XLOOKUP("Short-Term Debt",$B$30:$B$62,O$30:O$62)+_xlfn.XLOOKUP("Long-Term Debt",$B$30:$B$62,O$30:O$62))/1000</f>
        <v>0</v>
      </c>
      <c r="P101" s="251">
        <f>(_xlfn.XLOOKUP("Short-Term Debt",$B$30:$B$62,P$30:P$62)+_xlfn.XLOOKUP("Long-Term Debt",$B$30:$B$62,P$30:P$62))/1000</f>
        <v>0</v>
      </c>
      <c r="Q101" s="251">
        <f>(_xlfn.XLOOKUP("Short-Term Debt",$B$30:$B$62,Q$30:Q$62)+_xlfn.XLOOKUP("Long-Term Debt",$B$30:$B$62,Q$30:Q$62))/1000</f>
        <v>0</v>
      </c>
    </row>
    <row r="102" spans="1:18" x14ac:dyDescent="0.2">
      <c r="B102" t="s">
        <v>469</v>
      </c>
      <c r="G102" s="252"/>
      <c r="H102" s="252"/>
      <c r="I102" s="252"/>
      <c r="J102" s="252"/>
      <c r="K102" s="252"/>
      <c r="L102" s="252"/>
      <c r="M102" s="252"/>
      <c r="N102" s="252"/>
      <c r="O102" s="252"/>
      <c r="P102" s="252"/>
      <c r="Q102" s="252"/>
    </row>
    <row r="103" spans="1:18" x14ac:dyDescent="0.2">
      <c r="B103" t="s">
        <v>457</v>
      </c>
      <c r="G103" s="26">
        <f t="shared" ref="G103:M103" si="39">_xlfn.XLOOKUP("Non-Controlling Interest",$B$30:$B$62,G$30:G$62)/1000</f>
        <v>0</v>
      </c>
      <c r="H103" s="26">
        <f t="shared" si="39"/>
        <v>0</v>
      </c>
      <c r="I103" s="26">
        <f t="shared" si="39"/>
        <v>0</v>
      </c>
      <c r="J103" s="26">
        <f t="shared" si="39"/>
        <v>0</v>
      </c>
      <c r="K103" s="26">
        <f t="shared" si="39"/>
        <v>0</v>
      </c>
      <c r="L103" s="26">
        <f t="shared" si="39"/>
        <v>0</v>
      </c>
      <c r="M103" s="26">
        <f t="shared" si="39"/>
        <v>0</v>
      </c>
      <c r="N103" s="26">
        <f>_xlfn.XLOOKUP("Non-Controlling Interest",$B$30:$B$62,N$30:N$62)/1000</f>
        <v>0</v>
      </c>
      <c r="O103" s="26">
        <f>_xlfn.XLOOKUP("Non-Controlling Interest",$B$30:$B$62,O$30:O$62)/1000</f>
        <v>0</v>
      </c>
      <c r="P103" s="26">
        <f>_xlfn.XLOOKUP("Non-Controlling Interest",$B$30:$B$62,P$30:P$62)/1000</f>
        <v>0</v>
      </c>
      <c r="Q103" s="26">
        <f>_xlfn.XLOOKUP("Non-Controlling Interest",$B$30:$B$62,Q$30:Q$62)/1000</f>
        <v>0</v>
      </c>
    </row>
    <row r="104" spans="1:18" x14ac:dyDescent="0.2">
      <c r="B104" t="s">
        <v>410</v>
      </c>
      <c r="G104" s="253">
        <f t="shared" ref="G104:M104" si="40">+G99-G100+G101+G102+G103</f>
        <v>0</v>
      </c>
      <c r="H104" s="253">
        <f t="shared" si="40"/>
        <v>0</v>
      </c>
      <c r="I104" s="253">
        <f t="shared" si="40"/>
        <v>0</v>
      </c>
      <c r="J104" s="253">
        <f t="shared" si="40"/>
        <v>0</v>
      </c>
      <c r="K104" s="253">
        <f t="shared" si="40"/>
        <v>0</v>
      </c>
      <c r="L104" s="253">
        <f t="shared" si="40"/>
        <v>0</v>
      </c>
      <c r="M104" s="253">
        <f t="shared" si="40"/>
        <v>0</v>
      </c>
      <c r="N104" s="253">
        <f>+N99-N100+N101+N102+N103</f>
        <v>0</v>
      </c>
      <c r="O104" s="253">
        <f t="shared" ref="O104:Q104" si="41">+O99-O100+O101+O102+O103</f>
        <v>0</v>
      </c>
      <c r="P104" s="253">
        <f t="shared" si="41"/>
        <v>0</v>
      </c>
      <c r="Q104" s="253">
        <f t="shared" si="41"/>
        <v>0</v>
      </c>
    </row>
    <row r="105" spans="1:18" ht="5.25" customHeight="1" x14ac:dyDescent="0.2"/>
    <row r="106" spans="1:18" ht="15.75" x14ac:dyDescent="0.25">
      <c r="A106" t="s">
        <v>306</v>
      </c>
      <c r="B106" s="52" t="s">
        <v>68</v>
      </c>
      <c r="C106" s="56"/>
      <c r="D106" s="56"/>
      <c r="E106" s="56"/>
      <c r="F106" s="56"/>
      <c r="G106" s="254" t="s">
        <v>470</v>
      </c>
      <c r="H106" s="235">
        <v>2025</v>
      </c>
      <c r="I106" s="235">
        <f>+H106+1</f>
        <v>2026</v>
      </c>
      <c r="J106" s="235">
        <f t="shared" ref="J106:Q106" si="42">+I106+1</f>
        <v>2027</v>
      </c>
      <c r="K106" s="235">
        <f t="shared" si="42"/>
        <v>2028</v>
      </c>
      <c r="L106" s="235">
        <f t="shared" si="42"/>
        <v>2029</v>
      </c>
      <c r="M106" s="235">
        <f t="shared" si="42"/>
        <v>2030</v>
      </c>
      <c r="N106" s="235">
        <f t="shared" si="42"/>
        <v>2031</v>
      </c>
      <c r="O106" s="235">
        <f t="shared" si="42"/>
        <v>2032</v>
      </c>
      <c r="P106" s="235">
        <f t="shared" si="42"/>
        <v>2033</v>
      </c>
      <c r="Q106" s="758">
        <f t="shared" si="42"/>
        <v>2034</v>
      </c>
    </row>
    <row r="107" spans="1:18" ht="3.95" customHeight="1" x14ac:dyDescent="0.2">
      <c r="B107" s="241"/>
      <c r="C107" s="241"/>
      <c r="D107" s="241"/>
      <c r="E107" s="241"/>
      <c r="F107" s="241"/>
      <c r="G107" s="242"/>
      <c r="H107" s="242"/>
      <c r="I107" s="242"/>
      <c r="J107" s="242"/>
      <c r="K107" s="242"/>
      <c r="L107" s="242" t="s">
        <v>471</v>
      </c>
      <c r="M107" s="242" t="s">
        <v>471</v>
      </c>
      <c r="N107" s="242" t="s">
        <v>471</v>
      </c>
      <c r="O107" s="242" t="s">
        <v>471</v>
      </c>
      <c r="P107" s="242" t="s">
        <v>471</v>
      </c>
      <c r="Q107" s="242" t="s">
        <v>471</v>
      </c>
    </row>
    <row r="108" spans="1:18" x14ac:dyDescent="0.2">
      <c r="B108" t="s">
        <v>470</v>
      </c>
      <c r="G108" s="757"/>
      <c r="H108" s="252"/>
      <c r="I108" s="252"/>
      <c r="J108" s="252"/>
      <c r="K108" s="252"/>
      <c r="L108" s="252"/>
      <c r="M108" s="252"/>
      <c r="N108" s="252"/>
      <c r="O108" s="252"/>
      <c r="P108" s="252"/>
      <c r="Q108" s="252"/>
    </row>
    <row r="109" spans="1:18" x14ac:dyDescent="0.2">
      <c r="B109" t="s">
        <v>472</v>
      </c>
      <c r="G109"/>
      <c r="H109" s="252"/>
      <c r="I109" s="252"/>
      <c r="J109" s="252"/>
      <c r="K109" s="252"/>
      <c r="L109" s="252"/>
      <c r="M109" s="252"/>
      <c r="N109" s="252"/>
      <c r="O109" s="252"/>
      <c r="P109" s="252"/>
      <c r="Q109" s="252" t="e">
        <f>+_xll.BDP(Summary!$D$6, "ARDR_DEBT_SCHEDULE_TOTAL_DEBT")-SUM(Inputs!H109:P109)</f>
        <v>#VALUE!</v>
      </c>
    </row>
    <row r="110" spans="1:18" x14ac:dyDescent="0.2">
      <c r="B110" t="s">
        <v>473</v>
      </c>
      <c r="G110"/>
      <c r="H110" s="252"/>
      <c r="I110" s="252"/>
      <c r="J110" s="252"/>
      <c r="K110" s="252"/>
      <c r="L110" s="252"/>
      <c r="M110" s="252"/>
      <c r="N110" s="252"/>
      <c r="O110" s="252"/>
      <c r="P110" s="252"/>
      <c r="Q110" s="252"/>
    </row>
    <row r="111" spans="1:18" ht="3.75" customHeight="1" x14ac:dyDescent="0.2"/>
    <row r="112" spans="1:18" ht="15.75" x14ac:dyDescent="0.25">
      <c r="A112" t="s">
        <v>306</v>
      </c>
      <c r="B112" s="52" t="s">
        <v>474</v>
      </c>
      <c r="C112" s="56"/>
      <c r="D112" s="56"/>
      <c r="E112" s="56"/>
      <c r="F112" s="56"/>
      <c r="G112" s="235">
        <v>2014</v>
      </c>
      <c r="H112" s="235">
        <f>+G112+1</f>
        <v>2015</v>
      </c>
      <c r="I112" s="235">
        <f t="shared" ref="I112" si="43">+H112+1</f>
        <v>2016</v>
      </c>
      <c r="J112" s="235">
        <f t="shared" ref="J112" si="44">+I112+1</f>
        <v>2017</v>
      </c>
      <c r="K112" s="235">
        <f t="shared" ref="K112" si="45">+J112+1</f>
        <v>2018</v>
      </c>
      <c r="L112" s="235">
        <f t="shared" ref="L112" si="46">+K112+1</f>
        <v>2019</v>
      </c>
      <c r="M112" s="235">
        <f t="shared" ref="M112" si="47">+L112+1</f>
        <v>2020</v>
      </c>
      <c r="N112" s="235">
        <f>+M112+1</f>
        <v>2021</v>
      </c>
      <c r="O112" s="235">
        <f>+N112+1</f>
        <v>2022</v>
      </c>
      <c r="P112" s="235">
        <f t="shared" ref="P112" si="48">+O112+1</f>
        <v>2023</v>
      </c>
      <c r="Q112" s="235">
        <f>+P112+1</f>
        <v>2024</v>
      </c>
      <c r="R112" s="58" t="str">
        <f>"CAGR "&amp;$G$4&amp;" - "&amp;$Q$4</f>
        <v>CAGR 2014 - 2024</v>
      </c>
    </row>
    <row r="113" spans="2:18" ht="5.25" customHeight="1" x14ac:dyDescent="0.2">
      <c r="B113" s="241"/>
      <c r="C113" s="241"/>
      <c r="D113" s="241"/>
      <c r="E113" s="241"/>
      <c r="F113" s="241"/>
      <c r="G113" s="242"/>
      <c r="H113" s="242"/>
      <c r="I113" s="242"/>
      <c r="J113" s="242"/>
      <c r="K113" s="242"/>
      <c r="L113" s="242"/>
      <c r="M113" s="242"/>
      <c r="N113" s="242"/>
      <c r="O113" s="242"/>
      <c r="P113" s="242"/>
      <c r="Q113" s="242"/>
      <c r="R113" s="60"/>
    </row>
    <row r="114" spans="2:18" x14ac:dyDescent="0.2">
      <c r="B114" t="s">
        <v>244</v>
      </c>
      <c r="G114" s="250">
        <f>IFERROR(SUM(G55+G50),"")</f>
        <v>0</v>
      </c>
      <c r="H114" s="250">
        <f t="shared" ref="H114:Q114" si="49">IFERROR(SUM(H55+H50),"")</f>
        <v>0</v>
      </c>
      <c r="I114" s="250">
        <f t="shared" si="49"/>
        <v>0</v>
      </c>
      <c r="J114" s="250">
        <f t="shared" si="49"/>
        <v>0</v>
      </c>
      <c r="K114" s="250">
        <f t="shared" si="49"/>
        <v>0</v>
      </c>
      <c r="L114" s="250">
        <f t="shared" si="49"/>
        <v>0</v>
      </c>
      <c r="M114" s="250">
        <f t="shared" si="49"/>
        <v>0</v>
      </c>
      <c r="N114" s="250">
        <f t="shared" si="49"/>
        <v>0</v>
      </c>
      <c r="O114" s="250">
        <f t="shared" si="49"/>
        <v>0</v>
      </c>
      <c r="P114" s="250">
        <f t="shared" si="49"/>
        <v>0</v>
      </c>
      <c r="Q114" s="250">
        <f t="shared" si="49"/>
        <v>0</v>
      </c>
      <c r="R114" s="64" t="str">
        <f t="shared" ref="R114:R122" si="50">IFERROR((Q114/G114)^(1/COUNT($G$4:$Q$4))-1,"")</f>
        <v/>
      </c>
    </row>
    <row r="115" spans="2:18" x14ac:dyDescent="0.2">
      <c r="B115" t="s">
        <v>379</v>
      </c>
      <c r="G115" s="250">
        <f>IFERROR(SUM(G51,G56),"")</f>
        <v>0</v>
      </c>
      <c r="H115" s="250">
        <f t="shared" ref="H115:Q115" si="51">IFERROR(SUM(H51,H56),"")</f>
        <v>0</v>
      </c>
      <c r="I115" s="250">
        <f t="shared" si="51"/>
        <v>0</v>
      </c>
      <c r="J115" s="250">
        <f t="shared" si="51"/>
        <v>0</v>
      </c>
      <c r="K115" s="250">
        <f t="shared" si="51"/>
        <v>0</v>
      </c>
      <c r="L115" s="250">
        <f t="shared" si="51"/>
        <v>0</v>
      </c>
      <c r="M115" s="250">
        <f t="shared" si="51"/>
        <v>0</v>
      </c>
      <c r="N115" s="250">
        <f t="shared" si="51"/>
        <v>0</v>
      </c>
      <c r="O115" s="250">
        <f t="shared" si="51"/>
        <v>0</v>
      </c>
      <c r="P115" s="250">
        <f t="shared" si="51"/>
        <v>0</v>
      </c>
      <c r="Q115" s="250">
        <f t="shared" si="51"/>
        <v>0</v>
      </c>
      <c r="R115" s="64" t="str">
        <f t="shared" si="50"/>
        <v/>
      </c>
    </row>
    <row r="116" spans="2:18" x14ac:dyDescent="0.2">
      <c r="B116" t="s">
        <v>380</v>
      </c>
      <c r="G116" s="250">
        <f>IFERROR(SUM(G52,G57),"")</f>
        <v>0</v>
      </c>
      <c r="H116" s="250">
        <f t="shared" ref="H116:Q116" si="52">IFERROR(SUM(H52,H57),"")</f>
        <v>0</v>
      </c>
      <c r="I116" s="250">
        <f t="shared" si="52"/>
        <v>0</v>
      </c>
      <c r="J116" s="250">
        <f t="shared" si="52"/>
        <v>0</v>
      </c>
      <c r="K116" s="250">
        <f t="shared" si="52"/>
        <v>0</v>
      </c>
      <c r="L116" s="250">
        <f t="shared" si="52"/>
        <v>0</v>
      </c>
      <c r="M116" s="250">
        <f t="shared" si="52"/>
        <v>0</v>
      </c>
      <c r="N116" s="250">
        <f t="shared" si="52"/>
        <v>0</v>
      </c>
      <c r="O116" s="250">
        <f t="shared" si="52"/>
        <v>0</v>
      </c>
      <c r="P116" s="250">
        <f t="shared" si="52"/>
        <v>0</v>
      </c>
      <c r="Q116" s="250">
        <f t="shared" si="52"/>
        <v>0</v>
      </c>
      <c r="R116" s="64" t="str">
        <f t="shared" si="50"/>
        <v/>
      </c>
    </row>
    <row r="117" spans="2:18" x14ac:dyDescent="0.2">
      <c r="B117" t="s">
        <v>475</v>
      </c>
      <c r="G117" s="250">
        <f t="shared" ref="G117:Q117" si="53">+G114-G32</f>
        <v>0</v>
      </c>
      <c r="H117" s="250">
        <f t="shared" si="53"/>
        <v>0</v>
      </c>
      <c r="I117" s="250">
        <f t="shared" si="53"/>
        <v>0</v>
      </c>
      <c r="J117" s="250">
        <f t="shared" si="53"/>
        <v>0</v>
      </c>
      <c r="K117" s="250">
        <f t="shared" si="53"/>
        <v>0</v>
      </c>
      <c r="L117" s="250">
        <f t="shared" si="53"/>
        <v>0</v>
      </c>
      <c r="M117" s="250">
        <f t="shared" si="53"/>
        <v>0</v>
      </c>
      <c r="N117" s="250">
        <f t="shared" si="53"/>
        <v>0</v>
      </c>
      <c r="O117" s="250">
        <f t="shared" si="53"/>
        <v>0</v>
      </c>
      <c r="P117" s="250">
        <f t="shared" si="53"/>
        <v>0</v>
      </c>
      <c r="Q117" s="250">
        <f t="shared" si="53"/>
        <v>0</v>
      </c>
      <c r="R117" s="64" t="str">
        <f t="shared" si="50"/>
        <v/>
      </c>
    </row>
    <row r="118" spans="2:18" x14ac:dyDescent="0.2">
      <c r="B118" t="s">
        <v>476</v>
      </c>
      <c r="G118" s="265" t="str">
        <f>IFERROR(G23/G22,"")</f>
        <v/>
      </c>
      <c r="H118" s="265" t="str">
        <f t="shared" ref="H118:Q118" si="54">IFERROR(H23/H22,"")</f>
        <v/>
      </c>
      <c r="I118" s="265" t="str">
        <f t="shared" si="54"/>
        <v/>
      </c>
      <c r="J118" s="265" t="str">
        <f t="shared" si="54"/>
        <v/>
      </c>
      <c r="K118" s="265" t="str">
        <f t="shared" si="54"/>
        <v/>
      </c>
      <c r="L118" s="265" t="str">
        <f t="shared" si="54"/>
        <v/>
      </c>
      <c r="M118" s="265" t="str">
        <f t="shared" si="54"/>
        <v/>
      </c>
      <c r="N118" s="265" t="str">
        <f t="shared" si="54"/>
        <v/>
      </c>
      <c r="O118" s="265" t="str">
        <f t="shared" si="54"/>
        <v/>
      </c>
      <c r="P118" s="265" t="str">
        <f t="shared" si="54"/>
        <v/>
      </c>
      <c r="Q118" s="265" t="str">
        <f t="shared" si="54"/>
        <v/>
      </c>
      <c r="R118" s="64" t="str">
        <f t="shared" si="50"/>
        <v/>
      </c>
    </row>
    <row r="119" spans="2:18" x14ac:dyDescent="0.2">
      <c r="B119" t="s">
        <v>322</v>
      </c>
      <c r="G119" s="270" t="str">
        <f>IFERROR(G16*(1-G118),"")</f>
        <v/>
      </c>
      <c r="H119" s="270" t="str">
        <f t="shared" ref="H119:Q119" si="55">IFERROR(H16*(1-H118),"")</f>
        <v/>
      </c>
      <c r="I119" s="270" t="str">
        <f t="shared" si="55"/>
        <v/>
      </c>
      <c r="J119" s="270" t="str">
        <f t="shared" si="55"/>
        <v/>
      </c>
      <c r="K119" s="270" t="str">
        <f t="shared" si="55"/>
        <v/>
      </c>
      <c r="L119" s="270" t="str">
        <f t="shared" si="55"/>
        <v/>
      </c>
      <c r="M119" s="270" t="str">
        <f t="shared" si="55"/>
        <v/>
      </c>
      <c r="N119" s="270" t="str">
        <f t="shared" si="55"/>
        <v/>
      </c>
      <c r="O119" s="270" t="str">
        <f t="shared" si="55"/>
        <v/>
      </c>
      <c r="P119" s="270" t="str">
        <f t="shared" si="55"/>
        <v/>
      </c>
      <c r="Q119" s="270" t="str">
        <f t="shared" si="55"/>
        <v/>
      </c>
      <c r="R119" s="64" t="str">
        <f t="shared" si="50"/>
        <v/>
      </c>
    </row>
    <row r="120" spans="2:18" x14ac:dyDescent="0.2">
      <c r="B120" t="s">
        <v>365</v>
      </c>
      <c r="G120" s="504" t="str">
        <f>IFERROR(G35/G6*365,"")</f>
        <v/>
      </c>
      <c r="H120" s="504" t="str">
        <f t="shared" ref="H120:Q120" si="56">IFERROR(H35/H6*365,"")</f>
        <v/>
      </c>
      <c r="I120" s="504" t="str">
        <f t="shared" si="56"/>
        <v/>
      </c>
      <c r="J120" s="504" t="str">
        <f t="shared" si="56"/>
        <v/>
      </c>
      <c r="K120" s="504" t="str">
        <f t="shared" si="56"/>
        <v/>
      </c>
      <c r="L120" s="504" t="str">
        <f t="shared" si="56"/>
        <v/>
      </c>
      <c r="M120" s="504" t="str">
        <f t="shared" si="56"/>
        <v/>
      </c>
      <c r="N120" s="504" t="str">
        <f t="shared" si="56"/>
        <v/>
      </c>
      <c r="O120" s="504" t="str">
        <f t="shared" si="56"/>
        <v/>
      </c>
      <c r="P120" s="504" t="str">
        <f t="shared" si="56"/>
        <v/>
      </c>
      <c r="Q120" s="504" t="str">
        <f t="shared" si="56"/>
        <v/>
      </c>
      <c r="R120" s="64" t="str">
        <f t="shared" si="50"/>
        <v/>
      </c>
    </row>
    <row r="121" spans="2:18" x14ac:dyDescent="0.2">
      <c r="B121" t="s">
        <v>367</v>
      </c>
      <c r="G121" s="504" t="str">
        <f>IFERROR(G36/G7*365,"")</f>
        <v/>
      </c>
      <c r="H121" s="504" t="str">
        <f t="shared" ref="H121:Q121" si="57">IFERROR(H36/H7*365,"")</f>
        <v/>
      </c>
      <c r="I121" s="504" t="str">
        <f t="shared" si="57"/>
        <v/>
      </c>
      <c r="J121" s="504" t="str">
        <f t="shared" si="57"/>
        <v/>
      </c>
      <c r="K121" s="504" t="str">
        <f t="shared" si="57"/>
        <v/>
      </c>
      <c r="L121" s="504" t="str">
        <f t="shared" si="57"/>
        <v/>
      </c>
      <c r="M121" s="504" t="str">
        <f t="shared" si="57"/>
        <v/>
      </c>
      <c r="N121" s="504" t="str">
        <f t="shared" si="57"/>
        <v/>
      </c>
      <c r="O121" s="504" t="str">
        <f t="shared" si="57"/>
        <v/>
      </c>
      <c r="P121" s="504" t="str">
        <f t="shared" si="57"/>
        <v/>
      </c>
      <c r="Q121" s="504" t="str">
        <f t="shared" si="57"/>
        <v/>
      </c>
      <c r="R121" s="64" t="str">
        <f t="shared" si="50"/>
        <v/>
      </c>
    </row>
    <row r="122" spans="2:18" x14ac:dyDescent="0.2">
      <c r="B122" t="s">
        <v>376</v>
      </c>
      <c r="G122" s="504" t="str">
        <f>IFERROR(G49/G6*365,"")</f>
        <v/>
      </c>
      <c r="H122" s="504" t="str">
        <f t="shared" ref="H122:Q122" si="58">IFERROR(H49/H6*365,"")</f>
        <v/>
      </c>
      <c r="I122" s="504" t="str">
        <f t="shared" si="58"/>
        <v/>
      </c>
      <c r="J122" s="504" t="str">
        <f t="shared" si="58"/>
        <v/>
      </c>
      <c r="K122" s="504" t="str">
        <f t="shared" si="58"/>
        <v/>
      </c>
      <c r="L122" s="504" t="str">
        <f t="shared" si="58"/>
        <v/>
      </c>
      <c r="M122" s="504" t="str">
        <f t="shared" si="58"/>
        <v/>
      </c>
      <c r="N122" s="504" t="str">
        <f t="shared" si="58"/>
        <v/>
      </c>
      <c r="O122" s="504" t="str">
        <f t="shared" si="58"/>
        <v/>
      </c>
      <c r="P122" s="504" t="str">
        <f t="shared" si="58"/>
        <v/>
      </c>
      <c r="Q122" s="504" t="str">
        <f t="shared" si="58"/>
        <v/>
      </c>
      <c r="R122" s="64" t="str">
        <f t="shared" si="50"/>
        <v/>
      </c>
    </row>
    <row r="125" spans="2:18" x14ac:dyDescent="0.2">
      <c r="O125"/>
    </row>
    <row r="126" spans="2:18" x14ac:dyDescent="0.2">
      <c r="C126" s="605"/>
    </row>
    <row r="127" spans="2:18" x14ac:dyDescent="0.2">
      <c r="C127" s="605"/>
    </row>
    <row r="128" spans="2:18" x14ac:dyDescent="0.2">
      <c r="C128" s="605"/>
    </row>
    <row r="129" spans="3:3" x14ac:dyDescent="0.2">
      <c r="C129" s="605"/>
    </row>
    <row r="130" spans="3:3" x14ac:dyDescent="0.2">
      <c r="C130" s="605"/>
    </row>
    <row r="131" spans="3:3" x14ac:dyDescent="0.2">
      <c r="C131" s="605"/>
    </row>
    <row r="132" spans="3:3" x14ac:dyDescent="0.2">
      <c r="C132" s="605"/>
    </row>
    <row r="133" spans="3:3" x14ac:dyDescent="0.2">
      <c r="C133" s="605"/>
    </row>
    <row r="134" spans="3:3" x14ac:dyDescent="0.2">
      <c r="C134" s="605"/>
    </row>
    <row r="135" spans="3:3" x14ac:dyDescent="0.2">
      <c r="C135" s="605"/>
    </row>
    <row r="136" spans="3:3" x14ac:dyDescent="0.2">
      <c r="C136" s="605"/>
    </row>
    <row r="137" spans="3:3" x14ac:dyDescent="0.2">
      <c r="C137" s="605"/>
    </row>
    <row r="138" spans="3:3" x14ac:dyDescent="0.2">
      <c r="C138" s="605"/>
    </row>
    <row r="139" spans="3:3" x14ac:dyDescent="0.2">
      <c r="C139" s="605"/>
    </row>
    <row r="140" spans="3:3" x14ac:dyDescent="0.2">
      <c r="C140" s="605"/>
    </row>
    <row r="141" spans="3:3" x14ac:dyDescent="0.2">
      <c r="C141" s="605"/>
    </row>
    <row r="142" spans="3:3" x14ac:dyDescent="0.2">
      <c r="C142" s="605"/>
    </row>
    <row r="143" spans="3:3" x14ac:dyDescent="0.2">
      <c r="C143" s="605"/>
    </row>
    <row r="144" spans="3:3" x14ac:dyDescent="0.2">
      <c r="C144" s="605"/>
    </row>
    <row r="145" spans="3:3" x14ac:dyDescent="0.2">
      <c r="C145" s="605"/>
    </row>
    <row r="146" spans="3:3" x14ac:dyDescent="0.2">
      <c r="C146" s="605"/>
    </row>
    <row r="147" spans="3:3" x14ac:dyDescent="0.2">
      <c r="C147" s="605"/>
    </row>
    <row r="148" spans="3:3" x14ac:dyDescent="0.2">
      <c r="C148" s="605"/>
    </row>
    <row r="149" spans="3:3" x14ac:dyDescent="0.2">
      <c r="C149" s="605"/>
    </row>
    <row r="150" spans="3:3" x14ac:dyDescent="0.2">
      <c r="C150" s="605"/>
    </row>
    <row r="151" spans="3:3" x14ac:dyDescent="0.2">
      <c r="C151" s="605"/>
    </row>
    <row r="152" spans="3:3" x14ac:dyDescent="0.2">
      <c r="C152" s="605"/>
    </row>
    <row r="153" spans="3:3" x14ac:dyDescent="0.2">
      <c r="C153" s="605"/>
    </row>
    <row r="154" spans="3:3" x14ac:dyDescent="0.2">
      <c r="C154" s="605"/>
    </row>
    <row r="155" spans="3:3" x14ac:dyDescent="0.2">
      <c r="C155" s="605"/>
    </row>
    <row r="156" spans="3:3" x14ac:dyDescent="0.2">
      <c r="C156" s="605"/>
    </row>
    <row r="157" spans="3:3" x14ac:dyDescent="0.2">
      <c r="C157" s="605"/>
    </row>
    <row r="158" spans="3:3" x14ac:dyDescent="0.2">
      <c r="C158" s="605"/>
    </row>
    <row r="159" spans="3:3" x14ac:dyDescent="0.2">
      <c r="C159" s="605"/>
    </row>
    <row r="160" spans="3:3" x14ac:dyDescent="0.2">
      <c r="C160" s="605"/>
    </row>
    <row r="161" spans="3:3" x14ac:dyDescent="0.2">
      <c r="C161" s="605"/>
    </row>
    <row r="162" spans="3:3" x14ac:dyDescent="0.2">
      <c r="C162" s="605"/>
    </row>
    <row r="163" spans="3:3" x14ac:dyDescent="0.2">
      <c r="C163" s="605"/>
    </row>
    <row r="164" spans="3:3" x14ac:dyDescent="0.2">
      <c r="C164" s="605"/>
    </row>
    <row r="165" spans="3:3" x14ac:dyDescent="0.2">
      <c r="C165" s="605"/>
    </row>
    <row r="166" spans="3:3" x14ac:dyDescent="0.2">
      <c r="C166" s="605"/>
    </row>
    <row r="167" spans="3:3" x14ac:dyDescent="0.2">
      <c r="C167" s="605"/>
    </row>
    <row r="168" spans="3:3" x14ac:dyDescent="0.2">
      <c r="C168" s="605"/>
    </row>
    <row r="169" spans="3:3" x14ac:dyDescent="0.2">
      <c r="C169" s="605"/>
    </row>
    <row r="170" spans="3:3" x14ac:dyDescent="0.2">
      <c r="C170" s="605"/>
    </row>
    <row r="171" spans="3:3" x14ac:dyDescent="0.2">
      <c r="C171" s="605"/>
    </row>
    <row r="172" spans="3:3" x14ac:dyDescent="0.2">
      <c r="C172" s="605"/>
    </row>
    <row r="173" spans="3:3" x14ac:dyDescent="0.2">
      <c r="C173" s="605"/>
    </row>
    <row r="174" spans="3:3" x14ac:dyDescent="0.2">
      <c r="C174" s="605"/>
    </row>
    <row r="175" spans="3:3" x14ac:dyDescent="0.2">
      <c r="C175" s="605"/>
    </row>
    <row r="176" spans="3:3" x14ac:dyDescent="0.2">
      <c r="C176" s="605"/>
    </row>
    <row r="177" spans="3:3" x14ac:dyDescent="0.2">
      <c r="C177" s="605"/>
    </row>
    <row r="178" spans="3:3" x14ac:dyDescent="0.2">
      <c r="C178" s="605"/>
    </row>
    <row r="179" spans="3:3" x14ac:dyDescent="0.2">
      <c r="C179" s="605"/>
    </row>
    <row r="180" spans="3:3" x14ac:dyDescent="0.2">
      <c r="C180" s="605"/>
    </row>
    <row r="181" spans="3:3" x14ac:dyDescent="0.2">
      <c r="C181" s="605"/>
    </row>
    <row r="182" spans="3:3" x14ac:dyDescent="0.2">
      <c r="C182" s="605"/>
    </row>
    <row r="183" spans="3:3" x14ac:dyDescent="0.2">
      <c r="C183" s="605"/>
    </row>
    <row r="184" spans="3:3" x14ac:dyDescent="0.2">
      <c r="C184" s="605"/>
    </row>
    <row r="185" spans="3:3" x14ac:dyDescent="0.2">
      <c r="C185" s="605"/>
    </row>
    <row r="186" spans="3:3" x14ac:dyDescent="0.2">
      <c r="C186" s="605"/>
    </row>
    <row r="187" spans="3:3" x14ac:dyDescent="0.2">
      <c r="C187" s="605"/>
    </row>
    <row r="188" spans="3:3" x14ac:dyDescent="0.2">
      <c r="C188" s="605"/>
    </row>
    <row r="189" spans="3:3" x14ac:dyDescent="0.2">
      <c r="C189" s="605"/>
    </row>
    <row r="190" spans="3:3" x14ac:dyDescent="0.2">
      <c r="C190" s="605"/>
    </row>
    <row r="191" spans="3:3" x14ac:dyDescent="0.2">
      <c r="C191" s="605"/>
    </row>
    <row r="192" spans="3:3" x14ac:dyDescent="0.2">
      <c r="C192" s="605"/>
    </row>
    <row r="193" spans="3:3" x14ac:dyDescent="0.2">
      <c r="C193" s="605"/>
    </row>
    <row r="194" spans="3:3" x14ac:dyDescent="0.2">
      <c r="C194" s="605"/>
    </row>
    <row r="195" spans="3:3" x14ac:dyDescent="0.2">
      <c r="C195" s="605"/>
    </row>
    <row r="196" spans="3:3" x14ac:dyDescent="0.2">
      <c r="C196" s="605"/>
    </row>
    <row r="197" spans="3:3" x14ac:dyDescent="0.2">
      <c r="C197" s="605"/>
    </row>
    <row r="198" spans="3:3" x14ac:dyDescent="0.2">
      <c r="C198" s="605"/>
    </row>
    <row r="199" spans="3:3" x14ac:dyDescent="0.2">
      <c r="C199" s="605"/>
    </row>
    <row r="200" spans="3:3" x14ac:dyDescent="0.2">
      <c r="C200" s="605"/>
    </row>
    <row r="201" spans="3:3" x14ac:dyDescent="0.2">
      <c r="C201" s="605"/>
    </row>
    <row r="202" spans="3:3" x14ac:dyDescent="0.2">
      <c r="C202" s="605"/>
    </row>
    <row r="203" spans="3:3" x14ac:dyDescent="0.2">
      <c r="C203" s="605"/>
    </row>
    <row r="204" spans="3:3" x14ac:dyDescent="0.2">
      <c r="C204" s="605"/>
    </row>
    <row r="205" spans="3:3" x14ac:dyDescent="0.2">
      <c r="C205" s="605"/>
    </row>
    <row r="206" spans="3:3" x14ac:dyDescent="0.2">
      <c r="C206" s="605"/>
    </row>
    <row r="207" spans="3:3" x14ac:dyDescent="0.2">
      <c r="C207" s="605"/>
    </row>
    <row r="208" spans="3:3" x14ac:dyDescent="0.2">
      <c r="C208" s="605"/>
    </row>
    <row r="209" spans="3:3" x14ac:dyDescent="0.2">
      <c r="C209" s="605"/>
    </row>
    <row r="210" spans="3:3" x14ac:dyDescent="0.2">
      <c r="C210" s="605"/>
    </row>
    <row r="211" spans="3:3" x14ac:dyDescent="0.2">
      <c r="C211" s="605"/>
    </row>
    <row r="212" spans="3:3" x14ac:dyDescent="0.2">
      <c r="C212" s="605"/>
    </row>
    <row r="213" spans="3:3" x14ac:dyDescent="0.2">
      <c r="C213" s="605"/>
    </row>
    <row r="214" spans="3:3" x14ac:dyDescent="0.2">
      <c r="C214" s="605"/>
    </row>
    <row r="215" spans="3:3" x14ac:dyDescent="0.2">
      <c r="C215" s="605"/>
    </row>
    <row r="216" spans="3:3" x14ac:dyDescent="0.2">
      <c r="C216" s="605"/>
    </row>
    <row r="217" spans="3:3" x14ac:dyDescent="0.2">
      <c r="C217" s="605"/>
    </row>
    <row r="218" spans="3:3" x14ac:dyDescent="0.2">
      <c r="C218" s="605"/>
    </row>
    <row r="219" spans="3:3" x14ac:dyDescent="0.2">
      <c r="C219" s="605"/>
    </row>
    <row r="220" spans="3:3" x14ac:dyDescent="0.2">
      <c r="C220" s="605"/>
    </row>
    <row r="221" spans="3:3" x14ac:dyDescent="0.2">
      <c r="C221" s="605"/>
    </row>
    <row r="222" spans="3:3" x14ac:dyDescent="0.2">
      <c r="C222" s="605"/>
    </row>
    <row r="223" spans="3:3" x14ac:dyDescent="0.2">
      <c r="C223" s="605"/>
    </row>
    <row r="224" spans="3:3" x14ac:dyDescent="0.2">
      <c r="C224" s="605"/>
    </row>
    <row r="225" spans="3:3" x14ac:dyDescent="0.2">
      <c r="C225" s="605"/>
    </row>
    <row r="226" spans="3:3" x14ac:dyDescent="0.2">
      <c r="C226" s="605"/>
    </row>
    <row r="227" spans="3:3" x14ac:dyDescent="0.2">
      <c r="C227" s="605"/>
    </row>
    <row r="228" spans="3:3" x14ac:dyDescent="0.2">
      <c r="C228" s="605"/>
    </row>
    <row r="229" spans="3:3" x14ac:dyDescent="0.2">
      <c r="C229" s="605"/>
    </row>
    <row r="230" spans="3:3" x14ac:dyDescent="0.2">
      <c r="C230" s="605"/>
    </row>
    <row r="231" spans="3:3" x14ac:dyDescent="0.2">
      <c r="C231" s="605"/>
    </row>
    <row r="232" spans="3:3" x14ac:dyDescent="0.2">
      <c r="C232" s="605"/>
    </row>
    <row r="233" spans="3:3" x14ac:dyDescent="0.2">
      <c r="C233" s="605"/>
    </row>
    <row r="234" spans="3:3" x14ac:dyDescent="0.2">
      <c r="C234" s="605"/>
    </row>
    <row r="235" spans="3:3" x14ac:dyDescent="0.2">
      <c r="C235" s="605"/>
    </row>
    <row r="236" spans="3:3" x14ac:dyDescent="0.2">
      <c r="C236" s="605"/>
    </row>
    <row r="237" spans="3:3" x14ac:dyDescent="0.2">
      <c r="C237" s="605"/>
    </row>
    <row r="238" spans="3:3" x14ac:dyDescent="0.2">
      <c r="C238" s="605"/>
    </row>
    <row r="239" spans="3:3" x14ac:dyDescent="0.2">
      <c r="C239" s="605"/>
    </row>
    <row r="240" spans="3:3" x14ac:dyDescent="0.2">
      <c r="C240" s="605"/>
    </row>
    <row r="241" spans="3:3" x14ac:dyDescent="0.2">
      <c r="C241" s="605"/>
    </row>
    <row r="242" spans="3:3" x14ac:dyDescent="0.2">
      <c r="C242" s="605"/>
    </row>
    <row r="243" spans="3:3" x14ac:dyDescent="0.2">
      <c r="C243" s="605"/>
    </row>
    <row r="244" spans="3:3" x14ac:dyDescent="0.2">
      <c r="C244" s="605"/>
    </row>
    <row r="245" spans="3:3" x14ac:dyDescent="0.2">
      <c r="C245" s="605"/>
    </row>
    <row r="246" spans="3:3" x14ac:dyDescent="0.2">
      <c r="C246" s="605"/>
    </row>
    <row r="247" spans="3:3" x14ac:dyDescent="0.2">
      <c r="C247" s="605"/>
    </row>
    <row r="248" spans="3:3" x14ac:dyDescent="0.2">
      <c r="C248" s="605"/>
    </row>
    <row r="249" spans="3:3" x14ac:dyDescent="0.2">
      <c r="C249" s="605"/>
    </row>
    <row r="250" spans="3:3" x14ac:dyDescent="0.2">
      <c r="C250" s="605"/>
    </row>
    <row r="251" spans="3:3" x14ac:dyDescent="0.2">
      <c r="C251" s="605"/>
    </row>
    <row r="252" spans="3:3" x14ac:dyDescent="0.2">
      <c r="C252" s="605"/>
    </row>
    <row r="253" spans="3:3" x14ac:dyDescent="0.2">
      <c r="C253" s="605"/>
    </row>
    <row r="254" spans="3:3" x14ac:dyDescent="0.2">
      <c r="C254" s="605"/>
    </row>
    <row r="255" spans="3:3" x14ac:dyDescent="0.2">
      <c r="C255" s="605"/>
    </row>
    <row r="256" spans="3:3" x14ac:dyDescent="0.2">
      <c r="C256" s="605"/>
    </row>
    <row r="257" spans="3:3" x14ac:dyDescent="0.2">
      <c r="C257" s="605"/>
    </row>
    <row r="258" spans="3:3" x14ac:dyDescent="0.2">
      <c r="C258" s="605"/>
    </row>
    <row r="259" spans="3:3" x14ac:dyDescent="0.2">
      <c r="C259" s="605"/>
    </row>
    <row r="260" spans="3:3" x14ac:dyDescent="0.2">
      <c r="C260" s="605"/>
    </row>
    <row r="261" spans="3:3" x14ac:dyDescent="0.2">
      <c r="C261" s="605"/>
    </row>
    <row r="262" spans="3:3" x14ac:dyDescent="0.2">
      <c r="C262" s="605"/>
    </row>
    <row r="263" spans="3:3" x14ac:dyDescent="0.2">
      <c r="C263" s="605"/>
    </row>
    <row r="264" spans="3:3" x14ac:dyDescent="0.2">
      <c r="C264" s="605"/>
    </row>
    <row r="265" spans="3:3" x14ac:dyDescent="0.2">
      <c r="C265" s="605"/>
    </row>
    <row r="266" spans="3:3" x14ac:dyDescent="0.2">
      <c r="C266" s="605"/>
    </row>
    <row r="267" spans="3:3" x14ac:dyDescent="0.2">
      <c r="C267" s="605"/>
    </row>
    <row r="268" spans="3:3" x14ac:dyDescent="0.2">
      <c r="C268" s="605"/>
    </row>
    <row r="269" spans="3:3" x14ac:dyDescent="0.2">
      <c r="C269" s="605"/>
    </row>
    <row r="270" spans="3:3" x14ac:dyDescent="0.2">
      <c r="C270" s="605"/>
    </row>
    <row r="271" spans="3:3" x14ac:dyDescent="0.2">
      <c r="C271" s="605"/>
    </row>
    <row r="272" spans="3:3" x14ac:dyDescent="0.2">
      <c r="C272" s="605"/>
    </row>
    <row r="273" spans="3:3" x14ac:dyDescent="0.2">
      <c r="C273" s="605"/>
    </row>
    <row r="274" spans="3:3" x14ac:dyDescent="0.2">
      <c r="C274" s="605"/>
    </row>
    <row r="275" spans="3:3" x14ac:dyDescent="0.2">
      <c r="C275" s="605"/>
    </row>
    <row r="276" spans="3:3" x14ac:dyDescent="0.2">
      <c r="C276" s="605"/>
    </row>
    <row r="277" spans="3:3" x14ac:dyDescent="0.2">
      <c r="C277" s="605"/>
    </row>
    <row r="278" spans="3:3" x14ac:dyDescent="0.2">
      <c r="C278" s="605"/>
    </row>
    <row r="279" spans="3:3" x14ac:dyDescent="0.2">
      <c r="C279" s="605"/>
    </row>
    <row r="280" spans="3:3" x14ac:dyDescent="0.2">
      <c r="C280" s="605"/>
    </row>
    <row r="281" spans="3:3" x14ac:dyDescent="0.2">
      <c r="C281" s="605"/>
    </row>
    <row r="282" spans="3:3" x14ac:dyDescent="0.2">
      <c r="C282" s="605"/>
    </row>
    <row r="283" spans="3:3" x14ac:dyDescent="0.2">
      <c r="C283" s="605"/>
    </row>
    <row r="284" spans="3:3" x14ac:dyDescent="0.2">
      <c r="C284" s="605"/>
    </row>
    <row r="285" spans="3:3" x14ac:dyDescent="0.2">
      <c r="C285" s="605"/>
    </row>
    <row r="286" spans="3:3" x14ac:dyDescent="0.2">
      <c r="C286" s="605"/>
    </row>
    <row r="287" spans="3:3" x14ac:dyDescent="0.2">
      <c r="C287" s="605"/>
    </row>
    <row r="288" spans="3:3" x14ac:dyDescent="0.2">
      <c r="C288" s="605"/>
    </row>
    <row r="289" spans="3:3" x14ac:dyDescent="0.2">
      <c r="C289" s="605"/>
    </row>
    <row r="290" spans="3:3" x14ac:dyDescent="0.2">
      <c r="C290" s="605"/>
    </row>
    <row r="291" spans="3:3" x14ac:dyDescent="0.2">
      <c r="C291" s="605"/>
    </row>
    <row r="292" spans="3:3" x14ac:dyDescent="0.2">
      <c r="C292" s="605"/>
    </row>
    <row r="293" spans="3:3" x14ac:dyDescent="0.2">
      <c r="C293" s="605"/>
    </row>
    <row r="294" spans="3:3" x14ac:dyDescent="0.2">
      <c r="C294" s="605"/>
    </row>
    <row r="295" spans="3:3" x14ac:dyDescent="0.2">
      <c r="C295" s="605"/>
    </row>
    <row r="296" spans="3:3" x14ac:dyDescent="0.2">
      <c r="C296" s="605"/>
    </row>
    <row r="297" spans="3:3" x14ac:dyDescent="0.2">
      <c r="C297" s="605"/>
    </row>
    <row r="298" spans="3:3" x14ac:dyDescent="0.2">
      <c r="C298" s="605"/>
    </row>
    <row r="299" spans="3:3" x14ac:dyDescent="0.2">
      <c r="C299" s="605"/>
    </row>
    <row r="300" spans="3:3" x14ac:dyDescent="0.2">
      <c r="C300" s="605"/>
    </row>
    <row r="301" spans="3:3" x14ac:dyDescent="0.2">
      <c r="C301" s="605"/>
    </row>
    <row r="302" spans="3:3" x14ac:dyDescent="0.2">
      <c r="C302" s="605"/>
    </row>
    <row r="303" spans="3:3" x14ac:dyDescent="0.2">
      <c r="C303" s="605"/>
    </row>
    <row r="304" spans="3:3" x14ac:dyDescent="0.2">
      <c r="C304" s="605"/>
    </row>
    <row r="305" spans="3:3" x14ac:dyDescent="0.2">
      <c r="C305" s="605"/>
    </row>
    <row r="306" spans="3:3" x14ac:dyDescent="0.2">
      <c r="C306" s="605"/>
    </row>
    <row r="307" spans="3:3" x14ac:dyDescent="0.2">
      <c r="C307" s="605"/>
    </row>
    <row r="308" spans="3:3" x14ac:dyDescent="0.2">
      <c r="C308" s="605"/>
    </row>
    <row r="309" spans="3:3" x14ac:dyDescent="0.2">
      <c r="C309" s="605"/>
    </row>
    <row r="310" spans="3:3" x14ac:dyDescent="0.2">
      <c r="C310" s="605"/>
    </row>
    <row r="311" spans="3:3" x14ac:dyDescent="0.2">
      <c r="C311" s="605"/>
    </row>
    <row r="312" spans="3:3" x14ac:dyDescent="0.2">
      <c r="C312" s="605"/>
    </row>
    <row r="313" spans="3:3" x14ac:dyDescent="0.2">
      <c r="C313" s="605"/>
    </row>
    <row r="314" spans="3:3" x14ac:dyDescent="0.2">
      <c r="C314" s="605"/>
    </row>
    <row r="315" spans="3:3" x14ac:dyDescent="0.2">
      <c r="C315" s="605"/>
    </row>
    <row r="316" spans="3:3" x14ac:dyDescent="0.2">
      <c r="C316" s="605"/>
    </row>
    <row r="317" spans="3:3" x14ac:dyDescent="0.2">
      <c r="C317" s="605"/>
    </row>
    <row r="318" spans="3:3" x14ac:dyDescent="0.2">
      <c r="C318" s="605"/>
    </row>
    <row r="319" spans="3:3" x14ac:dyDescent="0.2">
      <c r="C319" s="605"/>
    </row>
    <row r="320" spans="3:3" x14ac:dyDescent="0.2">
      <c r="C320" s="605"/>
    </row>
    <row r="321" spans="3:3" x14ac:dyDescent="0.2">
      <c r="C321" s="605"/>
    </row>
    <row r="322" spans="3:3" x14ac:dyDescent="0.2">
      <c r="C322" s="605"/>
    </row>
    <row r="323" spans="3:3" x14ac:dyDescent="0.2">
      <c r="C323" s="605"/>
    </row>
    <row r="324" spans="3:3" x14ac:dyDescent="0.2">
      <c r="C324" s="605"/>
    </row>
    <row r="325" spans="3:3" x14ac:dyDescent="0.2">
      <c r="C325" s="605"/>
    </row>
    <row r="326" spans="3:3" x14ac:dyDescent="0.2">
      <c r="C326" s="605"/>
    </row>
    <row r="327" spans="3:3" x14ac:dyDescent="0.2">
      <c r="C327" s="605"/>
    </row>
    <row r="328" spans="3:3" x14ac:dyDescent="0.2">
      <c r="C328" s="605"/>
    </row>
    <row r="329" spans="3:3" x14ac:dyDescent="0.2">
      <c r="C329" s="605"/>
    </row>
    <row r="330" spans="3:3" x14ac:dyDescent="0.2">
      <c r="C330" s="605"/>
    </row>
    <row r="331" spans="3:3" x14ac:dyDescent="0.2">
      <c r="C331" s="605"/>
    </row>
    <row r="332" spans="3:3" x14ac:dyDescent="0.2">
      <c r="C332" s="605"/>
    </row>
    <row r="333" spans="3:3" x14ac:dyDescent="0.2">
      <c r="C333" s="605"/>
    </row>
    <row r="334" spans="3:3" x14ac:dyDescent="0.2">
      <c r="C334" s="605"/>
    </row>
    <row r="335" spans="3:3" x14ac:dyDescent="0.2">
      <c r="C335" s="605"/>
    </row>
    <row r="336" spans="3:3" x14ac:dyDescent="0.2">
      <c r="C336" s="605"/>
    </row>
    <row r="337" spans="3:3" x14ac:dyDescent="0.2">
      <c r="C337" s="605"/>
    </row>
    <row r="338" spans="3:3" x14ac:dyDescent="0.2">
      <c r="C338" s="605"/>
    </row>
    <row r="339" spans="3:3" x14ac:dyDescent="0.2">
      <c r="C339" s="605"/>
    </row>
    <row r="340" spans="3:3" x14ac:dyDescent="0.2">
      <c r="C340" s="605"/>
    </row>
    <row r="341" spans="3:3" x14ac:dyDescent="0.2">
      <c r="C341" s="605"/>
    </row>
    <row r="342" spans="3:3" x14ac:dyDescent="0.2">
      <c r="C342" s="605"/>
    </row>
    <row r="343" spans="3:3" x14ac:dyDescent="0.2">
      <c r="C343" s="605"/>
    </row>
    <row r="344" spans="3:3" x14ac:dyDescent="0.2">
      <c r="C344" s="605"/>
    </row>
    <row r="345" spans="3:3" x14ac:dyDescent="0.2">
      <c r="C345" s="605"/>
    </row>
    <row r="346" spans="3:3" x14ac:dyDescent="0.2">
      <c r="C346" s="605"/>
    </row>
    <row r="347" spans="3:3" x14ac:dyDescent="0.2">
      <c r="C347" s="605"/>
    </row>
    <row r="348" spans="3:3" x14ac:dyDescent="0.2">
      <c r="C348" s="605"/>
    </row>
    <row r="349" spans="3:3" x14ac:dyDescent="0.2">
      <c r="C349" s="605"/>
    </row>
    <row r="350" spans="3:3" x14ac:dyDescent="0.2">
      <c r="C350" s="605"/>
    </row>
    <row r="351" spans="3:3" x14ac:dyDescent="0.2">
      <c r="C351" s="605"/>
    </row>
    <row r="352" spans="3:3" x14ac:dyDescent="0.2">
      <c r="C352" s="605"/>
    </row>
    <row r="353" spans="3:3" x14ac:dyDescent="0.2">
      <c r="C353" s="605"/>
    </row>
    <row r="354" spans="3:3" x14ac:dyDescent="0.2">
      <c r="C354" s="605"/>
    </row>
    <row r="355" spans="3:3" x14ac:dyDescent="0.2">
      <c r="C355" s="605"/>
    </row>
    <row r="356" spans="3:3" x14ac:dyDescent="0.2">
      <c r="C356" s="605"/>
    </row>
    <row r="357" spans="3:3" x14ac:dyDescent="0.2">
      <c r="C357" s="605"/>
    </row>
    <row r="358" spans="3:3" x14ac:dyDescent="0.2">
      <c r="C358" s="605"/>
    </row>
    <row r="359" spans="3:3" x14ac:dyDescent="0.2">
      <c r="C359" s="605"/>
    </row>
    <row r="360" spans="3:3" x14ac:dyDescent="0.2">
      <c r="C360" s="605"/>
    </row>
    <row r="361" spans="3:3" x14ac:dyDescent="0.2">
      <c r="C361" s="605"/>
    </row>
    <row r="362" spans="3:3" x14ac:dyDescent="0.2">
      <c r="C362" s="605"/>
    </row>
    <row r="363" spans="3:3" x14ac:dyDescent="0.2">
      <c r="C363" s="605"/>
    </row>
    <row r="364" spans="3:3" x14ac:dyDescent="0.2">
      <c r="C364" s="605"/>
    </row>
    <row r="365" spans="3:3" x14ac:dyDescent="0.2">
      <c r="C365" s="605"/>
    </row>
    <row r="366" spans="3:3" x14ac:dyDescent="0.2">
      <c r="C366" s="605"/>
    </row>
    <row r="367" spans="3:3" x14ac:dyDescent="0.2">
      <c r="C367" s="605"/>
    </row>
    <row r="368" spans="3:3" x14ac:dyDescent="0.2">
      <c r="C368" s="605"/>
    </row>
    <row r="369" spans="3:3" x14ac:dyDescent="0.2">
      <c r="C369" s="605"/>
    </row>
    <row r="370" spans="3:3" x14ac:dyDescent="0.2">
      <c r="C370" s="605"/>
    </row>
    <row r="371" spans="3:3" x14ac:dyDescent="0.2">
      <c r="C371" s="605"/>
    </row>
    <row r="372" spans="3:3" x14ac:dyDescent="0.2">
      <c r="C372" s="605"/>
    </row>
    <row r="373" spans="3:3" x14ac:dyDescent="0.2">
      <c r="C373" s="605"/>
    </row>
    <row r="374" spans="3:3" x14ac:dyDescent="0.2">
      <c r="C374" s="605"/>
    </row>
    <row r="375" spans="3:3" x14ac:dyDescent="0.2">
      <c r="C375" s="605"/>
    </row>
    <row r="376" spans="3:3" x14ac:dyDescent="0.2">
      <c r="C376" s="605"/>
    </row>
    <row r="377" spans="3:3" x14ac:dyDescent="0.2">
      <c r="C377" s="605"/>
    </row>
    <row r="378" spans="3:3" x14ac:dyDescent="0.2">
      <c r="C378" s="605"/>
    </row>
    <row r="379" spans="3:3" x14ac:dyDescent="0.2">
      <c r="C379" s="605"/>
    </row>
    <row r="380" spans="3:3" x14ac:dyDescent="0.2">
      <c r="C380" s="605"/>
    </row>
    <row r="381" spans="3:3" x14ac:dyDescent="0.2">
      <c r="C381" s="605"/>
    </row>
    <row r="382" spans="3:3" x14ac:dyDescent="0.2">
      <c r="C382" s="605"/>
    </row>
    <row r="383" spans="3:3" x14ac:dyDescent="0.2">
      <c r="C383" s="605"/>
    </row>
    <row r="384" spans="3:3" x14ac:dyDescent="0.2">
      <c r="C384" s="605"/>
    </row>
    <row r="385" spans="3:3" x14ac:dyDescent="0.2">
      <c r="C385" s="605"/>
    </row>
    <row r="386" spans="3:3" x14ac:dyDescent="0.2">
      <c r="C386" s="605"/>
    </row>
    <row r="387" spans="3:3" x14ac:dyDescent="0.2">
      <c r="C387" s="605"/>
    </row>
    <row r="388" spans="3:3" x14ac:dyDescent="0.2">
      <c r="C388" s="605"/>
    </row>
    <row r="389" spans="3:3" x14ac:dyDescent="0.2">
      <c r="C389" s="605"/>
    </row>
    <row r="390" spans="3:3" x14ac:dyDescent="0.2">
      <c r="C390" s="605"/>
    </row>
    <row r="391" spans="3:3" x14ac:dyDescent="0.2">
      <c r="C391" s="605"/>
    </row>
    <row r="392" spans="3:3" x14ac:dyDescent="0.2">
      <c r="C392" s="605"/>
    </row>
    <row r="393" spans="3:3" x14ac:dyDescent="0.2">
      <c r="C393" s="605"/>
    </row>
    <row r="394" spans="3:3" x14ac:dyDescent="0.2">
      <c r="C394" s="605"/>
    </row>
    <row r="395" spans="3:3" x14ac:dyDescent="0.2">
      <c r="C395" s="605"/>
    </row>
    <row r="396" spans="3:3" x14ac:dyDescent="0.2">
      <c r="C396" s="605"/>
    </row>
  </sheetData>
  <pageMargins left="0.7" right="0.7" top="0.75" bottom="0.75" header="0.3" footer="0.3"/>
  <pageSetup paperSize="9" orientation="portrait" r:id="rId1"/>
  <legacyDrawing r:id="rId2"/>
  <extLs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Inputs!G96:Q96</xm:f>
              <xm:sqref>F96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Inputs!G94:Q94</xm:f>
              <xm:sqref>F94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Inputs!G93:Q93</xm:f>
              <xm:sqref>F93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Inputs!G92:Q92</xm:f>
              <xm:sqref>F92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Inputs!G91:Q91</xm:f>
              <xm:sqref>F91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Inputs!G90:Q90</xm:f>
              <xm:sqref>F90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Inputs!G89:Q89</xm:f>
              <xm:sqref>F89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Inputs!G88:Q88</xm:f>
              <xm:sqref>F88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Inputs!G87:Q87</xm:f>
              <xm:sqref>F87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Inputs!G86:Q86</xm:f>
              <xm:sqref>F86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Inputs!G85:Q85</xm:f>
              <xm:sqref>F85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Inputs!G84:Q84</xm:f>
              <xm:sqref>F84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Inputs!G83:Q83</xm:f>
              <xm:sqref>F83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Inputs!G82:Q82</xm:f>
              <xm:sqref>F82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Inputs!G81:Q81</xm:f>
              <xm:sqref>F81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Inputs!G80:Q80</xm:f>
              <xm:sqref>F80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Inputs!G66:Q66</xm:f>
              <xm:sqref>F66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Inputs!G67:Q67</xm:f>
              <xm:sqref>F67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Inputs!G68:Q68</xm:f>
              <xm:sqref>F68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Inputs!G69:Q69</xm:f>
              <xm:sqref>F69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Inputs!G70:Q70</xm:f>
              <xm:sqref>F70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Inputs!G71:Q71</xm:f>
              <xm:sqref>F71</xm:sqref>
            </x14:sparkline>
            <x14:sparkline>
              <xm:f>Inputs!G72:Q72</xm:f>
              <xm:sqref>F72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Inputs!G73:Q73</xm:f>
              <xm:sqref>F73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Inputs!G74:Q74</xm:f>
              <xm:sqref>F74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Inputs!G75:Q75</xm:f>
              <xm:sqref>F75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Inputs!G76:Q76</xm:f>
              <xm:sqref>F76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Inputs!G77:Q77</xm:f>
              <xm:sqref>F77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Inputs!G78:Q78</xm:f>
              <xm:sqref>F78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Inputs!G79:Q79</xm:f>
              <xm:sqref>F79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Inputs!G60:Q60</xm:f>
              <xm:sqref>F60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Inputs!G59:Q59</xm:f>
              <xm:sqref>F59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Inputs!G58:Q58</xm:f>
              <xm:sqref>F58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Inputs!G57:Q57</xm:f>
              <xm:sqref>F57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Inputs!G56:Q56</xm:f>
              <xm:sqref>F56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Inputs!G55:Q55</xm:f>
              <xm:sqref>F55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Inputs!G54:Q54</xm:f>
              <xm:sqref>F54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Inputs!G53:Q53</xm:f>
              <xm:sqref>F53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Inputs!G52:Q52</xm:f>
              <xm:sqref>F52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Inputs!G51:Q51</xm:f>
              <xm:sqref>F51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Inputs!G50:Q50</xm:f>
              <xm:sqref>F50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Inputs!G49:Q49</xm:f>
              <xm:sqref>F49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Inputs!G48:Q48</xm:f>
              <xm:sqref>F48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Inputs!G47:Q47</xm:f>
              <xm:sqref>F47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Inputs!G46:Q46</xm:f>
              <xm:sqref>F46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Inputs!G42:Q42</xm:f>
              <xm:sqref>F42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Inputs!G41:Q41</xm:f>
              <xm:sqref>F41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Inputs!G40:Q40</xm:f>
              <xm:sqref>F40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Inputs!G39:Q39</xm:f>
              <xm:sqref>F39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Inputs!G38:Q38</xm:f>
              <xm:sqref>F38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Inputs!G37:Q37</xm:f>
              <xm:sqref>F37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Inputs!G36:Q36</xm:f>
              <xm:sqref>F36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Inputs!G35:Q35</xm:f>
              <xm:sqref>F35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Inputs!G32:Q32</xm:f>
              <xm:sqref>F32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Inputs!G29:Q29</xm:f>
              <xm:sqref>F29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Inputs!G27:Q27</xm:f>
              <xm:sqref>F27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Inputs!G26:Q26</xm:f>
              <xm:sqref>F26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Inputs!G25:Q25</xm:f>
              <xm:sqref>F25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Inputs!G24:Q24</xm:f>
              <xm:sqref>F24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Inputs!G23:Q23</xm:f>
              <xm:sqref>F23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Inputs!G18:Q18</xm:f>
              <xm:sqref>F18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Inputs!G17:Q17</xm:f>
              <xm:sqref>F17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Inputs!G16:Q16</xm:f>
              <xm:sqref>F16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Inputs!G15:Q15</xm:f>
              <xm:sqref>F15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Inputs!G13:Q13</xm:f>
              <xm:sqref>F13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Inputs!G12:Q12</xm:f>
              <xm:sqref>F12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Inputs!G11:Q11</xm:f>
              <xm:sqref>F11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Inputs!G10:Q10</xm:f>
              <xm:sqref>F10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Inputs!G9:Q9</xm:f>
              <xm:sqref>F9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Inputs!G8:Q8</xm:f>
              <xm:sqref>F8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Inputs!G7:Q7</xm:f>
              <xm:sqref>F7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Inputs!G6:Q6</xm:f>
              <xm:sqref>F6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Inputs!G122:P122</xm:f>
              <xm:sqref>F122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Inputs!G121:P121</xm:f>
              <xm:sqref>F121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Inputs!G120:P120</xm:f>
              <xm:sqref>F120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Inputs!G119:P119</xm:f>
              <xm:sqref>F119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Inputs!G118:P118</xm:f>
              <xm:sqref>F118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Inputs!G117:P117</xm:f>
              <xm:sqref>F117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Inputs!G115:P115</xm:f>
              <xm:sqref>F115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Inputs!G95:Q95</xm:f>
              <xm:sqref>F95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Inputs!G34:Q34</xm:f>
              <xm:sqref>F34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Inputs!G22:Q22</xm:f>
              <xm:sqref>F22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Inputs!G14:Q14</xm:f>
              <xm:sqref>F14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Inputs!G61:Q61</xm:f>
              <xm:sqref>F61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Inputs!G62:Q62</xm:f>
              <xm:sqref>F62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Inputs!G43:Q43</xm:f>
              <xm:sqref>F43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Inputs!G45:Q45</xm:f>
              <xm:sqref>F45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Inputs!G44:Q44</xm:f>
              <xm:sqref>F44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Inputs!G33:Q33</xm:f>
              <xm:sqref>F33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Inputs!G28:Q28</xm:f>
              <xm:sqref>F28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Inputs!G19:Q19</xm:f>
              <xm:sqref>F19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Inputs!G20:Q20</xm:f>
              <xm:sqref>F20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Inputs!G21:Q21</xm:f>
              <xm:sqref>F21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Inputs!G114:P114</xm:f>
              <xm:sqref>F114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Inputs!G116:P116</xm:f>
              <xm:sqref>F116</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autoPageBreaks="0"/>
  </sheetPr>
  <dimension ref="B2:N25"/>
  <sheetViews>
    <sheetView showGridLines="0" zoomScale="115" zoomScaleNormal="115" workbookViewId="0">
      <selection activeCell="P27" sqref="P27"/>
    </sheetView>
  </sheetViews>
  <sheetFormatPr defaultRowHeight="14.25" x14ac:dyDescent="0.2"/>
  <cols>
    <col min="1" max="1" width="2.375" customWidth="1"/>
    <col min="6" max="6" width="8.125" customWidth="1"/>
    <col min="7" max="7" width="12.5" bestFit="1" customWidth="1"/>
    <col min="9" max="9" width="15.375" customWidth="1"/>
    <col min="10" max="10" width="7.5" customWidth="1"/>
    <col min="13" max="13" width="33" customWidth="1"/>
    <col min="14" max="14" width="14" customWidth="1"/>
    <col min="16" max="16" width="26.75" bestFit="1" customWidth="1"/>
    <col min="17" max="17" width="10.375" bestFit="1" customWidth="1"/>
    <col min="18" max="18" width="12.125" bestFit="1" customWidth="1"/>
  </cols>
  <sheetData>
    <row r="2" spans="2:14" s="37" customFormat="1" ht="20.25" x14ac:dyDescent="0.3">
      <c r="B2" s="40" t="s">
        <v>328</v>
      </c>
    </row>
    <row r="4" spans="2:14" x14ac:dyDescent="0.2">
      <c r="B4" t="s">
        <v>477</v>
      </c>
    </row>
    <row r="5" spans="2:14" x14ac:dyDescent="0.2">
      <c r="B5" t="s">
        <v>478</v>
      </c>
    </row>
    <row r="7" spans="2:14" ht="15" x14ac:dyDescent="0.25">
      <c r="B7" s="2" t="s">
        <v>328</v>
      </c>
      <c r="C7" s="3"/>
      <c r="D7" s="3"/>
      <c r="E7" s="3"/>
      <c r="F7" s="3"/>
      <c r="G7" s="117"/>
      <c r="I7" s="2" t="s">
        <v>479</v>
      </c>
      <c r="J7" s="118" t="s">
        <v>88</v>
      </c>
      <c r="K7" s="118" t="s">
        <v>480</v>
      </c>
      <c r="M7" s="707" t="s">
        <v>147</v>
      </c>
      <c r="N7" s="708" t="s">
        <v>481</v>
      </c>
    </row>
    <row r="8" spans="2:14" ht="3.95" customHeight="1" x14ac:dyDescent="0.25">
      <c r="B8" s="119"/>
      <c r="C8" s="120"/>
      <c r="D8" s="120"/>
      <c r="E8" s="120"/>
      <c r="F8" s="120"/>
      <c r="G8" s="121"/>
      <c r="I8" s="120"/>
      <c r="J8" s="122"/>
      <c r="K8" s="123"/>
      <c r="M8" s="709" t="s">
        <v>482</v>
      </c>
      <c r="N8" s="709"/>
    </row>
    <row r="9" spans="2:14" x14ac:dyDescent="0.2">
      <c r="B9" s="124" t="s">
        <v>483</v>
      </c>
      <c r="G9" s="125" t="e" cm="1">
        <f t="array" aca="1" ref="G9" ca="1">+_FV(DCF!R4,"Market cap",TRUE)/1000000</f>
        <v>#NAME?</v>
      </c>
      <c r="J9" s="126"/>
      <c r="K9" s="127"/>
      <c r="M9" s="124" t="str">
        <f ca="1">+Peers!B8</f>
        <v/>
      </c>
      <c r="N9" s="711" t="str">
        <f>+Peers!E75</f>
        <v>#N/A Invalid Security</v>
      </c>
    </row>
    <row r="10" spans="2:14" x14ac:dyDescent="0.2">
      <c r="B10" t="s">
        <v>484</v>
      </c>
      <c r="G10" s="17" t="str">
        <f ca="1">IFERROR(G9/G23,"")</f>
        <v/>
      </c>
      <c r="J10" s="126"/>
      <c r="K10" s="127"/>
      <c r="M10" s="124" t="str">
        <f ca="1">+Peers!B9</f>
        <v/>
      </c>
      <c r="N10" s="711" t="str">
        <f>+Peers!F75</f>
        <v>#N/A Invalid Security</v>
      </c>
    </row>
    <row r="11" spans="2:14" x14ac:dyDescent="0.2">
      <c r="B11" t="s">
        <v>485</v>
      </c>
      <c r="G11" s="32" t="str">
        <f ca="1">IFERROR(G12+G14*G15,"")</f>
        <v/>
      </c>
      <c r="J11" s="126"/>
      <c r="K11" s="127"/>
      <c r="M11" s="124" t="str">
        <f ca="1">+Peers!B10</f>
        <v/>
      </c>
      <c r="N11" s="711" t="str">
        <f>+Peers!G75</f>
        <v>#N/A Invalid Security</v>
      </c>
    </row>
    <row r="12" spans="2:14" x14ac:dyDescent="0.2">
      <c r="B12" t="s">
        <v>486</v>
      </c>
      <c r="G12" s="128"/>
      <c r="J12" s="126"/>
      <c r="K12" s="127"/>
      <c r="M12" s="124" t="str">
        <f ca="1">+Peers!B11</f>
        <v/>
      </c>
      <c r="N12" s="711" t="str">
        <f>+Peers!H75</f>
        <v>#N/A Invalid Security</v>
      </c>
    </row>
    <row r="13" spans="2:14" x14ac:dyDescent="0.2">
      <c r="B13" t="s">
        <v>487</v>
      </c>
      <c r="G13" s="129" t="str">
        <f>+N19</f>
        <v/>
      </c>
      <c r="J13" s="126"/>
      <c r="K13" s="127"/>
      <c r="M13" s="124" t="str">
        <f ca="1">+Peers!B12</f>
        <v/>
      </c>
      <c r="N13" s="711" t="str">
        <f>+Peers!I75</f>
        <v>#N/A Invalid Security</v>
      </c>
    </row>
    <row r="14" spans="2:14" x14ac:dyDescent="0.2">
      <c r="B14" t="s">
        <v>33</v>
      </c>
      <c r="G14" s="770" t="str">
        <f ca="1">+IFERROR(G13*(1+(1-G21)*(G18/G9)),"")</f>
        <v/>
      </c>
      <c r="I14" t="s">
        <v>109</v>
      </c>
      <c r="J14" s="32">
        <f>1-SUM(J9:J13)</f>
        <v>1</v>
      </c>
      <c r="K14" s="32">
        <f>MAX(K9:K13)</f>
        <v>0</v>
      </c>
      <c r="M14" s="124" t="str">
        <f ca="1">+Peers!B13</f>
        <v/>
      </c>
      <c r="N14" s="711" t="str">
        <f>+Peers!J75</f>
        <v>#N/A Invalid Security</v>
      </c>
    </row>
    <row r="15" spans="2:14" x14ac:dyDescent="0.2">
      <c r="B15" t="s">
        <v>488</v>
      </c>
      <c r="G15" s="412">
        <f>SUMPRODUCT(J9:J14,K9:K14)</f>
        <v>0</v>
      </c>
      <c r="J15" s="32"/>
      <c r="K15" s="32"/>
      <c r="M15" s="124" t="str">
        <f ca="1">+Peers!B14</f>
        <v/>
      </c>
      <c r="N15" s="711" t="str">
        <f>+Peers!K75</f>
        <v>#N/A Invalid Security</v>
      </c>
    </row>
    <row r="16" spans="2:14" ht="15" x14ac:dyDescent="0.25">
      <c r="B16" s="1" t="s">
        <v>489</v>
      </c>
      <c r="G16" s="32" t="str">
        <f>IFERROR(+G12+G13*G15,"")</f>
        <v/>
      </c>
      <c r="J16" s="32"/>
      <c r="K16" s="32"/>
      <c r="M16" s="124" t="str">
        <f ca="1">+Peers!B15</f>
        <v/>
      </c>
      <c r="N16" s="711" t="str">
        <f>+Peers!L75</f>
        <v>#N/A Invalid Security</v>
      </c>
    </row>
    <row r="17" spans="2:14" x14ac:dyDescent="0.2">
      <c r="M17" s="124" t="str">
        <f ca="1">+Peers!B16</f>
        <v/>
      </c>
      <c r="N17" s="711" t="str">
        <f>+Peers!M75</f>
        <v>#N/A Invalid Security</v>
      </c>
    </row>
    <row r="18" spans="2:14" x14ac:dyDescent="0.2">
      <c r="B18" s="124" t="s">
        <v>490</v>
      </c>
      <c r="G18" s="130">
        <v>0</v>
      </c>
      <c r="M18" s="124" t="str">
        <f ca="1">+Peers!B17</f>
        <v/>
      </c>
      <c r="N18" s="711" t="str">
        <f>+Peers!N75</f>
        <v>#N/A Invalid Security</v>
      </c>
    </row>
    <row r="19" spans="2:14" ht="15" x14ac:dyDescent="0.25">
      <c r="B19" t="s">
        <v>357</v>
      </c>
      <c r="G19" s="17" t="str">
        <f ca="1">IFERROR(G18/G23,"")</f>
        <v/>
      </c>
      <c r="M19" s="710" t="s">
        <v>153</v>
      </c>
      <c r="N19" s="712" t="str">
        <f>IFERROR(+AVERAGEIF(N9:N18,"&gt;0"),"")</f>
        <v/>
      </c>
    </row>
    <row r="20" spans="2:14" x14ac:dyDescent="0.2">
      <c r="B20" t="s">
        <v>491</v>
      </c>
      <c r="G20" s="128">
        <v>0</v>
      </c>
    </row>
    <row r="21" spans="2:14" x14ac:dyDescent="0.2">
      <c r="B21" t="s">
        <v>492</v>
      </c>
      <c r="G21" s="128" t="str">
        <f ca="1">+DCF!H79</f>
        <v/>
      </c>
    </row>
    <row r="23" spans="2:14" x14ac:dyDescent="0.2">
      <c r="B23" t="s">
        <v>89</v>
      </c>
      <c r="G23" s="27" t="e">
        <f ca="1">+G9+G18</f>
        <v>#NAME?</v>
      </c>
    </row>
    <row r="25" spans="2:14" ht="15" x14ac:dyDescent="0.25">
      <c r="B25" s="1" t="s">
        <v>328</v>
      </c>
      <c r="G25" s="131" t="str">
        <f ca="1">IFERROR(G10*G11+G19*G20*(1-G21),"")</f>
        <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B1:T76"/>
  <sheetViews>
    <sheetView showGridLines="0" topLeftCell="A9" zoomScale="61" zoomScaleNormal="100" workbookViewId="0">
      <selection activeCell="F36" sqref="F36"/>
    </sheetView>
  </sheetViews>
  <sheetFormatPr defaultRowHeight="14.25" x14ac:dyDescent="0.2"/>
  <cols>
    <col min="1" max="1" width="1.625" customWidth="1"/>
    <col min="2" max="2" width="15.625" style="8" customWidth="1"/>
    <col min="4" max="4" width="16.125" customWidth="1"/>
    <col min="5" max="13" width="13.375" customWidth="1"/>
    <col min="14" max="17" width="12.75" style="26" customWidth="1"/>
    <col min="18" max="18" width="12.75" customWidth="1"/>
  </cols>
  <sheetData>
    <row r="1" spans="2:19" x14ac:dyDescent="0.2">
      <c r="R1" s="26"/>
    </row>
    <row r="2" spans="2:19" s="258" customFormat="1" ht="20.100000000000001" customHeight="1" x14ac:dyDescent="0.3">
      <c r="B2" s="257" t="s">
        <v>493</v>
      </c>
      <c r="C2" s="501"/>
      <c r="D2" s="501"/>
      <c r="E2" s="501"/>
      <c r="F2" s="501"/>
      <c r="G2" s="501"/>
      <c r="H2" s="501"/>
      <c r="I2" s="501"/>
      <c r="J2" s="501"/>
      <c r="K2" s="501"/>
      <c r="L2" s="501"/>
      <c r="M2" s="501"/>
      <c r="N2" s="502"/>
      <c r="O2" s="502"/>
      <c r="P2" s="502"/>
      <c r="Q2" s="259"/>
      <c r="R2" s="259"/>
      <c r="S2" s="501"/>
    </row>
    <row r="3" spans="2:19" x14ac:dyDescent="0.2">
      <c r="R3" s="26"/>
    </row>
    <row r="4" spans="2:19" ht="15.75" x14ac:dyDescent="0.25">
      <c r="B4" s="7" t="s">
        <v>494</v>
      </c>
      <c r="C4" s="56"/>
      <c r="D4" s="58"/>
      <c r="E4" s="58"/>
      <c r="F4" s="389">
        <v>2014</v>
      </c>
      <c r="G4" s="389">
        <f t="shared" ref="G4:J4" si="0">+F4+1</f>
        <v>2015</v>
      </c>
      <c r="H4" s="389">
        <f t="shared" si="0"/>
        <v>2016</v>
      </c>
      <c r="I4" s="389">
        <f t="shared" si="0"/>
        <v>2017</v>
      </c>
      <c r="J4" s="389">
        <f t="shared" si="0"/>
        <v>2018</v>
      </c>
      <c r="K4" s="389">
        <f t="shared" ref="K4" si="1">+J4+1</f>
        <v>2019</v>
      </c>
      <c r="L4" s="389">
        <f t="shared" ref="L4" si="2">+K4+1</f>
        <v>2020</v>
      </c>
      <c r="M4" s="389">
        <f t="shared" ref="M4" si="3">+L4+1</f>
        <v>2021</v>
      </c>
      <c r="N4" s="389">
        <v>2022</v>
      </c>
      <c r="O4" s="389">
        <f t="shared" ref="O4" si="4">+N4+1</f>
        <v>2023</v>
      </c>
      <c r="P4" s="390">
        <f>+O4+1</f>
        <v>2024</v>
      </c>
      <c r="Q4" s="388">
        <f>+P4+1</f>
        <v>2025</v>
      </c>
      <c r="R4" s="388">
        <f>+Q4+1</f>
        <v>2026</v>
      </c>
    </row>
    <row r="5" spans="2:19" ht="3.95" customHeight="1" x14ac:dyDescent="0.2">
      <c r="B5" s="260"/>
      <c r="C5" s="53"/>
      <c r="D5" s="60"/>
      <c r="E5" s="60"/>
      <c r="F5" s="60"/>
      <c r="G5" s="60"/>
      <c r="H5" s="60"/>
      <c r="I5" s="60"/>
      <c r="J5" s="60"/>
      <c r="K5" s="60"/>
      <c r="L5" s="60"/>
      <c r="M5" s="60"/>
      <c r="N5" s="236"/>
      <c r="O5" s="236"/>
      <c r="P5" s="369"/>
      <c r="Q5" s="236"/>
      <c r="R5" s="236"/>
    </row>
    <row r="6" spans="2:19" ht="15" x14ac:dyDescent="0.2">
      <c r="B6" s="15" t="s">
        <v>7</v>
      </c>
      <c r="F6" s="16" t="str">
        <f ca="1">IFERROR(_xlfn.XLOOKUP("Enterprise Value",Inputs!$B:$B,Inputs!G:G)/_xlfn.XLOOKUP("Revenue (Sales)",Inputs!$B:$B,Inputs!G:G),"")</f>
        <v/>
      </c>
      <c r="G6" s="16" t="str">
        <f ca="1">IFERROR(_xlfn.XLOOKUP("Enterprise Value",Inputs!$B:$B,Inputs!H:H)/_xlfn.XLOOKUP("Revenue (Sales)",Inputs!$B:$B,Inputs!H:H),"")</f>
        <v/>
      </c>
      <c r="H6" s="16" t="str">
        <f ca="1">IFERROR(_xlfn.XLOOKUP("Enterprise Value",Inputs!$B:$B,Inputs!I:I)/_xlfn.XLOOKUP("Revenue (Sales)",Inputs!$B:$B,Inputs!I:I),"")</f>
        <v/>
      </c>
      <c r="I6" s="16" t="str">
        <f ca="1">IFERROR(_xlfn.XLOOKUP("Enterprise Value",Inputs!$B:$B,Inputs!J:J)/_xlfn.XLOOKUP("Revenue (Sales)",Inputs!$B:$B,Inputs!J:J),"")</f>
        <v/>
      </c>
      <c r="J6" s="16" t="str">
        <f ca="1">IFERROR(_xlfn.XLOOKUP("Enterprise Value",Inputs!$B:$B,Inputs!K:K)/_xlfn.XLOOKUP("Revenue (Sales)",Inputs!$B:$B,Inputs!K:K),"")</f>
        <v/>
      </c>
      <c r="K6" s="16" t="str">
        <f ca="1">IFERROR(_xlfn.XLOOKUP("Enterprise Value",Inputs!$B:$B,Inputs!L:L)/_xlfn.XLOOKUP("Revenue (Sales)",Inputs!$B:$B,Inputs!L:L),"")</f>
        <v/>
      </c>
      <c r="L6" s="16" t="str">
        <f ca="1">IFERROR(_xlfn.XLOOKUP("Enterprise Value",Inputs!$B:$B,Inputs!M:M)/_xlfn.XLOOKUP("Revenue (Sales)",Inputs!$B:$B,Inputs!M:M),"")</f>
        <v/>
      </c>
      <c r="M6" s="16" t="str">
        <f ca="1">IFERROR(_xlfn.XLOOKUP("Enterprise Value",Inputs!$B:$B,Inputs!N:N)/_xlfn.XLOOKUP("Revenue (Sales)",Inputs!$B:$B,Inputs!N:N),"")</f>
        <v/>
      </c>
      <c r="N6" s="16" t="str">
        <f ca="1">IFERROR(_xlfn.XLOOKUP("Enterprise Value",Inputs!$B:$B,Inputs!O:O)/_xlfn.XLOOKUP("Revenue (Sales)",Inputs!$B:$B,Inputs!O:O),"")</f>
        <v/>
      </c>
      <c r="O6" s="16" t="str">
        <f ca="1">IFERROR(_xlfn.XLOOKUP("Enterprise Value",Inputs!$B:$B,Inputs!P:P)/_xlfn.XLOOKUP("Revenue (Sales)",Inputs!$B:$B,Inputs!P:P),"")</f>
        <v/>
      </c>
      <c r="P6" s="367" t="str">
        <f ca="1">IFERROR(_xlfn.XLOOKUP("Enterprise Value",Inputs!$B:$B,Inputs!Q:Q)/_xlfn.XLOOKUP("Revenue (Sales)",Inputs!$B:$B,Inputs!Q:Q),"")</f>
        <v/>
      </c>
      <c r="Q6" s="374" t="str">
        <f ca="1">IFERROR(_xlfn.XLOOKUP("Enterprise Value",DCF!$B:$B,DCF!R:R)/_xlfn.XLOOKUP("Revenue (Sales)",DCF!$B:$B,DCF!H:H),"")</f>
        <v/>
      </c>
      <c r="R6" s="374" t="str">
        <f ca="1">IFERROR(_xlfn.XLOOKUP("Enterprise Value",DCF!$B:$B,DCF!S:S)/_xlfn.XLOOKUP("Revenue (Sales)",DCF!$B:$B,DCF!I:I),"")</f>
        <v/>
      </c>
    </row>
    <row r="7" spans="2:19" ht="15" x14ac:dyDescent="0.2">
      <c r="B7" s="18" t="s">
        <v>9</v>
      </c>
      <c r="F7" s="16" t="str">
        <f ca="1">IFERROR(_xlfn.XLOOKUP("Market Capitalization",Inputs!$B:$B,Inputs!G:G)/_xlfn.XLOOKUP("Revenue (Sales)",Inputs!$B:$B,Inputs!G:G),"")</f>
        <v/>
      </c>
      <c r="G7" s="16" t="str">
        <f ca="1">IFERROR(_xlfn.XLOOKUP("Market Capitalization",Inputs!$B:$B,Inputs!H:H)/_xlfn.XLOOKUP("Revenue (Sales)",Inputs!$B:$B,Inputs!H:H),"")</f>
        <v/>
      </c>
      <c r="H7" s="16" t="str">
        <f ca="1">IFERROR(_xlfn.XLOOKUP("Market Capitalization",Inputs!$B:$B,Inputs!I:I)/_xlfn.XLOOKUP("Revenue (Sales)",Inputs!$B:$B,Inputs!I:I),"")</f>
        <v/>
      </c>
      <c r="I7" s="16" t="str">
        <f ca="1">IFERROR(_xlfn.XLOOKUP("Market Capitalization",Inputs!$B:$B,Inputs!J:J)/_xlfn.XLOOKUP("Revenue (Sales)",Inputs!$B:$B,Inputs!J:J),"")</f>
        <v/>
      </c>
      <c r="J7" s="16" t="str">
        <f ca="1">IFERROR(_xlfn.XLOOKUP("Market Capitalization",Inputs!$B:$B,Inputs!K:K)/_xlfn.XLOOKUP("Revenue (Sales)",Inputs!$B:$B,Inputs!K:K),"")</f>
        <v/>
      </c>
      <c r="K7" s="16" t="str">
        <f ca="1">IFERROR(_xlfn.XLOOKUP("Market Capitalization",Inputs!$B:$B,Inputs!L:L)/_xlfn.XLOOKUP("Revenue (Sales)",Inputs!$B:$B,Inputs!L:L),"")</f>
        <v/>
      </c>
      <c r="L7" s="16" t="str">
        <f ca="1">IFERROR(_xlfn.XLOOKUP("Market Capitalization",Inputs!$B:$B,Inputs!M:M)/_xlfn.XLOOKUP("Revenue (Sales)",Inputs!$B:$B,Inputs!M:M),"")</f>
        <v/>
      </c>
      <c r="M7" s="16" t="str">
        <f ca="1">IFERROR(_xlfn.XLOOKUP("Market Capitalization",Inputs!$B:$B,Inputs!N:N)/_xlfn.XLOOKUP("Revenue (Sales)",Inputs!$B:$B,Inputs!N:N),"")</f>
        <v/>
      </c>
      <c r="N7" s="16" t="str">
        <f ca="1">IFERROR(_xlfn.XLOOKUP("Market Capitalization",Inputs!$B:$B,Inputs!O:O)/_xlfn.XLOOKUP("Revenue (Sales)",Inputs!$B:$B,Inputs!O:O),"")</f>
        <v/>
      </c>
      <c r="O7" s="16" t="str">
        <f ca="1">IFERROR(_xlfn.XLOOKUP("Market Capitalization",Inputs!$B:$B,Inputs!P:P)/_xlfn.XLOOKUP("Revenue (Sales)",Inputs!$B:$B,Inputs!P:P),"")</f>
        <v/>
      </c>
      <c r="P7" s="367" t="str">
        <f ca="1">IFERROR(_xlfn.XLOOKUP("Market Capitalization",Inputs!$B:$B,Inputs!Q:Q)/_xlfn.XLOOKUP("Revenue (Sales)",Inputs!$B:$B,Inputs!Q:Q),"")</f>
        <v/>
      </c>
      <c r="Q7" s="374" t="str">
        <f ca="1">IFERROR(_xlfn.XLOOKUP("Equity Value",DCF!$B:$B,DCF!R:R)/_xlfn.XLOOKUP("Revenue (Sales)",DCF!$B:$B,DCF!H:H),"")</f>
        <v/>
      </c>
      <c r="R7" s="374" t="str">
        <f ca="1">IFERROR(_xlfn.XLOOKUP("Equity Value",DCF!$B:$B,DCF!S:S)/_xlfn.XLOOKUP("Revenue (Sales)",DCF!$B:$B,DCF!I:I),"")</f>
        <v/>
      </c>
    </row>
    <row r="8" spans="2:19" ht="15" x14ac:dyDescent="0.2">
      <c r="B8" s="261" t="s">
        <v>11</v>
      </c>
      <c r="F8" s="16" t="str">
        <f ca="1">IFERROR(_xlfn.XLOOKUP("Enterprise Value",Inputs!$B:$B,Inputs!G:G)/_xlfn.XLOOKUP("EBITDA",Inputs!$B:$B,Inputs!G:G),"")</f>
        <v/>
      </c>
      <c r="G8" s="16" t="str">
        <f ca="1">IFERROR(_xlfn.XLOOKUP("Enterprise Value",Inputs!$B:$B,Inputs!H:H)/_xlfn.XLOOKUP("EBITDA",Inputs!$B:$B,Inputs!H:H),"")</f>
        <v/>
      </c>
      <c r="H8" s="16" t="str">
        <f ca="1">IFERROR(_xlfn.XLOOKUP("Enterprise Value",Inputs!$B:$B,Inputs!I:I)/_xlfn.XLOOKUP("EBITDA",Inputs!$B:$B,Inputs!I:I),"")</f>
        <v/>
      </c>
      <c r="I8" s="16" t="str">
        <f ca="1">IFERROR(_xlfn.XLOOKUP("Enterprise Value",Inputs!$B:$B,Inputs!J:J)/_xlfn.XLOOKUP("EBITDA",Inputs!$B:$B,Inputs!J:J),"")</f>
        <v/>
      </c>
      <c r="J8" s="16" t="str">
        <f ca="1">IFERROR(_xlfn.XLOOKUP("Enterprise Value",Inputs!$B:$B,Inputs!K:K)/_xlfn.XLOOKUP("EBITDA",Inputs!$B:$B,Inputs!K:K),"")</f>
        <v/>
      </c>
      <c r="K8" s="16" t="str">
        <f ca="1">IFERROR(_xlfn.XLOOKUP("Enterprise Value",Inputs!$B:$B,Inputs!L:L)/_xlfn.XLOOKUP("EBITDA",Inputs!$B:$B,Inputs!L:L),"")</f>
        <v/>
      </c>
      <c r="L8" s="16" t="str">
        <f ca="1">IFERROR(_xlfn.XLOOKUP("Enterprise Value",Inputs!$B:$B,Inputs!M:M)/_xlfn.XLOOKUP("EBITDA",Inputs!$B:$B,Inputs!M:M),"")</f>
        <v/>
      </c>
      <c r="M8" s="16" t="str">
        <f ca="1">IFERROR(_xlfn.XLOOKUP("Enterprise Value",Inputs!$B:$B,Inputs!N:N)/_xlfn.XLOOKUP("EBITDA",Inputs!$B:$B,Inputs!N:N),"")</f>
        <v/>
      </c>
      <c r="N8" s="16" t="str">
        <f ca="1">IFERROR(_xlfn.XLOOKUP("Enterprise Value",Inputs!$B:$B,Inputs!O:O)/_xlfn.XLOOKUP("EBITDA",Inputs!$B:$B,Inputs!O:O),"")</f>
        <v/>
      </c>
      <c r="O8" s="16" t="str">
        <f ca="1">IFERROR(_xlfn.XLOOKUP("Enterprise Value",Inputs!$B:$B,Inputs!P:P)/_xlfn.XLOOKUP("EBITDA",Inputs!$B:$B,Inputs!P:P),"")</f>
        <v/>
      </c>
      <c r="P8" s="367" t="str">
        <f ca="1">IFERROR(_xlfn.XLOOKUP("Enterprise Value",Inputs!$B:$B,Inputs!Q:Q)/_xlfn.XLOOKUP("EBITDA",Inputs!$B:$B,Inputs!Q:Q),"")</f>
        <v/>
      </c>
      <c r="Q8" s="374" t="str">
        <f ca="1">IFERROR(_xlfn.XLOOKUP("Enterprise Value",DCF!$B:$B,DCF!R:R)/_xlfn.XLOOKUP("EBITDA",DCF!$B:$B,DCF!H:H),"")</f>
        <v/>
      </c>
      <c r="R8" s="374" t="str">
        <f ca="1">IFERROR(_xlfn.XLOOKUP("Enterprise Value",DCF!$B:$B,DCF!S:S)/_xlfn.XLOOKUP("EBITDA",DCF!$B:$B,DCF!I:I),"")</f>
        <v/>
      </c>
    </row>
    <row r="9" spans="2:19" ht="15" x14ac:dyDescent="0.2">
      <c r="B9" s="261" t="s">
        <v>13</v>
      </c>
      <c r="F9" s="16" t="str">
        <f ca="1">IFERROR(_xlfn.XLOOKUP("Enterprise Value",Inputs!$B:$B,Inputs!G:G)/_xlfn.XLOOKUP("Operating Income (EBIT)",Inputs!$B:$B,Inputs!G:G),"")</f>
        <v/>
      </c>
      <c r="G9" s="16" t="str">
        <f ca="1">IFERROR(_xlfn.XLOOKUP("Enterprise Value",Inputs!$B:$B,Inputs!H:H)/_xlfn.XLOOKUP("Operating Income (EBIT)",Inputs!$B:$B,Inputs!H:H),"")</f>
        <v/>
      </c>
      <c r="H9" s="16" t="str">
        <f ca="1">IFERROR(_xlfn.XLOOKUP("Enterprise Value",Inputs!$B:$B,Inputs!I:I)/_xlfn.XLOOKUP("Operating Income (EBIT)",Inputs!$B:$B,Inputs!I:I),"")</f>
        <v/>
      </c>
      <c r="I9" s="16" t="str">
        <f ca="1">IFERROR(_xlfn.XLOOKUP("Enterprise Value",Inputs!$B:$B,Inputs!J:J)/_xlfn.XLOOKUP("Operating Income (EBIT)",Inputs!$B:$B,Inputs!J:J),"")</f>
        <v/>
      </c>
      <c r="J9" s="16" t="str">
        <f ca="1">IFERROR(_xlfn.XLOOKUP("Enterprise Value",Inputs!$B:$B,Inputs!K:K)/_xlfn.XLOOKUP("Operating Income (EBIT)",Inputs!$B:$B,Inputs!K:K),"")</f>
        <v/>
      </c>
      <c r="K9" s="16" t="str">
        <f ca="1">IFERROR(_xlfn.XLOOKUP("Enterprise Value",Inputs!$B:$B,Inputs!L:L)/_xlfn.XLOOKUP("Operating Income (EBIT)",Inputs!$B:$B,Inputs!L:L),"")</f>
        <v/>
      </c>
      <c r="L9" s="16" t="str">
        <f ca="1">IFERROR(_xlfn.XLOOKUP("Enterprise Value",Inputs!$B:$B,Inputs!M:M)/_xlfn.XLOOKUP("Operating Income (EBIT)",Inputs!$B:$B,Inputs!M:M),"")</f>
        <v/>
      </c>
      <c r="M9" s="16" t="str">
        <f ca="1">IFERROR(_xlfn.XLOOKUP("Enterprise Value",Inputs!$B:$B,Inputs!N:N)/_xlfn.XLOOKUP("Operating Income (EBIT)",Inputs!$B:$B,Inputs!N:N),"")</f>
        <v/>
      </c>
      <c r="N9" s="16" t="str">
        <f ca="1">IFERROR(_xlfn.XLOOKUP("Enterprise Value",Inputs!$B:$B,Inputs!O:O)/_xlfn.XLOOKUP("Operating Income (EBIT)",Inputs!$B:$B,Inputs!O:O),"")</f>
        <v/>
      </c>
      <c r="O9" s="16" t="str">
        <f ca="1">IFERROR(_xlfn.XLOOKUP("Enterprise Value",Inputs!$B:$B,Inputs!P:P)/_xlfn.XLOOKUP("Operating Income (EBIT)",Inputs!$B:$B,Inputs!P:P),"")</f>
        <v/>
      </c>
      <c r="P9" s="367" t="str">
        <f ca="1">IFERROR(_xlfn.XLOOKUP("Enterprise Value",Inputs!$B:$B,Inputs!Q:Q)/_xlfn.XLOOKUP("Operating Income (EBIT)",Inputs!$B:$B,Inputs!Q:Q),"")</f>
        <v/>
      </c>
      <c r="Q9" s="374" t="str">
        <f ca="1">IFERROR(_xlfn.XLOOKUP("Enterprise Value",DCF!$B:$B,DCF!R:R)/_xlfn.XLOOKUP("Operating Income (EBIT)",DCF!$B:$B,DCF!H:H),"")</f>
        <v/>
      </c>
      <c r="R9" s="374" t="str">
        <f ca="1">IFERROR(_xlfn.XLOOKUP("Enterprise Value",DCF!$B:$B,DCF!S:S)/_xlfn.XLOOKUP("Operating Income (EBIT)",DCF!$B:$B,DCF!I:I),"")</f>
        <v/>
      </c>
    </row>
    <row r="10" spans="2:19" ht="15" x14ac:dyDescent="0.2">
      <c r="B10" s="18" t="s">
        <v>15</v>
      </c>
      <c r="F10" s="16" t="str">
        <f ca="1">IFERROR(_xlfn.XLOOKUP("Market Capitalization",Inputs!$B:$B,Inputs!G:G)/_xlfn.XLOOKUP("Net Income",Inputs!$B:$B,Inputs!G:G),"")</f>
        <v/>
      </c>
      <c r="G10" s="16" t="str">
        <f ca="1">IFERROR(_xlfn.XLOOKUP("Market Capitalization",Inputs!$B:$B,Inputs!H:H)/_xlfn.XLOOKUP("Net Income",Inputs!$B:$B,Inputs!H:H),"")</f>
        <v/>
      </c>
      <c r="H10" s="16" t="str">
        <f ca="1">IFERROR(_xlfn.XLOOKUP("Market Capitalization",Inputs!$B:$B,Inputs!I:I)/_xlfn.XLOOKUP("Net Income",Inputs!$B:$B,Inputs!I:I),"")</f>
        <v/>
      </c>
      <c r="I10" s="16" t="str">
        <f ca="1">IFERROR(_xlfn.XLOOKUP("Market Capitalization",Inputs!$B:$B,Inputs!J:J)/_xlfn.XLOOKUP("Net Income",Inputs!$B:$B,Inputs!J:J),"")</f>
        <v/>
      </c>
      <c r="J10" s="16" t="str">
        <f ca="1">IFERROR(_xlfn.XLOOKUP("Market Capitalization",Inputs!$B:$B,Inputs!K:K)/_xlfn.XLOOKUP("Net Income",Inputs!$B:$B,Inputs!K:K),"")</f>
        <v/>
      </c>
      <c r="K10" s="16" t="str">
        <f ca="1">IFERROR(_xlfn.XLOOKUP("Market Capitalization",Inputs!$B:$B,Inputs!L:L)/_xlfn.XLOOKUP("Net Income",Inputs!$B:$B,Inputs!L:L),"")</f>
        <v/>
      </c>
      <c r="L10" s="16" t="str">
        <f ca="1">IFERROR(_xlfn.XLOOKUP("Market Capitalization",Inputs!$B:$B,Inputs!M:M)/_xlfn.XLOOKUP("Net Income",Inputs!$B:$B,Inputs!M:M),"")</f>
        <v/>
      </c>
      <c r="M10" s="16" t="str">
        <f ca="1">IFERROR(_xlfn.XLOOKUP("Market Capitalization",Inputs!$B:$B,Inputs!N:N)/_xlfn.XLOOKUP("Net Income",Inputs!$B:$B,Inputs!N:N),"")</f>
        <v/>
      </c>
      <c r="N10" s="16" t="str">
        <f ca="1">IFERROR(_xlfn.XLOOKUP("Market Capitalization",Inputs!$B:$B,Inputs!O:O)/_xlfn.XLOOKUP("Net Income",Inputs!$B:$B,Inputs!O:O),"")</f>
        <v/>
      </c>
      <c r="O10" s="16" t="str">
        <f ca="1">IFERROR(_xlfn.XLOOKUP("Market Capitalization",Inputs!$B:$B,Inputs!P:P)/_xlfn.XLOOKUP("Net Income",Inputs!$B:$B,Inputs!P:P),"")</f>
        <v/>
      </c>
      <c r="P10" s="367" t="str">
        <f ca="1">IFERROR(_xlfn.XLOOKUP("Market Capitalization",Inputs!$B:$B,Inputs!Q:Q)/_xlfn.XLOOKUP("Net Income",Inputs!$B:$B,Inputs!Q:Q),"")</f>
        <v/>
      </c>
      <c r="Q10" s="374" t="str">
        <f ca="1">IFERROR(_xlfn.XLOOKUP("Equity Value",DCF!$B:$B,DCF!R:R)/_xlfn.XLOOKUP("Net Income",DCF!$B:$B,DCF!H:H),"")</f>
        <v/>
      </c>
      <c r="R10" s="374" t="str">
        <f ca="1">IFERROR(_xlfn.XLOOKUP("Equity Value",DCF!$B:$B,DCF!S:S)/_xlfn.XLOOKUP("Net Income",DCF!$B:$B,DCF!I:I),"")</f>
        <v/>
      </c>
    </row>
    <row r="11" spans="2:19" ht="15" x14ac:dyDescent="0.2">
      <c r="B11" s="261" t="s">
        <v>16</v>
      </c>
      <c r="F11" s="16" t="str">
        <f ca="1">IFERROR(_xlfn.XLOOKUP("Market Capitalization",Inputs!$B:$B,Inputs!G:G)/_xlfn.XLOOKUP("Shareholder's Equity",Inputs!$B:$B,Inputs!G:G),"")</f>
        <v/>
      </c>
      <c r="G11" s="16" t="str">
        <f ca="1">IFERROR(_xlfn.XLOOKUP("Market Capitalization",Inputs!$B:$B,Inputs!H:H)/_xlfn.XLOOKUP("Shareholder's Equity",Inputs!$B:$B,Inputs!H:H),"")</f>
        <v/>
      </c>
      <c r="H11" s="16" t="str">
        <f ca="1">IFERROR(_xlfn.XLOOKUP("Market Capitalization",Inputs!$B:$B,Inputs!I:I)/_xlfn.XLOOKUP("Shareholder's Equity",Inputs!$B:$B,Inputs!I:I),"")</f>
        <v/>
      </c>
      <c r="I11" s="16" t="str">
        <f ca="1">IFERROR(_xlfn.XLOOKUP("Market Capitalization",Inputs!$B:$B,Inputs!J:J)/_xlfn.XLOOKUP("Shareholder's Equity",Inputs!$B:$B,Inputs!J:J),"")</f>
        <v/>
      </c>
      <c r="J11" s="16" t="str">
        <f ca="1">IFERROR(_xlfn.XLOOKUP("Market Capitalization",Inputs!$B:$B,Inputs!K:K)/_xlfn.XLOOKUP("Shareholder's Equity",Inputs!$B:$B,Inputs!K:K),"")</f>
        <v/>
      </c>
      <c r="K11" s="16" t="str">
        <f ca="1">IFERROR(_xlfn.XLOOKUP("Market Capitalization",Inputs!$B:$B,Inputs!L:L)/_xlfn.XLOOKUP("Shareholder's Equity",Inputs!$B:$B,Inputs!L:L),"")</f>
        <v/>
      </c>
      <c r="L11" s="16" t="str">
        <f ca="1">IFERROR(_xlfn.XLOOKUP("Market Capitalization",Inputs!$B:$B,Inputs!M:M)/_xlfn.XLOOKUP("Shareholder's Equity",Inputs!$B:$B,Inputs!M:M),"")</f>
        <v/>
      </c>
      <c r="M11" s="16" t="str">
        <f ca="1">IFERROR(_xlfn.XLOOKUP("Market Capitalization",Inputs!$B:$B,Inputs!N:N)/_xlfn.XLOOKUP("Shareholder's Equity",Inputs!$B:$B,Inputs!N:N),"")</f>
        <v/>
      </c>
      <c r="N11" s="16" t="str">
        <f ca="1">IFERROR(_xlfn.XLOOKUP("Market Capitalization",Inputs!$B:$B,Inputs!O:O)/_xlfn.XLOOKUP("Shareholder's Equity",Inputs!$B:$B,Inputs!O:O),"")</f>
        <v/>
      </c>
      <c r="O11" s="16" t="str">
        <f ca="1">IFERROR(_xlfn.XLOOKUP("Market Capitalization",Inputs!$B:$B,Inputs!P:P)/_xlfn.XLOOKUP("Shareholder's Equity",Inputs!$B:$B,Inputs!P:P),"")</f>
        <v/>
      </c>
      <c r="P11" s="367" t="str">
        <f ca="1">IFERROR(_xlfn.XLOOKUP("Market Capitalization",Inputs!$B:$B,Inputs!Q:Q)/_xlfn.XLOOKUP("Shareholder's Equity",Inputs!$B:$B,Inputs!Q:Q),"")</f>
        <v/>
      </c>
      <c r="Q11" s="374" t="str">
        <f ca="1">IFERROR(+_xlfn.XLOOKUP("Equity Value",DCF!$B:$B,DCF!R:R)/(_xlfn.XLOOKUP("Shareholder's Equity",Inputs!$B:$B,Inputs!$Q:$Q)+_xlfn.XLOOKUP("Net Income",DCF!$B:$B,DCF!H:H)+_xlfn.XLOOKUP("Total Payout",DCF!$B:$B,DCF!H:H)),"")</f>
        <v/>
      </c>
      <c r="R11" s="374" t="str">
        <f ca="1">IFERROR(+_xlfn.XLOOKUP("Equity Value",DCF!$B:$B,DCF!S:S)/(_xlfn.XLOOKUP("Shareholder's Equity",Inputs!$B:$B,Inputs!$Q:$Q)+_xlfn.XLOOKUP("Net Income",DCF!$B:$B,DCF!I:I)+_xlfn.XLOOKUP("Total Payout",DCF!$B:$B,DCF!I:I)),"")</f>
        <v/>
      </c>
    </row>
    <row r="12" spans="2:19" ht="8.1" customHeight="1" x14ac:dyDescent="0.25">
      <c r="B12" s="262"/>
      <c r="N12" s="263"/>
      <c r="O12" s="263"/>
      <c r="P12" s="370"/>
      <c r="Q12" s="375"/>
      <c r="R12" s="375"/>
    </row>
    <row r="13" spans="2:19" ht="15.75" x14ac:dyDescent="0.25">
      <c r="B13" s="7" t="s">
        <v>172</v>
      </c>
      <c r="C13" s="56"/>
      <c r="D13" s="58"/>
      <c r="E13" s="58"/>
      <c r="F13" s="389">
        <v>2014</v>
      </c>
      <c r="G13" s="389">
        <f t="shared" ref="G13" si="5">+F13+1</f>
        <v>2015</v>
      </c>
      <c r="H13" s="389">
        <f t="shared" ref="H13" si="6">+G13+1</f>
        <v>2016</v>
      </c>
      <c r="I13" s="389">
        <f t="shared" ref="I13" si="7">+H13+1</f>
        <v>2017</v>
      </c>
      <c r="J13" s="389">
        <f t="shared" ref="J13" si="8">+I13+1</f>
        <v>2018</v>
      </c>
      <c r="K13" s="389">
        <f t="shared" ref="K13" si="9">+J13+1</f>
        <v>2019</v>
      </c>
      <c r="L13" s="389">
        <f t="shared" ref="L13" si="10">+K13+1</f>
        <v>2020</v>
      </c>
      <c r="M13" s="389">
        <f t="shared" ref="M13" si="11">+L13+1</f>
        <v>2021</v>
      </c>
      <c r="N13" s="389">
        <v>2022</v>
      </c>
      <c r="O13" s="389">
        <f t="shared" ref="O13" si="12">+N13+1</f>
        <v>2023</v>
      </c>
      <c r="P13" s="390">
        <f>+O13+1</f>
        <v>2024</v>
      </c>
      <c r="Q13" s="388">
        <f>+P13+1</f>
        <v>2025</v>
      </c>
      <c r="R13" s="388">
        <f>+Q13+1</f>
        <v>2026</v>
      </c>
    </row>
    <row r="14" spans="2:19" ht="3.95" customHeight="1" x14ac:dyDescent="0.2">
      <c r="B14" s="260"/>
      <c r="C14" s="53"/>
      <c r="D14" s="60"/>
      <c r="E14" s="60"/>
      <c r="F14" s="60"/>
      <c r="G14" s="60"/>
      <c r="H14" s="60"/>
      <c r="I14" s="60"/>
      <c r="J14" s="60"/>
      <c r="K14" s="60"/>
      <c r="L14" s="60"/>
      <c r="M14" s="60"/>
      <c r="N14" s="236"/>
      <c r="O14" s="236"/>
      <c r="P14" s="369"/>
      <c r="Q14" s="236"/>
      <c r="R14" s="236"/>
    </row>
    <row r="15" spans="2:19" ht="15" x14ac:dyDescent="0.2">
      <c r="B15" s="261" t="s">
        <v>25</v>
      </c>
      <c r="F15" s="265" t="str">
        <f ca="1">+IFERROR(_xlfn.XLOOKUP("Net Income",Inputs!$B:$B,Inputs!G:G)/_xlfn.XLOOKUP("Total Assets",Inputs!$B:$B,Inputs!G:G),"")</f>
        <v/>
      </c>
      <c r="G15" s="265" t="str">
        <f ca="1">+IFERROR(_xlfn.XLOOKUP("Net Income",Inputs!$B:$B,Inputs!H:H)/_xlfn.XLOOKUP("Total Assets",Inputs!$B:$B,Inputs!H:H),"")</f>
        <v/>
      </c>
      <c r="H15" s="265" t="str">
        <f ca="1">+IFERROR(_xlfn.XLOOKUP("Net Income",Inputs!$B:$B,Inputs!I:I)/_xlfn.XLOOKUP("Total Assets",Inputs!$B:$B,Inputs!I:I),"")</f>
        <v/>
      </c>
      <c r="I15" s="265" t="str">
        <f ca="1">+IFERROR(_xlfn.XLOOKUP("Net Income",Inputs!$B:$B,Inputs!J:J)/_xlfn.XLOOKUP("Total Assets",Inputs!$B:$B,Inputs!J:J),"")</f>
        <v/>
      </c>
      <c r="J15" s="265" t="str">
        <f ca="1">+IFERROR(_xlfn.XLOOKUP("Net Income",Inputs!$B:$B,Inputs!K:K)/_xlfn.XLOOKUP("Total Assets",Inputs!$B:$B,Inputs!K:K),"")</f>
        <v/>
      </c>
      <c r="K15" s="265" t="str">
        <f ca="1">+IFERROR(_xlfn.XLOOKUP("Net Income",Inputs!$B:$B,Inputs!L:L)/_xlfn.XLOOKUP("Total Assets",Inputs!$B:$B,Inputs!L:L),"")</f>
        <v/>
      </c>
      <c r="L15" s="265" t="str">
        <f ca="1">+IFERROR(_xlfn.XLOOKUP("Net Income",Inputs!$B:$B,Inputs!M:M)/_xlfn.XLOOKUP("Total Assets",Inputs!$B:$B,Inputs!M:M),"")</f>
        <v/>
      </c>
      <c r="M15" s="265" t="str">
        <f ca="1">+IFERROR(_xlfn.XLOOKUP("Net Income",Inputs!$B:$B,Inputs!N:N)/_xlfn.XLOOKUP("Total Assets",Inputs!$B:$B,Inputs!N:N),"")</f>
        <v/>
      </c>
      <c r="N15" s="265" t="str">
        <f ca="1">+IFERROR(_xlfn.XLOOKUP("Net Income",Inputs!$B:$B,Inputs!O:O)/_xlfn.XLOOKUP("Total Assets",Inputs!$B:$B,Inputs!O:O),"")</f>
        <v/>
      </c>
      <c r="O15" s="265" t="str">
        <f ca="1">+IFERROR(_xlfn.XLOOKUP("Net Income",Inputs!$B:$B,Inputs!P:P)/_xlfn.XLOOKUP("Total Assets",Inputs!$B:$B,Inputs!P:P),"")</f>
        <v/>
      </c>
      <c r="P15" s="371" t="str">
        <f ca="1">+IFERROR(_xlfn.XLOOKUP("Net Income",Inputs!$B:$B,Inputs!Q:Q)/_xlfn.XLOOKUP("Total Assets",Inputs!$B:$B,Inputs!Q:Q),"")</f>
        <v/>
      </c>
      <c r="Q15" s="376" t="str">
        <f ca="1">IFERROR(_xlfn.XLOOKUP("Net Income",DCF!$B:$B,DCF!H:H)/_xlfn.XLOOKUP("Total assets",DCF!$6:$6,DCF!10:10),"")</f>
        <v/>
      </c>
      <c r="R15" s="376" t="str">
        <f ca="1">IFERROR(_xlfn.XLOOKUP("Net Income",DCF!$B:$B,DCF!I:I)/_xlfn.XLOOKUP("Total assets",DCF!$6:$6,DCF!10:10),"")</f>
        <v/>
      </c>
      <c r="S15" s="22"/>
    </row>
    <row r="16" spans="2:19" ht="15" x14ac:dyDescent="0.2">
      <c r="B16" s="261" t="s">
        <v>27</v>
      </c>
      <c r="F16" s="265" t="str">
        <f ca="1">IFERROR(_xlfn.XLOOKUP("Net Income",Inputs!$B:$B,Inputs!G:G)/_xlfn.XLOOKUP("Shareholder's Equity",Inputs!$B:$B,Inputs!G:G),"")</f>
        <v/>
      </c>
      <c r="G16" s="265" t="str">
        <f ca="1">IFERROR(_xlfn.XLOOKUP("Net Income",Inputs!$B:$B,Inputs!H:H)/_xlfn.XLOOKUP("Shareholder's Equity",Inputs!$B:$B,Inputs!H:H),"")</f>
        <v/>
      </c>
      <c r="H16" s="265" t="str">
        <f ca="1">IFERROR(_xlfn.XLOOKUP("Net Income",Inputs!$B:$B,Inputs!I:I)/_xlfn.XLOOKUP("Shareholder's Equity",Inputs!$B:$B,Inputs!I:I),"")</f>
        <v/>
      </c>
      <c r="I16" s="265" t="str">
        <f ca="1">IFERROR(_xlfn.XLOOKUP("Net Income",Inputs!$B:$B,Inputs!J:J)/_xlfn.XLOOKUP("Shareholder's Equity",Inputs!$B:$B,Inputs!J:J),"")</f>
        <v/>
      </c>
      <c r="J16" s="265" t="str">
        <f ca="1">IFERROR(_xlfn.XLOOKUP("Net Income",Inputs!$B:$B,Inputs!K:K)/_xlfn.XLOOKUP("Shareholder's Equity",Inputs!$B:$B,Inputs!K:K),"")</f>
        <v/>
      </c>
      <c r="K16" s="265" t="str">
        <f ca="1">IFERROR(_xlfn.XLOOKUP("Net Income",Inputs!$B:$B,Inputs!L:L)/_xlfn.XLOOKUP("Shareholder's Equity",Inputs!$B:$B,Inputs!L:L),"")</f>
        <v/>
      </c>
      <c r="L16" s="265" t="str">
        <f ca="1">IFERROR(_xlfn.XLOOKUP("Net Income",Inputs!$B:$B,Inputs!M:M)/_xlfn.XLOOKUP("Shareholder's Equity",Inputs!$B:$B,Inputs!M:M),"")</f>
        <v/>
      </c>
      <c r="M16" s="265" t="str">
        <f ca="1">IFERROR(_xlfn.XLOOKUP("Net Income",Inputs!$B:$B,Inputs!N:N)/_xlfn.XLOOKUP("Shareholder's Equity",Inputs!$B:$B,Inputs!N:N),"")</f>
        <v/>
      </c>
      <c r="N16" s="265" t="str">
        <f ca="1">IFERROR(_xlfn.XLOOKUP("Net Income",Inputs!$B:$B,Inputs!O:O)/_xlfn.XLOOKUP("Shareholder's Equity",Inputs!$B:$B,Inputs!O:O),"")</f>
        <v/>
      </c>
      <c r="O16" s="265" t="str">
        <f ca="1">IFERROR(_xlfn.XLOOKUP("Net Income",Inputs!$B:$B,Inputs!P:P)/_xlfn.XLOOKUP("Shareholder's Equity",Inputs!$B:$B,Inputs!P:P),"")</f>
        <v/>
      </c>
      <c r="P16" s="371" t="str">
        <f ca="1">IFERROR(_xlfn.XLOOKUP("Net Income",Inputs!$B:$B,Inputs!Q:Q)/_xlfn.XLOOKUP("Shareholder's Equity",Inputs!$B:$B,Inputs!Q:Q),"")</f>
        <v/>
      </c>
      <c r="Q16" s="376" t="str">
        <f ca="1">IFERROR(_xlfn.XLOOKUP("Net Income",DCF!$B:$B,DCF!H:H)/_xlfn.XLOOKUP("Shareholder's Equity",DCF!$6:$6,DCF!10:10),"")</f>
        <v/>
      </c>
      <c r="R16" s="376" t="str">
        <f ca="1">IFERROR(_xlfn.XLOOKUP("Net Income",DCF!$B:$B,DCF!I:I)/_xlfn.XLOOKUP("Shareholder's Equity",DCF!$6:$6,DCF!10:10),"")</f>
        <v/>
      </c>
      <c r="S16" s="22"/>
    </row>
    <row r="17" spans="2:19" ht="15" x14ac:dyDescent="0.2">
      <c r="B17" s="261" t="s">
        <v>29</v>
      </c>
      <c r="F17" s="265" t="str">
        <f ca="1">IFERROR(_xlfn.XLOOKUP("NOPAT",Inputs!$B:$B,Inputs!G:G)/(_xlfn.XLOOKUP("Shareholder's Equity",Inputs!$B:$B,Inputs!G:G)+_xlfn.XLOOKUP("Total Debt",Inputs!$B:$B,Inputs!G:G,,,-1)),"")</f>
        <v/>
      </c>
      <c r="G17" s="265" t="str">
        <f ca="1">IFERROR(_xlfn.XLOOKUP("NOPAT",Inputs!$B:$B,Inputs!H:H)/(_xlfn.XLOOKUP("Shareholder's Equity",Inputs!$B:$B,Inputs!H:H)+_xlfn.XLOOKUP("Total Debt",Inputs!$B:$B,Inputs!H:H,,,-1)),"")</f>
        <v/>
      </c>
      <c r="H17" s="265" t="str">
        <f ca="1">IFERROR(_xlfn.XLOOKUP("NOPAT",Inputs!$B:$B,Inputs!I:I)/(_xlfn.XLOOKUP("Shareholder's Equity",Inputs!$B:$B,Inputs!I:I)+_xlfn.XLOOKUP("Total Debt",Inputs!$B:$B,Inputs!I:I,,,-1)),"")</f>
        <v/>
      </c>
      <c r="I17" s="265" t="str">
        <f ca="1">IFERROR(_xlfn.XLOOKUP("NOPAT",Inputs!$B:$B,Inputs!J:J)/(_xlfn.XLOOKUP("Shareholder's Equity",Inputs!$B:$B,Inputs!J:J)+_xlfn.XLOOKUP("Total Debt",Inputs!$B:$B,Inputs!J:J,,,-1)),"")</f>
        <v/>
      </c>
      <c r="J17" s="265" t="str">
        <f ca="1">IFERROR(_xlfn.XLOOKUP("NOPAT",Inputs!$B:$B,Inputs!K:K)/(_xlfn.XLOOKUP("Shareholder's Equity",Inputs!$B:$B,Inputs!K:K)+_xlfn.XLOOKUP("Total Debt",Inputs!$B:$B,Inputs!K:K,,,-1)),"")</f>
        <v/>
      </c>
      <c r="K17" s="265" t="str">
        <f ca="1">IFERROR(_xlfn.XLOOKUP("NOPAT",Inputs!$B:$B,Inputs!L:L)/(_xlfn.XLOOKUP("Shareholder's Equity",Inputs!$B:$B,Inputs!L:L)+_xlfn.XLOOKUP("Total Debt",Inputs!$B:$B,Inputs!L:L,,,-1)),"")</f>
        <v/>
      </c>
      <c r="L17" s="265" t="str">
        <f ca="1">IFERROR(_xlfn.XLOOKUP("NOPAT",Inputs!$B:$B,Inputs!M:M)/(_xlfn.XLOOKUP("Shareholder's Equity",Inputs!$B:$B,Inputs!M:M)+_xlfn.XLOOKUP("Total Debt",Inputs!$B:$B,Inputs!M:M,,,-1)),"")</f>
        <v/>
      </c>
      <c r="M17" s="265" t="str">
        <f ca="1">IFERROR(_xlfn.XLOOKUP("NOPAT",Inputs!$B:$B,Inputs!N:N)/(_xlfn.XLOOKUP("Shareholder's Equity",Inputs!$B:$B,Inputs!N:N)+_xlfn.XLOOKUP("Total Debt",Inputs!$B:$B,Inputs!N:N,,,-1)),"")</f>
        <v/>
      </c>
      <c r="N17" s="265" t="str">
        <f ca="1">IFERROR(_xlfn.XLOOKUP("NOPAT",Inputs!$B:$B,Inputs!O:O)/(_xlfn.XLOOKUP("Shareholder's Equity",Inputs!$B:$B,Inputs!O:O)+_xlfn.XLOOKUP("Total Debt",Inputs!$B:$B,Inputs!O:O,,,-1)),"")</f>
        <v/>
      </c>
      <c r="O17" s="265" t="str">
        <f ca="1">IFERROR(_xlfn.XLOOKUP("NOPAT",Inputs!$B:$B,Inputs!P:P)/(_xlfn.XLOOKUP("Shareholder's Equity",Inputs!$B:$B,Inputs!P:P)+_xlfn.XLOOKUP("Total Debt",Inputs!$B:$B,Inputs!P:P,,,-1)),"")</f>
        <v/>
      </c>
      <c r="P17" s="371" t="str">
        <f ca="1">IFERROR(_xlfn.XLOOKUP("NOPAT",Inputs!$B:$B,Inputs!Q:Q)/(_xlfn.XLOOKUP("Shareholder's Equity",Inputs!$B:$B,Inputs!Q:Q)+_xlfn.XLOOKUP("Total Debt",Inputs!$B:$B,Inputs!Q:Q,,,-1)),"")</f>
        <v/>
      </c>
      <c r="Q17" s="376" t="str">
        <f ca="1">+IFERROR(_xlfn.XLOOKUP("NOPAT",DCF!$B:$B,DCF!H:H)/(_xlfn.XLOOKUP("Shareholder's Equity",DCF!$6:$6,DCF!10:10)+_xlfn.XLOOKUP("Total Borrowings",DCF!$B:$B,DCF!H:H)+_xlfn.XLOOKUP("Total Leases",DCF!$B:$B,DCF!H:H)),"")</f>
        <v/>
      </c>
      <c r="R17" s="376" t="str">
        <f ca="1">+IFERROR(_xlfn.XLOOKUP("NOPAT",DCF!$B:$B,DCF!I:I)/(_xlfn.XLOOKUP("Shareholder's Equity",DCF!$6:$6,DCF!10:10)+_xlfn.XLOOKUP("Total Borrowings",DCF!$B:$B,DCF!I:I)+_xlfn.XLOOKUP("Total Leases",DCF!$B:$B,DCF!I:I)),"")</f>
        <v/>
      </c>
      <c r="S17" s="132"/>
    </row>
    <row r="18" spans="2:19" ht="15" x14ac:dyDescent="0.2">
      <c r="B18" s="264" t="s">
        <v>30</v>
      </c>
      <c r="F18" s="265" t="str">
        <f ca="1">+IFERROR(_xlfn.XLOOKUP("EBITDA",Inputs!$B:$B,Inputs!G:G)/_xlfn.XLOOKUP("Revenue (Sales)",Inputs!$B:$B,Inputs!G:G),"")</f>
        <v/>
      </c>
      <c r="G18" s="265" t="str">
        <f ca="1">+IFERROR(_xlfn.XLOOKUP("EBITDA",Inputs!$B:$B,Inputs!H:H)/_xlfn.XLOOKUP("Revenue (Sales)",Inputs!$B:$B,Inputs!H:H),"")</f>
        <v/>
      </c>
      <c r="H18" s="265" t="str">
        <f ca="1">+IFERROR(_xlfn.XLOOKUP("EBITDA",Inputs!$B:$B,Inputs!I:I)/_xlfn.XLOOKUP("Revenue (Sales)",Inputs!$B:$B,Inputs!I:I),"")</f>
        <v/>
      </c>
      <c r="I18" s="265" t="str">
        <f ca="1">+IFERROR(_xlfn.XLOOKUP("EBITDA",Inputs!$B:$B,Inputs!J:J)/_xlfn.XLOOKUP("Revenue (Sales)",Inputs!$B:$B,Inputs!J:J),"")</f>
        <v/>
      </c>
      <c r="J18" s="265" t="str">
        <f ca="1">+IFERROR(_xlfn.XLOOKUP("EBITDA",Inputs!$B:$B,Inputs!K:K)/_xlfn.XLOOKUP("Revenue (Sales)",Inputs!$B:$B,Inputs!K:K),"")</f>
        <v/>
      </c>
      <c r="K18" s="265" t="str">
        <f ca="1">+IFERROR(_xlfn.XLOOKUP("EBITDA",Inputs!$B:$B,Inputs!L:L)/_xlfn.XLOOKUP("Revenue (Sales)",Inputs!$B:$B,Inputs!L:L),"")</f>
        <v/>
      </c>
      <c r="L18" s="265" t="str">
        <f ca="1">+IFERROR(_xlfn.XLOOKUP("EBITDA",Inputs!$B:$B,Inputs!M:M)/_xlfn.XLOOKUP("Revenue (Sales)",Inputs!$B:$B,Inputs!M:M),"")</f>
        <v/>
      </c>
      <c r="M18" s="265" t="str">
        <f ca="1">+IFERROR(_xlfn.XLOOKUP("EBITDA",Inputs!$B:$B,Inputs!N:N)/_xlfn.XLOOKUP("Revenue (Sales)",Inputs!$B:$B,Inputs!N:N),"")</f>
        <v/>
      </c>
      <c r="N18" s="265" t="str">
        <f ca="1">+IFERROR(_xlfn.XLOOKUP("EBITDA",Inputs!$B:$B,Inputs!O:O)/_xlfn.XLOOKUP("Revenue (Sales)",Inputs!$B:$B,Inputs!O:O),"")</f>
        <v/>
      </c>
      <c r="O18" s="265" t="str">
        <f ca="1">+IFERROR(_xlfn.XLOOKUP("EBITDA",Inputs!$B:$B,Inputs!P:P)/_xlfn.XLOOKUP("Revenue (Sales)",Inputs!$B:$B,Inputs!P:P),"")</f>
        <v/>
      </c>
      <c r="P18" s="371" t="str">
        <f ca="1">+IFERROR(_xlfn.XLOOKUP("EBITDA",Inputs!$B:$B,Inputs!Q:Q)/_xlfn.XLOOKUP("Revenue (Sales)",Inputs!$B:$B,Inputs!Q:Q),"")</f>
        <v/>
      </c>
      <c r="Q18" s="376" t="e">
        <f ca="1">+_xlfn.XLOOKUP("EBITDA Margin",DCF!$B:$B,DCF!H:H)</f>
        <v>#NAME?</v>
      </c>
      <c r="R18" s="376" t="e">
        <f ca="1">+_xlfn.XLOOKUP("EBITDA Margin",DCF!$B:$B,DCF!I:I)</f>
        <v>#NAME?</v>
      </c>
      <c r="S18" s="31"/>
    </row>
    <row r="19" spans="2:19" ht="15" x14ac:dyDescent="0.2">
      <c r="B19" s="18" t="s">
        <v>21</v>
      </c>
      <c r="F19" s="265" t="str">
        <f ca="1">IFERROR(_xlfn.XLOOKUP("Operating Income (EBIT)",Inputs!$B:$B,Inputs!G:G)/_xlfn.XLOOKUP("Revenue (Sales)",Inputs!$B:$B,Inputs!G:G),"")</f>
        <v/>
      </c>
      <c r="G19" s="265" t="str">
        <f ca="1">IFERROR(_xlfn.XLOOKUP("Operating Income (EBIT)",Inputs!$B:$B,Inputs!H:H)/_xlfn.XLOOKUP("Revenue (Sales)",Inputs!$B:$B,Inputs!H:H),"")</f>
        <v/>
      </c>
      <c r="H19" s="265" t="str">
        <f ca="1">IFERROR(_xlfn.XLOOKUP("Operating Income (EBIT)",Inputs!$B:$B,Inputs!I:I)/_xlfn.XLOOKUP("Revenue (Sales)",Inputs!$B:$B,Inputs!I:I),"")</f>
        <v/>
      </c>
      <c r="I19" s="265" t="str">
        <f ca="1">IFERROR(_xlfn.XLOOKUP("Operating Income (EBIT)",Inputs!$B:$B,Inputs!J:J)/_xlfn.XLOOKUP("Revenue (Sales)",Inputs!$B:$B,Inputs!J:J),"")</f>
        <v/>
      </c>
      <c r="J19" s="265" t="str">
        <f ca="1">IFERROR(_xlfn.XLOOKUP("Operating Income (EBIT)",Inputs!$B:$B,Inputs!K:K)/_xlfn.XLOOKUP("Revenue (Sales)",Inputs!$B:$B,Inputs!K:K),"")</f>
        <v/>
      </c>
      <c r="K19" s="265" t="str">
        <f ca="1">IFERROR(_xlfn.XLOOKUP("Operating Income (EBIT)",Inputs!$B:$B,Inputs!L:L)/_xlfn.XLOOKUP("Revenue (Sales)",Inputs!$B:$B,Inputs!L:L),"")</f>
        <v/>
      </c>
      <c r="L19" s="265" t="str">
        <f ca="1">IFERROR(_xlfn.XLOOKUP("Operating Income (EBIT)",Inputs!$B:$B,Inputs!M:M)/_xlfn.XLOOKUP("Revenue (Sales)",Inputs!$B:$B,Inputs!M:M),"")</f>
        <v/>
      </c>
      <c r="M19" s="265" t="str">
        <f ca="1">IFERROR(_xlfn.XLOOKUP("Operating Income (EBIT)",Inputs!$B:$B,Inputs!N:N)/_xlfn.XLOOKUP("Revenue (Sales)",Inputs!$B:$B,Inputs!N:N),"")</f>
        <v/>
      </c>
      <c r="N19" s="265" t="str">
        <f ca="1">IFERROR(_xlfn.XLOOKUP("Operating Income (EBIT)",Inputs!$B:$B,Inputs!O:O)/_xlfn.XLOOKUP("Revenue (Sales)",Inputs!$B:$B,Inputs!O:O),"")</f>
        <v/>
      </c>
      <c r="O19" s="265" t="str">
        <f ca="1">IFERROR(_xlfn.XLOOKUP("Operating Income (EBIT)",Inputs!$B:$B,Inputs!P:P)/_xlfn.XLOOKUP("Revenue (Sales)",Inputs!$B:$B,Inputs!P:P),"")</f>
        <v/>
      </c>
      <c r="P19" s="371" t="str">
        <f ca="1">IFERROR(_xlfn.XLOOKUP("Operating Income (EBIT)",Inputs!$B:$B,Inputs!Q:Q)/_xlfn.XLOOKUP("Revenue (Sales)",Inputs!$B:$B,Inputs!Q:Q),"")</f>
        <v/>
      </c>
      <c r="Q19" s="376" t="e">
        <f ca="1">+_xlfn.XLOOKUP("Operating Margin",DCF!$B:$B,DCF!H:H)</f>
        <v>#NAME?</v>
      </c>
      <c r="R19" s="376" t="e">
        <f ca="1">+_xlfn.XLOOKUP("Operating Margin",DCF!$B:$B,DCF!I:I)</f>
        <v>#NAME?</v>
      </c>
      <c r="S19" s="18"/>
    </row>
    <row r="20" spans="2:19" ht="15" x14ac:dyDescent="0.2">
      <c r="B20" s="18" t="s">
        <v>495</v>
      </c>
      <c r="F20" s="265" t="str">
        <f ca="1">IFERROR(_xlfn.XLOOKUP("Pre-Tax Income (EBT)",Inputs!$B:$B,Inputs!G:G)/_xlfn.XLOOKUP("Revenue (Sales)",Inputs!$B:$B,Inputs!G:G),"")</f>
        <v/>
      </c>
      <c r="G20" s="265" t="str">
        <f ca="1">IFERROR(_xlfn.XLOOKUP("Pre-Tax Income (EBT)",Inputs!$B:$B,Inputs!H:H)/_xlfn.XLOOKUP("Revenue (Sales)",Inputs!$B:$B,Inputs!H:H),"")</f>
        <v/>
      </c>
      <c r="H20" s="265" t="str">
        <f ca="1">IFERROR(_xlfn.XLOOKUP("Pre-Tax Income (EBT)",Inputs!$B:$B,Inputs!I:I)/_xlfn.XLOOKUP("Revenue (Sales)",Inputs!$B:$B,Inputs!I:I),"")</f>
        <v/>
      </c>
      <c r="I20" s="265" t="str">
        <f ca="1">IFERROR(_xlfn.XLOOKUP("Pre-Tax Income (EBT)",Inputs!$B:$B,Inputs!J:J)/_xlfn.XLOOKUP("Revenue (Sales)",Inputs!$B:$B,Inputs!J:J),"")</f>
        <v/>
      </c>
      <c r="J20" s="265" t="str">
        <f ca="1">IFERROR(_xlfn.XLOOKUP("Pre-Tax Income (EBT)",Inputs!$B:$B,Inputs!K:K)/_xlfn.XLOOKUP("Revenue (Sales)",Inputs!$B:$B,Inputs!K:K),"")</f>
        <v/>
      </c>
      <c r="K20" s="265" t="str">
        <f ca="1">IFERROR(_xlfn.XLOOKUP("Pre-Tax Income (EBT)",Inputs!$B:$B,Inputs!L:L)/_xlfn.XLOOKUP("Revenue (Sales)",Inputs!$B:$B,Inputs!L:L),"")</f>
        <v/>
      </c>
      <c r="L20" s="265" t="str">
        <f ca="1">IFERROR(_xlfn.XLOOKUP("Pre-Tax Income (EBT)",Inputs!$B:$B,Inputs!M:M)/_xlfn.XLOOKUP("Revenue (Sales)",Inputs!$B:$B,Inputs!M:M),"")</f>
        <v/>
      </c>
      <c r="M20" s="265" t="str">
        <f ca="1">IFERROR(_xlfn.XLOOKUP("Pre-Tax Income (EBT)",Inputs!$B:$B,Inputs!N:N)/_xlfn.XLOOKUP("Revenue (Sales)",Inputs!$B:$B,Inputs!N:N),"")</f>
        <v/>
      </c>
      <c r="N20" s="265" t="str">
        <f ca="1">IFERROR(_xlfn.XLOOKUP("Pre-Tax Income (EBT)",Inputs!$B:$B,Inputs!O:O)/_xlfn.XLOOKUP("Revenue (Sales)",Inputs!$B:$B,Inputs!O:O),"")</f>
        <v/>
      </c>
      <c r="O20" s="265" t="str">
        <f ca="1">IFERROR(_xlfn.XLOOKUP("Pre-Tax Income (EBT)",Inputs!$B:$B,Inputs!P:P)/_xlfn.XLOOKUP("Revenue (Sales)",Inputs!$B:$B,Inputs!P:P),"")</f>
        <v/>
      </c>
      <c r="P20" s="371" t="str">
        <f ca="1">IFERROR(_xlfn.XLOOKUP("Pre-Tax Income (EBT)",Inputs!$B:$B,Inputs!Q:Q)/_xlfn.XLOOKUP("Revenue (Sales)",Inputs!$B:$B,Inputs!Q:Q),"")</f>
        <v/>
      </c>
      <c r="Q20" s="376" t="str">
        <f ca="1">IFERROR(_xlfn.XLOOKUP("Pre-Tax Income (EBT)",DCF!$B:$B,DCF!H:H)/_xlfn.XLOOKUP("Revenue (Sales)",DCF!$B:$B,DCF!H:H),"")</f>
        <v/>
      </c>
      <c r="R20" s="376" t="str">
        <f ca="1">IFERROR(_xlfn.XLOOKUP("Pre-Tax Income (EBT)",DCF!$B:$B,DCF!I:I)/_xlfn.XLOOKUP("Revenue (Sales)",DCF!$B:$B,DCF!I:I),"")</f>
        <v/>
      </c>
      <c r="S20" s="18"/>
    </row>
    <row r="21" spans="2:19" ht="15" x14ac:dyDescent="0.2">
      <c r="B21" s="18" t="s">
        <v>32</v>
      </c>
      <c r="F21" s="265" t="str">
        <f ca="1">IFERROR(_xlfn.XLOOKUP("Gross Profit",Inputs!$B:$B,Inputs!G:G)/_xlfn.XLOOKUP("Revenue (Sales)",Inputs!$B:$B,Inputs!G:G),"")</f>
        <v/>
      </c>
      <c r="G21" s="265" t="str">
        <f ca="1">IFERROR(_xlfn.XLOOKUP("Gross Profit",Inputs!$B:$B,Inputs!H:H)/_xlfn.XLOOKUP("Revenue (Sales)",Inputs!$B:$B,Inputs!H:H),"")</f>
        <v/>
      </c>
      <c r="H21" s="265" t="str">
        <f ca="1">IFERROR(_xlfn.XLOOKUP("Gross Profit",Inputs!$B:$B,Inputs!I:I)/_xlfn.XLOOKUP("Revenue (Sales)",Inputs!$B:$B,Inputs!I:I),"")</f>
        <v/>
      </c>
      <c r="I21" s="265" t="str">
        <f ca="1">IFERROR(_xlfn.XLOOKUP("Gross Profit",Inputs!$B:$B,Inputs!J:J)/_xlfn.XLOOKUP("Revenue (Sales)",Inputs!$B:$B,Inputs!J:J),"")</f>
        <v/>
      </c>
      <c r="J21" s="265" t="str">
        <f ca="1">IFERROR(_xlfn.XLOOKUP("Gross Profit",Inputs!$B:$B,Inputs!K:K)/_xlfn.XLOOKUP("Revenue (Sales)",Inputs!$B:$B,Inputs!K:K),"")</f>
        <v/>
      </c>
      <c r="K21" s="265" t="str">
        <f ca="1">IFERROR(_xlfn.XLOOKUP("Gross Profit",Inputs!$B:$B,Inputs!L:L)/_xlfn.XLOOKUP("Revenue (Sales)",Inputs!$B:$B,Inputs!L:L),"")</f>
        <v/>
      </c>
      <c r="L21" s="265" t="str">
        <f ca="1">IFERROR(_xlfn.XLOOKUP("Gross Profit",Inputs!$B:$B,Inputs!M:M)/_xlfn.XLOOKUP("Revenue (Sales)",Inputs!$B:$B,Inputs!M:M),"")</f>
        <v/>
      </c>
      <c r="M21" s="265" t="str">
        <f ca="1">IFERROR(_xlfn.XLOOKUP("Gross Profit",Inputs!$B:$B,Inputs!N:N)/_xlfn.XLOOKUP("Revenue (Sales)",Inputs!$B:$B,Inputs!N:N),"")</f>
        <v/>
      </c>
      <c r="N21" s="265" t="str">
        <f ca="1">IFERROR(_xlfn.XLOOKUP("Gross Profit",Inputs!$B:$B,Inputs!O:O)/_xlfn.XLOOKUP("Revenue (Sales)",Inputs!$B:$B,Inputs!O:O),"")</f>
        <v/>
      </c>
      <c r="O21" s="265" t="str">
        <f ca="1">IFERROR(_xlfn.XLOOKUP("Gross Profit",Inputs!$B:$B,Inputs!P:P)/_xlfn.XLOOKUP("Revenue (Sales)",Inputs!$B:$B,Inputs!P:P),"")</f>
        <v/>
      </c>
      <c r="P21" s="371" t="str">
        <f ca="1">IFERROR(_xlfn.XLOOKUP("Gross Profit",Inputs!$B:$B,Inputs!Q:Q)/_xlfn.XLOOKUP("Revenue (Sales)",Inputs!$B:$B,Inputs!Q:Q),"")</f>
        <v/>
      </c>
      <c r="Q21" s="376" t="e">
        <f ca="1">+_xlfn.XLOOKUP("Gross Profit Margin",DCF!$B:$B,DCF!H:H)</f>
        <v>#NAME?</v>
      </c>
      <c r="R21" s="376" t="e">
        <f ca="1">+_xlfn.XLOOKUP("Gross Profit Margin",DCF!$B:$B,DCF!I:I)</f>
        <v>#NAME?</v>
      </c>
      <c r="S21" s="18"/>
    </row>
    <row r="22" spans="2:19" ht="15" x14ac:dyDescent="0.2">
      <c r="B22" s="18" t="s">
        <v>34</v>
      </c>
      <c r="F22" s="265" t="str">
        <f ca="1">IFERROR(+_xlfn.XLOOKUP("SG&amp;A (Selling, General &amp; Administrative)",Inputs!$B:$B,Inputs!G:G)/_xlfn.XLOOKUP("Revenue (Sales)",Inputs!$B:$B,Inputs!G:G),"")</f>
        <v/>
      </c>
      <c r="G22" s="265" t="str">
        <f ca="1">IFERROR(+_xlfn.XLOOKUP("SG&amp;A (Selling, General &amp; Administrative)",Inputs!$B:$B,Inputs!H:H)/_xlfn.XLOOKUP("Revenue (Sales)",Inputs!$B:$B,Inputs!H:H),"")</f>
        <v/>
      </c>
      <c r="H22" s="265" t="str">
        <f ca="1">IFERROR(+_xlfn.XLOOKUP("SG&amp;A (Selling, General &amp; Administrative)",Inputs!$B:$B,Inputs!I:I)/_xlfn.XLOOKUP("Revenue (Sales)",Inputs!$B:$B,Inputs!I:I),"")</f>
        <v/>
      </c>
      <c r="I22" s="265" t="str">
        <f ca="1">IFERROR(+_xlfn.XLOOKUP("SG&amp;A (Selling, General &amp; Administrative)",Inputs!$B:$B,Inputs!J:J)/_xlfn.XLOOKUP("Revenue (Sales)",Inputs!$B:$B,Inputs!J:J),"")</f>
        <v/>
      </c>
      <c r="J22" s="265" t="str">
        <f ca="1">IFERROR(+_xlfn.XLOOKUP("SG&amp;A (Selling, General &amp; Administrative)",Inputs!$B:$B,Inputs!K:K)/_xlfn.XLOOKUP("Revenue (Sales)",Inputs!$B:$B,Inputs!K:K),"")</f>
        <v/>
      </c>
      <c r="K22" s="265" t="str">
        <f ca="1">IFERROR(+_xlfn.XLOOKUP("SG&amp;A (Selling, General &amp; Administrative)",Inputs!$B:$B,Inputs!L:L)/_xlfn.XLOOKUP("Revenue (Sales)",Inputs!$B:$B,Inputs!L:L),"")</f>
        <v/>
      </c>
      <c r="L22" s="265" t="str">
        <f ca="1">IFERROR(+_xlfn.XLOOKUP("SG&amp;A (Selling, General &amp; Administrative)",Inputs!$B:$B,Inputs!M:M)/_xlfn.XLOOKUP("Revenue (Sales)",Inputs!$B:$B,Inputs!M:M),"")</f>
        <v/>
      </c>
      <c r="M22" s="265" t="str">
        <f ca="1">IFERROR(+_xlfn.XLOOKUP("SG&amp;A (Selling, General &amp; Administrative)",Inputs!$B:$B,Inputs!N:N)/_xlfn.XLOOKUP("Revenue (Sales)",Inputs!$B:$B,Inputs!N:N),"")</f>
        <v/>
      </c>
      <c r="N22" s="265" t="str">
        <f ca="1">IFERROR(+_xlfn.XLOOKUP("SG&amp;A (Selling, General &amp; Administrative)",Inputs!$B:$B,Inputs!O:O)/_xlfn.XLOOKUP("Revenue (Sales)",Inputs!$B:$B,Inputs!O:O),"")</f>
        <v/>
      </c>
      <c r="O22" s="265" t="str">
        <f ca="1">IFERROR(+_xlfn.XLOOKUP("SG&amp;A (Selling, General &amp; Administrative)",Inputs!$B:$B,Inputs!P:P)/_xlfn.XLOOKUP("Revenue (Sales)",Inputs!$B:$B,Inputs!P:P),"")</f>
        <v/>
      </c>
      <c r="P22" s="371" t="str">
        <f ca="1">IFERROR(+_xlfn.XLOOKUP("SG&amp;A (Selling, General &amp; Administrative)",Inputs!$B:$B,Inputs!Q:Q)/_xlfn.XLOOKUP("Revenue (Sales)",Inputs!$B:$B,Inputs!Q:Q),"")</f>
        <v/>
      </c>
      <c r="Q22" s="376" t="e">
        <f ca="1">+_xlfn.XLOOKUP("SG&amp;A Margin",DCF!$B:$B,DCF!H:H)</f>
        <v>#NAME?</v>
      </c>
      <c r="R22" s="376" t="e">
        <f ca="1">+_xlfn.XLOOKUP("SG&amp;A Margin",DCF!$B:$B,DCF!I:I)</f>
        <v>#NAME?</v>
      </c>
    </row>
    <row r="23" spans="2:19" ht="15" x14ac:dyDescent="0.2">
      <c r="B23" s="18" t="s">
        <v>36</v>
      </c>
      <c r="F23" s="265" t="str">
        <f ca="1">IFERROR(_xlfn.XLOOKUP("Net Income",Inputs!$B:$B,Inputs!G:G)/_xlfn.XLOOKUP("Revenue (Sales)",Inputs!$B:$B,Inputs!G:G),"")</f>
        <v/>
      </c>
      <c r="G23" s="265" t="str">
        <f ca="1">IFERROR(_xlfn.XLOOKUP("Net Income",Inputs!$B:$B,Inputs!H:H)/_xlfn.XLOOKUP("Revenue (Sales)",Inputs!$B:$B,Inputs!H:H),"")</f>
        <v/>
      </c>
      <c r="H23" s="265" t="str">
        <f ca="1">IFERROR(_xlfn.XLOOKUP("Net Income",Inputs!$B:$B,Inputs!I:I)/_xlfn.XLOOKUP("Revenue (Sales)",Inputs!$B:$B,Inputs!I:I),"")</f>
        <v/>
      </c>
      <c r="I23" s="265" t="str">
        <f ca="1">IFERROR(_xlfn.XLOOKUP("Net Income",Inputs!$B:$B,Inputs!J:J)/_xlfn.XLOOKUP("Revenue (Sales)",Inputs!$B:$B,Inputs!J:J),"")</f>
        <v/>
      </c>
      <c r="J23" s="265" t="str">
        <f ca="1">IFERROR(_xlfn.XLOOKUP("Net Income",Inputs!$B:$B,Inputs!K:K)/_xlfn.XLOOKUP("Revenue (Sales)",Inputs!$B:$B,Inputs!K:K),"")</f>
        <v/>
      </c>
      <c r="K23" s="265" t="str">
        <f ca="1">IFERROR(_xlfn.XLOOKUP("Net Income",Inputs!$B:$B,Inputs!L:L)/_xlfn.XLOOKUP("Revenue (Sales)",Inputs!$B:$B,Inputs!L:L),"")</f>
        <v/>
      </c>
      <c r="L23" s="265" t="str">
        <f ca="1">IFERROR(_xlfn.XLOOKUP("Net Income",Inputs!$B:$B,Inputs!M:M)/_xlfn.XLOOKUP("Revenue (Sales)",Inputs!$B:$B,Inputs!M:M),"")</f>
        <v/>
      </c>
      <c r="M23" s="265" t="str">
        <f ca="1">IFERROR(_xlfn.XLOOKUP("Net Income",Inputs!$B:$B,Inputs!N:N)/_xlfn.XLOOKUP("Revenue (Sales)",Inputs!$B:$B,Inputs!N:N),"")</f>
        <v/>
      </c>
      <c r="N23" s="265" t="str">
        <f ca="1">IFERROR(_xlfn.XLOOKUP("Net Income",Inputs!$B:$B,Inputs!O:O)/_xlfn.XLOOKUP("Revenue (Sales)",Inputs!$B:$B,Inputs!O:O),"")</f>
        <v/>
      </c>
      <c r="O23" s="265" t="str">
        <f ca="1">IFERROR(_xlfn.XLOOKUP("Net Income",Inputs!$B:$B,Inputs!P:P)/_xlfn.XLOOKUP("Revenue (Sales)",Inputs!$B:$B,Inputs!P:P),"")</f>
        <v/>
      </c>
      <c r="P23" s="371" t="str">
        <f ca="1">IFERROR(_xlfn.XLOOKUP("Net Income",Inputs!$B:$B,Inputs!Q:Q)/_xlfn.XLOOKUP("Revenue (Sales)",Inputs!$B:$B,Inputs!Q:Q),"")</f>
        <v/>
      </c>
      <c r="Q23" s="376" t="e">
        <f ca="1">+_xlfn.XLOOKUP("Net Income Margin",DCF!$B:$B,DCF!H:H)</f>
        <v>#NAME?</v>
      </c>
      <c r="R23" s="376" t="e">
        <f ca="1">+_xlfn.XLOOKUP("Net Income Margin",DCF!$B:$B,DCF!I:I)</f>
        <v>#NAME?</v>
      </c>
    </row>
    <row r="24" spans="2:19" ht="8.1" customHeight="1" x14ac:dyDescent="0.2">
      <c r="N24" s="266"/>
      <c r="O24" s="266"/>
      <c r="P24" s="372"/>
      <c r="Q24" s="377"/>
      <c r="R24" s="377"/>
    </row>
    <row r="25" spans="2:19" ht="15.75" x14ac:dyDescent="0.25">
      <c r="B25" s="7" t="s">
        <v>183</v>
      </c>
      <c r="C25" s="56"/>
      <c r="D25" s="58"/>
      <c r="E25" s="58"/>
      <c r="F25" s="389">
        <v>2014</v>
      </c>
      <c r="G25" s="389">
        <f t="shared" ref="G25" si="13">+F25+1</f>
        <v>2015</v>
      </c>
      <c r="H25" s="389">
        <f t="shared" ref="H25" si="14">+G25+1</f>
        <v>2016</v>
      </c>
      <c r="I25" s="389">
        <f t="shared" ref="I25" si="15">+H25+1</f>
        <v>2017</v>
      </c>
      <c r="J25" s="389">
        <f t="shared" ref="J25" si="16">+I25+1</f>
        <v>2018</v>
      </c>
      <c r="K25" s="389">
        <f t="shared" ref="K25" si="17">+J25+1</f>
        <v>2019</v>
      </c>
      <c r="L25" s="389">
        <f t="shared" ref="L25" si="18">+K25+1</f>
        <v>2020</v>
      </c>
      <c r="M25" s="389">
        <f t="shared" ref="M25" si="19">+L25+1</f>
        <v>2021</v>
      </c>
      <c r="N25" s="389">
        <v>2022</v>
      </c>
      <c r="O25" s="389">
        <f t="shared" ref="O25" si="20">+N25+1</f>
        <v>2023</v>
      </c>
      <c r="P25" s="390">
        <f>+O25+1</f>
        <v>2024</v>
      </c>
      <c r="Q25" s="388">
        <f>+P25+1</f>
        <v>2025</v>
      </c>
      <c r="R25" s="388">
        <f>+Q25+1</f>
        <v>2026</v>
      </c>
    </row>
    <row r="26" spans="2:19" ht="3.95" customHeight="1" x14ac:dyDescent="0.2">
      <c r="B26" s="260"/>
      <c r="C26" s="53"/>
      <c r="D26" s="60"/>
      <c r="E26" s="60"/>
      <c r="F26" s="60"/>
      <c r="G26" s="60"/>
      <c r="H26" s="60"/>
      <c r="I26" s="60"/>
      <c r="J26" s="60"/>
      <c r="K26" s="60"/>
      <c r="L26" s="60"/>
      <c r="M26" s="60"/>
      <c r="N26" s="236"/>
      <c r="O26" s="236"/>
      <c r="P26" s="369"/>
      <c r="Q26" s="236"/>
      <c r="R26" s="236"/>
    </row>
    <row r="27" spans="2:19" ht="15" customHeight="1" x14ac:dyDescent="0.2">
      <c r="B27" s="33" t="s">
        <v>44</v>
      </c>
      <c r="C27" s="132"/>
      <c r="D27" s="255"/>
      <c r="F27" s="16" t="str">
        <f ca="1">+IFERROR(_xlfn.XLOOKUP("Cash &amp; Cash Equivalents",Inputs!$B:$B,Inputs!G:G)/_xlfn.XLOOKUP("Current Liabilities",Inputs!$B:$B,Inputs!G:G),"")</f>
        <v/>
      </c>
      <c r="G27" s="16" t="str">
        <f ca="1">+IFERROR(_xlfn.XLOOKUP("Cash &amp; Cash Equivalents",Inputs!$B:$B,Inputs!H:H)/_xlfn.XLOOKUP("Current Liabilities",Inputs!$B:$B,Inputs!H:H),"")</f>
        <v/>
      </c>
      <c r="H27" s="16" t="str">
        <f ca="1">+IFERROR(_xlfn.XLOOKUP("Cash &amp; Cash Equivalents",Inputs!$B:$B,Inputs!I:I)/_xlfn.XLOOKUP("Current Liabilities",Inputs!$B:$B,Inputs!I:I),"")</f>
        <v/>
      </c>
      <c r="I27" s="16" t="str">
        <f ca="1">+IFERROR(_xlfn.XLOOKUP("Cash &amp; Cash Equivalents",Inputs!$B:$B,Inputs!J:J)/_xlfn.XLOOKUP("Current Liabilities",Inputs!$B:$B,Inputs!J:J),"")</f>
        <v/>
      </c>
      <c r="J27" s="16" t="str">
        <f ca="1">+IFERROR(_xlfn.XLOOKUP("Cash &amp; Cash Equivalents",Inputs!$B:$B,Inputs!K:K)/_xlfn.XLOOKUP("Current Liabilities",Inputs!$B:$B,Inputs!K:K),"")</f>
        <v/>
      </c>
      <c r="K27" s="16" t="str">
        <f ca="1">+IFERROR(_xlfn.XLOOKUP("Cash &amp; Cash Equivalents",Inputs!$B:$B,Inputs!L:L)/_xlfn.XLOOKUP("Current Liabilities",Inputs!$B:$B,Inputs!L:L),"")</f>
        <v/>
      </c>
      <c r="L27" s="16" t="str">
        <f ca="1">+IFERROR(_xlfn.XLOOKUP("Cash &amp; Cash Equivalents",Inputs!$B:$B,Inputs!M:M)/_xlfn.XLOOKUP("Current Liabilities",Inputs!$B:$B,Inputs!M:M),"")</f>
        <v/>
      </c>
      <c r="M27" s="16" t="str">
        <f ca="1">+IFERROR(_xlfn.XLOOKUP("Cash &amp; Cash Equivalents",Inputs!$B:$B,Inputs!N:N)/_xlfn.XLOOKUP("Current Liabilities",Inputs!$B:$B,Inputs!N:N),"")</f>
        <v/>
      </c>
      <c r="N27" s="16" t="str">
        <f ca="1">+IFERROR(_xlfn.XLOOKUP("Cash &amp; Cash Equivalents",Inputs!$B:$B,Inputs!O:O)/_xlfn.XLOOKUP("Current Liabilities",Inputs!$B:$B,Inputs!O:O),"")</f>
        <v/>
      </c>
      <c r="O27" s="16" t="str">
        <f ca="1">+IFERROR(_xlfn.XLOOKUP("Cash &amp; Cash Equivalents",Inputs!$B:$B,Inputs!P:P)/_xlfn.XLOOKUP("Current Liabilities",Inputs!$B:$B,Inputs!P:P),"")</f>
        <v/>
      </c>
      <c r="P27" s="367" t="str">
        <f ca="1">+IFERROR(_xlfn.XLOOKUP("Cash &amp; Cash Equivalents",Inputs!$B:$B,Inputs!Q:Q)/_xlfn.XLOOKUP("Current Liabilities",Inputs!$B:$B,Inputs!Q:Q),"")</f>
        <v/>
      </c>
      <c r="Q27" s="374" t="str">
        <f ca="1">+IFERROR((_xlfn.XLOOKUP("Cash &amp; Cash Equivalents &amp; ST Investments",DCF!$B:$B,DCF!H:H)-_xlfn.XLOOKUP("Short-Term Investments",Inputs!$B:$B,Inputs!$Q:$Q))/_xlfn.XLOOKUP("Current Liabilities",DCF!$6:$6,DCF!10:10),"")</f>
        <v/>
      </c>
      <c r="R27" s="374" t="str">
        <f ca="1">+IFERROR((_xlfn.XLOOKUP("Cash &amp; Cash Equivalents &amp; ST Investments",DCF!$B:$B,DCF!I:I)-_xlfn.XLOOKUP("Short-Term Investments",Inputs!$B:$B,Inputs!$Q:$Q))/_xlfn.XLOOKUP("Current Liabilities",DCF!$6:$6,DCF!10:10),"")</f>
        <v/>
      </c>
    </row>
    <row r="28" spans="2:19" ht="15" x14ac:dyDescent="0.2">
      <c r="B28" s="18" t="s">
        <v>45</v>
      </c>
      <c r="F28" s="16" t="str">
        <f ca="1">IFERROR((_xlfn.XLOOKUP("Cash &amp; Cash Equivalents &amp; ST Investments",Inputs!$B:$B,Inputs!G:G)+_xlfn.XLOOKUP("Accounts Receivable",Inputs!$B:$B,Inputs!G:G))/_xlfn.XLOOKUP("Current Liabilities",Inputs!$B:$B,Inputs!G:G),"")</f>
        <v/>
      </c>
      <c r="G28" s="16" t="str">
        <f ca="1">IFERROR((_xlfn.XLOOKUP("Cash &amp; Cash Equivalents &amp; ST Investments",Inputs!$B:$B,Inputs!H:H)+_xlfn.XLOOKUP("Accounts Receivable",Inputs!$B:$B,Inputs!H:H))/_xlfn.XLOOKUP("Current Liabilities",Inputs!$B:$B,Inputs!H:H),"")</f>
        <v/>
      </c>
      <c r="H28" s="16" t="str">
        <f ca="1">IFERROR((_xlfn.XLOOKUP("Cash &amp; Cash Equivalents &amp; ST Investments",Inputs!$B:$B,Inputs!I:I)+_xlfn.XLOOKUP("Accounts Receivable",Inputs!$B:$B,Inputs!I:I))/_xlfn.XLOOKUP("Current Liabilities",Inputs!$B:$B,Inputs!I:I),"")</f>
        <v/>
      </c>
      <c r="I28" s="16" t="str">
        <f ca="1">IFERROR((_xlfn.XLOOKUP("Cash &amp; Cash Equivalents &amp; ST Investments",Inputs!$B:$B,Inputs!J:J)+_xlfn.XLOOKUP("Accounts Receivable",Inputs!$B:$B,Inputs!J:J))/_xlfn.XLOOKUP("Current Liabilities",Inputs!$B:$B,Inputs!J:J),"")</f>
        <v/>
      </c>
      <c r="J28" s="16" t="str">
        <f ca="1">IFERROR((_xlfn.XLOOKUP("Cash &amp; Cash Equivalents &amp; ST Investments",Inputs!$B:$B,Inputs!K:K)+_xlfn.XLOOKUP("Accounts Receivable",Inputs!$B:$B,Inputs!K:K))/_xlfn.XLOOKUP("Current Liabilities",Inputs!$B:$B,Inputs!K:K),"")</f>
        <v/>
      </c>
      <c r="K28" s="16" t="str">
        <f ca="1">IFERROR((_xlfn.XLOOKUP("Cash &amp; Cash Equivalents &amp; ST Investments",Inputs!$B:$B,Inputs!L:L)+_xlfn.XLOOKUP("Accounts Receivable",Inputs!$B:$B,Inputs!L:L))/_xlfn.XLOOKUP("Current Liabilities",Inputs!$B:$B,Inputs!L:L),"")</f>
        <v/>
      </c>
      <c r="L28" s="16" t="str">
        <f ca="1">IFERROR((_xlfn.XLOOKUP("Cash &amp; Cash Equivalents &amp; ST Investments",Inputs!$B:$B,Inputs!M:M)+_xlfn.XLOOKUP("Accounts Receivable",Inputs!$B:$B,Inputs!M:M))/_xlfn.XLOOKUP("Current Liabilities",Inputs!$B:$B,Inputs!M:M),"")</f>
        <v/>
      </c>
      <c r="M28" s="16" t="str">
        <f ca="1">IFERROR((_xlfn.XLOOKUP("Cash &amp; Cash Equivalents &amp; ST Investments",Inputs!$B:$B,Inputs!N:N)+_xlfn.XLOOKUP("Accounts Receivable",Inputs!$B:$B,Inputs!N:N))/_xlfn.XLOOKUP("Current Liabilities",Inputs!$B:$B,Inputs!N:N),"")</f>
        <v/>
      </c>
      <c r="N28" s="16" t="str">
        <f ca="1">IFERROR((_xlfn.XLOOKUP("Cash &amp; Cash Equivalents &amp; ST Investments",Inputs!$B:$B,Inputs!O:O)+_xlfn.XLOOKUP("Accounts Receivable",Inputs!$B:$B,Inputs!O:O))/_xlfn.XLOOKUP("Current Liabilities",Inputs!$B:$B,Inputs!O:O),"")</f>
        <v/>
      </c>
      <c r="O28" s="16" t="str">
        <f ca="1">IFERROR((_xlfn.XLOOKUP("Cash &amp; Cash Equivalents &amp; ST Investments",Inputs!$B:$B,Inputs!P:P)+_xlfn.XLOOKUP("Accounts Receivable",Inputs!$B:$B,Inputs!P:P))/_xlfn.XLOOKUP("Current Liabilities",Inputs!$B:$B,Inputs!P:P),"")</f>
        <v/>
      </c>
      <c r="P28" s="367" t="str">
        <f ca="1">IFERROR((_xlfn.XLOOKUP("Cash &amp; Cash Equivalents &amp; ST Investments",Inputs!$B:$B,Inputs!Q:Q)+_xlfn.XLOOKUP("Accounts Receivable",Inputs!$B:$B,Inputs!Q:Q))/_xlfn.XLOOKUP("Current Liabilities",Inputs!$B:$B,Inputs!Q:Q),"")</f>
        <v/>
      </c>
      <c r="Q28" s="374" t="str">
        <f ca="1">+IFERROR((_xlfn.XLOOKUP("Cash &amp; Cash Equivalents &amp; ST Investments",DCF!$B:$B,DCF!H:H)+_xlfn.XLOOKUP("Accounts Receivable",DCF!$B:$B,DCF!H:H))/_xlfn.XLOOKUP("Current Liabilities",DCF!$6:$6,DCF!10:10),"")</f>
        <v/>
      </c>
      <c r="R28" s="374" t="str">
        <f ca="1">+IFERROR((_xlfn.XLOOKUP("Cash &amp; Cash Equivalents &amp; ST Investments",DCF!$B:$B,DCF!I:I)+_xlfn.XLOOKUP("Accounts Receivable",DCF!$B:$B,DCF!I:I))/_xlfn.XLOOKUP("Current Liabilities",DCF!$6:$6,DCF!10:10),"")</f>
        <v/>
      </c>
    </row>
    <row r="29" spans="2:19" ht="15" x14ac:dyDescent="0.2">
      <c r="B29" s="18" t="s">
        <v>47</v>
      </c>
      <c r="F29" s="16" t="str">
        <f ca="1">IFERROR(_xlfn.XLOOKUP("Current Assets",Inputs!$B:$B,Inputs!G:G)/+_xlfn.XLOOKUP("Current Liabilities",Inputs!$B:$B,Inputs!G:G),"")</f>
        <v/>
      </c>
      <c r="G29" s="16" t="str">
        <f ca="1">IFERROR(_xlfn.XLOOKUP("Current Assets",Inputs!$B:$B,Inputs!H:H)/+_xlfn.XLOOKUP("Current Liabilities",Inputs!$B:$B,Inputs!H:H),"")</f>
        <v/>
      </c>
      <c r="H29" s="16" t="str">
        <f ca="1">IFERROR(_xlfn.XLOOKUP("Current Assets",Inputs!$B:$B,Inputs!I:I)/+_xlfn.XLOOKUP("Current Liabilities",Inputs!$B:$B,Inputs!I:I),"")</f>
        <v/>
      </c>
      <c r="I29" s="16" t="str">
        <f ca="1">IFERROR(_xlfn.XLOOKUP("Current Assets",Inputs!$B:$B,Inputs!J:J)/+_xlfn.XLOOKUP("Current Liabilities",Inputs!$B:$B,Inputs!J:J),"")</f>
        <v/>
      </c>
      <c r="J29" s="16" t="str">
        <f ca="1">IFERROR(_xlfn.XLOOKUP("Current Assets",Inputs!$B:$B,Inputs!K:K)/+_xlfn.XLOOKUP("Current Liabilities",Inputs!$B:$B,Inputs!K:K),"")</f>
        <v/>
      </c>
      <c r="K29" s="16" t="str">
        <f ca="1">IFERROR(_xlfn.XLOOKUP("Current Assets",Inputs!$B:$B,Inputs!L:L)/+_xlfn.XLOOKUP("Current Liabilities",Inputs!$B:$B,Inputs!L:L),"")</f>
        <v/>
      </c>
      <c r="L29" s="16" t="str">
        <f ca="1">IFERROR(_xlfn.XLOOKUP("Current Assets",Inputs!$B:$B,Inputs!M:M)/+_xlfn.XLOOKUP("Current Liabilities",Inputs!$B:$B,Inputs!M:M),"")</f>
        <v/>
      </c>
      <c r="M29" s="16" t="str">
        <f ca="1">IFERROR(_xlfn.XLOOKUP("Current Assets",Inputs!$B:$B,Inputs!N:N)/+_xlfn.XLOOKUP("Current Liabilities",Inputs!$B:$B,Inputs!N:N),"")</f>
        <v/>
      </c>
      <c r="N29" s="16" t="str">
        <f ca="1">IFERROR(_xlfn.XLOOKUP("Current Assets",Inputs!$B:$B,Inputs!O:O)/+_xlfn.XLOOKUP("Current Liabilities",Inputs!$B:$B,Inputs!O:O),"")</f>
        <v/>
      </c>
      <c r="O29" s="16" t="str">
        <f ca="1">IFERROR(_xlfn.XLOOKUP("Current Assets",Inputs!$B:$B,Inputs!P:P)/+_xlfn.XLOOKUP("Current Liabilities",Inputs!$B:$B,Inputs!P:P),"")</f>
        <v/>
      </c>
      <c r="P29" s="367" t="str">
        <f ca="1">IFERROR(_xlfn.XLOOKUP("Current Assets",Inputs!$B:$B,Inputs!Q:Q)/+_xlfn.XLOOKUP("Current Liabilities",Inputs!$B:$B,Inputs!Q:Q),"")</f>
        <v/>
      </c>
      <c r="Q29" s="374" t="str">
        <f ca="1">+IFERROR(_xlfn.XLOOKUP("Current Assets",DCF!$6:$6,DCF!10:10)/_xlfn.XLOOKUP("Current Liabilities",DCF!$6:$6,DCF!10:10),"")</f>
        <v/>
      </c>
      <c r="R29" s="374" t="str">
        <f ca="1">+IFERROR(_xlfn.XLOOKUP("Current Assets",DCF!$6:$6,DCF!10:10)/_xlfn.XLOOKUP("Current Liabilities",DCF!$6:$6,DCF!10:10),"")</f>
        <v/>
      </c>
    </row>
    <row r="30" spans="2:19" ht="8.1" customHeight="1" x14ac:dyDescent="0.2">
      <c r="N30" s="16"/>
      <c r="O30" s="16"/>
      <c r="P30" s="367"/>
      <c r="Q30" s="374"/>
      <c r="R30" s="374"/>
    </row>
    <row r="31" spans="2:19" ht="15.75" x14ac:dyDescent="0.25">
      <c r="B31" s="7" t="s">
        <v>496</v>
      </c>
      <c r="C31" s="56"/>
      <c r="D31" s="58"/>
      <c r="E31" s="58"/>
      <c r="F31" s="389">
        <v>2014</v>
      </c>
      <c r="G31" s="389">
        <f t="shared" ref="G31" si="21">+F31+1</f>
        <v>2015</v>
      </c>
      <c r="H31" s="389">
        <f t="shared" ref="H31" si="22">+G31+1</f>
        <v>2016</v>
      </c>
      <c r="I31" s="389">
        <f t="shared" ref="I31" si="23">+H31+1</f>
        <v>2017</v>
      </c>
      <c r="J31" s="389">
        <f t="shared" ref="J31" si="24">+I31+1</f>
        <v>2018</v>
      </c>
      <c r="K31" s="389">
        <f t="shared" ref="K31" si="25">+J31+1</f>
        <v>2019</v>
      </c>
      <c r="L31" s="389">
        <f t="shared" ref="L31" si="26">+K31+1</f>
        <v>2020</v>
      </c>
      <c r="M31" s="389">
        <f t="shared" ref="M31" si="27">+L31+1</f>
        <v>2021</v>
      </c>
      <c r="N31" s="389">
        <v>2022</v>
      </c>
      <c r="O31" s="389">
        <f t="shared" ref="O31" si="28">+N31+1</f>
        <v>2023</v>
      </c>
      <c r="P31" s="390">
        <f>+O31+1</f>
        <v>2024</v>
      </c>
      <c r="Q31" s="388">
        <f>+P31+1</f>
        <v>2025</v>
      </c>
      <c r="R31" s="388">
        <f>+Q31+1</f>
        <v>2026</v>
      </c>
    </row>
    <row r="32" spans="2:19" ht="3.95" customHeight="1" x14ac:dyDescent="0.2">
      <c r="B32" s="260"/>
      <c r="C32" s="53"/>
      <c r="D32" s="60"/>
      <c r="E32" s="60"/>
      <c r="F32" s="60"/>
      <c r="G32" s="60"/>
      <c r="H32" s="60"/>
      <c r="I32" s="60"/>
      <c r="J32" s="60"/>
      <c r="K32" s="60"/>
      <c r="L32" s="60"/>
      <c r="M32" s="60"/>
      <c r="N32" s="236"/>
      <c r="O32" s="236"/>
      <c r="P32" s="369"/>
      <c r="Q32" s="236"/>
      <c r="R32" s="236"/>
    </row>
    <row r="33" spans="2:18" ht="15" x14ac:dyDescent="0.2">
      <c r="B33" s="18" t="s">
        <v>497</v>
      </c>
      <c r="F33" s="267" t="e">
        <f ca="1">+_xlfn.XLOOKUP("DSO",Inputs!$B:$B,Inputs!G:G)</f>
        <v>#NAME?</v>
      </c>
      <c r="G33" s="267" t="e">
        <f ca="1">+_xlfn.XLOOKUP("DSO",Inputs!$B:$B,Inputs!H:H)</f>
        <v>#NAME?</v>
      </c>
      <c r="H33" s="267" t="e">
        <f ca="1">+_xlfn.XLOOKUP("DSO",Inputs!$B:$B,Inputs!I:I)</f>
        <v>#NAME?</v>
      </c>
      <c r="I33" s="267" t="e">
        <f ca="1">+_xlfn.XLOOKUP("DSO",Inputs!$B:$B,Inputs!J:J)</f>
        <v>#NAME?</v>
      </c>
      <c r="J33" s="267" t="e">
        <f ca="1">+_xlfn.XLOOKUP("DSO",Inputs!$B:$B,Inputs!K:K)</f>
        <v>#NAME?</v>
      </c>
      <c r="K33" s="267" t="e">
        <f ca="1">+_xlfn.XLOOKUP("DSO",Inputs!$B:$B,Inputs!L:L)</f>
        <v>#NAME?</v>
      </c>
      <c r="L33" s="267" t="e">
        <f ca="1">+_xlfn.XLOOKUP("DSO",Inputs!$B:$B,Inputs!M:M)</f>
        <v>#NAME?</v>
      </c>
      <c r="M33" s="267" t="e">
        <f ca="1">+_xlfn.XLOOKUP("DSO",Inputs!$B:$B,Inputs!N:N)</f>
        <v>#NAME?</v>
      </c>
      <c r="N33" s="267" t="e">
        <f ca="1">+_xlfn.XLOOKUP("DSO",Inputs!$B:$B,Inputs!O:O)</f>
        <v>#NAME?</v>
      </c>
      <c r="O33" s="267" t="e">
        <f ca="1">+_xlfn.XLOOKUP("DSO",Inputs!$B:$B,Inputs!P:P)</f>
        <v>#NAME?</v>
      </c>
      <c r="P33" s="373" t="e">
        <f ca="1">+_xlfn.XLOOKUP("DSO",Inputs!$B:$B,Inputs!Q:Q)</f>
        <v>#NAME?</v>
      </c>
      <c r="Q33" s="378" t="e">
        <f ca="1">+_xlfn.XLOOKUP("DSO",DCF!$B:$B,DCF!H:H)</f>
        <v>#NAME?</v>
      </c>
      <c r="R33" s="378" t="e">
        <f ca="1">+_xlfn.XLOOKUP("DSO",DCF!$B:$B,DCF!I:I)</f>
        <v>#NAME?</v>
      </c>
    </row>
    <row r="34" spans="2:18" ht="15" x14ac:dyDescent="0.2">
      <c r="B34" s="261" t="s">
        <v>498</v>
      </c>
      <c r="F34" s="267" t="e">
        <f ca="1">+_xlfn.XLOOKUP("DPO",Inputs!$B:$B,Inputs!G:G)</f>
        <v>#NAME?</v>
      </c>
      <c r="G34" s="267" t="e">
        <f ca="1">+_xlfn.XLOOKUP("DPO",Inputs!$B:$B,Inputs!H:H)</f>
        <v>#NAME?</v>
      </c>
      <c r="H34" s="267" t="e">
        <f ca="1">+_xlfn.XLOOKUP("DPO",Inputs!$B:$B,Inputs!I:I)</f>
        <v>#NAME?</v>
      </c>
      <c r="I34" s="267" t="e">
        <f ca="1">+_xlfn.XLOOKUP("DPO",Inputs!$B:$B,Inputs!J:J)</f>
        <v>#NAME?</v>
      </c>
      <c r="J34" s="267" t="e">
        <f ca="1">+_xlfn.XLOOKUP("DPO",Inputs!$B:$B,Inputs!K:K)</f>
        <v>#NAME?</v>
      </c>
      <c r="K34" s="267" t="e">
        <f ca="1">+_xlfn.XLOOKUP("DPO",Inputs!$B:$B,Inputs!L:L)</f>
        <v>#NAME?</v>
      </c>
      <c r="L34" s="267" t="e">
        <f ca="1">+_xlfn.XLOOKUP("DPO",Inputs!$B:$B,Inputs!M:M)</f>
        <v>#NAME?</v>
      </c>
      <c r="M34" s="267" t="e">
        <f ca="1">+_xlfn.XLOOKUP("DPO",Inputs!$B:$B,Inputs!N:N)</f>
        <v>#NAME?</v>
      </c>
      <c r="N34" s="267" t="e">
        <f ca="1">+_xlfn.XLOOKUP("DPO",Inputs!$B:$B,Inputs!O:O)</f>
        <v>#NAME?</v>
      </c>
      <c r="O34" s="267" t="e">
        <f ca="1">+_xlfn.XLOOKUP("DPO",Inputs!$B:$B,Inputs!P:P)</f>
        <v>#NAME?</v>
      </c>
      <c r="P34" s="373" t="e">
        <f ca="1">+_xlfn.XLOOKUP("DPO",Inputs!$B:$B,Inputs!Q:Q)</f>
        <v>#NAME?</v>
      </c>
      <c r="Q34" s="378" t="e">
        <f ca="1">+_xlfn.XLOOKUP("DPO",DCF!$B:$B,DCF!H:H)</f>
        <v>#NAME?</v>
      </c>
      <c r="R34" s="378" t="e">
        <f ca="1">+_xlfn.XLOOKUP("DPO",DCF!$B:$B,DCF!I:I)</f>
        <v>#NAME?</v>
      </c>
    </row>
    <row r="35" spans="2:18" ht="15" x14ac:dyDescent="0.2">
      <c r="B35" s="261" t="s">
        <v>499</v>
      </c>
      <c r="F35" s="267" t="e">
        <f ca="1">+_xlfn.XLOOKUP("DIH",Inputs!$B:$B,Inputs!G:G)</f>
        <v>#NAME?</v>
      </c>
      <c r="G35" s="267" t="e">
        <f ca="1">+_xlfn.XLOOKUP("DIH",Inputs!$B:$B,Inputs!H:H)</f>
        <v>#NAME?</v>
      </c>
      <c r="H35" s="267" t="e">
        <f ca="1">+_xlfn.XLOOKUP("DIH",Inputs!$B:$B,Inputs!I:I)</f>
        <v>#NAME?</v>
      </c>
      <c r="I35" s="267" t="e">
        <f ca="1">+_xlfn.XLOOKUP("DIH",Inputs!$B:$B,Inputs!J:J)</f>
        <v>#NAME?</v>
      </c>
      <c r="J35" s="267" t="e">
        <f ca="1">+_xlfn.XLOOKUP("DIH",Inputs!$B:$B,Inputs!K:K)</f>
        <v>#NAME?</v>
      </c>
      <c r="K35" s="267" t="e">
        <f ca="1">+_xlfn.XLOOKUP("DIH",Inputs!$B:$B,Inputs!L:L)</f>
        <v>#NAME?</v>
      </c>
      <c r="L35" s="267" t="e">
        <f ca="1">+_xlfn.XLOOKUP("DIH",Inputs!$B:$B,Inputs!M:M)</f>
        <v>#NAME?</v>
      </c>
      <c r="M35" s="267" t="e">
        <f ca="1">+_xlfn.XLOOKUP("DIH",Inputs!$B:$B,Inputs!N:N)</f>
        <v>#NAME?</v>
      </c>
      <c r="N35" s="267" t="e">
        <f ca="1">+_xlfn.XLOOKUP("DIH",Inputs!$B:$B,Inputs!O:O)</f>
        <v>#NAME?</v>
      </c>
      <c r="O35" s="267" t="e">
        <f ca="1">+_xlfn.XLOOKUP("DIH",Inputs!$B:$B,Inputs!P:P)</f>
        <v>#NAME?</v>
      </c>
      <c r="P35" s="373" t="e">
        <f ca="1">+_xlfn.XLOOKUP("DIH",Inputs!$B:$B,Inputs!Q:Q)</f>
        <v>#NAME?</v>
      </c>
      <c r="Q35" s="378" t="e">
        <f ca="1">+_xlfn.XLOOKUP("DIH",DCF!$B:$B,DCF!H:H)</f>
        <v>#NAME?</v>
      </c>
      <c r="R35" s="378" t="e">
        <f ca="1">+_xlfn.XLOOKUP("DIH",DCF!$B:$B,DCF!I:I)</f>
        <v>#NAME?</v>
      </c>
    </row>
    <row r="36" spans="2:18" ht="15" x14ac:dyDescent="0.2">
      <c r="B36" s="261" t="s">
        <v>51</v>
      </c>
      <c r="F36" s="267" t="str">
        <f ca="1">IFERROR(F35+F33-F34,"")</f>
        <v/>
      </c>
      <c r="G36" s="267" t="str">
        <f t="shared" ref="G36:P36" ca="1" si="29">IFERROR(G35+G33-G34,"")</f>
        <v/>
      </c>
      <c r="H36" s="267" t="str">
        <f t="shared" ca="1" si="29"/>
        <v/>
      </c>
      <c r="I36" s="267" t="str">
        <f t="shared" ca="1" si="29"/>
        <v/>
      </c>
      <c r="J36" s="267" t="str">
        <f t="shared" ca="1" si="29"/>
        <v/>
      </c>
      <c r="K36" s="267" t="str">
        <f t="shared" ca="1" si="29"/>
        <v/>
      </c>
      <c r="L36" s="267" t="str">
        <f t="shared" ca="1" si="29"/>
        <v/>
      </c>
      <c r="M36" s="267" t="str">
        <f t="shared" ca="1" si="29"/>
        <v/>
      </c>
      <c r="N36" s="267" t="str">
        <f t="shared" ca="1" si="29"/>
        <v/>
      </c>
      <c r="O36" s="267" t="str">
        <f t="shared" ca="1" si="29"/>
        <v/>
      </c>
      <c r="P36" s="373" t="str">
        <f t="shared" ca="1" si="29"/>
        <v/>
      </c>
      <c r="Q36" s="378" t="str">
        <f ca="1">IFERROR(Q35+Q33-Q34,"")</f>
        <v/>
      </c>
      <c r="R36" s="378" t="str">
        <f t="shared" ref="R36" ca="1" si="30">IFERROR(R35+R33-R34,"")</f>
        <v/>
      </c>
    </row>
    <row r="37" spans="2:18" ht="8.1" customHeight="1" x14ac:dyDescent="0.2">
      <c r="N37" s="263"/>
      <c r="O37" s="263"/>
      <c r="P37" s="370"/>
      <c r="Q37" s="375"/>
      <c r="R37" s="375"/>
    </row>
    <row r="38" spans="2:18" ht="15.75" x14ac:dyDescent="0.25">
      <c r="B38" s="7" t="s">
        <v>500</v>
      </c>
      <c r="C38" s="56"/>
      <c r="D38" s="58"/>
      <c r="E38" s="58"/>
      <c r="F38" s="389">
        <v>2014</v>
      </c>
      <c r="G38" s="389">
        <f t="shared" ref="G38" si="31">+F38+1</f>
        <v>2015</v>
      </c>
      <c r="H38" s="389">
        <f t="shared" ref="H38" si="32">+G38+1</f>
        <v>2016</v>
      </c>
      <c r="I38" s="389">
        <f t="shared" ref="I38" si="33">+H38+1</f>
        <v>2017</v>
      </c>
      <c r="J38" s="389">
        <f t="shared" ref="J38" si="34">+I38+1</f>
        <v>2018</v>
      </c>
      <c r="K38" s="389">
        <f t="shared" ref="K38" si="35">+J38+1</f>
        <v>2019</v>
      </c>
      <c r="L38" s="389">
        <f t="shared" ref="L38" si="36">+K38+1</f>
        <v>2020</v>
      </c>
      <c r="M38" s="389">
        <f t="shared" ref="M38" si="37">+L38+1</f>
        <v>2021</v>
      </c>
      <c r="N38" s="389">
        <v>2022</v>
      </c>
      <c r="O38" s="389">
        <f t="shared" ref="O38" si="38">+N38+1</f>
        <v>2023</v>
      </c>
      <c r="P38" s="390">
        <f>+O38+1</f>
        <v>2024</v>
      </c>
      <c r="Q38" s="388">
        <f>+P38+1</f>
        <v>2025</v>
      </c>
      <c r="R38" s="388">
        <f>+Q38+1</f>
        <v>2026</v>
      </c>
    </row>
    <row r="39" spans="2:18" ht="3.95" customHeight="1" x14ac:dyDescent="0.2">
      <c r="B39" s="260"/>
      <c r="C39" s="53"/>
      <c r="D39" s="60"/>
      <c r="E39" s="60"/>
      <c r="F39" s="60"/>
      <c r="G39" s="60"/>
      <c r="H39" s="60"/>
      <c r="I39" s="60"/>
      <c r="J39" s="60"/>
      <c r="K39" s="60"/>
      <c r="L39" s="60"/>
      <c r="M39" s="60"/>
      <c r="N39" s="236"/>
      <c r="O39" s="236"/>
      <c r="P39" s="369"/>
      <c r="Q39" s="236"/>
      <c r="R39" s="236"/>
    </row>
    <row r="40" spans="2:18" ht="15" x14ac:dyDescent="0.2">
      <c r="B40" s="18" t="s">
        <v>57</v>
      </c>
      <c r="F40" s="16" t="str">
        <f ca="1">+IFERROR(_xlfn.XLOOKUP("Total Debt",Inputs!$B:$B,Inputs!G:G)*1000/+_xlfn.XLOOKUP("Shareholder's Equity",Inputs!$B:$B,Inputs!G:G),"")</f>
        <v/>
      </c>
      <c r="G40" s="16" t="str">
        <f ca="1">+IFERROR(_xlfn.XLOOKUP("Total Debt",Inputs!$B:$B,Inputs!H:H)*1000/+_xlfn.XLOOKUP("Shareholder's Equity",Inputs!$B:$B,Inputs!H:H),"")</f>
        <v/>
      </c>
      <c r="H40" s="16" t="str">
        <f ca="1">+IFERROR(_xlfn.XLOOKUP("Total Debt",Inputs!$B:$B,Inputs!I:I)*1000/+_xlfn.XLOOKUP("Shareholder's Equity",Inputs!$B:$B,Inputs!I:I),"")</f>
        <v/>
      </c>
      <c r="I40" s="16" t="str">
        <f ca="1">+IFERROR(_xlfn.XLOOKUP("Total Debt",Inputs!$B:$B,Inputs!J:J)*1000/+_xlfn.XLOOKUP("Shareholder's Equity",Inputs!$B:$B,Inputs!J:J),"")</f>
        <v/>
      </c>
      <c r="J40" s="16" t="str">
        <f ca="1">+IFERROR(_xlfn.XLOOKUP("Total Debt",Inputs!$B:$B,Inputs!K:K)*1000/+_xlfn.XLOOKUP("Shareholder's Equity",Inputs!$B:$B,Inputs!K:K),"")</f>
        <v/>
      </c>
      <c r="K40" s="16" t="str">
        <f ca="1">+IFERROR(_xlfn.XLOOKUP("Total Debt",Inputs!$B:$B,Inputs!L:L)*1000/+_xlfn.XLOOKUP("Shareholder's Equity",Inputs!$B:$B,Inputs!L:L),"")</f>
        <v/>
      </c>
      <c r="L40" s="16" t="str">
        <f ca="1">+IFERROR(_xlfn.XLOOKUP("Total Debt",Inputs!$B:$B,Inputs!M:M)*1000/+_xlfn.XLOOKUP("Shareholder's Equity",Inputs!$B:$B,Inputs!M:M),"")</f>
        <v/>
      </c>
      <c r="M40" s="16" t="str">
        <f ca="1">+IFERROR(_xlfn.XLOOKUP("Total Debt",Inputs!$B:$B,Inputs!N:N)*1000/+_xlfn.XLOOKUP("Shareholder's Equity",Inputs!$B:$B,Inputs!N:N),"")</f>
        <v/>
      </c>
      <c r="N40" s="16" t="str">
        <f ca="1">+IFERROR(_xlfn.XLOOKUP("Total Debt",Inputs!$B:$B,Inputs!O:O)*1000/+_xlfn.XLOOKUP("Shareholder's Equity",Inputs!$B:$B,Inputs!O:O),"")</f>
        <v/>
      </c>
      <c r="O40" s="16" t="str">
        <f ca="1">+IFERROR(_xlfn.XLOOKUP("Total Debt",Inputs!$B:$B,Inputs!P:P)*1000/+_xlfn.XLOOKUP("Shareholder's Equity",Inputs!$B:$B,Inputs!P:P),"")</f>
        <v/>
      </c>
      <c r="P40" s="367" t="str">
        <f ca="1">+IFERROR(_xlfn.XLOOKUP("Total Debt",Inputs!$B:$B,Inputs!Q:Q)*1000/+_xlfn.XLOOKUP("Shareholder's Equity",Inputs!$B:$B,Inputs!Q:Q),"")</f>
        <v/>
      </c>
      <c r="Q40" s="374" t="str">
        <f ca="1">IFERROR((_xlfn.XLOOKUP("Total Borrowings",DCF!$B:$B,DCF!G:G)+_xlfn.XLOOKUP("Total Leases",DCF!$B:$B,DCF!G:G))/_xlfn.XLOOKUP("Shareholder's Equity",DCF!$6:$6,DCF!10:10),"")</f>
        <v/>
      </c>
      <c r="R40" s="374" t="str">
        <f ca="1">IFERROR((_xlfn.XLOOKUP("Total Borrowings",DCF!$B:$B,DCF!H:H)+_xlfn.XLOOKUP("Total Leases",DCF!$B:$B,DCF!H:H))/_xlfn.XLOOKUP("Shareholder's Equity",DCF!$6:$6,DCF!10:10),"")</f>
        <v/>
      </c>
    </row>
    <row r="41" spans="2:18" ht="15" x14ac:dyDescent="0.2">
      <c r="B41" s="261" t="s">
        <v>58</v>
      </c>
      <c r="F41" s="16" t="str">
        <f ca="1">+IFERROR(_xlfn.XLOOKUP("Total Debt",Inputs!$B:$B,Inputs!G:G)*1000/(+_xlfn.XLOOKUP("Shareholder's Equity",Inputs!$B:$B,Inputs!G:G)+_xlfn.XLOOKUP("Total Debt",Inputs!$B:$B,Inputs!G:G)*1000),"")</f>
        <v/>
      </c>
      <c r="G41" s="16" t="str">
        <f ca="1">+IFERROR(_xlfn.XLOOKUP("Total Debt",Inputs!$B:$B,Inputs!H:H)*1000/(+_xlfn.XLOOKUP("Shareholder's Equity",Inputs!$B:$B,Inputs!H:H)+_xlfn.XLOOKUP("Total Debt",Inputs!$B:$B,Inputs!H:H)*1000),"")</f>
        <v/>
      </c>
      <c r="H41" s="16" t="str">
        <f ca="1">+IFERROR(_xlfn.XLOOKUP("Total Debt",Inputs!$B:$B,Inputs!I:I)*1000/(+_xlfn.XLOOKUP("Shareholder's Equity",Inputs!$B:$B,Inputs!I:I)+_xlfn.XLOOKUP("Total Debt",Inputs!$B:$B,Inputs!I:I)*1000),"")</f>
        <v/>
      </c>
      <c r="I41" s="16" t="str">
        <f ca="1">+IFERROR(_xlfn.XLOOKUP("Total Debt",Inputs!$B:$B,Inputs!J:J)*1000/(+_xlfn.XLOOKUP("Shareholder's Equity",Inputs!$B:$B,Inputs!J:J)+_xlfn.XLOOKUP("Total Debt",Inputs!$B:$B,Inputs!J:J)*1000),"")</f>
        <v/>
      </c>
      <c r="J41" s="16" t="str">
        <f ca="1">+IFERROR(_xlfn.XLOOKUP("Total Debt",Inputs!$B:$B,Inputs!K:K)*1000/(+_xlfn.XLOOKUP("Shareholder's Equity",Inputs!$B:$B,Inputs!K:K)+_xlfn.XLOOKUP("Total Debt",Inputs!$B:$B,Inputs!K:K)*1000),"")</f>
        <v/>
      </c>
      <c r="K41" s="16" t="str">
        <f ca="1">+IFERROR(_xlfn.XLOOKUP("Total Debt",Inputs!$B:$B,Inputs!L:L)*1000/(+_xlfn.XLOOKUP("Shareholder's Equity",Inputs!$B:$B,Inputs!L:L)+_xlfn.XLOOKUP("Total Debt",Inputs!$B:$B,Inputs!L:L)*1000),"")</f>
        <v/>
      </c>
      <c r="L41" s="16" t="str">
        <f ca="1">+IFERROR(_xlfn.XLOOKUP("Total Debt",Inputs!$B:$B,Inputs!M:M)*1000/(+_xlfn.XLOOKUP("Shareholder's Equity",Inputs!$B:$B,Inputs!M:M)+_xlfn.XLOOKUP("Total Debt",Inputs!$B:$B,Inputs!M:M)*1000),"")</f>
        <v/>
      </c>
      <c r="M41" s="16" t="str">
        <f ca="1">+IFERROR(_xlfn.XLOOKUP("Total Debt",Inputs!$B:$B,Inputs!N:N)*1000/(+_xlfn.XLOOKUP("Shareholder's Equity",Inputs!$B:$B,Inputs!N:N)+_xlfn.XLOOKUP("Total Debt",Inputs!$B:$B,Inputs!N:N)*1000),"")</f>
        <v/>
      </c>
      <c r="N41" s="16" t="str">
        <f ca="1">+IFERROR(_xlfn.XLOOKUP("Total Debt",Inputs!$B:$B,Inputs!O:O)*1000/(+_xlfn.XLOOKUP("Shareholder's Equity",Inputs!$B:$B,Inputs!O:O)+_xlfn.XLOOKUP("Total Debt",Inputs!$B:$B,Inputs!O:O)*1000),"")</f>
        <v/>
      </c>
      <c r="O41" s="16" t="str">
        <f ca="1">+IFERROR(_xlfn.XLOOKUP("Total Debt",Inputs!$B:$B,Inputs!P:P)*1000/(+_xlfn.XLOOKUP("Shareholder's Equity",Inputs!$B:$B,Inputs!P:P)+_xlfn.XLOOKUP("Total Debt",Inputs!$B:$B,Inputs!P:P)*1000),"")</f>
        <v/>
      </c>
      <c r="P41" s="367" t="str">
        <f ca="1">+IFERROR(_xlfn.XLOOKUP("Total Debt",Inputs!$B:$B,Inputs!Q:Q)*1000/(+_xlfn.XLOOKUP("Shareholder's Equity",Inputs!$B:$B,Inputs!Q:Q)+_xlfn.XLOOKUP("Total Debt",Inputs!$B:$B,Inputs!Q:Q)*1000),"")</f>
        <v/>
      </c>
      <c r="Q41" s="374" t="str">
        <f ca="1">IFERROR((_xlfn.XLOOKUP("Total Borrowings",DCF!$B:$B,DCF!G:G)+_xlfn.XLOOKUP("Total Leases",DCF!$B:$B,DCF!G:G))/(_xlfn.XLOOKUP("Shareholder's Equity",DCF!$6:$6,DCF!10:10)+_xlfn.XLOOKUP("Total Borrowings",DCF!$B:$B,DCF!G:G)+_xlfn.XLOOKUP("Total Leases",DCF!$B:$B,DCF!G:G)),"")</f>
        <v/>
      </c>
      <c r="R41" s="374" t="str">
        <f ca="1">IFERROR((_xlfn.XLOOKUP("Total Borrowings",DCF!$B:$B,DCF!H:H)+_xlfn.XLOOKUP("Total Leases",DCF!$B:$B,DCF!H:H))/(_xlfn.XLOOKUP("Shareholder's Equity",DCF!$6:$6,DCF!10:10)+_xlfn.XLOOKUP("Total Borrowings",DCF!$B:$B,DCF!H:H)+_xlfn.XLOOKUP("Total Leases",DCF!$B:$B,DCF!H:H)),"")</f>
        <v/>
      </c>
    </row>
    <row r="42" spans="2:18" ht="15" x14ac:dyDescent="0.2">
      <c r="B42" s="261" t="s">
        <v>59</v>
      </c>
      <c r="F42" s="16" t="str">
        <f ca="1">IFERROR(_xlfn.XLOOKUP("Total Liabilities",Inputs!$B:$B,Inputs!G:G)/_xlfn.XLOOKUP("Total Assets",Inputs!$B:$B,Inputs!G:G),"")</f>
        <v/>
      </c>
      <c r="G42" s="16" t="str">
        <f ca="1">IFERROR(_xlfn.XLOOKUP("Total Liabilities",Inputs!$B:$B,Inputs!H:H)/_xlfn.XLOOKUP("Total Assets",Inputs!$B:$B,Inputs!H:H),"")</f>
        <v/>
      </c>
      <c r="H42" s="16" t="str">
        <f ca="1">IFERROR(_xlfn.XLOOKUP("Total Liabilities",Inputs!$B:$B,Inputs!I:I)/_xlfn.XLOOKUP("Total Assets",Inputs!$B:$B,Inputs!I:I),"")</f>
        <v/>
      </c>
      <c r="I42" s="16" t="str">
        <f ca="1">IFERROR(_xlfn.XLOOKUP("Total Liabilities",Inputs!$B:$B,Inputs!J:J)/_xlfn.XLOOKUP("Total Assets",Inputs!$B:$B,Inputs!J:J),"")</f>
        <v/>
      </c>
      <c r="J42" s="16" t="str">
        <f ca="1">IFERROR(_xlfn.XLOOKUP("Total Liabilities",Inputs!$B:$B,Inputs!K:K)/_xlfn.XLOOKUP("Total Assets",Inputs!$B:$B,Inputs!K:K),"")</f>
        <v/>
      </c>
      <c r="K42" s="16" t="str">
        <f ca="1">IFERROR(_xlfn.XLOOKUP("Total Liabilities",Inputs!$B:$B,Inputs!L:L)/_xlfn.XLOOKUP("Total Assets",Inputs!$B:$B,Inputs!L:L),"")</f>
        <v/>
      </c>
      <c r="L42" s="16" t="str">
        <f ca="1">IFERROR(_xlfn.XLOOKUP("Total Liabilities",Inputs!$B:$B,Inputs!M:M)/_xlfn.XLOOKUP("Total Assets",Inputs!$B:$B,Inputs!M:M),"")</f>
        <v/>
      </c>
      <c r="M42" s="16" t="str">
        <f ca="1">IFERROR(_xlfn.XLOOKUP("Total Liabilities",Inputs!$B:$B,Inputs!N:N)/_xlfn.XLOOKUP("Total Assets",Inputs!$B:$B,Inputs!N:N),"")</f>
        <v/>
      </c>
      <c r="N42" s="16" t="str">
        <f ca="1">IFERROR(_xlfn.XLOOKUP("Total Liabilities",Inputs!$B:$B,Inputs!O:O)/_xlfn.XLOOKUP("Total Assets",Inputs!$B:$B,Inputs!O:O),"")</f>
        <v/>
      </c>
      <c r="O42" s="16" t="str">
        <f ca="1">IFERROR(_xlfn.XLOOKUP("Total Liabilities",Inputs!$B:$B,Inputs!P:P)/_xlfn.XLOOKUP("Total Assets",Inputs!$B:$B,Inputs!P:P),"")</f>
        <v/>
      </c>
      <c r="P42" s="367" t="str">
        <f ca="1">IFERROR(_xlfn.XLOOKUP("Total Liabilities",Inputs!$B:$B,Inputs!Q:Q)/_xlfn.XLOOKUP("Total Assets",Inputs!$B:$B,Inputs!Q:Q),"")</f>
        <v/>
      </c>
      <c r="Q42" s="374" t="str">
        <f ca="1">IFERROR(+_xlfn.XLOOKUP("Total Liabilities",DCF!$6:$6,DCF!10:10)/_xlfn.XLOOKUP("Total Assets",DCF!$6:$6,DCF!10:10),"")</f>
        <v/>
      </c>
      <c r="R42" s="374" t="str">
        <f ca="1">IFERROR(+_xlfn.XLOOKUP("Total Liabilities",DCF!$6:$6,DCF!10:10)/_xlfn.XLOOKUP("Total Assets",DCF!$6:$6,DCF!10:10),"")</f>
        <v/>
      </c>
    </row>
    <row r="43" spans="2:18" ht="15" x14ac:dyDescent="0.2">
      <c r="B43" s="18" t="s">
        <v>60</v>
      </c>
      <c r="F43" s="16" t="str">
        <f ca="1">+IFERROR(_xlfn.XLOOKUP("Total Debt",Inputs!$B:$B,Inputs!G:G,,,-1)/_xlfn.XLOOKUP("EBITDA",Inputs!$B:$B,Inputs!G:G),"")</f>
        <v/>
      </c>
      <c r="G43" s="16" t="str">
        <f ca="1">+IFERROR(_xlfn.XLOOKUP("Total Debt",Inputs!$B:$B,Inputs!H:H,,,-1)/_xlfn.XLOOKUP("EBITDA",Inputs!$B:$B,Inputs!H:H),"")</f>
        <v/>
      </c>
      <c r="H43" s="16" t="str">
        <f ca="1">+IFERROR(_xlfn.XLOOKUP("Total Debt",Inputs!$B:$B,Inputs!I:I,,,-1)/_xlfn.XLOOKUP("EBITDA",Inputs!$B:$B,Inputs!I:I),"")</f>
        <v/>
      </c>
      <c r="I43" s="16" t="str">
        <f ca="1">+IFERROR(_xlfn.XLOOKUP("Total Debt",Inputs!$B:$B,Inputs!J:J,,,-1)/_xlfn.XLOOKUP("EBITDA",Inputs!$B:$B,Inputs!J:J),"")</f>
        <v/>
      </c>
      <c r="J43" s="16" t="str">
        <f ca="1">+IFERROR(_xlfn.XLOOKUP("Total Debt",Inputs!$B:$B,Inputs!K:K,,,-1)/_xlfn.XLOOKUP("EBITDA",Inputs!$B:$B,Inputs!K:K),"")</f>
        <v/>
      </c>
      <c r="K43" s="16" t="str">
        <f ca="1">+IFERROR(_xlfn.XLOOKUP("Total Debt",Inputs!$B:$B,Inputs!L:L,,,-1)/_xlfn.XLOOKUP("EBITDA",Inputs!$B:$B,Inputs!L:L),"")</f>
        <v/>
      </c>
      <c r="L43" s="16" t="str">
        <f ca="1">+IFERROR(_xlfn.XLOOKUP("Total Debt",Inputs!$B:$B,Inputs!M:M,,,-1)/_xlfn.XLOOKUP("EBITDA",Inputs!$B:$B,Inputs!M:M),"")</f>
        <v/>
      </c>
      <c r="M43" s="16" t="str">
        <f ca="1">+IFERROR(_xlfn.XLOOKUP("Total Debt",Inputs!$B:$B,Inputs!N:N,,,-1)/_xlfn.XLOOKUP("EBITDA",Inputs!$B:$B,Inputs!N:N),"")</f>
        <v/>
      </c>
      <c r="N43" s="16" t="str">
        <f ca="1">+IFERROR(_xlfn.XLOOKUP("Total Debt",Inputs!$B:$B,Inputs!O:O,,,-1)/_xlfn.XLOOKUP("EBITDA",Inputs!$B:$B,Inputs!O:O),"")</f>
        <v/>
      </c>
      <c r="O43" s="16" t="str">
        <f ca="1">+IFERROR(_xlfn.XLOOKUP("Total Debt",Inputs!$B:$B,Inputs!P:P,,,-1)/_xlfn.XLOOKUP("EBITDA",Inputs!$B:$B,Inputs!P:P),"")</f>
        <v/>
      </c>
      <c r="P43" s="367" t="str">
        <f ca="1">+IFERROR(_xlfn.XLOOKUP("Total Debt",Inputs!$B:$B,Inputs!Q:Q,,,-1)/_xlfn.XLOOKUP("EBITDA",Inputs!$B:$B,Inputs!Q:Q),"")</f>
        <v/>
      </c>
      <c r="Q43" s="374" t="str">
        <f ca="1">IFERROR((_xlfn.XLOOKUP("Total Borrowings",DCF!$B:$B,DCF!G:G)+_xlfn.XLOOKUP("Total Leases",DCF!$B:$B,DCF!G:G))/_xlfn.XLOOKUP("EBITDA",DCF!$B:$B,DCF!H:H),"")</f>
        <v/>
      </c>
      <c r="R43" s="374" t="str">
        <f ca="1">IFERROR((_xlfn.XLOOKUP("Total Borrowings",DCF!$B:$B,DCF!H:H)+_xlfn.XLOOKUP("Total Leases",DCF!$B:$B,DCF!H:H))/_xlfn.XLOOKUP("EBITDA",DCF!$B:$B,DCF!I:I),"")</f>
        <v/>
      </c>
    </row>
    <row r="44" spans="2:18" ht="15" x14ac:dyDescent="0.2">
      <c r="B44" s="18" t="s">
        <v>62</v>
      </c>
      <c r="F44" s="16" t="str">
        <f ca="1">IFERROR(_xlfn.XLOOKUP("Total Debt",Inputs!$B:$B,Inputs!G:G,,,-1)/(_xlfn.XLOOKUP("EBITDA",Inputs!$B:$B,Inputs!G:G)+_xlfn.XLOOKUP("Net Capex",Inputs!$B:$B,Inputs!G:G)),"")</f>
        <v/>
      </c>
      <c r="G44" s="16" t="str">
        <f ca="1">IFERROR(_xlfn.XLOOKUP("Total Debt",Inputs!$B:$B,Inputs!H:H,,,-1)/(_xlfn.XLOOKUP("EBITDA",Inputs!$B:$B,Inputs!H:H)+_xlfn.XLOOKUP("Net Capex",Inputs!$B:$B,Inputs!H:H)),"")</f>
        <v/>
      </c>
      <c r="H44" s="16" t="str">
        <f ca="1">IFERROR(_xlfn.XLOOKUP("Total Debt",Inputs!$B:$B,Inputs!I:I,,,-1)/(_xlfn.XLOOKUP("EBITDA",Inputs!$B:$B,Inputs!I:I)+_xlfn.XLOOKUP("Net Capex",Inputs!$B:$B,Inputs!I:I)),"")</f>
        <v/>
      </c>
      <c r="I44" s="16" t="str">
        <f ca="1">IFERROR(_xlfn.XLOOKUP("Total Debt",Inputs!$B:$B,Inputs!J:J,,,-1)/(_xlfn.XLOOKUP("EBITDA",Inputs!$B:$B,Inputs!J:J)+_xlfn.XLOOKUP("Net Capex",Inputs!$B:$B,Inputs!J:J)),"")</f>
        <v/>
      </c>
      <c r="J44" s="16" t="str">
        <f ca="1">IFERROR(_xlfn.XLOOKUP("Total Debt",Inputs!$B:$B,Inputs!K:K,,,-1)/(_xlfn.XLOOKUP("EBITDA",Inputs!$B:$B,Inputs!K:K)+_xlfn.XLOOKUP("Net Capex",Inputs!$B:$B,Inputs!K:K)),"")</f>
        <v/>
      </c>
      <c r="K44" s="16" t="str">
        <f ca="1">IFERROR(_xlfn.XLOOKUP("Total Debt",Inputs!$B:$B,Inputs!L:L,,,-1)/(_xlfn.XLOOKUP("EBITDA",Inputs!$B:$B,Inputs!L:L)+_xlfn.XLOOKUP("Net Capex",Inputs!$B:$B,Inputs!L:L)),"")</f>
        <v/>
      </c>
      <c r="L44" s="16" t="str">
        <f ca="1">IFERROR(_xlfn.XLOOKUP("Total Debt",Inputs!$B:$B,Inputs!M:M,,,-1)/(_xlfn.XLOOKUP("EBITDA",Inputs!$B:$B,Inputs!M:M)+_xlfn.XLOOKUP("Net Capex",Inputs!$B:$B,Inputs!M:M)),"")</f>
        <v/>
      </c>
      <c r="M44" s="16" t="str">
        <f ca="1">IFERROR(_xlfn.XLOOKUP("Total Debt",Inputs!$B:$B,Inputs!N:N,,,-1)/(_xlfn.XLOOKUP("EBITDA",Inputs!$B:$B,Inputs!N:N)+_xlfn.XLOOKUP("Net Capex",Inputs!$B:$B,Inputs!N:N)),"")</f>
        <v/>
      </c>
      <c r="N44" s="16" t="str">
        <f ca="1">IFERROR(_xlfn.XLOOKUP("Total Debt",Inputs!$B:$B,Inputs!O:O,,,-1)/(_xlfn.XLOOKUP("EBITDA",Inputs!$B:$B,Inputs!O:O)+_xlfn.XLOOKUP("Net Capex",Inputs!$B:$B,Inputs!O:O)),"")</f>
        <v/>
      </c>
      <c r="O44" s="16" t="str">
        <f ca="1">IFERROR(_xlfn.XLOOKUP("Total Debt",Inputs!$B:$B,Inputs!P:P,,,-1)/(_xlfn.XLOOKUP("EBITDA",Inputs!$B:$B,Inputs!P:P)+_xlfn.XLOOKUP("Net Capex",Inputs!$B:$B,Inputs!P:P)),"")</f>
        <v/>
      </c>
      <c r="P44" s="367" t="str">
        <f ca="1">IFERROR(_xlfn.XLOOKUP("Total Debt",Inputs!$B:$B,Inputs!Q:Q,,,-1)/(_xlfn.XLOOKUP("EBITDA",Inputs!$B:$B,Inputs!Q:Q)+_xlfn.XLOOKUP("Net Capex",Inputs!$B:$B,Inputs!Q:Q)),"")</f>
        <v/>
      </c>
      <c r="Q44" s="374" t="str">
        <f ca="1">IFERROR((_xlfn.XLOOKUP("Total Borrowings",DCF!$B:$B,DCF!G:G)+_xlfn.XLOOKUP("Total Leases",DCF!$B:$B,DCF!G:G))/(_xlfn.XLOOKUP("EBITDA",DCF!$B:$B,DCF!H:H)+_xlfn.XLOOKUP("Net Capex",DCF!$B:$B,DCF!H:H)),"")</f>
        <v/>
      </c>
      <c r="R44" s="374" t="str">
        <f ca="1">IFERROR((_xlfn.XLOOKUP("Total Borrowings",DCF!$B:$B,DCF!H:H)+_xlfn.XLOOKUP("Total Leases",DCF!$B:$B,DCF!H:H))/(_xlfn.XLOOKUP("EBITDA",DCF!$B:$B,DCF!I:I)+_xlfn.XLOOKUP("Net Capex",DCF!$B:$B,DCF!I:I)),"")</f>
        <v/>
      </c>
    </row>
    <row r="45" spans="2:18" ht="15" x14ac:dyDescent="0.2">
      <c r="B45" s="18" t="s">
        <v>63</v>
      </c>
      <c r="F45" s="16" t="str">
        <f ca="1">+IFERROR(_xlfn.XLOOKUP("Net Debt",Inputs!$B:$B,Inputs!G:G,,,-1)/_xlfn.XLOOKUP("EBITDA",Inputs!$B:$B,Inputs!G:G),"")</f>
        <v/>
      </c>
      <c r="G45" s="16" t="str">
        <f ca="1">+IFERROR(_xlfn.XLOOKUP("Net Debt",Inputs!$B:$B,Inputs!H:H,,,-1)/_xlfn.XLOOKUP("EBITDA",Inputs!$B:$B,Inputs!H:H),"")</f>
        <v/>
      </c>
      <c r="H45" s="16" t="str">
        <f ca="1">+IFERROR(_xlfn.XLOOKUP("Net Debt",Inputs!$B:$B,Inputs!I:I,,,-1)/_xlfn.XLOOKUP("EBITDA",Inputs!$B:$B,Inputs!I:I),"")</f>
        <v/>
      </c>
      <c r="I45" s="16" t="str">
        <f ca="1">+IFERROR(_xlfn.XLOOKUP("Net Debt",Inputs!$B:$B,Inputs!J:J,,,-1)/_xlfn.XLOOKUP("EBITDA",Inputs!$B:$B,Inputs!J:J),"")</f>
        <v/>
      </c>
      <c r="J45" s="16" t="str">
        <f ca="1">+IFERROR(_xlfn.XLOOKUP("Net Debt",Inputs!$B:$B,Inputs!K:K,,,-1)/_xlfn.XLOOKUP("EBITDA",Inputs!$B:$B,Inputs!K:K),"")</f>
        <v/>
      </c>
      <c r="K45" s="16" t="str">
        <f ca="1">+IFERROR(_xlfn.XLOOKUP("Net Debt",Inputs!$B:$B,Inputs!L:L,,,-1)/_xlfn.XLOOKUP("EBITDA",Inputs!$B:$B,Inputs!L:L),"")</f>
        <v/>
      </c>
      <c r="L45" s="16" t="str">
        <f ca="1">+IFERROR(_xlfn.XLOOKUP("Net Debt",Inputs!$B:$B,Inputs!M:M,,,-1)/_xlfn.XLOOKUP("EBITDA",Inputs!$B:$B,Inputs!M:M),"")</f>
        <v/>
      </c>
      <c r="M45" s="16" t="str">
        <f ca="1">+IFERROR(_xlfn.XLOOKUP("Net Debt",Inputs!$B:$B,Inputs!N:N,,,-1)/_xlfn.XLOOKUP("EBITDA",Inputs!$B:$B,Inputs!N:N),"")</f>
        <v/>
      </c>
      <c r="N45" s="16" t="str">
        <f ca="1">+IFERROR(_xlfn.XLOOKUP("Net Debt",Inputs!$B:$B,Inputs!O:O,,,-1)/_xlfn.XLOOKUP("EBITDA",Inputs!$B:$B,Inputs!O:O),"")</f>
        <v/>
      </c>
      <c r="O45" s="16" t="str">
        <f ca="1">+IFERROR(_xlfn.XLOOKUP("Net Debt",Inputs!$B:$B,Inputs!P:P,,,-1)/_xlfn.XLOOKUP("EBITDA",Inputs!$B:$B,Inputs!P:P),"")</f>
        <v/>
      </c>
      <c r="P45" s="367" t="str">
        <f ca="1">+IFERROR(_xlfn.XLOOKUP("Net Debt",Inputs!$B:$B,Inputs!Q:Q,,,-1)/_xlfn.XLOOKUP("EBITDA",Inputs!$B:$B,Inputs!Q:Q),"")</f>
        <v/>
      </c>
      <c r="Q45" s="374" t="str">
        <f ca="1">IFERROR((_xlfn.XLOOKUP("Total Borrowings",DCF!$B:$B,DCF!G:G)+_xlfn.XLOOKUP("Total Leases",DCF!$B:$B,DCF!G:G)-_xlfn.XLOOKUP("Cash &amp; Cash Equivalents &amp; ST Investments",DCF!$B:$B,DCF!G:G))/_xlfn.XLOOKUP("EBITDA",DCF!$B:$B,DCF!H:H),"")</f>
        <v/>
      </c>
      <c r="R45" s="374" t="str">
        <f ca="1">IFERROR((_xlfn.XLOOKUP("Total Borrowings",DCF!$B:$B,DCF!H:H)+_xlfn.XLOOKUP("Total Leases",DCF!$B:$B,DCF!H:H)-_xlfn.XLOOKUP("Cash &amp; Cash Equivalents &amp; ST Investments",DCF!$B:$B,DCF!H:H))/_xlfn.XLOOKUP("EBITDA",DCF!$B:$B,DCF!I:I),"")</f>
        <v/>
      </c>
    </row>
    <row r="46" spans="2:18" ht="8.1" customHeight="1" x14ac:dyDescent="0.2">
      <c r="B46" s="261"/>
      <c r="N46" s="263"/>
      <c r="O46" s="263"/>
      <c r="P46" s="370"/>
      <c r="Q46" s="375"/>
      <c r="R46" s="375"/>
    </row>
    <row r="47" spans="2:18" ht="15.75" x14ac:dyDescent="0.25">
      <c r="B47" s="7" t="s">
        <v>501</v>
      </c>
      <c r="C47" s="56"/>
      <c r="D47" s="58"/>
      <c r="E47" s="58"/>
      <c r="F47" s="389">
        <v>2014</v>
      </c>
      <c r="G47" s="389">
        <f t="shared" ref="G47" si="39">+F47+1</f>
        <v>2015</v>
      </c>
      <c r="H47" s="389">
        <f t="shared" ref="H47" si="40">+G47+1</f>
        <v>2016</v>
      </c>
      <c r="I47" s="389">
        <f t="shared" ref="I47" si="41">+H47+1</f>
        <v>2017</v>
      </c>
      <c r="J47" s="389">
        <f t="shared" ref="J47" si="42">+I47+1</f>
        <v>2018</v>
      </c>
      <c r="K47" s="389">
        <f t="shared" ref="K47" si="43">+J47+1</f>
        <v>2019</v>
      </c>
      <c r="L47" s="389">
        <f t="shared" ref="L47" si="44">+K47+1</f>
        <v>2020</v>
      </c>
      <c r="M47" s="389">
        <f t="shared" ref="M47" si="45">+L47+1</f>
        <v>2021</v>
      </c>
      <c r="N47" s="389">
        <v>2022</v>
      </c>
      <c r="O47" s="389">
        <f t="shared" ref="O47" si="46">+N47+1</f>
        <v>2023</v>
      </c>
      <c r="P47" s="390">
        <f>+O47+1</f>
        <v>2024</v>
      </c>
      <c r="Q47" s="388">
        <f>+P47+1</f>
        <v>2025</v>
      </c>
      <c r="R47" s="388">
        <f>+Q47+1</f>
        <v>2026</v>
      </c>
    </row>
    <row r="48" spans="2:18" ht="3.95" customHeight="1" x14ac:dyDescent="0.2">
      <c r="B48" s="260"/>
      <c r="C48" s="53"/>
      <c r="D48" s="60"/>
      <c r="E48" s="60"/>
      <c r="F48" s="60"/>
      <c r="G48" s="60"/>
      <c r="H48" s="60"/>
      <c r="I48" s="60"/>
      <c r="J48" s="60"/>
      <c r="K48" s="60"/>
      <c r="L48" s="60"/>
      <c r="M48" s="60"/>
      <c r="N48" s="236"/>
      <c r="O48" s="236"/>
      <c r="P48" s="369"/>
      <c r="Q48" s="236"/>
      <c r="R48" s="236"/>
    </row>
    <row r="49" spans="2:18" ht="15" x14ac:dyDescent="0.2">
      <c r="B49" s="261" t="s">
        <v>65</v>
      </c>
      <c r="F49" s="16" t="str">
        <f ca="1">IFERROR(_xlfn.XLOOKUP("Operating Income (EBIT)",Inputs!$B:$B,Inputs!G:G)/_xlfn.XLOOKUP("Interest Expense",Inputs!$B:$B,Inputs!G:G),"N/A")</f>
        <v>N/A</v>
      </c>
      <c r="G49" s="16" t="str">
        <f ca="1">IFERROR(_xlfn.XLOOKUP("Operating Income (EBIT)",Inputs!$B:$B,Inputs!H:H)/_xlfn.XLOOKUP("Interest Expense",Inputs!$B:$B,Inputs!H:H),"N/A")</f>
        <v>N/A</v>
      </c>
      <c r="H49" s="16" t="str">
        <f ca="1">IFERROR(_xlfn.XLOOKUP("Operating Income (EBIT)",Inputs!$B:$B,Inputs!I:I)/_xlfn.XLOOKUP("Interest Expense",Inputs!$B:$B,Inputs!I:I),"N/A")</f>
        <v>N/A</v>
      </c>
      <c r="I49" s="16" t="str">
        <f ca="1">IFERROR(_xlfn.XLOOKUP("Operating Income (EBIT)",Inputs!$B:$B,Inputs!J:J)/_xlfn.XLOOKUP("Interest Expense",Inputs!$B:$B,Inputs!J:J),"N/A")</f>
        <v>N/A</v>
      </c>
      <c r="J49" s="16" t="str">
        <f ca="1">IFERROR(_xlfn.XLOOKUP("Operating Income (EBIT)",Inputs!$B:$B,Inputs!K:K)/_xlfn.XLOOKUP("Interest Expense",Inputs!$B:$B,Inputs!K:K),"N/A")</f>
        <v>N/A</v>
      </c>
      <c r="K49" s="16" t="str">
        <f ca="1">IFERROR(_xlfn.XLOOKUP("Operating Income (EBIT)",Inputs!$B:$B,Inputs!L:L)/_xlfn.XLOOKUP("Interest Expense",Inputs!$B:$B,Inputs!L:L),"N/A")</f>
        <v>N/A</v>
      </c>
      <c r="L49" s="16" t="str">
        <f ca="1">IFERROR(_xlfn.XLOOKUP("Operating Income (EBIT)",Inputs!$B:$B,Inputs!M:M)/_xlfn.XLOOKUP("Interest Expense",Inputs!$B:$B,Inputs!M:M),"N/A")</f>
        <v>N/A</v>
      </c>
      <c r="M49" s="16" t="str">
        <f ca="1">IFERROR(_xlfn.XLOOKUP("Operating Income (EBIT)",Inputs!$B:$B,Inputs!N:N)/_xlfn.XLOOKUP("Interest Expense",Inputs!$B:$B,Inputs!N:N),"N/A")</f>
        <v>N/A</v>
      </c>
      <c r="N49" s="16" t="str">
        <f ca="1">IFERROR(_xlfn.XLOOKUP("Operating Income (EBIT)",Inputs!$B:$B,Inputs!O:O)/_xlfn.XLOOKUP("Interest Expense",Inputs!$B:$B,Inputs!O:O),"N/A")</f>
        <v>N/A</v>
      </c>
      <c r="O49" s="16" t="str">
        <f ca="1">IFERROR(_xlfn.XLOOKUP("Operating Income (EBIT)",Inputs!$B:$B,Inputs!P:P)/_xlfn.XLOOKUP("Interest Expense",Inputs!$B:$B,Inputs!P:P),"N/A")</f>
        <v>N/A</v>
      </c>
      <c r="P49" s="367" t="str">
        <f ca="1">IFERROR(_xlfn.XLOOKUP("Operating Income (EBIT)",Inputs!$B:$B,Inputs!Q:Q)/_xlfn.XLOOKUP("Interest Expense",Inputs!$B:$B,Inputs!Q:Q),"N/A")</f>
        <v>N/A</v>
      </c>
      <c r="Q49" s="374" t="str">
        <f ca="1">IFERROR(_xlfn.XLOOKUP("EBIT",DCF!$B:$B,DCF!H:H)/_xlfn.XLOOKUP("Interest Expense",DCF!$B:$B,DCF!H:H),"N/A")</f>
        <v>N/A</v>
      </c>
      <c r="R49" s="374" t="str">
        <f ca="1">IFERROR(_xlfn.XLOOKUP("EBIT",DCF!$B:$B,DCF!I:I)/_xlfn.XLOOKUP("Interest Expense",DCF!$B:$B,DCF!I:I),"N/A")</f>
        <v>N/A</v>
      </c>
    </row>
    <row r="50" spans="2:18" ht="15" x14ac:dyDescent="0.2">
      <c r="B50" s="18" t="s">
        <v>66</v>
      </c>
      <c r="F50" s="16" t="str">
        <f ca="1">IFERROR(_xlfn.XLOOKUP("EBITDA",Inputs!$B:$B,Inputs!G:G)/_xlfn.XLOOKUP("Interest Expense",Inputs!$B:$B,Inputs!G:G),"N/A")</f>
        <v>N/A</v>
      </c>
      <c r="G50" s="16" t="str">
        <f ca="1">IFERROR(_xlfn.XLOOKUP("EBITDA",Inputs!$B:$B,Inputs!H:H)/_xlfn.XLOOKUP("Interest Expense",Inputs!$B:$B,Inputs!H:H),"N/A")</f>
        <v>N/A</v>
      </c>
      <c r="H50" s="16" t="str">
        <f ca="1">IFERROR(_xlfn.XLOOKUP("EBITDA",Inputs!$B:$B,Inputs!I:I)/_xlfn.XLOOKUP("Interest Expense",Inputs!$B:$B,Inputs!I:I),"N/A")</f>
        <v>N/A</v>
      </c>
      <c r="I50" s="16" t="str">
        <f ca="1">IFERROR(_xlfn.XLOOKUP("EBITDA",Inputs!$B:$B,Inputs!J:J)/_xlfn.XLOOKUP("Interest Expense",Inputs!$B:$B,Inputs!J:J),"N/A")</f>
        <v>N/A</v>
      </c>
      <c r="J50" s="16" t="str">
        <f ca="1">IFERROR(_xlfn.XLOOKUP("EBITDA",Inputs!$B:$B,Inputs!K:K)/_xlfn.XLOOKUP("Interest Expense",Inputs!$B:$B,Inputs!K:K),"N/A")</f>
        <v>N/A</v>
      </c>
      <c r="K50" s="16" t="str">
        <f ca="1">IFERROR(_xlfn.XLOOKUP("EBITDA",Inputs!$B:$B,Inputs!L:L)/_xlfn.XLOOKUP("Interest Expense",Inputs!$B:$B,Inputs!L:L),"N/A")</f>
        <v>N/A</v>
      </c>
      <c r="L50" s="16" t="str">
        <f ca="1">IFERROR(_xlfn.XLOOKUP("EBITDA",Inputs!$B:$B,Inputs!M:M)/_xlfn.XLOOKUP("Interest Expense",Inputs!$B:$B,Inputs!M:M),"N/A")</f>
        <v>N/A</v>
      </c>
      <c r="M50" s="16" t="str">
        <f ca="1">IFERROR(_xlfn.XLOOKUP("EBITDA",Inputs!$B:$B,Inputs!N:N)/_xlfn.XLOOKUP("Interest Expense",Inputs!$B:$B,Inputs!N:N),"N/A")</f>
        <v>N/A</v>
      </c>
      <c r="N50" s="16" t="str">
        <f ca="1">IFERROR(_xlfn.XLOOKUP("EBITDA",Inputs!$B:$B,Inputs!O:O)/_xlfn.XLOOKUP("Interest Expense",Inputs!$B:$B,Inputs!O:O),"N/A")</f>
        <v>N/A</v>
      </c>
      <c r="O50" s="16" t="str">
        <f ca="1">IFERROR(_xlfn.XLOOKUP("EBITDA",Inputs!$B:$B,Inputs!P:P)/_xlfn.XLOOKUP("Interest Expense",Inputs!$B:$B,Inputs!P:P),"N/A")</f>
        <v>N/A</v>
      </c>
      <c r="P50" s="367" t="str">
        <f ca="1">IFERROR(_xlfn.XLOOKUP("EBITDA",Inputs!$B:$B,Inputs!Q:Q)/_xlfn.XLOOKUP("Interest Expense",Inputs!$B:$B,Inputs!Q:Q),"N/A")</f>
        <v>N/A</v>
      </c>
      <c r="Q50" s="374" t="str">
        <f ca="1">IFERROR(_xlfn.XLOOKUP("EBITDA",DCF!$B:$B,DCF!H:H)/_xlfn.XLOOKUP("Interest Expense",DCF!$B:$B,DCF!H:H),"N/A")</f>
        <v>N/A</v>
      </c>
      <c r="R50" s="374" t="str">
        <f ca="1">IFERROR(_xlfn.XLOOKUP("EBITDA",DCF!$B:$B,DCF!I:I)/_xlfn.XLOOKUP("Interest Expense",DCF!$B:$B,DCF!I:I),"N/A")</f>
        <v>N/A</v>
      </c>
    </row>
    <row r="51" spans="2:18" ht="15" x14ac:dyDescent="0.2">
      <c r="B51" s="18" t="s">
        <v>67</v>
      </c>
      <c r="F51" s="16" t="str">
        <f ca="1">IFERROR((_xlfn.XLOOKUP("EBITDA",Inputs!$B:$B,Inputs!G:G)-_xlfn.XLOOKUP("Net Capex",Inputs!$B:$B,Inputs!G:G))/_xlfn.XLOOKUP("Interest Expense",Inputs!$B:$B,Inputs!G:G),"N/A")</f>
        <v>N/A</v>
      </c>
      <c r="G51" s="16" t="str">
        <f ca="1">IFERROR((_xlfn.XLOOKUP("EBITDA",Inputs!$B:$B,Inputs!H:H)-_xlfn.XLOOKUP("Net Capex",Inputs!$B:$B,Inputs!H:H))/_xlfn.XLOOKUP("Interest Expense",Inputs!$B:$B,Inputs!H:H),"N/A")</f>
        <v>N/A</v>
      </c>
      <c r="H51" s="16" t="str">
        <f ca="1">IFERROR((_xlfn.XLOOKUP("EBITDA",Inputs!$B:$B,Inputs!I:I)-_xlfn.XLOOKUP("Net Capex",Inputs!$B:$B,Inputs!I:I))/_xlfn.XLOOKUP("Interest Expense",Inputs!$B:$B,Inputs!I:I),"N/A")</f>
        <v>N/A</v>
      </c>
      <c r="I51" s="16" t="str">
        <f ca="1">IFERROR((_xlfn.XLOOKUP("EBITDA",Inputs!$B:$B,Inputs!J:J)-_xlfn.XLOOKUP("Net Capex",Inputs!$B:$B,Inputs!J:J))/_xlfn.XLOOKUP("Interest Expense",Inputs!$B:$B,Inputs!J:J),"N/A")</f>
        <v>N/A</v>
      </c>
      <c r="J51" s="16" t="str">
        <f ca="1">IFERROR((_xlfn.XLOOKUP("EBITDA",Inputs!$B:$B,Inputs!K:K)-_xlfn.XLOOKUP("Net Capex",Inputs!$B:$B,Inputs!K:K))/_xlfn.XLOOKUP("Interest Expense",Inputs!$B:$B,Inputs!K:K),"N/A")</f>
        <v>N/A</v>
      </c>
      <c r="K51" s="16" t="str">
        <f ca="1">IFERROR((_xlfn.XLOOKUP("EBITDA",Inputs!$B:$B,Inputs!L:L)-_xlfn.XLOOKUP("Net Capex",Inputs!$B:$B,Inputs!L:L))/_xlfn.XLOOKUP("Interest Expense",Inputs!$B:$B,Inputs!L:L),"N/A")</f>
        <v>N/A</v>
      </c>
      <c r="L51" s="16" t="str">
        <f ca="1">IFERROR((_xlfn.XLOOKUP("EBITDA",Inputs!$B:$B,Inputs!M:M)-_xlfn.XLOOKUP("Net Capex",Inputs!$B:$B,Inputs!M:M))/_xlfn.XLOOKUP("Interest Expense",Inputs!$B:$B,Inputs!M:M),"N/A")</f>
        <v>N/A</v>
      </c>
      <c r="M51" s="16" t="str">
        <f ca="1">IFERROR((_xlfn.XLOOKUP("EBITDA",Inputs!$B:$B,Inputs!N:N)-_xlfn.XLOOKUP("Net Capex",Inputs!$B:$B,Inputs!N:N))/_xlfn.XLOOKUP("Interest Expense",Inputs!$B:$B,Inputs!N:N),"N/A")</f>
        <v>N/A</v>
      </c>
      <c r="N51" s="16" t="str">
        <f ca="1">IFERROR((_xlfn.XLOOKUP("EBITDA",Inputs!$B:$B,Inputs!O:O)-_xlfn.XLOOKUP("Net Capex",Inputs!$B:$B,Inputs!O:O))/_xlfn.XLOOKUP("Interest Expense",Inputs!$B:$B,Inputs!O:O),"N/A")</f>
        <v>N/A</v>
      </c>
      <c r="O51" s="16" t="str">
        <f ca="1">IFERROR((_xlfn.XLOOKUP("EBITDA",Inputs!$B:$B,Inputs!P:P)-_xlfn.XLOOKUP("Net Capex",Inputs!$B:$B,Inputs!P:P))/_xlfn.XLOOKUP("Interest Expense",Inputs!$B:$B,Inputs!P:P),"N/A")</f>
        <v>N/A</v>
      </c>
      <c r="P51" s="367" t="str">
        <f ca="1">IFERROR((_xlfn.XLOOKUP("EBITDA",Inputs!$B:$B,Inputs!Q:Q)-_xlfn.XLOOKUP("Net Capex",Inputs!$B:$B,Inputs!Q:Q))/_xlfn.XLOOKUP("Interest Expense",Inputs!$B:$B,Inputs!Q:Q),"N/A")</f>
        <v>N/A</v>
      </c>
      <c r="Q51" s="374" t="str">
        <f ca="1">IFERROR((_xlfn.XLOOKUP("EBITDA",DCF!$B:$B,DCF!H:H)-_xlfn.XLOOKUP("Net Capex",DCF!$B:$B,DCF!H:H))/_xlfn.XLOOKUP("Interest Expense",DCF!$B:$B,DCF!H:H),"N/A")</f>
        <v>N/A</v>
      </c>
      <c r="R51" s="374" t="str">
        <f ca="1">IFERROR((_xlfn.XLOOKUP("EBITDA",DCF!$B:$B,DCF!I:I)-_xlfn.XLOOKUP("Net Capex",DCF!$B:$B,DCF!I:I))/_xlfn.XLOOKUP("Interest Expense",DCF!$B:$B,DCF!I:I),"N/A")</f>
        <v>N/A</v>
      </c>
    </row>
    <row r="52" spans="2:18" x14ac:dyDescent="0.2">
      <c r="P52" s="368"/>
      <c r="Q52" s="379"/>
      <c r="R52" s="379"/>
    </row>
    <row r="53" spans="2:18" ht="15.75" x14ac:dyDescent="0.25">
      <c r="B53" s="7" t="s">
        <v>50</v>
      </c>
      <c r="C53" s="56"/>
      <c r="D53" s="58"/>
      <c r="E53" s="58"/>
      <c r="F53" s="389">
        <v>2014</v>
      </c>
      <c r="G53" s="389">
        <f t="shared" ref="G53" si="47">+F53+1</f>
        <v>2015</v>
      </c>
      <c r="H53" s="389">
        <f t="shared" ref="H53" si="48">+G53+1</f>
        <v>2016</v>
      </c>
      <c r="I53" s="389">
        <f t="shared" ref="I53" si="49">+H53+1</f>
        <v>2017</v>
      </c>
      <c r="J53" s="389">
        <f t="shared" ref="J53" si="50">+I53+1</f>
        <v>2018</v>
      </c>
      <c r="K53" s="389">
        <f t="shared" ref="K53" si="51">+J53+1</f>
        <v>2019</v>
      </c>
      <c r="L53" s="389">
        <f t="shared" ref="L53" si="52">+K53+1</f>
        <v>2020</v>
      </c>
      <c r="M53" s="389">
        <f t="shared" ref="M53" si="53">+L53+1</f>
        <v>2021</v>
      </c>
      <c r="N53" s="389">
        <v>2022</v>
      </c>
      <c r="O53" s="389">
        <f t="shared" ref="O53" si="54">+N53+1</f>
        <v>2023</v>
      </c>
      <c r="P53" s="390">
        <f>+O53+1</f>
        <v>2024</v>
      </c>
      <c r="Q53" s="388">
        <f>+P53+1</f>
        <v>2025</v>
      </c>
      <c r="R53" s="388">
        <f>+Q53+1</f>
        <v>2026</v>
      </c>
    </row>
    <row r="54" spans="2:18" ht="3.75" customHeight="1" x14ac:dyDescent="0.2">
      <c r="B54" s="260"/>
      <c r="C54" s="53"/>
      <c r="D54" s="60"/>
      <c r="E54" s="60"/>
      <c r="F54" s="60"/>
      <c r="G54" s="60"/>
      <c r="H54" s="60"/>
      <c r="I54" s="60"/>
      <c r="J54" s="60"/>
      <c r="K54" s="60"/>
      <c r="L54" s="60"/>
      <c r="M54" s="60"/>
      <c r="N54" s="236"/>
      <c r="O54" s="236"/>
      <c r="P54" s="369"/>
      <c r="Q54" s="236"/>
      <c r="R54" s="236"/>
    </row>
    <row r="55" spans="2:18" ht="15" x14ac:dyDescent="0.2">
      <c r="B55" s="18" t="s">
        <v>192</v>
      </c>
      <c r="F55" s="385" t="str">
        <f ca="1">+IFERROR(_xlfn.XLOOKUP("Operating Cash Flow",Inputs!$B:$B,Inputs!G:G,,,-1)/_xlfn.XLOOKUP("Revenue (Sales)",Inputs!$B:$B,Inputs!G:G),"")</f>
        <v/>
      </c>
      <c r="G55" s="385" t="str">
        <f ca="1">+IFERROR(_xlfn.XLOOKUP("Operating Cash Flow",Inputs!$B:$B,Inputs!H:H,,,-1)/_xlfn.XLOOKUP("Revenue (Sales)",Inputs!$B:$B,Inputs!H:H),"")</f>
        <v/>
      </c>
      <c r="H55" s="385" t="str">
        <f ca="1">+IFERROR(_xlfn.XLOOKUP("Operating Cash Flow",Inputs!$B:$B,Inputs!I:I,,,-1)/_xlfn.XLOOKUP("Revenue (Sales)",Inputs!$B:$B,Inputs!I:I),"")</f>
        <v/>
      </c>
      <c r="I55" s="385" t="str">
        <f ca="1">+IFERROR(_xlfn.XLOOKUP("Operating Cash Flow",Inputs!$B:$B,Inputs!J:J,,,-1)/_xlfn.XLOOKUP("Revenue (Sales)",Inputs!$B:$B,Inputs!J:J),"")</f>
        <v/>
      </c>
      <c r="J55" s="385" t="str">
        <f ca="1">+IFERROR(_xlfn.XLOOKUP("Operating Cash Flow",Inputs!$B:$B,Inputs!K:K,,,-1)/_xlfn.XLOOKUP("Revenue (Sales)",Inputs!$B:$B,Inputs!K:K),"")</f>
        <v/>
      </c>
      <c r="K55" s="385" t="str">
        <f ca="1">+IFERROR(_xlfn.XLOOKUP("Operating Cash Flow",Inputs!$B:$B,Inputs!L:L,,,-1)/_xlfn.XLOOKUP("Revenue (Sales)",Inputs!$B:$B,Inputs!L:L),"")</f>
        <v/>
      </c>
      <c r="L55" s="385" t="str">
        <f ca="1">+IFERROR(_xlfn.XLOOKUP("Operating Cash Flow",Inputs!$B:$B,Inputs!M:M,,,-1)/_xlfn.XLOOKUP("Revenue (Sales)",Inputs!$B:$B,Inputs!M:M),"")</f>
        <v/>
      </c>
      <c r="M55" s="385" t="str">
        <f ca="1">+IFERROR(_xlfn.XLOOKUP("Operating Cash Flow",Inputs!$B:$B,Inputs!N:N,,,-1)/_xlfn.XLOOKUP("Revenue (Sales)",Inputs!$B:$B,Inputs!N:N),"")</f>
        <v/>
      </c>
      <c r="N55" s="385" t="str">
        <f ca="1">+IFERROR(_xlfn.XLOOKUP("Operating Cash Flow",Inputs!$B:$B,Inputs!O:O,,,-1)/_xlfn.XLOOKUP("Revenue (Sales)",Inputs!$B:$B,Inputs!O:O),"")</f>
        <v/>
      </c>
      <c r="O55" s="385" t="str">
        <f ca="1">+IFERROR(_xlfn.XLOOKUP("Operating Cash Flow",Inputs!$B:$B,Inputs!P:P,,,-1)/_xlfn.XLOOKUP("Revenue (Sales)",Inputs!$B:$B,Inputs!P:P),"")</f>
        <v/>
      </c>
      <c r="P55" s="386" t="str">
        <f ca="1">+IFERROR(_xlfn.XLOOKUP("Operating Cash Flow",Inputs!$B:$B,Inputs!Q:Q,,,-1)/_xlfn.XLOOKUP("Revenue (Sales)",Inputs!$B:$B,Inputs!Q:Q),"")</f>
        <v/>
      </c>
      <c r="Q55" s="387" t="str">
        <f ca="1">IFERROR(_xlfn.XLOOKUP("Operating Cash Flow",DCF!$B:$B,DCF!H:H)/_xlfn.XLOOKUP("Revenue (Sales)",DCF!$B:$B,DCF!H:H),"")</f>
        <v/>
      </c>
      <c r="R55" s="387" t="str">
        <f ca="1">IFERROR(_xlfn.XLOOKUP("Operating Cash Flow",DCF!$B:$B,DCF!I:I)/_xlfn.XLOOKUP("Revenue (Sales)",DCF!$B:$B,DCF!I:I),"")</f>
        <v/>
      </c>
    </row>
    <row r="56" spans="2:18" ht="15" x14ac:dyDescent="0.2">
      <c r="B56" s="18" t="s">
        <v>193</v>
      </c>
      <c r="F56" s="385" t="str">
        <f ca="1">IFERROR(_xlfn.XLOOKUP("Net Changes in Cash",Inputs!$B:$B,Inputs!G:G,,,-1)/_xlfn.XLOOKUP("Net Income",Inputs!$B:$B,Inputs!G:G),"")</f>
        <v/>
      </c>
      <c r="G56" s="385" t="str">
        <f ca="1">IFERROR(_xlfn.XLOOKUP("Net Changes in Cash",Inputs!$B:$B,Inputs!H:H,,,-1)/_xlfn.XLOOKUP("Net Income",Inputs!$B:$B,Inputs!H:H),"")</f>
        <v/>
      </c>
      <c r="H56" s="385" t="str">
        <f ca="1">IFERROR(_xlfn.XLOOKUP("Net Changes in Cash",Inputs!$B:$B,Inputs!I:I,,,-1)/_xlfn.XLOOKUP("Net Income",Inputs!$B:$B,Inputs!I:I),"")</f>
        <v/>
      </c>
      <c r="I56" s="385" t="str">
        <f ca="1">IFERROR(_xlfn.XLOOKUP("Net Changes in Cash",Inputs!$B:$B,Inputs!J:J,,,-1)/_xlfn.XLOOKUP("Net Income",Inputs!$B:$B,Inputs!J:J),"")</f>
        <v/>
      </c>
      <c r="J56" s="385" t="str">
        <f ca="1">IFERROR(_xlfn.XLOOKUP("Net Changes in Cash",Inputs!$B:$B,Inputs!K:K,,,-1)/_xlfn.XLOOKUP("Net Income",Inputs!$B:$B,Inputs!K:K),"")</f>
        <v/>
      </c>
      <c r="K56" s="385" t="str">
        <f ca="1">IFERROR(_xlfn.XLOOKUP("Net Changes in Cash",Inputs!$B:$B,Inputs!L:L,,,-1)/_xlfn.XLOOKUP("Net Income",Inputs!$B:$B,Inputs!L:L),"")</f>
        <v/>
      </c>
      <c r="L56" s="385" t="str">
        <f ca="1">IFERROR(_xlfn.XLOOKUP("Net Changes in Cash",Inputs!$B:$B,Inputs!M:M,,,-1)/_xlfn.XLOOKUP("Net Income",Inputs!$B:$B,Inputs!M:M),"")</f>
        <v/>
      </c>
      <c r="M56" s="385" t="str">
        <f ca="1">IFERROR(_xlfn.XLOOKUP("Net Changes in Cash",Inputs!$B:$B,Inputs!N:N,,,-1)/_xlfn.XLOOKUP("Net Income",Inputs!$B:$B,Inputs!N:N),"")</f>
        <v/>
      </c>
      <c r="N56" s="385" t="str">
        <f ca="1">IFERROR(_xlfn.XLOOKUP("Net Changes in Cash",Inputs!$B:$B,Inputs!O:O,,,-1)/_xlfn.XLOOKUP("Net Income",Inputs!$B:$B,Inputs!O:O),"")</f>
        <v/>
      </c>
      <c r="O56" s="385" t="str">
        <f ca="1">IFERROR(_xlfn.XLOOKUP("Net Changes in Cash",Inputs!$B:$B,Inputs!P:P,,,-1)/_xlfn.XLOOKUP("Net Income",Inputs!$B:$B,Inputs!P:P),"")</f>
        <v/>
      </c>
      <c r="P56" s="386" t="str">
        <f ca="1">IFERROR(_xlfn.XLOOKUP("Net Changes in Cash",Inputs!$B:$B,Inputs!Q:Q,,,-1)/_xlfn.XLOOKUP("Net Income",Inputs!$B:$B,Inputs!Q:Q),"")</f>
        <v/>
      </c>
      <c r="Q56" s="387" t="str">
        <f ca="1">IFERROR(_xlfn.XLOOKUP("Net Changes in Cash",DCF!$B:$B,DCF!H:H)/_xlfn.XLOOKUP("Net Income",DCF!$B:$B,DCF!H:H),"")</f>
        <v/>
      </c>
      <c r="R56" s="387" t="str">
        <f ca="1">IFERROR(_xlfn.XLOOKUP("Net Changes in Cash",DCF!$B:$B,DCF!I:I)/_xlfn.XLOOKUP("Net Income",DCF!$B:$B,DCF!I:I),"")</f>
        <v/>
      </c>
    </row>
    <row r="57" spans="2:18" ht="15" x14ac:dyDescent="0.2">
      <c r="B57" s="18" t="s">
        <v>194</v>
      </c>
      <c r="F57" s="385" t="str">
        <f ca="1">IFERROR(_xlfn.XLOOKUP("Operating Cash Flow",Inputs!$B:$B,Inputs!G:G,,,-1)/_xlfn.XLOOKUP("Net Income",Inputs!$B:$B,Inputs!G:G),"")</f>
        <v/>
      </c>
      <c r="G57" s="385" t="str">
        <f ca="1">IFERROR(_xlfn.XLOOKUP("Operating Cash Flow",Inputs!$B:$B,Inputs!H:H,,,-1)/_xlfn.XLOOKUP("Net Income",Inputs!$B:$B,Inputs!H:H),"")</f>
        <v/>
      </c>
      <c r="H57" s="385" t="str">
        <f ca="1">IFERROR(_xlfn.XLOOKUP("Operating Cash Flow",Inputs!$B:$B,Inputs!I:I,,,-1)/_xlfn.XLOOKUP("Net Income",Inputs!$B:$B,Inputs!I:I),"")</f>
        <v/>
      </c>
      <c r="I57" s="385" t="str">
        <f ca="1">IFERROR(_xlfn.XLOOKUP("Operating Cash Flow",Inputs!$B:$B,Inputs!J:J,,,-1)/_xlfn.XLOOKUP("Net Income",Inputs!$B:$B,Inputs!J:J),"")</f>
        <v/>
      </c>
      <c r="J57" s="385" t="str">
        <f ca="1">IFERROR(_xlfn.XLOOKUP("Operating Cash Flow",Inputs!$B:$B,Inputs!K:K,,,-1)/_xlfn.XLOOKUP("Net Income",Inputs!$B:$B,Inputs!K:K),"")</f>
        <v/>
      </c>
      <c r="K57" s="385" t="str">
        <f ca="1">IFERROR(_xlfn.XLOOKUP("Operating Cash Flow",Inputs!$B:$B,Inputs!L:L,,,-1)/_xlfn.XLOOKUP("Net Income",Inputs!$B:$B,Inputs!L:L),"")</f>
        <v/>
      </c>
      <c r="L57" s="385" t="str">
        <f ca="1">IFERROR(_xlfn.XLOOKUP("Operating Cash Flow",Inputs!$B:$B,Inputs!M:M,,,-1)/_xlfn.XLOOKUP("Net Income",Inputs!$B:$B,Inputs!M:M),"")</f>
        <v/>
      </c>
      <c r="M57" s="385" t="str">
        <f ca="1">IFERROR(_xlfn.XLOOKUP("Operating Cash Flow",Inputs!$B:$B,Inputs!N:N,,,-1)/_xlfn.XLOOKUP("Net Income",Inputs!$B:$B,Inputs!N:N),"")</f>
        <v/>
      </c>
      <c r="N57" s="385" t="str">
        <f ca="1">IFERROR(_xlfn.XLOOKUP("Operating Cash Flow",Inputs!$B:$B,Inputs!O:O,,,-1)/_xlfn.XLOOKUP("Net Income",Inputs!$B:$B,Inputs!O:O),"")</f>
        <v/>
      </c>
      <c r="O57" s="385" t="str">
        <f ca="1">IFERROR(_xlfn.XLOOKUP("Operating Cash Flow",Inputs!$B:$B,Inputs!P:P,,,-1)/_xlfn.XLOOKUP("Net Income",Inputs!$B:$B,Inputs!P:P),"")</f>
        <v/>
      </c>
      <c r="P57" s="386" t="str">
        <f ca="1">IFERROR(_xlfn.XLOOKUP("Operating Cash Flow",Inputs!$B:$B,Inputs!Q:Q,,,-1)/_xlfn.XLOOKUP("Net Income",Inputs!$B:$B,Inputs!Q:Q),"")</f>
        <v/>
      </c>
      <c r="Q57" s="387" t="str">
        <f ca="1">IFERROR(_xlfn.XLOOKUP("Operating Cash Flow",DCF!$B:$B,DCF!H:H)/_xlfn.XLOOKUP("Net Income",DCF!$B:$B,DCF!H:H),"")</f>
        <v/>
      </c>
      <c r="R57" s="387" t="str">
        <f ca="1">IFERROR(_xlfn.XLOOKUP("Operating Cash Flow",DCF!$B:$B,DCF!I:I)/_xlfn.XLOOKUP("Net Income",DCF!$B:$B,DCF!I:I),"")</f>
        <v/>
      </c>
    </row>
    <row r="58" spans="2:18" ht="15" x14ac:dyDescent="0.2">
      <c r="B58" s="18" t="s">
        <v>195</v>
      </c>
      <c r="F58" s="385" t="str">
        <f ca="1">IFERROR(_xlfn.XLOOKUP("Net Capex",Inputs!$B:$B,Inputs!G:G,,,-1)/_xlfn.XLOOKUP("Operating Cash Flow",Inputs!$B:$B,Inputs!G:G),"")</f>
        <v/>
      </c>
      <c r="G58" s="385" t="str">
        <f ca="1">IFERROR(_xlfn.XLOOKUP("Net Capex",Inputs!$B:$B,Inputs!H:H,,,-1)/_xlfn.XLOOKUP("Operating Cash Flow",Inputs!$B:$B,Inputs!H:H),"")</f>
        <v/>
      </c>
      <c r="H58" s="385" t="str">
        <f ca="1">IFERROR(_xlfn.XLOOKUP("Net Capex",Inputs!$B:$B,Inputs!I:I,,,-1)/_xlfn.XLOOKUP("Operating Cash Flow",Inputs!$B:$B,Inputs!I:I),"")</f>
        <v/>
      </c>
      <c r="I58" s="385" t="str">
        <f ca="1">IFERROR(_xlfn.XLOOKUP("Net Capex",Inputs!$B:$B,Inputs!J:J,,,-1)/_xlfn.XLOOKUP("Operating Cash Flow",Inputs!$B:$B,Inputs!J:J),"")</f>
        <v/>
      </c>
      <c r="J58" s="385" t="str">
        <f ca="1">IFERROR(_xlfn.XLOOKUP("Net Capex",Inputs!$B:$B,Inputs!K:K,,,-1)/_xlfn.XLOOKUP("Operating Cash Flow",Inputs!$B:$B,Inputs!K:K),"")</f>
        <v/>
      </c>
      <c r="K58" s="385" t="str">
        <f ca="1">IFERROR(_xlfn.XLOOKUP("Net Capex",Inputs!$B:$B,Inputs!L:L,,,-1)/_xlfn.XLOOKUP("Operating Cash Flow",Inputs!$B:$B,Inputs!L:L),"")</f>
        <v/>
      </c>
      <c r="L58" s="385" t="str">
        <f ca="1">IFERROR(_xlfn.XLOOKUP("Net Capex",Inputs!$B:$B,Inputs!M:M,,,-1)/_xlfn.XLOOKUP("Operating Cash Flow",Inputs!$B:$B,Inputs!M:M),"")</f>
        <v/>
      </c>
      <c r="M58" s="385" t="str">
        <f ca="1">IFERROR(_xlfn.XLOOKUP("Net Capex",Inputs!$B:$B,Inputs!N:N,,,-1)/_xlfn.XLOOKUP("Operating Cash Flow",Inputs!$B:$B,Inputs!N:N),"")</f>
        <v/>
      </c>
      <c r="N58" s="385" t="str">
        <f ca="1">IFERROR(_xlfn.XLOOKUP("Net Capex",Inputs!$B:$B,Inputs!O:O,,,-1)/_xlfn.XLOOKUP("Operating Cash Flow",Inputs!$B:$B,Inputs!O:O),"")</f>
        <v/>
      </c>
      <c r="O58" s="385" t="str">
        <f ca="1">IFERROR(_xlfn.XLOOKUP("Net Capex",Inputs!$B:$B,Inputs!P:P,,,-1)/_xlfn.XLOOKUP("Operating Cash Flow",Inputs!$B:$B,Inputs!P:P),"")</f>
        <v/>
      </c>
      <c r="P58" s="386" t="str">
        <f ca="1">IFERROR(_xlfn.XLOOKUP("Net Capex",Inputs!$B:$B,Inputs!Q:Q,,,-1)/_xlfn.XLOOKUP("Operating Cash Flow",Inputs!$B:$B,Inputs!Q:Q),"")</f>
        <v/>
      </c>
      <c r="Q58" s="387" t="str">
        <f ca="1">IFERROR(_xlfn.XLOOKUP("Net Capex",DCF!$B:$B,DCF!H:H)/_xlfn.XLOOKUP("Operating Cash Flow",DCF!$B:$B,DCF!H:H),"")</f>
        <v/>
      </c>
      <c r="R58" s="387" t="str">
        <f ca="1">IFERROR(_xlfn.XLOOKUP("Net Capex",DCF!$B:$B,DCF!I:I)/_xlfn.XLOOKUP("Operating Cash Flow",DCF!$B:$B,DCF!I:I),"")</f>
        <v/>
      </c>
    </row>
    <row r="59" spans="2:18" ht="15" x14ac:dyDescent="0.2">
      <c r="B59" s="18" t="s">
        <v>196</v>
      </c>
      <c r="F59" s="385" t="str">
        <f ca="1">IFERROR(_xlfn.XLOOKUP("Investing Cash Flow",Inputs!$B:$B,Inputs!G:G,,,-1)/_xlfn.XLOOKUP("Operating Cash Flow",Inputs!$B:$B,Inputs!G:G),"")</f>
        <v/>
      </c>
      <c r="G59" s="385" t="str">
        <f ca="1">IFERROR(_xlfn.XLOOKUP("Investing Cash Flow",Inputs!$B:$B,Inputs!H:H,,,-1)/_xlfn.XLOOKUP("Operating Cash Flow",Inputs!$B:$B,Inputs!H:H),"")</f>
        <v/>
      </c>
      <c r="H59" s="385" t="str">
        <f ca="1">IFERROR(_xlfn.XLOOKUP("Investing Cash Flow",Inputs!$B:$B,Inputs!I:I,,,-1)/_xlfn.XLOOKUP("Operating Cash Flow",Inputs!$B:$B,Inputs!I:I),"")</f>
        <v/>
      </c>
      <c r="I59" s="385" t="str">
        <f ca="1">IFERROR(_xlfn.XLOOKUP("Investing Cash Flow",Inputs!$B:$B,Inputs!J:J,,,-1)/_xlfn.XLOOKUP("Operating Cash Flow",Inputs!$B:$B,Inputs!J:J),"")</f>
        <v/>
      </c>
      <c r="J59" s="385" t="str">
        <f ca="1">IFERROR(_xlfn.XLOOKUP("Investing Cash Flow",Inputs!$B:$B,Inputs!K:K,,,-1)/_xlfn.XLOOKUP("Operating Cash Flow",Inputs!$B:$B,Inputs!K:K),"")</f>
        <v/>
      </c>
      <c r="K59" s="385" t="str">
        <f ca="1">IFERROR(_xlfn.XLOOKUP("Investing Cash Flow",Inputs!$B:$B,Inputs!L:L,,,-1)/_xlfn.XLOOKUP("Operating Cash Flow",Inputs!$B:$B,Inputs!L:L),"")</f>
        <v/>
      </c>
      <c r="L59" s="385" t="str">
        <f ca="1">IFERROR(_xlfn.XLOOKUP("Investing Cash Flow",Inputs!$B:$B,Inputs!M:M,,,-1)/_xlfn.XLOOKUP("Operating Cash Flow",Inputs!$B:$B,Inputs!M:M),"")</f>
        <v/>
      </c>
      <c r="M59" s="385" t="str">
        <f ca="1">IFERROR(_xlfn.XLOOKUP("Investing Cash Flow",Inputs!$B:$B,Inputs!N:N,,,-1)/_xlfn.XLOOKUP("Operating Cash Flow",Inputs!$B:$B,Inputs!N:N),"")</f>
        <v/>
      </c>
      <c r="N59" s="385" t="str">
        <f ca="1">IFERROR(_xlfn.XLOOKUP("Investing Cash Flow",Inputs!$B:$B,Inputs!O:O,,,-1)/_xlfn.XLOOKUP("Operating Cash Flow",Inputs!$B:$B,Inputs!O:O),"")</f>
        <v/>
      </c>
      <c r="O59" s="385" t="str">
        <f ca="1">IFERROR(_xlfn.XLOOKUP("Investing Cash Flow",Inputs!$B:$B,Inputs!P:P,,,-1)/_xlfn.XLOOKUP("Operating Cash Flow",Inputs!$B:$B,Inputs!P:P),"")</f>
        <v/>
      </c>
      <c r="P59" s="386" t="str">
        <f ca="1">IFERROR(_xlfn.XLOOKUP("Investing Cash Flow",Inputs!$B:$B,Inputs!Q:Q,,,-1)/_xlfn.XLOOKUP("Operating Cash Flow",Inputs!$B:$B,Inputs!Q:Q),"")</f>
        <v/>
      </c>
      <c r="Q59" s="387" t="str">
        <f ca="1">IFERROR(_xlfn.XLOOKUP("Investing Cash Flow",DCF!$B:$B,DCF!H:H)/_xlfn.XLOOKUP("Operating Cash Flow",DCF!$B:$B,DCF!H:H),"")</f>
        <v/>
      </c>
      <c r="R59" s="387" t="str">
        <f ca="1">IFERROR(_xlfn.XLOOKUP("Investing Cash Flow",DCF!$B:$B,DCF!I:I)/_xlfn.XLOOKUP("Operating Cash Flow",DCF!$B:$B,DCF!I:I),"")</f>
        <v/>
      </c>
    </row>
    <row r="60" spans="2:18" ht="15" x14ac:dyDescent="0.2">
      <c r="B60" s="18" t="s">
        <v>197</v>
      </c>
      <c r="F60" s="385" t="str">
        <f ca="1">IFERROR((_xlfn.XLOOKUP("Debt Borrowing",Inputs!$B:$B,Inputs!G:G,,,-1)-_xlfn.XLOOKUP("Debt Repayment",Inputs!$B:$B,Inputs!G:G))/_xlfn.XLOOKUP("Operating Cash Flow",Inputs!$B:$B,Inputs!G:G),"")</f>
        <v/>
      </c>
      <c r="G60" s="385" t="str">
        <f ca="1">IFERROR((_xlfn.XLOOKUP("Debt Borrowing",Inputs!$B:$B,Inputs!H:H,,,-1)-_xlfn.XLOOKUP("Debt Repayment",Inputs!$B:$B,Inputs!H:H))/_xlfn.XLOOKUP("Operating Cash Flow",Inputs!$B:$B,Inputs!H:H),"")</f>
        <v/>
      </c>
      <c r="H60" s="385" t="str">
        <f ca="1">IFERROR((_xlfn.XLOOKUP("Debt Borrowing",Inputs!$B:$B,Inputs!I:I,,,-1)-_xlfn.XLOOKUP("Debt Repayment",Inputs!$B:$B,Inputs!I:I))/_xlfn.XLOOKUP("Operating Cash Flow",Inputs!$B:$B,Inputs!I:I),"")</f>
        <v/>
      </c>
      <c r="I60" s="385" t="str">
        <f ca="1">IFERROR((_xlfn.XLOOKUP("Debt Borrowing",Inputs!$B:$B,Inputs!J:J,,,-1)-_xlfn.XLOOKUP("Debt Repayment",Inputs!$B:$B,Inputs!J:J))/_xlfn.XLOOKUP("Operating Cash Flow",Inputs!$B:$B,Inputs!J:J),"")</f>
        <v/>
      </c>
      <c r="J60" s="385" t="str">
        <f ca="1">IFERROR((_xlfn.XLOOKUP("Debt Borrowing",Inputs!$B:$B,Inputs!K:K,,,-1)-_xlfn.XLOOKUP("Debt Repayment",Inputs!$B:$B,Inputs!K:K))/_xlfn.XLOOKUP("Operating Cash Flow",Inputs!$B:$B,Inputs!K:K),"")</f>
        <v/>
      </c>
      <c r="K60" s="385" t="str">
        <f ca="1">IFERROR((_xlfn.XLOOKUP("Debt Borrowing",Inputs!$B:$B,Inputs!L:L,,,-1)-_xlfn.XLOOKUP("Debt Repayment",Inputs!$B:$B,Inputs!L:L))/_xlfn.XLOOKUP("Operating Cash Flow",Inputs!$B:$B,Inputs!L:L),"")</f>
        <v/>
      </c>
      <c r="L60" s="385" t="str">
        <f ca="1">IFERROR((_xlfn.XLOOKUP("Debt Borrowing",Inputs!$B:$B,Inputs!M:M,,,-1)-_xlfn.XLOOKUP("Debt Repayment",Inputs!$B:$B,Inputs!M:M))/_xlfn.XLOOKUP("Operating Cash Flow",Inputs!$B:$B,Inputs!M:M),"")</f>
        <v/>
      </c>
      <c r="M60" s="385" t="str">
        <f ca="1">IFERROR((_xlfn.XLOOKUP("Debt Borrowing",Inputs!$B:$B,Inputs!N:N,,,-1)-_xlfn.XLOOKUP("Debt Repayment",Inputs!$B:$B,Inputs!N:N))/_xlfn.XLOOKUP("Operating Cash Flow",Inputs!$B:$B,Inputs!N:N),"")</f>
        <v/>
      </c>
      <c r="N60" s="385" t="str">
        <f ca="1">IFERROR((_xlfn.XLOOKUP("Debt Borrowing",Inputs!$B:$B,Inputs!O:O,,,-1)-_xlfn.XLOOKUP("Debt Repayment",Inputs!$B:$B,Inputs!O:O))/_xlfn.XLOOKUP("Operating Cash Flow",Inputs!$B:$B,Inputs!O:O),"")</f>
        <v/>
      </c>
      <c r="O60" s="385" t="str">
        <f ca="1">IFERROR((_xlfn.XLOOKUP("Debt Borrowing",Inputs!$B:$B,Inputs!P:P,,,-1)-_xlfn.XLOOKUP("Debt Repayment",Inputs!$B:$B,Inputs!P:P))/_xlfn.XLOOKUP("Operating Cash Flow",Inputs!$B:$B,Inputs!P:P),"")</f>
        <v/>
      </c>
      <c r="P60" s="386" t="str">
        <f ca="1">IFERROR((_xlfn.XLOOKUP("Debt Borrowing",Inputs!$B:$B,Inputs!Q:Q,,,-1)-_xlfn.XLOOKUP("Debt Repayment",Inputs!$B:$B,Inputs!Q:Q))/_xlfn.XLOOKUP("Operating Cash Flow",Inputs!$B:$B,Inputs!Q:Q),"")</f>
        <v/>
      </c>
      <c r="Q60" s="387" t="str">
        <f ca="1">IFERROR((_xlfn.XLOOKUP("Debt Borrowing",DCF!$B:$B,DCF!H:H)-_xlfn.XLOOKUP("Debt Repayment",DCF!$B:$B,DCF!H:H))/_xlfn.XLOOKUP("Operating Cash Flow",DCF!$B:$B,DCF!H:H),"")</f>
        <v/>
      </c>
      <c r="R60" s="387" t="str">
        <f ca="1">IFERROR((_xlfn.XLOOKUP("Debt Borrowing",DCF!$B:$B,DCF!I:I)-_xlfn.XLOOKUP("Debt Repayment",DCF!$B:$B,DCF!I:I))/_xlfn.XLOOKUP("Operating Cash Flow",DCF!$B:$B,DCF!I:I),"")</f>
        <v/>
      </c>
    </row>
    <row r="61" spans="2:18" ht="15" x14ac:dyDescent="0.2">
      <c r="B61" s="18" t="s">
        <v>502</v>
      </c>
      <c r="F61" s="385" t="str">
        <f ca="1">IFERROR(-_xlfn.XLOOKUP("Debt Repayment",Inputs!$B:$B,Inputs!G:G,,,-1)/_xlfn.XLOOKUP("Debt Borrowing",Inputs!$B:$B,Inputs!G:G),"")</f>
        <v/>
      </c>
      <c r="G61" s="385" t="str">
        <f ca="1">IFERROR(-_xlfn.XLOOKUP("Debt Repayment",Inputs!$B:$B,Inputs!H:H,,,-1)/_xlfn.XLOOKUP("Debt Borrowing",Inputs!$B:$B,Inputs!H:H),"")</f>
        <v/>
      </c>
      <c r="H61" s="385" t="str">
        <f ca="1">IFERROR(-_xlfn.XLOOKUP("Debt Repayment",Inputs!$B:$B,Inputs!I:I,,,-1)/_xlfn.XLOOKUP("Debt Borrowing",Inputs!$B:$B,Inputs!I:I),"")</f>
        <v/>
      </c>
      <c r="I61" s="385" t="str">
        <f ca="1">IFERROR(-_xlfn.XLOOKUP("Debt Repayment",Inputs!$B:$B,Inputs!J:J,,,-1)/_xlfn.XLOOKUP("Debt Borrowing",Inputs!$B:$B,Inputs!J:J),"")</f>
        <v/>
      </c>
      <c r="J61" s="385" t="str">
        <f ca="1">IFERROR(-_xlfn.XLOOKUP("Debt Repayment",Inputs!$B:$B,Inputs!K:K,,,-1)/_xlfn.XLOOKUP("Debt Borrowing",Inputs!$B:$B,Inputs!K:K),"")</f>
        <v/>
      </c>
      <c r="K61" s="385" t="str">
        <f ca="1">IFERROR(-_xlfn.XLOOKUP("Debt Repayment",Inputs!$B:$B,Inputs!L:L,,,-1)/_xlfn.XLOOKUP("Debt Borrowing",Inputs!$B:$B,Inputs!L:L),"")</f>
        <v/>
      </c>
      <c r="L61" s="385" t="str">
        <f ca="1">IFERROR(-_xlfn.XLOOKUP("Debt Repayment",Inputs!$B:$B,Inputs!M:M,,,-1)/_xlfn.XLOOKUP("Debt Borrowing",Inputs!$B:$B,Inputs!M:M),"")</f>
        <v/>
      </c>
      <c r="M61" s="385" t="str">
        <f ca="1">IFERROR(-_xlfn.XLOOKUP("Debt Repayment",Inputs!$B:$B,Inputs!N:N,,,-1)/_xlfn.XLOOKUP("Debt Borrowing",Inputs!$B:$B,Inputs!N:N),"")</f>
        <v/>
      </c>
      <c r="N61" s="385" t="str">
        <f ca="1">IFERROR(-_xlfn.XLOOKUP("Debt Repayment",Inputs!$B:$B,Inputs!O:O,,,-1)/_xlfn.XLOOKUP("Debt Borrowing",Inputs!$B:$B,Inputs!O:O),"")</f>
        <v/>
      </c>
      <c r="O61" s="385" t="str">
        <f ca="1">IFERROR(-_xlfn.XLOOKUP("Debt Repayment",Inputs!$B:$B,Inputs!P:P,,,-1)/_xlfn.XLOOKUP("Debt Borrowing",Inputs!$B:$B,Inputs!P:P),"")</f>
        <v/>
      </c>
      <c r="P61" s="386" t="str">
        <f ca="1">IFERROR(-_xlfn.XLOOKUP("Debt Repayment",Inputs!$B:$B,Inputs!Q:Q,,,-1)/_xlfn.XLOOKUP("Debt Borrowing",Inputs!$B:$B,Inputs!Q:Q),"")</f>
        <v/>
      </c>
      <c r="Q61" s="387" t="str">
        <f ca="1">IFERROR(-_xlfn.XLOOKUP("Debt Repayment",DCF!$B:$B,DCF!H:H)/_xlfn.XLOOKUP("Debt Borrowing",DCF!$B:$B,DCF!H:H),"")</f>
        <v/>
      </c>
      <c r="R61" s="387" t="str">
        <f ca="1">IFERROR(-_xlfn.XLOOKUP("Debt Repayment",DCF!$B:$B,DCF!I:I)/_xlfn.XLOOKUP("Debt Borrowing",DCF!$B:$B,DCF!I:I),"")</f>
        <v/>
      </c>
    </row>
    <row r="62" spans="2:18" ht="15" x14ac:dyDescent="0.2">
      <c r="B62" s="18" t="s">
        <v>199</v>
      </c>
      <c r="F62" s="385" t="str">
        <f ca="1">IFERROR(_xlfn.XLOOKUP("Financing Cash Flow",Inputs!$B:$B,Inputs!G:G,,,-1)/_xlfn.XLOOKUP("Operating Cash Flow",Inputs!$B:$B,Inputs!G:G),"")</f>
        <v/>
      </c>
      <c r="G62" s="385" t="str">
        <f ca="1">IFERROR(_xlfn.XLOOKUP("Financing Cash Flow",Inputs!$B:$B,Inputs!H:H,,,-1)/_xlfn.XLOOKUP("Operating Cash Flow",Inputs!$B:$B,Inputs!H:H),"")</f>
        <v/>
      </c>
      <c r="H62" s="385" t="str">
        <f ca="1">IFERROR(_xlfn.XLOOKUP("Financing Cash Flow",Inputs!$B:$B,Inputs!I:I,,,-1)/_xlfn.XLOOKUP("Operating Cash Flow",Inputs!$B:$B,Inputs!I:I),"")</f>
        <v/>
      </c>
      <c r="I62" s="385" t="str">
        <f ca="1">IFERROR(_xlfn.XLOOKUP("Financing Cash Flow",Inputs!$B:$B,Inputs!J:J,,,-1)/_xlfn.XLOOKUP("Operating Cash Flow",Inputs!$B:$B,Inputs!J:J),"")</f>
        <v/>
      </c>
      <c r="J62" s="385" t="str">
        <f ca="1">IFERROR(_xlfn.XLOOKUP("Financing Cash Flow",Inputs!$B:$B,Inputs!K:K,,,-1)/_xlfn.XLOOKUP("Operating Cash Flow",Inputs!$B:$B,Inputs!K:K),"")</f>
        <v/>
      </c>
      <c r="K62" s="385" t="str">
        <f ca="1">IFERROR(_xlfn.XLOOKUP("Financing Cash Flow",Inputs!$B:$B,Inputs!L:L,,,-1)/_xlfn.XLOOKUP("Operating Cash Flow",Inputs!$B:$B,Inputs!L:L),"")</f>
        <v/>
      </c>
      <c r="L62" s="385" t="str">
        <f ca="1">IFERROR(_xlfn.XLOOKUP("Financing Cash Flow",Inputs!$B:$B,Inputs!M:M,,,-1)/_xlfn.XLOOKUP("Operating Cash Flow",Inputs!$B:$B,Inputs!M:M),"")</f>
        <v/>
      </c>
      <c r="M62" s="385" t="str">
        <f ca="1">IFERROR(_xlfn.XLOOKUP("Financing Cash Flow",Inputs!$B:$B,Inputs!N:N,,,-1)/_xlfn.XLOOKUP("Operating Cash Flow",Inputs!$B:$B,Inputs!N:N),"")</f>
        <v/>
      </c>
      <c r="N62" s="385" t="str">
        <f ca="1">IFERROR(_xlfn.XLOOKUP("Financing Cash Flow",Inputs!$B:$B,Inputs!O:O,,,-1)/_xlfn.XLOOKUP("Operating Cash Flow",Inputs!$B:$B,Inputs!O:O),"")</f>
        <v/>
      </c>
      <c r="O62" s="385" t="str">
        <f ca="1">IFERROR(_xlfn.XLOOKUP("Financing Cash Flow",Inputs!$B:$B,Inputs!P:P,,,-1)/_xlfn.XLOOKUP("Operating Cash Flow",Inputs!$B:$B,Inputs!P:P),"")</f>
        <v/>
      </c>
      <c r="P62" s="386" t="str">
        <f ca="1">IFERROR(_xlfn.XLOOKUP("Financing Cash Flow",Inputs!$B:$B,Inputs!Q:Q,,,-1)/_xlfn.XLOOKUP("Operating Cash Flow",Inputs!$B:$B,Inputs!Q:Q),"")</f>
        <v/>
      </c>
      <c r="Q62" s="387" t="str">
        <f ca="1">IFERROR(_xlfn.XLOOKUP("Financing Cash Flow",DCF!$B:$B,DCF!H:H)/_xlfn.XLOOKUP("Operating Cash Flow",DCF!$B:$B,DCF!H:H),"")</f>
        <v/>
      </c>
      <c r="R62" s="387" t="str">
        <f ca="1">IFERROR(_xlfn.XLOOKUP("Financing Cash Flow",DCF!$B:$B,DCF!I:I)/_xlfn.XLOOKUP("Operating Cash Flow",DCF!$B:$B,DCF!I:I),"")</f>
        <v/>
      </c>
    </row>
    <row r="63" spans="2:18" ht="15" x14ac:dyDescent="0.2">
      <c r="B63" s="18" t="s">
        <v>52</v>
      </c>
      <c r="F63" s="385" t="str">
        <f ca="1">IFERROR(_xlfn.XLOOKUP("Net Income",Inputs!$B:$B,Inputs!G:G,,,-1)/_xlfn.XLOOKUP("Operating Cash Flow",Inputs!$B:$B,Inputs!G:G),"")</f>
        <v/>
      </c>
      <c r="G63" s="385" t="str">
        <f ca="1">IFERROR(_xlfn.XLOOKUP("Net Income",Inputs!$B:$B,Inputs!H:H,,,-1)/_xlfn.XLOOKUP("Operating Cash Flow",Inputs!$B:$B,Inputs!H:H),"")</f>
        <v/>
      </c>
      <c r="H63" s="385" t="str">
        <f ca="1">IFERROR(_xlfn.XLOOKUP("Net Income",Inputs!$B:$B,Inputs!I:I,,,-1)/_xlfn.XLOOKUP("Operating Cash Flow",Inputs!$B:$B,Inputs!I:I),"")</f>
        <v/>
      </c>
      <c r="I63" s="385" t="str">
        <f ca="1">IFERROR(_xlfn.XLOOKUP("Net Income",Inputs!$B:$B,Inputs!J:J,,,-1)/_xlfn.XLOOKUP("Operating Cash Flow",Inputs!$B:$B,Inputs!J:J),"")</f>
        <v/>
      </c>
      <c r="J63" s="385" t="str">
        <f ca="1">IFERROR(_xlfn.XLOOKUP("Net Income",Inputs!$B:$B,Inputs!K:K,,,-1)/_xlfn.XLOOKUP("Operating Cash Flow",Inputs!$B:$B,Inputs!K:K),"")</f>
        <v/>
      </c>
      <c r="K63" s="385" t="str">
        <f ca="1">IFERROR(_xlfn.XLOOKUP("Net Income",Inputs!$B:$B,Inputs!L:L,,,-1)/_xlfn.XLOOKUP("Operating Cash Flow",Inputs!$B:$B,Inputs!L:L),"")</f>
        <v/>
      </c>
      <c r="L63" s="385" t="str">
        <f ca="1">IFERROR(_xlfn.XLOOKUP("Net Income",Inputs!$B:$B,Inputs!M:M,,,-1)/_xlfn.XLOOKUP("Operating Cash Flow",Inputs!$B:$B,Inputs!M:M),"")</f>
        <v/>
      </c>
      <c r="M63" s="385" t="str">
        <f ca="1">IFERROR(_xlfn.XLOOKUP("Net Income",Inputs!$B:$B,Inputs!N:N,,,-1)/_xlfn.XLOOKUP("Operating Cash Flow",Inputs!$B:$B,Inputs!N:N),"")</f>
        <v/>
      </c>
      <c r="N63" s="385" t="str">
        <f ca="1">IFERROR(_xlfn.XLOOKUP("Net Income",Inputs!$B:$B,Inputs!O:O,,,-1)/_xlfn.XLOOKUP("Operating Cash Flow",Inputs!$B:$B,Inputs!O:O),"")</f>
        <v/>
      </c>
      <c r="O63" s="385" t="str">
        <f ca="1">IFERROR(_xlfn.XLOOKUP("Net Income",Inputs!$B:$B,Inputs!P:P,,,-1)/_xlfn.XLOOKUP("Operating Cash Flow",Inputs!$B:$B,Inputs!P:P),"")</f>
        <v/>
      </c>
      <c r="P63" s="386" t="str">
        <f ca="1">IFERROR(_xlfn.XLOOKUP("Net Income",Inputs!$B:$B,Inputs!Q:Q,,,-1)/_xlfn.XLOOKUP("Operating Cash Flow",Inputs!$B:$B,Inputs!Q:Q),"")</f>
        <v/>
      </c>
      <c r="Q63" s="387" t="str">
        <f ca="1">IFERROR(_xlfn.XLOOKUP("Net Income",DCF!$B:$B,DCF!H:H)/_xlfn.XLOOKUP("Operating Cash Flow",DCF!$B:$B,DCF!H:H),"")</f>
        <v/>
      </c>
      <c r="R63" s="387" t="str">
        <f ca="1">IFERROR(_xlfn.XLOOKUP("Net Income",DCF!$B:$B,DCF!I:I)/_xlfn.XLOOKUP("Operating Cash Flow",DCF!$B:$B,DCF!I:I),"")</f>
        <v/>
      </c>
    </row>
    <row r="64" spans="2:18" ht="15" x14ac:dyDescent="0.2">
      <c r="B64" s="33" t="s">
        <v>53</v>
      </c>
      <c r="F64" s="385" t="str">
        <f ca="1">IFERROR(_xlfn.XLOOKUP("Net Changes in Cash",Inputs!$B:$B,Inputs!G:G,,,-1)/_xlfn.XLOOKUP("Operating Cash Flow",Inputs!$B:$B,Inputs!G:G),"")</f>
        <v/>
      </c>
      <c r="G64" s="385" t="str">
        <f ca="1">IFERROR(_xlfn.XLOOKUP("Net Changes in Cash",Inputs!$B:$B,Inputs!H:H,,,-1)/_xlfn.XLOOKUP("Operating Cash Flow",Inputs!$B:$B,Inputs!H:H),"")</f>
        <v/>
      </c>
      <c r="H64" s="385" t="str">
        <f ca="1">IFERROR(_xlfn.XLOOKUP("Net Changes in Cash",Inputs!$B:$B,Inputs!I:I,,,-1)/_xlfn.XLOOKUP("Operating Cash Flow",Inputs!$B:$B,Inputs!I:I),"")</f>
        <v/>
      </c>
      <c r="I64" s="385" t="str">
        <f ca="1">IFERROR(_xlfn.XLOOKUP("Net Changes in Cash",Inputs!$B:$B,Inputs!J:J,,,-1)/_xlfn.XLOOKUP("Operating Cash Flow",Inputs!$B:$B,Inputs!J:J),"")</f>
        <v/>
      </c>
      <c r="J64" s="385" t="str">
        <f ca="1">IFERROR(_xlfn.XLOOKUP("Net Changes in Cash",Inputs!$B:$B,Inputs!K:K,,,-1)/_xlfn.XLOOKUP("Operating Cash Flow",Inputs!$B:$B,Inputs!K:K),"")</f>
        <v/>
      </c>
      <c r="K64" s="385" t="str">
        <f ca="1">IFERROR(_xlfn.XLOOKUP("Net Changes in Cash",Inputs!$B:$B,Inputs!L:L,,,-1)/_xlfn.XLOOKUP("Operating Cash Flow",Inputs!$B:$B,Inputs!L:L),"")</f>
        <v/>
      </c>
      <c r="L64" s="385" t="str">
        <f ca="1">IFERROR(_xlfn.XLOOKUP("Net Changes in Cash",Inputs!$B:$B,Inputs!M:M,,,-1)/_xlfn.XLOOKUP("Operating Cash Flow",Inputs!$B:$B,Inputs!M:M),"")</f>
        <v/>
      </c>
      <c r="M64" s="385" t="str">
        <f ca="1">IFERROR(_xlfn.XLOOKUP("Net Changes in Cash",Inputs!$B:$B,Inputs!N:N,,,-1)/_xlfn.XLOOKUP("Operating Cash Flow",Inputs!$B:$B,Inputs!N:N),"")</f>
        <v/>
      </c>
      <c r="N64" s="385" t="str">
        <f ca="1">IFERROR(_xlfn.XLOOKUP("Net Changes in Cash",Inputs!$B:$B,Inputs!O:O,,,-1)/_xlfn.XLOOKUP("Operating Cash Flow",Inputs!$B:$B,Inputs!O:O),"")</f>
        <v/>
      </c>
      <c r="O64" s="385" t="str">
        <f ca="1">IFERROR(_xlfn.XLOOKUP("Net Changes in Cash",Inputs!$B:$B,Inputs!P:P,,,-1)/_xlfn.XLOOKUP("Operating Cash Flow",Inputs!$B:$B,Inputs!P:P),"")</f>
        <v/>
      </c>
      <c r="P64" s="386" t="str">
        <f ca="1">IFERROR(_xlfn.XLOOKUP("Net Changes in Cash",Inputs!$B:$B,Inputs!Q:Q,,,-1)/_xlfn.XLOOKUP("Operating Cash Flow",Inputs!$B:$B,Inputs!Q:Q),"")</f>
        <v/>
      </c>
      <c r="Q64" s="387" t="str">
        <f ca="1">IFERROR(_xlfn.XLOOKUP("Net Changes in Cash",DCF!$B:$B,DCF!H:H)/_xlfn.XLOOKUP("Operating Cash Flow",DCF!$B:$B,DCF!H:H),"")</f>
        <v/>
      </c>
      <c r="R64" s="387" t="str">
        <f ca="1">IFERROR(_xlfn.XLOOKUP("Net Changes in Cash",DCF!$B:$B,DCF!I:I)/_xlfn.XLOOKUP("Operating Cash Flow",DCF!$B:$B,DCF!I:I),"")</f>
        <v/>
      </c>
    </row>
    <row r="67" spans="2:20" ht="20.100000000000001" customHeight="1" x14ac:dyDescent="0.25">
      <c r="T67" s="1" t="s">
        <v>434</v>
      </c>
    </row>
    <row r="69" spans="2:20" x14ac:dyDescent="0.2">
      <c r="B69" s="417"/>
    </row>
    <row r="70" spans="2:20" x14ac:dyDescent="0.2">
      <c r="B70" s="417"/>
    </row>
    <row r="71" spans="2:20" x14ac:dyDescent="0.2">
      <c r="B71" s="417"/>
    </row>
    <row r="72" spans="2:20" x14ac:dyDescent="0.2">
      <c r="B72" s="417"/>
    </row>
    <row r="73" spans="2:20" x14ac:dyDescent="0.2">
      <c r="B73" s="417"/>
    </row>
    <row r="74" spans="2:20" x14ac:dyDescent="0.2">
      <c r="B74" s="417"/>
    </row>
    <row r="75" spans="2:20" x14ac:dyDescent="0.2">
      <c r="B75" s="417"/>
    </row>
    <row r="76" spans="2:20" x14ac:dyDescent="0.2">
      <c r="B76" s="417"/>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Multiples!F63:R63</xm:f>
              <xm:sqref>E63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Multiples!F55:R55</xm:f>
              <xm:sqref>E55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Multiples!F52:R52</xm:f>
              <xm:sqref>E52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Multiples!F50:R50</xm:f>
              <xm:sqref>E50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Multiples!F49:R49</xm:f>
              <xm:sqref>E49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Multiples!F44:R44</xm:f>
              <xm:sqref>E44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Multiples!F43:R43</xm:f>
              <xm:sqref>E43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Multiples!F42:R42</xm:f>
              <xm:sqref>E42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Multiples!F41:R41</xm:f>
              <xm:sqref>E41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Multiples!F40:R40</xm:f>
              <xm:sqref>E40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Multiples!F35:R35</xm:f>
              <xm:sqref>E35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Multiples!F34:R34</xm:f>
              <xm:sqref>E34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Multiples!F33:R33</xm:f>
              <xm:sqref>E33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Multiples!F28:R28</xm:f>
              <xm:sqref>E28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Multiples!F27:R27</xm:f>
              <xm:sqref>E27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Multiples!F22:R22</xm:f>
              <xm:sqref>E22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Multiples!F21:R21</xm:f>
              <xm:sqref>E21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Multiples!F20:R20</xm:f>
              <xm:sqref>E20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Multiples!F19:R19</xm:f>
              <xm:sqref>E19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Multiples!F18:R18</xm:f>
              <xm:sqref>E18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Multiples!F16:R16</xm:f>
              <xm:sqref>E16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Multiples!F15:R15</xm:f>
              <xm:sqref>E15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Multiples!F10:R10</xm:f>
              <xm:sqref>E10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Multiples!F9:R9</xm:f>
              <xm:sqref>E9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Multiples!F8:R8</xm:f>
              <xm:sqref>E8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Multiples!F7:R7</xm:f>
              <xm:sqref>E7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Multiples!F6:R6</xm:f>
              <xm:sqref>E6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Multiples!F51:R51</xm:f>
              <xm:sqref>E51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Multiples!F17:R17</xm:f>
              <xm:sqref>E17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Multiples!F23:R23</xm:f>
              <xm:sqref>E23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Multiples!F11:R11</xm:f>
              <xm:sqref>E11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Multiples!F29:R29</xm:f>
              <xm:sqref>E29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Multiples!F36:R36</xm:f>
              <xm:sqref>E36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Multiples!F45:R45</xm:f>
              <xm:sqref>E45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Multiples!F64:R64</xm:f>
              <xm:sqref>E64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Multiples!F56:R56</xm:f>
              <xm:sqref>E56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Multiples!F57:R57</xm:f>
              <xm:sqref>E57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Multiples!F58:R58</xm:f>
              <xm:sqref>E58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Multiples!F59:R59</xm:f>
              <xm:sqref>E59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Multiples!F60:R60</xm:f>
              <xm:sqref>E60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Multiples!F62:R62</xm:f>
              <xm:sqref>E62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Multiples!F61:R61</xm:f>
              <xm:sqref>E61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B2:L10055"/>
  <sheetViews>
    <sheetView showGridLines="0" zoomScale="85" zoomScaleNormal="85" workbookViewId="0">
      <selection activeCell="K31" sqref="K31"/>
    </sheetView>
  </sheetViews>
  <sheetFormatPr defaultRowHeight="14.25" x14ac:dyDescent="0.2"/>
  <cols>
    <col min="1" max="1" width="4" customWidth="1"/>
    <col min="3" max="7" width="8.625" customWidth="1"/>
    <col min="10" max="10" width="15.5" customWidth="1"/>
  </cols>
  <sheetData>
    <row r="2" spans="2:12" s="37" customFormat="1" ht="20.100000000000001" customHeight="1" x14ac:dyDescent="0.3">
      <c r="B2" s="40" t="s">
        <v>503</v>
      </c>
    </row>
    <row r="4" spans="2:12" ht="15" x14ac:dyDescent="0.25">
      <c r="B4" s="657" t="str">
        <f ca="1">IFERROR(Peers!C6&amp;" Fair Value - Blended Discount Rate and Terminal Growth Rate","")</f>
        <v xml:space="preserve"> Fair Value - Blended Discount Rate and Terminal Growth Rate</v>
      </c>
      <c r="J4" s="657" t="str">
        <f ca="1">IFERROR(Peers!C6&amp;" Fair Value - Monte-Carlo Simulations Discount Rate and Terminal Growth Rate","")</f>
        <v xml:space="preserve"> Fair Value - Monte-Carlo Simulations Discount Rate and Terminal Growth Rate</v>
      </c>
    </row>
    <row r="5" spans="2:12" ht="15.75" thickBot="1" x14ac:dyDescent="0.3">
      <c r="B5" t="s">
        <v>435</v>
      </c>
      <c r="F5" s="90" t="s">
        <v>328</v>
      </c>
    </row>
    <row r="6" spans="2:12" ht="15.75" thickBot="1" x14ac:dyDescent="0.3">
      <c r="B6" s="647"/>
      <c r="C6" s="654"/>
      <c r="D6" s="660">
        <f>DCF!AP285</f>
        <v>0</v>
      </c>
      <c r="E6" s="660">
        <f>DCF!AQ285</f>
        <v>0</v>
      </c>
      <c r="F6" s="660">
        <f>DCF!AR285</f>
        <v>0</v>
      </c>
      <c r="G6" s="660">
        <f>DCF!AS285</f>
        <v>0</v>
      </c>
      <c r="H6" s="660">
        <f>DCF!AT285</f>
        <v>0</v>
      </c>
      <c r="J6" s="762" t="s">
        <v>504</v>
      </c>
      <c r="K6" s="762" t="s">
        <v>153</v>
      </c>
      <c r="L6" s="762" t="s">
        <v>505</v>
      </c>
    </row>
    <row r="7" spans="2:12" x14ac:dyDescent="0.2">
      <c r="C7" s="652">
        <f>DCF!AO286</f>
        <v>0.01</v>
      </c>
      <c r="D7" s="751" t="str">
        <f ca="1">IFERROR(DCF!AP286/DCF!$Q$210-1,"")</f>
        <v/>
      </c>
      <c r="E7" s="751" t="str">
        <f ca="1">IFERROR(DCF!AQ286/DCF!$Q$210-1,"")</f>
        <v/>
      </c>
      <c r="F7" s="751" t="str">
        <f ca="1">IFERROR(DCF!AR286/DCF!$Q$210-1,"")</f>
        <v/>
      </c>
      <c r="G7" s="751" t="str">
        <f ca="1">IFERROR(DCF!AS286/DCF!$Q$210-1,"")</f>
        <v/>
      </c>
      <c r="H7" s="751" t="str">
        <f ca="1">IFERROR(DCF!AT286/DCF!$Q$210-1,"")</f>
        <v/>
      </c>
      <c r="J7" t="s">
        <v>328</v>
      </c>
      <c r="K7" s="17">
        <v>0.1009</v>
      </c>
      <c r="L7" s="17">
        <v>0.01</v>
      </c>
    </row>
    <row r="8" spans="2:12" x14ac:dyDescent="0.2">
      <c r="C8" s="652">
        <f>DCF!AO287</f>
        <v>0.02</v>
      </c>
      <c r="D8" s="751" t="str">
        <f ca="1">IFERROR(DCF!AP287/DCF!$Q$210-1,"")</f>
        <v/>
      </c>
      <c r="E8" s="751" t="str">
        <f ca="1">IFERROR(DCF!AQ287/DCF!$Q$210-1,"")</f>
        <v/>
      </c>
      <c r="F8" s="751" t="str">
        <f ca="1">IFERROR(DCF!AR287/DCF!$Q$210-1,"")</f>
        <v/>
      </c>
      <c r="G8" s="751" t="str">
        <f ca="1">IFERROR(DCF!AS287/DCF!$Q$210-1,"")</f>
        <v/>
      </c>
      <c r="H8" s="751" t="str">
        <f ca="1">IFERROR(DCF!AT287/DCF!$Q$210-1,"")</f>
        <v/>
      </c>
      <c r="J8" t="s">
        <v>144</v>
      </c>
      <c r="K8" s="17">
        <f>+DCF!I7</f>
        <v>0</v>
      </c>
      <c r="L8" s="32">
        <f>+DCF!L7</f>
        <v>0</v>
      </c>
    </row>
    <row r="9" spans="2:12" ht="15.75" thickBot="1" x14ac:dyDescent="0.3">
      <c r="B9" s="24" t="s">
        <v>330</v>
      </c>
      <c r="C9" s="652">
        <f>DCF!AO288</f>
        <v>0.03</v>
      </c>
      <c r="D9" s="751" t="str">
        <f ca="1">IFERROR(DCF!AP288/DCF!$Q$210-1,"")</f>
        <v/>
      </c>
      <c r="E9" s="751" t="str">
        <f ca="1">IFERROR(DCF!AQ288/DCF!$Q$210-1,"")</f>
        <v/>
      </c>
      <c r="F9" s="751" t="str">
        <f ca="1">IFERROR(DCF!AR288/DCF!$Q$210-1,"")</f>
        <v/>
      </c>
      <c r="G9" s="751" t="str">
        <f ca="1">IFERROR(DCF!AS288/DCF!$Q$210-1,"")</f>
        <v/>
      </c>
      <c r="H9" s="751" t="str">
        <f ca="1">IFERROR(DCF!AT288/DCF!$Q$210-1,"")</f>
        <v/>
      </c>
      <c r="J9" s="647" t="s">
        <v>21</v>
      </c>
      <c r="K9" s="660">
        <f>+DCF!I8</f>
        <v>0</v>
      </c>
      <c r="L9" s="660">
        <f>+DCF!L8</f>
        <v>0</v>
      </c>
    </row>
    <row r="10" spans="2:12" ht="15" thickBot="1" x14ac:dyDescent="0.25">
      <c r="C10" s="652">
        <f>DCF!AO289</f>
        <v>0.04</v>
      </c>
      <c r="D10" s="751" t="str">
        <f ca="1">IFERROR(DCF!AP289/DCF!$Q$210-1,"")</f>
        <v/>
      </c>
      <c r="E10" s="751" t="str">
        <f ca="1">IFERROR(DCF!AQ289/DCF!$Q$210-1,"")</f>
        <v/>
      </c>
      <c r="F10" s="751" t="str">
        <f ca="1">IFERROR(DCF!AR289/DCF!$Q$210-1,"")</f>
        <v/>
      </c>
      <c r="G10" s="751" t="str">
        <f ca="1">IFERROR(DCF!AS289/DCF!$Q$210-1,"")</f>
        <v/>
      </c>
      <c r="H10" s="751" t="str">
        <f ca="1">IFERROR(DCF!AT289/DCF!$Q$210-1,"")</f>
        <v/>
      </c>
      <c r="L10" s="763"/>
    </row>
    <row r="11" spans="2:12" ht="15.75" thickBot="1" x14ac:dyDescent="0.3">
      <c r="B11" s="647"/>
      <c r="C11" s="653">
        <f>DCF!AO290</f>
        <v>0.05</v>
      </c>
      <c r="D11" s="752" t="str">
        <f ca="1">IFERROR(DCF!AP290/DCF!$Q$210-1,"")</f>
        <v/>
      </c>
      <c r="E11" s="752" t="str">
        <f ca="1">IFERROR(DCF!AQ290/DCF!$Q$210-1,"")</f>
        <v/>
      </c>
      <c r="F11" s="752" t="str">
        <f ca="1">IFERROR(DCF!AR290/DCF!$Q$210-1,"")</f>
        <v/>
      </c>
      <c r="G11" s="752" t="str">
        <f ca="1">IFERROR(DCF!AS290/DCF!$Q$210-1,"")</f>
        <v/>
      </c>
      <c r="H11" s="752" t="str">
        <f ca="1">IFERROR(DCF!AT290/DCF!$Q$210-1,"")</f>
        <v/>
      </c>
      <c r="J11" s="762" t="s">
        <v>506</v>
      </c>
      <c r="K11" s="646"/>
      <c r="L11" s="646" t="s">
        <v>507</v>
      </c>
    </row>
    <row r="12" spans="2:12" x14ac:dyDescent="0.2">
      <c r="J12" s="656" t="s">
        <v>508</v>
      </c>
      <c r="K12" s="761">
        <f>MIN(B56:B10055)</f>
        <v>0</v>
      </c>
      <c r="L12" s="65" t="str">
        <f ca="1">IFERROR(K12/DCF!$Q$210-1,"")</f>
        <v/>
      </c>
    </row>
    <row r="13" spans="2:12" ht="15" x14ac:dyDescent="0.25">
      <c r="B13" s="657" t="str">
        <f ca="1">IFERROR(Peers!C6&amp;" Fair Value - Blended Revenue Growth and Operating Margin","")</f>
        <v xml:space="preserve"> Fair Value - Blended Revenue Growth and Operating Margin</v>
      </c>
      <c r="J13" s="766" t="s">
        <v>509</v>
      </c>
      <c r="K13" s="767" t="e">
        <f>AVERAGE(B56:B10055)</f>
        <v>#DIV/0!</v>
      </c>
      <c r="L13" s="68" t="str">
        <f ca="1">IFERROR(K13/DCF!$Q$210-1,"")</f>
        <v/>
      </c>
    </row>
    <row r="14" spans="2:12" ht="15" thickBot="1" x14ac:dyDescent="0.25">
      <c r="B14" t="s">
        <v>435</v>
      </c>
      <c r="J14" s="764" t="s">
        <v>510</v>
      </c>
      <c r="K14" s="761" t="e">
        <f>MEDIAN(B56:B10055)</f>
        <v>#NUM!</v>
      </c>
      <c r="L14" s="768" t="str">
        <f ca="1">IFERROR(K14/DCF!$Q$210-1,"")</f>
        <v/>
      </c>
    </row>
    <row r="15" spans="2:12" ht="15" x14ac:dyDescent="0.25">
      <c r="B15" s="655"/>
      <c r="C15" s="656"/>
      <c r="D15" s="655"/>
      <c r="E15" s="661" t="s">
        <v>162</v>
      </c>
      <c r="F15" s="655"/>
      <c r="J15" s="764" t="s">
        <v>511</v>
      </c>
      <c r="K15" s="761">
        <f>MAX(B56:B10055)</f>
        <v>0</v>
      </c>
      <c r="L15" s="65" t="str">
        <f ca="1">IFERROR(K15/DCF!$Q$210-1,"")</f>
        <v/>
      </c>
    </row>
    <row r="16" spans="2:12" ht="15" thickBot="1" x14ac:dyDescent="0.25">
      <c r="B16" s="647"/>
      <c r="C16" s="654"/>
      <c r="D16" s="660">
        <f>DCF!F7</f>
        <v>0</v>
      </c>
      <c r="E16" s="660">
        <f>DCF!I7</f>
        <v>0</v>
      </c>
      <c r="F16" s="660">
        <f>DCF!L7</f>
        <v>0</v>
      </c>
      <c r="J16" s="654" t="s">
        <v>512</v>
      </c>
      <c r="K16" s="765" t="e">
        <f>_xlfn.STDEV.P(B56:B10055)</f>
        <v>#DIV/0!</v>
      </c>
      <c r="L16" s="753"/>
    </row>
    <row r="17" spans="2:8" x14ac:dyDescent="0.2">
      <c r="C17" s="662">
        <f>DCF!F8</f>
        <v>0</v>
      </c>
      <c r="D17" s="65" t="str">
        <f ca="1">IFERROR(DCF!AP296/DCF!$Q$210-1,"")</f>
        <v/>
      </c>
      <c r="E17" s="65" t="str">
        <f ca="1">IFERROR(DCF!AQ296/DCF!$Q$210-1,"")</f>
        <v/>
      </c>
      <c r="F17" s="65" t="str">
        <f ca="1">IFERROR(DCF!AR296/DCF!$Q$210-1,"")</f>
        <v/>
      </c>
    </row>
    <row r="18" spans="2:8" ht="15" x14ac:dyDescent="0.25">
      <c r="B18" s="24" t="s">
        <v>326</v>
      </c>
      <c r="C18" s="662">
        <f>DCF!I8</f>
        <v>0</v>
      </c>
      <c r="D18" s="65" t="str">
        <f ca="1">IFERROR(DCF!AP297/DCF!$Q$210-1,"")</f>
        <v/>
      </c>
      <c r="E18" s="65" t="str">
        <f ca="1">IFERROR(DCF!AQ297/DCF!$Q$210-1,"")</f>
        <v/>
      </c>
      <c r="F18" s="65" t="str">
        <f ca="1">IFERROR(DCF!AR297/DCF!$Q$210-1,"")</f>
        <v/>
      </c>
    </row>
    <row r="19" spans="2:8" ht="15" thickBot="1" x14ac:dyDescent="0.25">
      <c r="B19" s="647"/>
      <c r="C19" s="663">
        <f>DCF!L8</f>
        <v>0</v>
      </c>
      <c r="D19" s="753" t="str">
        <f ca="1">IFERROR(DCF!AP298/DCF!$Q$210-1,"")</f>
        <v/>
      </c>
      <c r="E19" s="753" t="str">
        <f ca="1">IFERROR(DCF!AQ298/DCF!$Q$210-1,"")</f>
        <v/>
      </c>
      <c r="F19" s="753" t="str">
        <f ca="1">IFERROR(DCF!AR298/DCF!$Q$210-1,"")</f>
        <v/>
      </c>
    </row>
    <row r="22" spans="2:8" ht="15" x14ac:dyDescent="0.25">
      <c r="B22" s="665" t="s">
        <v>436</v>
      </c>
      <c r="C22" s="37"/>
      <c r="D22" s="37"/>
      <c r="E22" s="37"/>
      <c r="F22" s="37"/>
      <c r="G22" s="37"/>
      <c r="H22" s="37"/>
    </row>
    <row r="26" spans="2:8" x14ac:dyDescent="0.2">
      <c r="E26" s="763"/>
    </row>
    <row r="42" spans="2:2" ht="15" x14ac:dyDescent="0.25">
      <c r="B42" s="1"/>
    </row>
    <row r="43" spans="2:2" ht="15" x14ac:dyDescent="0.25">
      <c r="B43" s="1"/>
    </row>
    <row r="44" spans="2:2" ht="15" x14ac:dyDescent="0.25">
      <c r="B44" s="1"/>
    </row>
    <row r="45" spans="2:2" ht="15" x14ac:dyDescent="0.25">
      <c r="B45" s="1"/>
    </row>
    <row r="46" spans="2:2" ht="15" x14ac:dyDescent="0.25">
      <c r="B46" s="1"/>
    </row>
    <row r="47" spans="2:2" ht="15" x14ac:dyDescent="0.25">
      <c r="B47" s="1"/>
    </row>
    <row r="48" spans="2:2" ht="15" x14ac:dyDescent="0.25">
      <c r="B48" s="1"/>
    </row>
    <row r="49" spans="2:6" ht="15" x14ac:dyDescent="0.25">
      <c r="B49" s="1"/>
    </row>
    <row r="50" spans="2:6" ht="15" x14ac:dyDescent="0.25">
      <c r="B50" s="1"/>
    </row>
    <row r="51" spans="2:6" ht="15" x14ac:dyDescent="0.25">
      <c r="B51" s="1"/>
    </row>
    <row r="52" spans="2:6" ht="15" x14ac:dyDescent="0.25">
      <c r="B52" s="1"/>
    </row>
    <row r="53" spans="2:6" ht="15" x14ac:dyDescent="0.25">
      <c r="B53" s="1"/>
    </row>
    <row r="54" spans="2:6" ht="15" x14ac:dyDescent="0.25">
      <c r="B54" s="1"/>
    </row>
    <row r="55" spans="2:6" ht="15" x14ac:dyDescent="0.25">
      <c r="B55" s="1" t="s">
        <v>513</v>
      </c>
      <c r="E55" s="32"/>
      <c r="F55" s="32"/>
    </row>
    <row r="56" spans="2:6" ht="15" x14ac:dyDescent="0.2">
      <c r="B56" s="183"/>
      <c r="E56" s="32"/>
      <c r="F56" s="32"/>
    </row>
    <row r="57" spans="2:6" ht="15" x14ac:dyDescent="0.2">
      <c r="B57" s="183"/>
      <c r="E57" s="32"/>
      <c r="F57" s="664"/>
    </row>
    <row r="58" spans="2:6" ht="15" x14ac:dyDescent="0.2">
      <c r="B58" s="183"/>
      <c r="E58" s="32"/>
      <c r="F58" s="664"/>
    </row>
    <row r="59" spans="2:6" ht="15" x14ac:dyDescent="0.2">
      <c r="B59" s="183"/>
    </row>
    <row r="60" spans="2:6" ht="15" x14ac:dyDescent="0.2">
      <c r="B60" s="183"/>
    </row>
    <row r="61" spans="2:6" ht="15" x14ac:dyDescent="0.2">
      <c r="B61" s="183"/>
    </row>
    <row r="62" spans="2:6" ht="15" x14ac:dyDescent="0.2">
      <c r="B62" s="183"/>
    </row>
    <row r="63" spans="2:6" ht="15" x14ac:dyDescent="0.2">
      <c r="B63" s="183"/>
    </row>
    <row r="64" spans="2:6" ht="15" x14ac:dyDescent="0.2">
      <c r="B64" s="183"/>
    </row>
    <row r="65" spans="2:2" ht="15" x14ac:dyDescent="0.2">
      <c r="B65" s="183"/>
    </row>
    <row r="66" spans="2:2" ht="15" x14ac:dyDescent="0.2">
      <c r="B66" s="183"/>
    </row>
    <row r="67" spans="2:2" ht="15" x14ac:dyDescent="0.2">
      <c r="B67" s="183"/>
    </row>
    <row r="68" spans="2:2" ht="15" x14ac:dyDescent="0.2">
      <c r="B68" s="183"/>
    </row>
    <row r="69" spans="2:2" ht="15" x14ac:dyDescent="0.2">
      <c r="B69" s="183"/>
    </row>
    <row r="70" spans="2:2" ht="15" x14ac:dyDescent="0.2">
      <c r="B70" s="183"/>
    </row>
    <row r="71" spans="2:2" ht="15" x14ac:dyDescent="0.2">
      <c r="B71" s="183"/>
    </row>
    <row r="72" spans="2:2" ht="15" x14ac:dyDescent="0.2">
      <c r="B72" s="183"/>
    </row>
    <row r="73" spans="2:2" ht="15" x14ac:dyDescent="0.2">
      <c r="B73" s="183"/>
    </row>
    <row r="74" spans="2:2" ht="15" x14ac:dyDescent="0.2">
      <c r="B74" s="183"/>
    </row>
    <row r="75" spans="2:2" ht="15" x14ac:dyDescent="0.2">
      <c r="B75" s="183"/>
    </row>
    <row r="76" spans="2:2" ht="15" x14ac:dyDescent="0.2">
      <c r="B76" s="183"/>
    </row>
    <row r="77" spans="2:2" ht="15" x14ac:dyDescent="0.2">
      <c r="B77" s="183"/>
    </row>
    <row r="78" spans="2:2" ht="15" x14ac:dyDescent="0.2">
      <c r="B78" s="183"/>
    </row>
    <row r="79" spans="2:2" ht="15" x14ac:dyDescent="0.2">
      <c r="B79" s="183"/>
    </row>
    <row r="80" spans="2:2" ht="15" x14ac:dyDescent="0.2">
      <c r="B80" s="183"/>
    </row>
    <row r="81" spans="2:2" ht="15" x14ac:dyDescent="0.2">
      <c r="B81" s="183"/>
    </row>
    <row r="82" spans="2:2" ht="15" x14ac:dyDescent="0.2">
      <c r="B82" s="183"/>
    </row>
    <row r="83" spans="2:2" ht="15" x14ac:dyDescent="0.2">
      <c r="B83" s="183"/>
    </row>
    <row r="84" spans="2:2" ht="15" x14ac:dyDescent="0.2">
      <c r="B84" s="183"/>
    </row>
    <row r="85" spans="2:2" ht="15" x14ac:dyDescent="0.2">
      <c r="B85" s="183"/>
    </row>
    <row r="86" spans="2:2" ht="15" x14ac:dyDescent="0.2">
      <c r="B86" s="183"/>
    </row>
    <row r="87" spans="2:2" ht="15" x14ac:dyDescent="0.2">
      <c r="B87" s="183"/>
    </row>
    <row r="88" spans="2:2" ht="15" x14ac:dyDescent="0.2">
      <c r="B88" s="183"/>
    </row>
    <row r="89" spans="2:2" ht="15" x14ac:dyDescent="0.2">
      <c r="B89" s="183"/>
    </row>
    <row r="90" spans="2:2" ht="15" x14ac:dyDescent="0.2">
      <c r="B90" s="183"/>
    </row>
    <row r="91" spans="2:2" ht="15" x14ac:dyDescent="0.2">
      <c r="B91" s="183"/>
    </row>
    <row r="92" spans="2:2" ht="15" x14ac:dyDescent="0.2">
      <c r="B92" s="183"/>
    </row>
    <row r="93" spans="2:2" ht="15" x14ac:dyDescent="0.2">
      <c r="B93" s="183"/>
    </row>
    <row r="94" spans="2:2" ht="15" x14ac:dyDescent="0.2">
      <c r="B94" s="183"/>
    </row>
    <row r="95" spans="2:2" ht="15" x14ac:dyDescent="0.2">
      <c r="B95" s="183"/>
    </row>
    <row r="96" spans="2:2" ht="15" x14ac:dyDescent="0.2">
      <c r="B96" s="183"/>
    </row>
    <row r="97" spans="2:2" ht="15" x14ac:dyDescent="0.2">
      <c r="B97" s="183"/>
    </row>
    <row r="98" spans="2:2" ht="15" x14ac:dyDescent="0.2">
      <c r="B98" s="183"/>
    </row>
    <row r="99" spans="2:2" ht="15" x14ac:dyDescent="0.2">
      <c r="B99" s="183"/>
    </row>
    <row r="100" spans="2:2" ht="15" x14ac:dyDescent="0.2">
      <c r="B100" s="183"/>
    </row>
    <row r="101" spans="2:2" ht="15" x14ac:dyDescent="0.2">
      <c r="B101" s="183"/>
    </row>
    <row r="102" spans="2:2" ht="15" x14ac:dyDescent="0.2">
      <c r="B102" s="183"/>
    </row>
    <row r="103" spans="2:2" ht="15" x14ac:dyDescent="0.2">
      <c r="B103" s="183"/>
    </row>
    <row r="104" spans="2:2" ht="15" x14ac:dyDescent="0.2">
      <c r="B104" s="183"/>
    </row>
    <row r="105" spans="2:2" ht="15" x14ac:dyDescent="0.2">
      <c r="B105" s="183"/>
    </row>
    <row r="106" spans="2:2" ht="15" x14ac:dyDescent="0.2">
      <c r="B106" s="183"/>
    </row>
    <row r="107" spans="2:2" ht="15" x14ac:dyDescent="0.2">
      <c r="B107" s="183"/>
    </row>
    <row r="108" spans="2:2" ht="15" x14ac:dyDescent="0.2">
      <c r="B108" s="183"/>
    </row>
    <row r="109" spans="2:2" ht="15" x14ac:dyDescent="0.2">
      <c r="B109" s="183"/>
    </row>
    <row r="110" spans="2:2" ht="15" x14ac:dyDescent="0.2">
      <c r="B110" s="183"/>
    </row>
    <row r="111" spans="2:2" ht="15" x14ac:dyDescent="0.2">
      <c r="B111" s="183"/>
    </row>
    <row r="112" spans="2:2" ht="15" x14ac:dyDescent="0.2">
      <c r="B112" s="183"/>
    </row>
    <row r="113" spans="2:2" ht="15" x14ac:dyDescent="0.2">
      <c r="B113" s="183"/>
    </row>
    <row r="114" spans="2:2" ht="15" x14ac:dyDescent="0.2">
      <c r="B114" s="183"/>
    </row>
    <row r="115" spans="2:2" ht="15" x14ac:dyDescent="0.2">
      <c r="B115" s="183"/>
    </row>
    <row r="116" spans="2:2" ht="15" x14ac:dyDescent="0.2">
      <c r="B116" s="183"/>
    </row>
    <row r="117" spans="2:2" ht="15" x14ac:dyDescent="0.2">
      <c r="B117" s="183"/>
    </row>
    <row r="118" spans="2:2" ht="15" x14ac:dyDescent="0.2">
      <c r="B118" s="183"/>
    </row>
    <row r="119" spans="2:2" ht="15" x14ac:dyDescent="0.2">
      <c r="B119" s="183"/>
    </row>
    <row r="120" spans="2:2" ht="15" x14ac:dyDescent="0.2">
      <c r="B120" s="183"/>
    </row>
    <row r="121" spans="2:2" ht="15" x14ac:dyDescent="0.2">
      <c r="B121" s="183"/>
    </row>
    <row r="122" spans="2:2" ht="15" x14ac:dyDescent="0.2">
      <c r="B122" s="183"/>
    </row>
    <row r="123" spans="2:2" ht="15" x14ac:dyDescent="0.2">
      <c r="B123" s="183"/>
    </row>
    <row r="124" spans="2:2" ht="15" x14ac:dyDescent="0.2">
      <c r="B124" s="183"/>
    </row>
    <row r="125" spans="2:2" ht="15" x14ac:dyDescent="0.2">
      <c r="B125" s="183"/>
    </row>
    <row r="126" spans="2:2" ht="15" x14ac:dyDescent="0.2">
      <c r="B126" s="183"/>
    </row>
    <row r="127" spans="2:2" ht="15" x14ac:dyDescent="0.2">
      <c r="B127" s="183"/>
    </row>
    <row r="128" spans="2:2" ht="15" x14ac:dyDescent="0.2">
      <c r="B128" s="183"/>
    </row>
    <row r="129" spans="2:2" ht="15" x14ac:dyDescent="0.2">
      <c r="B129" s="183"/>
    </row>
    <row r="130" spans="2:2" ht="15" x14ac:dyDescent="0.2">
      <c r="B130" s="183"/>
    </row>
    <row r="131" spans="2:2" ht="15" x14ac:dyDescent="0.2">
      <c r="B131" s="183"/>
    </row>
    <row r="132" spans="2:2" ht="15" x14ac:dyDescent="0.2">
      <c r="B132" s="183"/>
    </row>
    <row r="133" spans="2:2" ht="15" x14ac:dyDescent="0.2">
      <c r="B133" s="183"/>
    </row>
    <row r="134" spans="2:2" ht="15" x14ac:dyDescent="0.2">
      <c r="B134" s="183"/>
    </row>
    <row r="135" spans="2:2" ht="15" x14ac:dyDescent="0.2">
      <c r="B135" s="183"/>
    </row>
    <row r="136" spans="2:2" ht="15" x14ac:dyDescent="0.2">
      <c r="B136" s="183"/>
    </row>
    <row r="137" spans="2:2" ht="15" x14ac:dyDescent="0.2">
      <c r="B137" s="183"/>
    </row>
    <row r="138" spans="2:2" ht="15" x14ac:dyDescent="0.2">
      <c r="B138" s="183"/>
    </row>
    <row r="139" spans="2:2" ht="15" x14ac:dyDescent="0.2">
      <c r="B139" s="183"/>
    </row>
    <row r="140" spans="2:2" ht="15" x14ac:dyDescent="0.2">
      <c r="B140" s="183"/>
    </row>
    <row r="141" spans="2:2" ht="15" x14ac:dyDescent="0.2">
      <c r="B141" s="183"/>
    </row>
    <row r="142" spans="2:2" ht="15" x14ac:dyDescent="0.2">
      <c r="B142" s="183"/>
    </row>
    <row r="143" spans="2:2" ht="15" x14ac:dyDescent="0.2">
      <c r="B143" s="183"/>
    </row>
    <row r="144" spans="2:2" ht="15" x14ac:dyDescent="0.2">
      <c r="B144" s="183"/>
    </row>
    <row r="145" spans="2:2" ht="15" x14ac:dyDescent="0.2">
      <c r="B145" s="183"/>
    </row>
    <row r="146" spans="2:2" ht="15" x14ac:dyDescent="0.2">
      <c r="B146" s="183"/>
    </row>
    <row r="147" spans="2:2" ht="15" x14ac:dyDescent="0.2">
      <c r="B147" s="183"/>
    </row>
    <row r="148" spans="2:2" ht="15" x14ac:dyDescent="0.2">
      <c r="B148" s="183"/>
    </row>
    <row r="149" spans="2:2" ht="15" x14ac:dyDescent="0.2">
      <c r="B149" s="183"/>
    </row>
    <row r="150" spans="2:2" ht="15" x14ac:dyDescent="0.2">
      <c r="B150" s="183"/>
    </row>
    <row r="151" spans="2:2" ht="15" x14ac:dyDescent="0.2">
      <c r="B151" s="183"/>
    </row>
    <row r="152" spans="2:2" ht="15" x14ac:dyDescent="0.2">
      <c r="B152" s="183"/>
    </row>
    <row r="153" spans="2:2" ht="15" x14ac:dyDescent="0.2">
      <c r="B153" s="183"/>
    </row>
    <row r="154" spans="2:2" ht="15" x14ac:dyDescent="0.2">
      <c r="B154" s="183"/>
    </row>
    <row r="155" spans="2:2" ht="15" x14ac:dyDescent="0.2">
      <c r="B155" s="183"/>
    </row>
    <row r="156" spans="2:2" ht="15" x14ac:dyDescent="0.2">
      <c r="B156" s="183"/>
    </row>
    <row r="157" spans="2:2" ht="15" x14ac:dyDescent="0.2">
      <c r="B157" s="183"/>
    </row>
    <row r="158" spans="2:2" ht="15" x14ac:dyDescent="0.2">
      <c r="B158" s="183"/>
    </row>
    <row r="159" spans="2:2" ht="15" x14ac:dyDescent="0.2">
      <c r="B159" s="183"/>
    </row>
    <row r="160" spans="2:2" ht="15" x14ac:dyDescent="0.2">
      <c r="B160" s="183"/>
    </row>
    <row r="161" spans="2:2" ht="15" x14ac:dyDescent="0.2">
      <c r="B161" s="183"/>
    </row>
    <row r="162" spans="2:2" ht="15" x14ac:dyDescent="0.2">
      <c r="B162" s="183"/>
    </row>
    <row r="163" spans="2:2" ht="15" x14ac:dyDescent="0.2">
      <c r="B163" s="183"/>
    </row>
    <row r="164" spans="2:2" ht="15" x14ac:dyDescent="0.2">
      <c r="B164" s="183"/>
    </row>
    <row r="165" spans="2:2" ht="15" x14ac:dyDescent="0.2">
      <c r="B165" s="183"/>
    </row>
    <row r="166" spans="2:2" ht="15" x14ac:dyDescent="0.2">
      <c r="B166" s="183"/>
    </row>
    <row r="167" spans="2:2" ht="15" x14ac:dyDescent="0.2">
      <c r="B167" s="183"/>
    </row>
    <row r="168" spans="2:2" ht="15" x14ac:dyDescent="0.2">
      <c r="B168" s="183"/>
    </row>
    <row r="169" spans="2:2" ht="15" x14ac:dyDescent="0.2">
      <c r="B169" s="183"/>
    </row>
    <row r="170" spans="2:2" ht="15" x14ac:dyDescent="0.2">
      <c r="B170" s="183"/>
    </row>
    <row r="171" spans="2:2" ht="15" x14ac:dyDescent="0.2">
      <c r="B171" s="183"/>
    </row>
    <row r="172" spans="2:2" ht="15" x14ac:dyDescent="0.2">
      <c r="B172" s="183"/>
    </row>
    <row r="173" spans="2:2" ht="15" x14ac:dyDescent="0.2">
      <c r="B173" s="183"/>
    </row>
    <row r="174" spans="2:2" ht="15" x14ac:dyDescent="0.2">
      <c r="B174" s="183"/>
    </row>
    <row r="175" spans="2:2" ht="15" x14ac:dyDescent="0.2">
      <c r="B175" s="183"/>
    </row>
    <row r="176" spans="2:2" ht="15" x14ac:dyDescent="0.2">
      <c r="B176" s="183"/>
    </row>
    <row r="177" spans="2:2" ht="15" x14ac:dyDescent="0.2">
      <c r="B177" s="183"/>
    </row>
    <row r="178" spans="2:2" ht="15" x14ac:dyDescent="0.2">
      <c r="B178" s="183"/>
    </row>
    <row r="179" spans="2:2" ht="15" x14ac:dyDescent="0.2">
      <c r="B179" s="183"/>
    </row>
    <row r="180" spans="2:2" ht="15" x14ac:dyDescent="0.2">
      <c r="B180" s="183"/>
    </row>
    <row r="181" spans="2:2" ht="15" x14ac:dyDescent="0.2">
      <c r="B181" s="183"/>
    </row>
    <row r="182" spans="2:2" ht="15" x14ac:dyDescent="0.2">
      <c r="B182" s="183"/>
    </row>
    <row r="183" spans="2:2" ht="15" x14ac:dyDescent="0.2">
      <c r="B183" s="183"/>
    </row>
    <row r="184" spans="2:2" ht="15" x14ac:dyDescent="0.2">
      <c r="B184" s="183"/>
    </row>
    <row r="185" spans="2:2" ht="15" x14ac:dyDescent="0.2">
      <c r="B185" s="183"/>
    </row>
    <row r="186" spans="2:2" ht="15" x14ac:dyDescent="0.2">
      <c r="B186" s="183"/>
    </row>
    <row r="187" spans="2:2" ht="15" x14ac:dyDescent="0.2">
      <c r="B187" s="183"/>
    </row>
    <row r="188" spans="2:2" ht="15" x14ac:dyDescent="0.2">
      <c r="B188" s="183"/>
    </row>
    <row r="189" spans="2:2" ht="15" x14ac:dyDescent="0.2">
      <c r="B189" s="183"/>
    </row>
    <row r="190" spans="2:2" ht="15" x14ac:dyDescent="0.2">
      <c r="B190" s="183"/>
    </row>
    <row r="191" spans="2:2" ht="15" x14ac:dyDescent="0.2">
      <c r="B191" s="183"/>
    </row>
    <row r="192" spans="2:2" ht="15" x14ac:dyDescent="0.2">
      <c r="B192" s="183"/>
    </row>
    <row r="193" spans="2:2" ht="15" x14ac:dyDescent="0.2">
      <c r="B193" s="183"/>
    </row>
    <row r="194" spans="2:2" ht="15" x14ac:dyDescent="0.2">
      <c r="B194" s="183"/>
    </row>
    <row r="195" spans="2:2" ht="15" x14ac:dyDescent="0.2">
      <c r="B195" s="183"/>
    </row>
    <row r="196" spans="2:2" ht="15" x14ac:dyDescent="0.2">
      <c r="B196" s="183"/>
    </row>
    <row r="197" spans="2:2" ht="15" x14ac:dyDescent="0.2">
      <c r="B197" s="183"/>
    </row>
    <row r="198" spans="2:2" ht="15" x14ac:dyDescent="0.2">
      <c r="B198" s="183"/>
    </row>
    <row r="199" spans="2:2" ht="15" x14ac:dyDescent="0.2">
      <c r="B199" s="183"/>
    </row>
    <row r="200" spans="2:2" ht="15" x14ac:dyDescent="0.2">
      <c r="B200" s="183"/>
    </row>
    <row r="201" spans="2:2" ht="15" x14ac:dyDescent="0.2">
      <c r="B201" s="183"/>
    </row>
    <row r="202" spans="2:2" ht="15" x14ac:dyDescent="0.2">
      <c r="B202" s="183"/>
    </row>
    <row r="203" spans="2:2" ht="15" x14ac:dyDescent="0.2">
      <c r="B203" s="183"/>
    </row>
    <row r="204" spans="2:2" ht="15" x14ac:dyDescent="0.2">
      <c r="B204" s="183"/>
    </row>
    <row r="205" spans="2:2" ht="15" x14ac:dyDescent="0.2">
      <c r="B205" s="183"/>
    </row>
    <row r="206" spans="2:2" ht="15" x14ac:dyDescent="0.2">
      <c r="B206" s="183"/>
    </row>
    <row r="207" spans="2:2" ht="15" x14ac:dyDescent="0.2">
      <c r="B207" s="183"/>
    </row>
    <row r="208" spans="2:2" ht="15" x14ac:dyDescent="0.2">
      <c r="B208" s="183"/>
    </row>
    <row r="209" spans="2:2" ht="15" x14ac:dyDescent="0.2">
      <c r="B209" s="183"/>
    </row>
    <row r="210" spans="2:2" ht="15" x14ac:dyDescent="0.2">
      <c r="B210" s="183"/>
    </row>
    <row r="211" spans="2:2" ht="15" x14ac:dyDescent="0.2">
      <c r="B211" s="183"/>
    </row>
    <row r="212" spans="2:2" ht="15" x14ac:dyDescent="0.2">
      <c r="B212" s="183"/>
    </row>
    <row r="213" spans="2:2" ht="15" x14ac:dyDescent="0.2">
      <c r="B213" s="183"/>
    </row>
    <row r="214" spans="2:2" ht="15" x14ac:dyDescent="0.2">
      <c r="B214" s="183"/>
    </row>
    <row r="215" spans="2:2" ht="15" x14ac:dyDescent="0.2">
      <c r="B215" s="183"/>
    </row>
    <row r="216" spans="2:2" ht="15" x14ac:dyDescent="0.2">
      <c r="B216" s="183"/>
    </row>
    <row r="217" spans="2:2" ht="15" x14ac:dyDescent="0.2">
      <c r="B217" s="183"/>
    </row>
    <row r="218" spans="2:2" ht="15" x14ac:dyDescent="0.2">
      <c r="B218" s="183"/>
    </row>
    <row r="219" spans="2:2" ht="15" x14ac:dyDescent="0.2">
      <c r="B219" s="183"/>
    </row>
    <row r="220" spans="2:2" ht="15" x14ac:dyDescent="0.2">
      <c r="B220" s="183"/>
    </row>
    <row r="221" spans="2:2" ht="15" x14ac:dyDescent="0.2">
      <c r="B221" s="183"/>
    </row>
    <row r="222" spans="2:2" ht="15" x14ac:dyDescent="0.2">
      <c r="B222" s="183"/>
    </row>
    <row r="223" spans="2:2" ht="15" x14ac:dyDescent="0.2">
      <c r="B223" s="183"/>
    </row>
    <row r="224" spans="2:2" ht="15" x14ac:dyDescent="0.2">
      <c r="B224" s="183"/>
    </row>
    <row r="225" spans="2:2" ht="15" x14ac:dyDescent="0.2">
      <c r="B225" s="183"/>
    </row>
    <row r="226" spans="2:2" ht="15" x14ac:dyDescent="0.2">
      <c r="B226" s="183"/>
    </row>
    <row r="227" spans="2:2" ht="15" x14ac:dyDescent="0.2">
      <c r="B227" s="183"/>
    </row>
    <row r="228" spans="2:2" ht="15" x14ac:dyDescent="0.2">
      <c r="B228" s="183"/>
    </row>
    <row r="229" spans="2:2" ht="15" x14ac:dyDescent="0.2">
      <c r="B229" s="183"/>
    </row>
    <row r="230" spans="2:2" ht="15" x14ac:dyDescent="0.2">
      <c r="B230" s="183"/>
    </row>
    <row r="231" spans="2:2" ht="15" x14ac:dyDescent="0.2">
      <c r="B231" s="183"/>
    </row>
    <row r="232" spans="2:2" ht="15" x14ac:dyDescent="0.2">
      <c r="B232" s="183"/>
    </row>
    <row r="233" spans="2:2" ht="15" x14ac:dyDescent="0.2">
      <c r="B233" s="183"/>
    </row>
    <row r="234" spans="2:2" ht="15" x14ac:dyDescent="0.2">
      <c r="B234" s="183"/>
    </row>
    <row r="235" spans="2:2" ht="15" x14ac:dyDescent="0.2">
      <c r="B235" s="183"/>
    </row>
    <row r="236" spans="2:2" ht="15" x14ac:dyDescent="0.2">
      <c r="B236" s="183"/>
    </row>
    <row r="237" spans="2:2" ht="15" x14ac:dyDescent="0.2">
      <c r="B237" s="183"/>
    </row>
    <row r="238" spans="2:2" ht="15" x14ac:dyDescent="0.2">
      <c r="B238" s="183"/>
    </row>
    <row r="239" spans="2:2" ht="15" x14ac:dyDescent="0.2">
      <c r="B239" s="183"/>
    </row>
    <row r="240" spans="2:2" ht="15" x14ac:dyDescent="0.2">
      <c r="B240" s="183"/>
    </row>
    <row r="241" spans="2:2" ht="15" x14ac:dyDescent="0.2">
      <c r="B241" s="183"/>
    </row>
    <row r="242" spans="2:2" ht="15" x14ac:dyDescent="0.2">
      <c r="B242" s="183"/>
    </row>
    <row r="243" spans="2:2" ht="15" x14ac:dyDescent="0.2">
      <c r="B243" s="183"/>
    </row>
    <row r="244" spans="2:2" ht="15" x14ac:dyDescent="0.2">
      <c r="B244" s="183"/>
    </row>
    <row r="245" spans="2:2" ht="15" x14ac:dyDescent="0.2">
      <c r="B245" s="183"/>
    </row>
    <row r="246" spans="2:2" ht="15" x14ac:dyDescent="0.2">
      <c r="B246" s="183"/>
    </row>
    <row r="247" spans="2:2" ht="15" x14ac:dyDescent="0.2">
      <c r="B247" s="183"/>
    </row>
    <row r="248" spans="2:2" ht="15" x14ac:dyDescent="0.2">
      <c r="B248" s="183"/>
    </row>
    <row r="249" spans="2:2" ht="15" x14ac:dyDescent="0.2">
      <c r="B249" s="183"/>
    </row>
    <row r="250" spans="2:2" ht="15" x14ac:dyDescent="0.2">
      <c r="B250" s="183"/>
    </row>
    <row r="251" spans="2:2" ht="15" x14ac:dyDescent="0.2">
      <c r="B251" s="183"/>
    </row>
    <row r="252" spans="2:2" ht="15" x14ac:dyDescent="0.2">
      <c r="B252" s="183"/>
    </row>
    <row r="253" spans="2:2" ht="15" x14ac:dyDescent="0.2">
      <c r="B253" s="183"/>
    </row>
    <row r="254" spans="2:2" ht="15" x14ac:dyDescent="0.2">
      <c r="B254" s="183"/>
    </row>
    <row r="255" spans="2:2" ht="15" x14ac:dyDescent="0.2">
      <c r="B255" s="183"/>
    </row>
    <row r="256" spans="2:2" ht="15" x14ac:dyDescent="0.2">
      <c r="B256" s="183"/>
    </row>
    <row r="257" spans="2:2" ht="15" x14ac:dyDescent="0.2">
      <c r="B257" s="183"/>
    </row>
    <row r="258" spans="2:2" ht="15" x14ac:dyDescent="0.2">
      <c r="B258" s="183"/>
    </row>
    <row r="259" spans="2:2" ht="15" x14ac:dyDescent="0.2">
      <c r="B259" s="183"/>
    </row>
    <row r="260" spans="2:2" ht="15" x14ac:dyDescent="0.2">
      <c r="B260" s="183"/>
    </row>
    <row r="261" spans="2:2" ht="15" x14ac:dyDescent="0.2">
      <c r="B261" s="183"/>
    </row>
    <row r="262" spans="2:2" ht="15" x14ac:dyDescent="0.2">
      <c r="B262" s="183"/>
    </row>
    <row r="263" spans="2:2" ht="15" x14ac:dyDescent="0.2">
      <c r="B263" s="183"/>
    </row>
    <row r="264" spans="2:2" ht="15" x14ac:dyDescent="0.2">
      <c r="B264" s="183"/>
    </row>
    <row r="265" spans="2:2" ht="15" x14ac:dyDescent="0.2">
      <c r="B265" s="183"/>
    </row>
    <row r="266" spans="2:2" ht="15" x14ac:dyDescent="0.2">
      <c r="B266" s="183"/>
    </row>
    <row r="267" spans="2:2" ht="15" x14ac:dyDescent="0.2">
      <c r="B267" s="183"/>
    </row>
    <row r="268" spans="2:2" ht="15" x14ac:dyDescent="0.2">
      <c r="B268" s="183"/>
    </row>
    <row r="269" spans="2:2" ht="15" x14ac:dyDescent="0.2">
      <c r="B269" s="183"/>
    </row>
    <row r="270" spans="2:2" ht="15" x14ac:dyDescent="0.2">
      <c r="B270" s="183"/>
    </row>
    <row r="271" spans="2:2" ht="15" x14ac:dyDescent="0.2">
      <c r="B271" s="183"/>
    </row>
    <row r="272" spans="2:2" ht="15" x14ac:dyDescent="0.2">
      <c r="B272" s="183"/>
    </row>
    <row r="273" spans="2:2" ht="15" x14ac:dyDescent="0.2">
      <c r="B273" s="183"/>
    </row>
    <row r="274" spans="2:2" ht="15" x14ac:dyDescent="0.2">
      <c r="B274" s="183"/>
    </row>
    <row r="275" spans="2:2" ht="15" x14ac:dyDescent="0.2">
      <c r="B275" s="183"/>
    </row>
    <row r="276" spans="2:2" ht="15" x14ac:dyDescent="0.2">
      <c r="B276" s="183"/>
    </row>
    <row r="277" spans="2:2" ht="15" x14ac:dyDescent="0.2">
      <c r="B277" s="183"/>
    </row>
    <row r="278" spans="2:2" ht="15" x14ac:dyDescent="0.2">
      <c r="B278" s="183"/>
    </row>
    <row r="279" spans="2:2" ht="15" x14ac:dyDescent="0.2">
      <c r="B279" s="183"/>
    </row>
    <row r="280" spans="2:2" ht="15" x14ac:dyDescent="0.2">
      <c r="B280" s="183"/>
    </row>
    <row r="281" spans="2:2" ht="15" x14ac:dyDescent="0.2">
      <c r="B281" s="183"/>
    </row>
    <row r="282" spans="2:2" ht="15" x14ac:dyDescent="0.2">
      <c r="B282" s="183"/>
    </row>
    <row r="283" spans="2:2" ht="15" x14ac:dyDescent="0.2">
      <c r="B283" s="183"/>
    </row>
    <row r="284" spans="2:2" ht="15" x14ac:dyDescent="0.2">
      <c r="B284" s="183"/>
    </row>
    <row r="285" spans="2:2" ht="15" x14ac:dyDescent="0.2">
      <c r="B285" s="183"/>
    </row>
    <row r="286" spans="2:2" ht="15" x14ac:dyDescent="0.2">
      <c r="B286" s="183"/>
    </row>
    <row r="287" spans="2:2" ht="15" x14ac:dyDescent="0.2">
      <c r="B287" s="183"/>
    </row>
    <row r="288" spans="2:2" ht="15" x14ac:dyDescent="0.2">
      <c r="B288" s="183"/>
    </row>
    <row r="289" spans="2:2" ht="15" x14ac:dyDescent="0.2">
      <c r="B289" s="183"/>
    </row>
    <row r="290" spans="2:2" ht="15" x14ac:dyDescent="0.2">
      <c r="B290" s="183"/>
    </row>
    <row r="291" spans="2:2" ht="15" x14ac:dyDescent="0.2">
      <c r="B291" s="183"/>
    </row>
    <row r="292" spans="2:2" ht="15" x14ac:dyDescent="0.2">
      <c r="B292" s="183"/>
    </row>
    <row r="293" spans="2:2" ht="15" x14ac:dyDescent="0.2">
      <c r="B293" s="183"/>
    </row>
    <row r="294" spans="2:2" ht="15" x14ac:dyDescent="0.2">
      <c r="B294" s="183"/>
    </row>
    <row r="295" spans="2:2" ht="15" x14ac:dyDescent="0.2">
      <c r="B295" s="183"/>
    </row>
    <row r="296" spans="2:2" ht="15" x14ac:dyDescent="0.2">
      <c r="B296" s="183"/>
    </row>
    <row r="297" spans="2:2" ht="15" x14ac:dyDescent="0.2">
      <c r="B297" s="183"/>
    </row>
    <row r="298" spans="2:2" ht="15" x14ac:dyDescent="0.2">
      <c r="B298" s="183"/>
    </row>
    <row r="299" spans="2:2" ht="15" x14ac:dyDescent="0.2">
      <c r="B299" s="183"/>
    </row>
    <row r="300" spans="2:2" ht="15" x14ac:dyDescent="0.2">
      <c r="B300" s="183"/>
    </row>
    <row r="301" spans="2:2" ht="15" x14ac:dyDescent="0.2">
      <c r="B301" s="183"/>
    </row>
    <row r="302" spans="2:2" ht="15" x14ac:dyDescent="0.2">
      <c r="B302" s="183"/>
    </row>
    <row r="303" spans="2:2" ht="15" x14ac:dyDescent="0.2">
      <c r="B303" s="183"/>
    </row>
    <row r="304" spans="2:2" ht="15" x14ac:dyDescent="0.2">
      <c r="B304" s="183"/>
    </row>
    <row r="305" spans="2:2" ht="15" x14ac:dyDescent="0.2">
      <c r="B305" s="183"/>
    </row>
    <row r="306" spans="2:2" ht="15" x14ac:dyDescent="0.2">
      <c r="B306" s="183"/>
    </row>
    <row r="307" spans="2:2" ht="15" x14ac:dyDescent="0.2">
      <c r="B307" s="183"/>
    </row>
    <row r="308" spans="2:2" ht="15" x14ac:dyDescent="0.2">
      <c r="B308" s="183"/>
    </row>
    <row r="309" spans="2:2" ht="15" x14ac:dyDescent="0.2">
      <c r="B309" s="183"/>
    </row>
    <row r="310" spans="2:2" ht="15" x14ac:dyDescent="0.2">
      <c r="B310" s="183"/>
    </row>
    <row r="311" spans="2:2" ht="15" x14ac:dyDescent="0.2">
      <c r="B311" s="183"/>
    </row>
    <row r="312" spans="2:2" ht="15" x14ac:dyDescent="0.2">
      <c r="B312" s="183"/>
    </row>
    <row r="313" spans="2:2" ht="15" x14ac:dyDescent="0.2">
      <c r="B313" s="183"/>
    </row>
    <row r="314" spans="2:2" ht="15" x14ac:dyDescent="0.2">
      <c r="B314" s="183"/>
    </row>
    <row r="315" spans="2:2" ht="15" x14ac:dyDescent="0.2">
      <c r="B315" s="183"/>
    </row>
    <row r="316" spans="2:2" ht="15" x14ac:dyDescent="0.2">
      <c r="B316" s="183"/>
    </row>
    <row r="317" spans="2:2" ht="15" x14ac:dyDescent="0.2">
      <c r="B317" s="183"/>
    </row>
    <row r="318" spans="2:2" ht="15" x14ac:dyDescent="0.2">
      <c r="B318" s="183"/>
    </row>
    <row r="319" spans="2:2" ht="15" x14ac:dyDescent="0.2">
      <c r="B319" s="183"/>
    </row>
    <row r="320" spans="2:2" ht="15" x14ac:dyDescent="0.2">
      <c r="B320" s="183"/>
    </row>
    <row r="321" spans="2:2" ht="15" x14ac:dyDescent="0.2">
      <c r="B321" s="183"/>
    </row>
    <row r="322" spans="2:2" ht="15" x14ac:dyDescent="0.2">
      <c r="B322" s="183"/>
    </row>
    <row r="323" spans="2:2" ht="15" x14ac:dyDescent="0.2">
      <c r="B323" s="183"/>
    </row>
    <row r="324" spans="2:2" ht="15" x14ac:dyDescent="0.2">
      <c r="B324" s="183"/>
    </row>
    <row r="325" spans="2:2" ht="15" x14ac:dyDescent="0.2">
      <c r="B325" s="183"/>
    </row>
    <row r="326" spans="2:2" ht="15" x14ac:dyDescent="0.2">
      <c r="B326" s="183"/>
    </row>
    <row r="327" spans="2:2" ht="15" x14ac:dyDescent="0.2">
      <c r="B327" s="183"/>
    </row>
    <row r="328" spans="2:2" ht="15" x14ac:dyDescent="0.2">
      <c r="B328" s="183"/>
    </row>
    <row r="329" spans="2:2" ht="15" x14ac:dyDescent="0.2">
      <c r="B329" s="183"/>
    </row>
    <row r="330" spans="2:2" ht="15" x14ac:dyDescent="0.2">
      <c r="B330" s="183"/>
    </row>
    <row r="331" spans="2:2" ht="15" x14ac:dyDescent="0.2">
      <c r="B331" s="183"/>
    </row>
    <row r="332" spans="2:2" ht="15" x14ac:dyDescent="0.2">
      <c r="B332" s="183"/>
    </row>
    <row r="333" spans="2:2" ht="15" x14ac:dyDescent="0.2">
      <c r="B333" s="183"/>
    </row>
    <row r="334" spans="2:2" ht="15" x14ac:dyDescent="0.2">
      <c r="B334" s="183"/>
    </row>
    <row r="335" spans="2:2" ht="15" x14ac:dyDescent="0.2">
      <c r="B335" s="183"/>
    </row>
    <row r="336" spans="2:2" ht="15" x14ac:dyDescent="0.2">
      <c r="B336" s="183"/>
    </row>
    <row r="337" spans="2:2" ht="15" x14ac:dyDescent="0.2">
      <c r="B337" s="183"/>
    </row>
    <row r="338" spans="2:2" ht="15" x14ac:dyDescent="0.2">
      <c r="B338" s="183"/>
    </row>
    <row r="339" spans="2:2" ht="15" x14ac:dyDescent="0.2">
      <c r="B339" s="183"/>
    </row>
    <row r="340" spans="2:2" ht="15" x14ac:dyDescent="0.2">
      <c r="B340" s="183"/>
    </row>
    <row r="341" spans="2:2" ht="15" x14ac:dyDescent="0.2">
      <c r="B341" s="183"/>
    </row>
    <row r="342" spans="2:2" ht="15" x14ac:dyDescent="0.2">
      <c r="B342" s="183"/>
    </row>
    <row r="343" spans="2:2" ht="15" x14ac:dyDescent="0.2">
      <c r="B343" s="183"/>
    </row>
    <row r="344" spans="2:2" ht="15" x14ac:dyDescent="0.2">
      <c r="B344" s="183"/>
    </row>
    <row r="345" spans="2:2" ht="15" x14ac:dyDescent="0.2">
      <c r="B345" s="183"/>
    </row>
    <row r="346" spans="2:2" ht="15" x14ac:dyDescent="0.2">
      <c r="B346" s="183"/>
    </row>
    <row r="347" spans="2:2" ht="15" x14ac:dyDescent="0.2">
      <c r="B347" s="183"/>
    </row>
    <row r="348" spans="2:2" ht="15" x14ac:dyDescent="0.2">
      <c r="B348" s="183"/>
    </row>
    <row r="349" spans="2:2" ht="15" x14ac:dyDescent="0.2">
      <c r="B349" s="183"/>
    </row>
    <row r="350" spans="2:2" ht="15" x14ac:dyDescent="0.2">
      <c r="B350" s="183"/>
    </row>
    <row r="351" spans="2:2" ht="15" x14ac:dyDescent="0.2">
      <c r="B351" s="183"/>
    </row>
    <row r="352" spans="2:2" ht="15" x14ac:dyDescent="0.2">
      <c r="B352" s="183"/>
    </row>
    <row r="353" spans="2:2" ht="15" x14ac:dyDescent="0.2">
      <c r="B353" s="183"/>
    </row>
    <row r="354" spans="2:2" ht="15" x14ac:dyDescent="0.2">
      <c r="B354" s="183"/>
    </row>
    <row r="355" spans="2:2" ht="15" x14ac:dyDescent="0.2">
      <c r="B355" s="183"/>
    </row>
    <row r="356" spans="2:2" ht="15" x14ac:dyDescent="0.2">
      <c r="B356" s="183"/>
    </row>
    <row r="357" spans="2:2" ht="15" x14ac:dyDescent="0.2">
      <c r="B357" s="183"/>
    </row>
    <row r="358" spans="2:2" ht="15" x14ac:dyDescent="0.2">
      <c r="B358" s="183"/>
    </row>
    <row r="359" spans="2:2" ht="15" x14ac:dyDescent="0.2">
      <c r="B359" s="183"/>
    </row>
    <row r="360" spans="2:2" ht="15" x14ac:dyDescent="0.2">
      <c r="B360" s="183"/>
    </row>
    <row r="361" spans="2:2" ht="15" x14ac:dyDescent="0.2">
      <c r="B361" s="183"/>
    </row>
    <row r="362" spans="2:2" ht="15" x14ac:dyDescent="0.2">
      <c r="B362" s="183"/>
    </row>
    <row r="363" spans="2:2" ht="15" x14ac:dyDescent="0.2">
      <c r="B363" s="183"/>
    </row>
    <row r="364" spans="2:2" ht="15" x14ac:dyDescent="0.2">
      <c r="B364" s="183"/>
    </row>
    <row r="365" spans="2:2" ht="15" x14ac:dyDescent="0.2">
      <c r="B365" s="183"/>
    </row>
    <row r="366" spans="2:2" ht="15" x14ac:dyDescent="0.2">
      <c r="B366" s="183"/>
    </row>
    <row r="367" spans="2:2" ht="15" x14ac:dyDescent="0.2">
      <c r="B367" s="183"/>
    </row>
    <row r="368" spans="2:2" ht="15" x14ac:dyDescent="0.2">
      <c r="B368" s="183"/>
    </row>
    <row r="369" spans="2:2" ht="15" x14ac:dyDescent="0.2">
      <c r="B369" s="183"/>
    </row>
    <row r="370" spans="2:2" ht="15" x14ac:dyDescent="0.2">
      <c r="B370" s="183"/>
    </row>
    <row r="371" spans="2:2" ht="15" x14ac:dyDescent="0.2">
      <c r="B371" s="183"/>
    </row>
    <row r="372" spans="2:2" ht="15" x14ac:dyDescent="0.2">
      <c r="B372" s="183"/>
    </row>
    <row r="373" spans="2:2" ht="15" x14ac:dyDescent="0.2">
      <c r="B373" s="183"/>
    </row>
    <row r="374" spans="2:2" ht="15" x14ac:dyDescent="0.2">
      <c r="B374" s="183"/>
    </row>
    <row r="375" spans="2:2" ht="15" x14ac:dyDescent="0.2">
      <c r="B375" s="183"/>
    </row>
    <row r="376" spans="2:2" ht="15" x14ac:dyDescent="0.2">
      <c r="B376" s="183"/>
    </row>
    <row r="377" spans="2:2" ht="15" x14ac:dyDescent="0.2">
      <c r="B377" s="183"/>
    </row>
    <row r="378" spans="2:2" ht="15" x14ac:dyDescent="0.2">
      <c r="B378" s="183"/>
    </row>
    <row r="379" spans="2:2" ht="15" x14ac:dyDescent="0.2">
      <c r="B379" s="183"/>
    </row>
    <row r="380" spans="2:2" ht="15" x14ac:dyDescent="0.2">
      <c r="B380" s="183"/>
    </row>
    <row r="381" spans="2:2" ht="15" x14ac:dyDescent="0.2">
      <c r="B381" s="183"/>
    </row>
    <row r="382" spans="2:2" ht="15" x14ac:dyDescent="0.2">
      <c r="B382" s="183"/>
    </row>
    <row r="383" spans="2:2" ht="15" x14ac:dyDescent="0.2">
      <c r="B383" s="183"/>
    </row>
    <row r="384" spans="2:2" ht="15" x14ac:dyDescent="0.2">
      <c r="B384" s="183"/>
    </row>
    <row r="385" spans="2:2" ht="15" x14ac:dyDescent="0.2">
      <c r="B385" s="183"/>
    </row>
    <row r="386" spans="2:2" ht="15" x14ac:dyDescent="0.2">
      <c r="B386" s="183"/>
    </row>
    <row r="387" spans="2:2" ht="15" x14ac:dyDescent="0.2">
      <c r="B387" s="183"/>
    </row>
    <row r="388" spans="2:2" ht="15" x14ac:dyDescent="0.2">
      <c r="B388" s="183"/>
    </row>
    <row r="389" spans="2:2" ht="15" x14ac:dyDescent="0.2">
      <c r="B389" s="183"/>
    </row>
    <row r="390" spans="2:2" ht="15" x14ac:dyDescent="0.2">
      <c r="B390" s="183"/>
    </row>
    <row r="391" spans="2:2" ht="15" x14ac:dyDescent="0.2">
      <c r="B391" s="183"/>
    </row>
    <row r="392" spans="2:2" ht="15" x14ac:dyDescent="0.2">
      <c r="B392" s="183"/>
    </row>
    <row r="393" spans="2:2" ht="15" x14ac:dyDescent="0.2">
      <c r="B393" s="183"/>
    </row>
    <row r="394" spans="2:2" ht="15" x14ac:dyDescent="0.2">
      <c r="B394" s="183"/>
    </row>
    <row r="395" spans="2:2" ht="15" x14ac:dyDescent="0.2">
      <c r="B395" s="183"/>
    </row>
    <row r="396" spans="2:2" ht="15" x14ac:dyDescent="0.2">
      <c r="B396" s="183"/>
    </row>
    <row r="397" spans="2:2" ht="15" x14ac:dyDescent="0.2">
      <c r="B397" s="183"/>
    </row>
    <row r="398" spans="2:2" ht="15" x14ac:dyDescent="0.2">
      <c r="B398" s="183"/>
    </row>
    <row r="399" spans="2:2" ht="15" x14ac:dyDescent="0.2">
      <c r="B399" s="183"/>
    </row>
    <row r="400" spans="2:2" ht="15" x14ac:dyDescent="0.2">
      <c r="B400" s="183"/>
    </row>
    <row r="401" spans="2:2" ht="15" x14ac:dyDescent="0.2">
      <c r="B401" s="183"/>
    </row>
    <row r="402" spans="2:2" ht="15" x14ac:dyDescent="0.2">
      <c r="B402" s="183"/>
    </row>
    <row r="403" spans="2:2" ht="15" x14ac:dyDescent="0.2">
      <c r="B403" s="183"/>
    </row>
    <row r="404" spans="2:2" ht="15" x14ac:dyDescent="0.2">
      <c r="B404" s="183"/>
    </row>
    <row r="405" spans="2:2" ht="15" x14ac:dyDescent="0.2">
      <c r="B405" s="183"/>
    </row>
    <row r="406" spans="2:2" ht="15" x14ac:dyDescent="0.2">
      <c r="B406" s="183"/>
    </row>
    <row r="407" spans="2:2" ht="15" x14ac:dyDescent="0.2">
      <c r="B407" s="183"/>
    </row>
    <row r="408" spans="2:2" ht="15" x14ac:dyDescent="0.2">
      <c r="B408" s="183"/>
    </row>
    <row r="409" spans="2:2" ht="15" x14ac:dyDescent="0.2">
      <c r="B409" s="183"/>
    </row>
    <row r="410" spans="2:2" ht="15" x14ac:dyDescent="0.2">
      <c r="B410" s="183"/>
    </row>
    <row r="411" spans="2:2" ht="15" x14ac:dyDescent="0.2">
      <c r="B411" s="183"/>
    </row>
    <row r="412" spans="2:2" ht="15" x14ac:dyDescent="0.2">
      <c r="B412" s="183"/>
    </row>
    <row r="413" spans="2:2" ht="15" x14ac:dyDescent="0.2">
      <c r="B413" s="183"/>
    </row>
    <row r="414" spans="2:2" ht="15" x14ac:dyDescent="0.2">
      <c r="B414" s="183"/>
    </row>
    <row r="415" spans="2:2" ht="15" x14ac:dyDescent="0.2">
      <c r="B415" s="183"/>
    </row>
    <row r="416" spans="2:2" ht="15" x14ac:dyDescent="0.2">
      <c r="B416" s="183"/>
    </row>
    <row r="417" spans="2:2" ht="15" x14ac:dyDescent="0.2">
      <c r="B417" s="183"/>
    </row>
    <row r="418" spans="2:2" ht="15" x14ac:dyDescent="0.2">
      <c r="B418" s="183"/>
    </row>
    <row r="419" spans="2:2" ht="15" x14ac:dyDescent="0.2">
      <c r="B419" s="183"/>
    </row>
    <row r="420" spans="2:2" ht="15" x14ac:dyDescent="0.2">
      <c r="B420" s="183"/>
    </row>
    <row r="421" spans="2:2" ht="15" x14ac:dyDescent="0.2">
      <c r="B421" s="183"/>
    </row>
    <row r="422" spans="2:2" ht="15" x14ac:dyDescent="0.2">
      <c r="B422" s="183"/>
    </row>
    <row r="423" spans="2:2" ht="15" x14ac:dyDescent="0.2">
      <c r="B423" s="183"/>
    </row>
    <row r="424" spans="2:2" ht="15" x14ac:dyDescent="0.2">
      <c r="B424" s="183"/>
    </row>
    <row r="425" spans="2:2" ht="15" x14ac:dyDescent="0.2">
      <c r="B425" s="183"/>
    </row>
    <row r="426" spans="2:2" ht="15" x14ac:dyDescent="0.2">
      <c r="B426" s="183"/>
    </row>
    <row r="427" spans="2:2" ht="15" x14ac:dyDescent="0.2">
      <c r="B427" s="183"/>
    </row>
    <row r="428" spans="2:2" ht="15" x14ac:dyDescent="0.2">
      <c r="B428" s="183"/>
    </row>
    <row r="429" spans="2:2" ht="15" x14ac:dyDescent="0.2">
      <c r="B429" s="183"/>
    </row>
    <row r="430" spans="2:2" ht="15" x14ac:dyDescent="0.2">
      <c r="B430" s="183"/>
    </row>
    <row r="431" spans="2:2" ht="15" x14ac:dyDescent="0.2">
      <c r="B431" s="183"/>
    </row>
    <row r="432" spans="2:2" ht="15" x14ac:dyDescent="0.2">
      <c r="B432" s="183"/>
    </row>
    <row r="433" spans="2:2" ht="15" x14ac:dyDescent="0.2">
      <c r="B433" s="183"/>
    </row>
    <row r="434" spans="2:2" ht="15" x14ac:dyDescent="0.2">
      <c r="B434" s="183"/>
    </row>
    <row r="435" spans="2:2" ht="15" x14ac:dyDescent="0.2">
      <c r="B435" s="183"/>
    </row>
    <row r="436" spans="2:2" ht="15" x14ac:dyDescent="0.2">
      <c r="B436" s="183"/>
    </row>
    <row r="437" spans="2:2" ht="15" x14ac:dyDescent="0.2">
      <c r="B437" s="183"/>
    </row>
    <row r="438" spans="2:2" ht="15" x14ac:dyDescent="0.2">
      <c r="B438" s="183"/>
    </row>
    <row r="439" spans="2:2" ht="15" x14ac:dyDescent="0.2">
      <c r="B439" s="183"/>
    </row>
    <row r="440" spans="2:2" ht="15" x14ac:dyDescent="0.2">
      <c r="B440" s="183"/>
    </row>
    <row r="441" spans="2:2" ht="15" x14ac:dyDescent="0.2">
      <c r="B441" s="183"/>
    </row>
    <row r="442" spans="2:2" ht="15" x14ac:dyDescent="0.2">
      <c r="B442" s="183"/>
    </row>
    <row r="443" spans="2:2" ht="15" x14ac:dyDescent="0.2">
      <c r="B443" s="183"/>
    </row>
    <row r="444" spans="2:2" ht="15" x14ac:dyDescent="0.2">
      <c r="B444" s="183"/>
    </row>
    <row r="445" spans="2:2" ht="15" x14ac:dyDescent="0.2">
      <c r="B445" s="183"/>
    </row>
    <row r="446" spans="2:2" ht="15" x14ac:dyDescent="0.2">
      <c r="B446" s="183"/>
    </row>
    <row r="447" spans="2:2" ht="15" x14ac:dyDescent="0.2">
      <c r="B447" s="183"/>
    </row>
    <row r="448" spans="2:2" ht="15" x14ac:dyDescent="0.2">
      <c r="B448" s="183"/>
    </row>
    <row r="449" spans="2:2" ht="15" x14ac:dyDescent="0.2">
      <c r="B449" s="183"/>
    </row>
    <row r="450" spans="2:2" ht="15" x14ac:dyDescent="0.2">
      <c r="B450" s="183"/>
    </row>
    <row r="451" spans="2:2" ht="15" x14ac:dyDescent="0.2">
      <c r="B451" s="183"/>
    </row>
    <row r="452" spans="2:2" ht="15" x14ac:dyDescent="0.2">
      <c r="B452" s="183"/>
    </row>
    <row r="453" spans="2:2" ht="15" x14ac:dyDescent="0.2">
      <c r="B453" s="183"/>
    </row>
    <row r="454" spans="2:2" ht="15" x14ac:dyDescent="0.2">
      <c r="B454" s="183"/>
    </row>
    <row r="455" spans="2:2" ht="15" x14ac:dyDescent="0.2">
      <c r="B455" s="183"/>
    </row>
    <row r="456" spans="2:2" ht="15" x14ac:dyDescent="0.2">
      <c r="B456" s="183"/>
    </row>
    <row r="457" spans="2:2" ht="15" x14ac:dyDescent="0.2">
      <c r="B457" s="183"/>
    </row>
    <row r="458" spans="2:2" ht="15" x14ac:dyDescent="0.2">
      <c r="B458" s="183"/>
    </row>
    <row r="459" spans="2:2" ht="15" x14ac:dyDescent="0.2">
      <c r="B459" s="183"/>
    </row>
    <row r="460" spans="2:2" ht="15" x14ac:dyDescent="0.2">
      <c r="B460" s="183"/>
    </row>
    <row r="461" spans="2:2" ht="15" x14ac:dyDescent="0.2">
      <c r="B461" s="183"/>
    </row>
    <row r="462" spans="2:2" ht="15" x14ac:dyDescent="0.2">
      <c r="B462" s="183"/>
    </row>
    <row r="463" spans="2:2" ht="15" x14ac:dyDescent="0.2">
      <c r="B463" s="183"/>
    </row>
    <row r="464" spans="2:2" ht="15" x14ac:dyDescent="0.2">
      <c r="B464" s="183"/>
    </row>
    <row r="465" spans="2:2" ht="15" x14ac:dyDescent="0.2">
      <c r="B465" s="183"/>
    </row>
    <row r="466" spans="2:2" ht="15" x14ac:dyDescent="0.2">
      <c r="B466" s="183"/>
    </row>
    <row r="467" spans="2:2" ht="15" x14ac:dyDescent="0.2">
      <c r="B467" s="183"/>
    </row>
    <row r="468" spans="2:2" ht="15" x14ac:dyDescent="0.2">
      <c r="B468" s="183"/>
    </row>
    <row r="469" spans="2:2" ht="15" x14ac:dyDescent="0.2">
      <c r="B469" s="183"/>
    </row>
    <row r="470" spans="2:2" ht="15" x14ac:dyDescent="0.2">
      <c r="B470" s="183"/>
    </row>
    <row r="471" spans="2:2" ht="15" x14ac:dyDescent="0.2">
      <c r="B471" s="183"/>
    </row>
    <row r="472" spans="2:2" ht="15" x14ac:dyDescent="0.2">
      <c r="B472" s="183"/>
    </row>
    <row r="473" spans="2:2" ht="15" x14ac:dyDescent="0.2">
      <c r="B473" s="183"/>
    </row>
    <row r="474" spans="2:2" ht="15" x14ac:dyDescent="0.2">
      <c r="B474" s="183"/>
    </row>
    <row r="475" spans="2:2" ht="15" x14ac:dyDescent="0.2">
      <c r="B475" s="183"/>
    </row>
    <row r="476" spans="2:2" ht="15" x14ac:dyDescent="0.2">
      <c r="B476" s="183"/>
    </row>
    <row r="477" spans="2:2" ht="15" x14ac:dyDescent="0.2">
      <c r="B477" s="183"/>
    </row>
    <row r="478" spans="2:2" ht="15" x14ac:dyDescent="0.2">
      <c r="B478" s="183"/>
    </row>
    <row r="479" spans="2:2" ht="15" x14ac:dyDescent="0.2">
      <c r="B479" s="183"/>
    </row>
    <row r="480" spans="2:2" ht="15" x14ac:dyDescent="0.2">
      <c r="B480" s="183"/>
    </row>
    <row r="481" spans="2:2" ht="15" x14ac:dyDescent="0.2">
      <c r="B481" s="183"/>
    </row>
    <row r="482" spans="2:2" ht="15" x14ac:dyDescent="0.2">
      <c r="B482" s="183"/>
    </row>
    <row r="483" spans="2:2" ht="15" x14ac:dyDescent="0.2">
      <c r="B483" s="183"/>
    </row>
    <row r="484" spans="2:2" ht="15" x14ac:dyDescent="0.2">
      <c r="B484" s="183"/>
    </row>
    <row r="485" spans="2:2" ht="15" x14ac:dyDescent="0.2">
      <c r="B485" s="183"/>
    </row>
    <row r="486" spans="2:2" ht="15" x14ac:dyDescent="0.2">
      <c r="B486" s="183"/>
    </row>
    <row r="487" spans="2:2" ht="15" x14ac:dyDescent="0.2">
      <c r="B487" s="183"/>
    </row>
    <row r="488" spans="2:2" ht="15" x14ac:dyDescent="0.2">
      <c r="B488" s="183"/>
    </row>
    <row r="489" spans="2:2" ht="15" x14ac:dyDescent="0.2">
      <c r="B489" s="183"/>
    </row>
    <row r="490" spans="2:2" ht="15" x14ac:dyDescent="0.2">
      <c r="B490" s="183"/>
    </row>
    <row r="491" spans="2:2" ht="15" x14ac:dyDescent="0.2">
      <c r="B491" s="183"/>
    </row>
    <row r="492" spans="2:2" ht="15" x14ac:dyDescent="0.2">
      <c r="B492" s="183"/>
    </row>
    <row r="493" spans="2:2" ht="15" x14ac:dyDescent="0.2">
      <c r="B493" s="183"/>
    </row>
    <row r="494" spans="2:2" ht="15" x14ac:dyDescent="0.2">
      <c r="B494" s="183"/>
    </row>
    <row r="495" spans="2:2" ht="15" x14ac:dyDescent="0.2">
      <c r="B495" s="183"/>
    </row>
    <row r="496" spans="2:2" ht="15" x14ac:dyDescent="0.2">
      <c r="B496" s="183"/>
    </row>
    <row r="497" spans="2:2" ht="15" x14ac:dyDescent="0.2">
      <c r="B497" s="183"/>
    </row>
    <row r="498" spans="2:2" ht="15" x14ac:dyDescent="0.2">
      <c r="B498" s="183"/>
    </row>
    <row r="499" spans="2:2" ht="15" x14ac:dyDescent="0.2">
      <c r="B499" s="183"/>
    </row>
    <row r="500" spans="2:2" ht="15" x14ac:dyDescent="0.2">
      <c r="B500" s="183"/>
    </row>
    <row r="501" spans="2:2" ht="15" x14ac:dyDescent="0.2">
      <c r="B501" s="183"/>
    </row>
    <row r="502" spans="2:2" ht="15" x14ac:dyDescent="0.2">
      <c r="B502" s="183"/>
    </row>
    <row r="503" spans="2:2" ht="15" x14ac:dyDescent="0.2">
      <c r="B503" s="183"/>
    </row>
    <row r="504" spans="2:2" ht="15" x14ac:dyDescent="0.2">
      <c r="B504" s="183"/>
    </row>
    <row r="505" spans="2:2" ht="15" x14ac:dyDescent="0.2">
      <c r="B505" s="183"/>
    </row>
    <row r="506" spans="2:2" ht="15" x14ac:dyDescent="0.2">
      <c r="B506" s="183"/>
    </row>
    <row r="507" spans="2:2" ht="15" x14ac:dyDescent="0.2">
      <c r="B507" s="183"/>
    </row>
    <row r="508" spans="2:2" ht="15" x14ac:dyDescent="0.2">
      <c r="B508" s="183"/>
    </row>
    <row r="509" spans="2:2" ht="15" x14ac:dyDescent="0.2">
      <c r="B509" s="183"/>
    </row>
    <row r="510" spans="2:2" ht="15" x14ac:dyDescent="0.2">
      <c r="B510" s="183"/>
    </row>
    <row r="511" spans="2:2" ht="15" x14ac:dyDescent="0.2">
      <c r="B511" s="183"/>
    </row>
    <row r="512" spans="2:2" ht="15" x14ac:dyDescent="0.2">
      <c r="B512" s="183"/>
    </row>
    <row r="513" spans="2:2" ht="15" x14ac:dyDescent="0.2">
      <c r="B513" s="183"/>
    </row>
    <row r="514" spans="2:2" ht="15" x14ac:dyDescent="0.2">
      <c r="B514" s="183"/>
    </row>
    <row r="515" spans="2:2" ht="15" x14ac:dyDescent="0.2">
      <c r="B515" s="183"/>
    </row>
    <row r="516" spans="2:2" ht="15" x14ac:dyDescent="0.2">
      <c r="B516" s="183"/>
    </row>
    <row r="517" spans="2:2" ht="15" x14ac:dyDescent="0.2">
      <c r="B517" s="183"/>
    </row>
    <row r="518" spans="2:2" ht="15" x14ac:dyDescent="0.2">
      <c r="B518" s="183"/>
    </row>
    <row r="519" spans="2:2" ht="15" x14ac:dyDescent="0.2">
      <c r="B519" s="183"/>
    </row>
    <row r="520" spans="2:2" ht="15" x14ac:dyDescent="0.2">
      <c r="B520" s="183"/>
    </row>
    <row r="521" spans="2:2" ht="15" x14ac:dyDescent="0.2">
      <c r="B521" s="183"/>
    </row>
    <row r="522" spans="2:2" ht="15" x14ac:dyDescent="0.2">
      <c r="B522" s="183"/>
    </row>
    <row r="523" spans="2:2" ht="15" x14ac:dyDescent="0.2">
      <c r="B523" s="183"/>
    </row>
    <row r="524" spans="2:2" ht="15" x14ac:dyDescent="0.2">
      <c r="B524" s="183"/>
    </row>
    <row r="525" spans="2:2" ht="15" x14ac:dyDescent="0.2">
      <c r="B525" s="183"/>
    </row>
    <row r="526" spans="2:2" ht="15" x14ac:dyDescent="0.2">
      <c r="B526" s="183"/>
    </row>
    <row r="527" spans="2:2" ht="15" x14ac:dyDescent="0.2">
      <c r="B527" s="183"/>
    </row>
    <row r="528" spans="2:2" ht="15" x14ac:dyDescent="0.2">
      <c r="B528" s="183"/>
    </row>
    <row r="529" spans="2:2" ht="15" x14ac:dyDescent="0.2">
      <c r="B529" s="183"/>
    </row>
    <row r="530" spans="2:2" ht="15" x14ac:dyDescent="0.2">
      <c r="B530" s="183"/>
    </row>
    <row r="531" spans="2:2" ht="15" x14ac:dyDescent="0.2">
      <c r="B531" s="183"/>
    </row>
    <row r="532" spans="2:2" ht="15" x14ac:dyDescent="0.2">
      <c r="B532" s="183"/>
    </row>
    <row r="533" spans="2:2" ht="15" x14ac:dyDescent="0.2">
      <c r="B533" s="183"/>
    </row>
    <row r="534" spans="2:2" ht="15" x14ac:dyDescent="0.2">
      <c r="B534" s="183"/>
    </row>
    <row r="535" spans="2:2" ht="15" x14ac:dyDescent="0.2">
      <c r="B535" s="183"/>
    </row>
    <row r="536" spans="2:2" ht="15" x14ac:dyDescent="0.2">
      <c r="B536" s="183"/>
    </row>
    <row r="537" spans="2:2" ht="15" x14ac:dyDescent="0.2">
      <c r="B537" s="183"/>
    </row>
    <row r="538" spans="2:2" ht="15" x14ac:dyDescent="0.2">
      <c r="B538" s="183"/>
    </row>
    <row r="539" spans="2:2" ht="15" x14ac:dyDescent="0.2">
      <c r="B539" s="183"/>
    </row>
    <row r="540" spans="2:2" ht="15" x14ac:dyDescent="0.2">
      <c r="B540" s="183"/>
    </row>
    <row r="541" spans="2:2" ht="15" x14ac:dyDescent="0.2">
      <c r="B541" s="183"/>
    </row>
    <row r="542" spans="2:2" ht="15" x14ac:dyDescent="0.2">
      <c r="B542" s="183"/>
    </row>
    <row r="543" spans="2:2" ht="15" x14ac:dyDescent="0.2">
      <c r="B543" s="183"/>
    </row>
    <row r="544" spans="2:2" ht="15" x14ac:dyDescent="0.2">
      <c r="B544" s="183"/>
    </row>
    <row r="545" spans="2:2" ht="15" x14ac:dyDescent="0.2">
      <c r="B545" s="183"/>
    </row>
    <row r="546" spans="2:2" ht="15" x14ac:dyDescent="0.2">
      <c r="B546" s="183"/>
    </row>
    <row r="547" spans="2:2" ht="15" x14ac:dyDescent="0.2">
      <c r="B547" s="183"/>
    </row>
    <row r="548" spans="2:2" ht="15" x14ac:dyDescent="0.2">
      <c r="B548" s="183"/>
    </row>
    <row r="549" spans="2:2" ht="15" x14ac:dyDescent="0.2">
      <c r="B549" s="183"/>
    </row>
    <row r="550" spans="2:2" ht="15" x14ac:dyDescent="0.2">
      <c r="B550" s="183"/>
    </row>
    <row r="551" spans="2:2" ht="15" x14ac:dyDescent="0.2">
      <c r="B551" s="183"/>
    </row>
    <row r="552" spans="2:2" ht="15" x14ac:dyDescent="0.2">
      <c r="B552" s="183"/>
    </row>
    <row r="553" spans="2:2" ht="15" x14ac:dyDescent="0.2">
      <c r="B553" s="183"/>
    </row>
    <row r="554" spans="2:2" ht="15" x14ac:dyDescent="0.2">
      <c r="B554" s="183"/>
    </row>
    <row r="555" spans="2:2" ht="15" x14ac:dyDescent="0.2">
      <c r="B555" s="183"/>
    </row>
    <row r="556" spans="2:2" ht="15" x14ac:dyDescent="0.2">
      <c r="B556" s="183"/>
    </row>
    <row r="557" spans="2:2" ht="15" x14ac:dyDescent="0.2">
      <c r="B557" s="183"/>
    </row>
    <row r="558" spans="2:2" ht="15" x14ac:dyDescent="0.2">
      <c r="B558" s="183"/>
    </row>
    <row r="559" spans="2:2" ht="15" x14ac:dyDescent="0.2">
      <c r="B559" s="183"/>
    </row>
    <row r="560" spans="2:2" ht="15" x14ac:dyDescent="0.2">
      <c r="B560" s="183"/>
    </row>
    <row r="561" spans="2:2" ht="15" x14ac:dyDescent="0.2">
      <c r="B561" s="183"/>
    </row>
    <row r="562" spans="2:2" ht="15" x14ac:dyDescent="0.2">
      <c r="B562" s="183"/>
    </row>
    <row r="563" spans="2:2" ht="15" x14ac:dyDescent="0.2">
      <c r="B563" s="183"/>
    </row>
    <row r="564" spans="2:2" ht="15" x14ac:dyDescent="0.2">
      <c r="B564" s="183"/>
    </row>
    <row r="565" spans="2:2" ht="15" x14ac:dyDescent="0.2">
      <c r="B565" s="183"/>
    </row>
    <row r="566" spans="2:2" ht="15" x14ac:dyDescent="0.2">
      <c r="B566" s="183"/>
    </row>
    <row r="567" spans="2:2" ht="15" x14ac:dyDescent="0.2">
      <c r="B567" s="183"/>
    </row>
    <row r="568" spans="2:2" ht="15" x14ac:dyDescent="0.2">
      <c r="B568" s="183"/>
    </row>
    <row r="569" spans="2:2" ht="15" x14ac:dyDescent="0.2">
      <c r="B569" s="183"/>
    </row>
    <row r="570" spans="2:2" ht="15" x14ac:dyDescent="0.2">
      <c r="B570" s="183"/>
    </row>
    <row r="571" spans="2:2" ht="15" x14ac:dyDescent="0.2">
      <c r="B571" s="183"/>
    </row>
    <row r="572" spans="2:2" ht="15" x14ac:dyDescent="0.2">
      <c r="B572" s="183"/>
    </row>
    <row r="573" spans="2:2" ht="15" x14ac:dyDescent="0.2">
      <c r="B573" s="183"/>
    </row>
    <row r="574" spans="2:2" ht="15" x14ac:dyDescent="0.2">
      <c r="B574" s="183"/>
    </row>
    <row r="575" spans="2:2" ht="15" x14ac:dyDescent="0.2">
      <c r="B575" s="183"/>
    </row>
    <row r="576" spans="2:2" ht="15" x14ac:dyDescent="0.2">
      <c r="B576" s="183"/>
    </row>
    <row r="577" spans="2:2" ht="15" x14ac:dyDescent="0.2">
      <c r="B577" s="183"/>
    </row>
    <row r="578" spans="2:2" ht="15" x14ac:dyDescent="0.2">
      <c r="B578" s="183"/>
    </row>
    <row r="579" spans="2:2" ht="15" x14ac:dyDescent="0.2">
      <c r="B579" s="183"/>
    </row>
    <row r="580" spans="2:2" ht="15" x14ac:dyDescent="0.2">
      <c r="B580" s="183"/>
    </row>
    <row r="581" spans="2:2" ht="15" x14ac:dyDescent="0.2">
      <c r="B581" s="183"/>
    </row>
    <row r="582" spans="2:2" ht="15" x14ac:dyDescent="0.2">
      <c r="B582" s="183"/>
    </row>
    <row r="583" spans="2:2" ht="15" x14ac:dyDescent="0.2">
      <c r="B583" s="183"/>
    </row>
    <row r="584" spans="2:2" ht="15" x14ac:dyDescent="0.2">
      <c r="B584" s="183"/>
    </row>
    <row r="585" spans="2:2" ht="15" x14ac:dyDescent="0.2">
      <c r="B585" s="183"/>
    </row>
    <row r="586" spans="2:2" ht="15" x14ac:dyDescent="0.2">
      <c r="B586" s="183"/>
    </row>
    <row r="587" spans="2:2" ht="15" x14ac:dyDescent="0.2">
      <c r="B587" s="183"/>
    </row>
    <row r="588" spans="2:2" ht="15" x14ac:dyDescent="0.2">
      <c r="B588" s="183"/>
    </row>
    <row r="589" spans="2:2" ht="15" x14ac:dyDescent="0.2">
      <c r="B589" s="183"/>
    </row>
    <row r="590" spans="2:2" ht="15" x14ac:dyDescent="0.2">
      <c r="B590" s="183"/>
    </row>
    <row r="591" spans="2:2" ht="15" x14ac:dyDescent="0.2">
      <c r="B591" s="183"/>
    </row>
    <row r="592" spans="2:2" ht="15" x14ac:dyDescent="0.2">
      <c r="B592" s="183"/>
    </row>
    <row r="593" spans="2:2" ht="15" x14ac:dyDescent="0.2">
      <c r="B593" s="183"/>
    </row>
    <row r="594" spans="2:2" ht="15" x14ac:dyDescent="0.2">
      <c r="B594" s="183"/>
    </row>
    <row r="595" spans="2:2" ht="15" x14ac:dyDescent="0.2">
      <c r="B595" s="183"/>
    </row>
    <row r="596" spans="2:2" ht="15" x14ac:dyDescent="0.2">
      <c r="B596" s="183"/>
    </row>
    <row r="597" spans="2:2" ht="15" x14ac:dyDescent="0.2">
      <c r="B597" s="183"/>
    </row>
    <row r="598" spans="2:2" ht="15" x14ac:dyDescent="0.2">
      <c r="B598" s="183"/>
    </row>
    <row r="599" spans="2:2" ht="15" x14ac:dyDescent="0.2">
      <c r="B599" s="183"/>
    </row>
    <row r="600" spans="2:2" ht="15" x14ac:dyDescent="0.2">
      <c r="B600" s="183"/>
    </row>
    <row r="601" spans="2:2" ht="15" x14ac:dyDescent="0.2">
      <c r="B601" s="183"/>
    </row>
    <row r="602" spans="2:2" ht="15" x14ac:dyDescent="0.2">
      <c r="B602" s="183"/>
    </row>
    <row r="603" spans="2:2" ht="15" x14ac:dyDescent="0.2">
      <c r="B603" s="183"/>
    </row>
    <row r="604" spans="2:2" ht="15" x14ac:dyDescent="0.2">
      <c r="B604" s="183"/>
    </row>
    <row r="605" spans="2:2" ht="15" x14ac:dyDescent="0.2">
      <c r="B605" s="183"/>
    </row>
    <row r="606" spans="2:2" ht="15" x14ac:dyDescent="0.2">
      <c r="B606" s="183"/>
    </row>
    <row r="607" spans="2:2" ht="15" x14ac:dyDescent="0.2">
      <c r="B607" s="183"/>
    </row>
    <row r="608" spans="2:2" ht="15" x14ac:dyDescent="0.2">
      <c r="B608" s="183"/>
    </row>
    <row r="609" spans="2:2" ht="15" x14ac:dyDescent="0.2">
      <c r="B609" s="183"/>
    </row>
    <row r="610" spans="2:2" ht="15" x14ac:dyDescent="0.2">
      <c r="B610" s="183"/>
    </row>
    <row r="611" spans="2:2" ht="15" x14ac:dyDescent="0.2">
      <c r="B611" s="183"/>
    </row>
    <row r="612" spans="2:2" ht="15" x14ac:dyDescent="0.2">
      <c r="B612" s="183"/>
    </row>
    <row r="613" spans="2:2" ht="15" x14ac:dyDescent="0.2">
      <c r="B613" s="183"/>
    </row>
    <row r="614" spans="2:2" ht="15" x14ac:dyDescent="0.2">
      <c r="B614" s="183"/>
    </row>
    <row r="615" spans="2:2" ht="15" x14ac:dyDescent="0.2">
      <c r="B615" s="183"/>
    </row>
    <row r="616" spans="2:2" ht="15" x14ac:dyDescent="0.2">
      <c r="B616" s="183"/>
    </row>
    <row r="617" spans="2:2" ht="15" x14ac:dyDescent="0.2">
      <c r="B617" s="183"/>
    </row>
    <row r="618" spans="2:2" ht="15" x14ac:dyDescent="0.2">
      <c r="B618" s="183"/>
    </row>
    <row r="619" spans="2:2" ht="15" x14ac:dyDescent="0.2">
      <c r="B619" s="183"/>
    </row>
    <row r="620" spans="2:2" ht="15" x14ac:dyDescent="0.2">
      <c r="B620" s="183"/>
    </row>
    <row r="621" spans="2:2" ht="15" x14ac:dyDescent="0.2">
      <c r="B621" s="183"/>
    </row>
    <row r="622" spans="2:2" ht="15" x14ac:dyDescent="0.2">
      <c r="B622" s="183"/>
    </row>
    <row r="623" spans="2:2" ht="15" x14ac:dyDescent="0.2">
      <c r="B623" s="183"/>
    </row>
    <row r="624" spans="2:2" ht="15" x14ac:dyDescent="0.2">
      <c r="B624" s="183"/>
    </row>
    <row r="625" spans="2:2" ht="15" x14ac:dyDescent="0.2">
      <c r="B625" s="183"/>
    </row>
    <row r="626" spans="2:2" ht="15" x14ac:dyDescent="0.2">
      <c r="B626" s="183"/>
    </row>
    <row r="627" spans="2:2" ht="15" x14ac:dyDescent="0.2">
      <c r="B627" s="183"/>
    </row>
    <row r="628" spans="2:2" ht="15" x14ac:dyDescent="0.2">
      <c r="B628" s="183"/>
    </row>
    <row r="629" spans="2:2" ht="15" x14ac:dyDescent="0.2">
      <c r="B629" s="183"/>
    </row>
    <row r="630" spans="2:2" ht="15" x14ac:dyDescent="0.2">
      <c r="B630" s="183"/>
    </row>
    <row r="631" spans="2:2" ht="15" x14ac:dyDescent="0.2">
      <c r="B631" s="183"/>
    </row>
    <row r="632" spans="2:2" ht="15" x14ac:dyDescent="0.2">
      <c r="B632" s="183"/>
    </row>
    <row r="633" spans="2:2" ht="15" x14ac:dyDescent="0.2">
      <c r="B633" s="183"/>
    </row>
    <row r="634" spans="2:2" ht="15" x14ac:dyDescent="0.2">
      <c r="B634" s="183"/>
    </row>
    <row r="635" spans="2:2" ht="15" x14ac:dyDescent="0.2">
      <c r="B635" s="183"/>
    </row>
    <row r="636" spans="2:2" ht="15" x14ac:dyDescent="0.2">
      <c r="B636" s="183"/>
    </row>
    <row r="637" spans="2:2" ht="15" x14ac:dyDescent="0.2">
      <c r="B637" s="183"/>
    </row>
    <row r="638" spans="2:2" ht="15" x14ac:dyDescent="0.2">
      <c r="B638" s="183"/>
    </row>
    <row r="639" spans="2:2" ht="15" x14ac:dyDescent="0.2">
      <c r="B639" s="183"/>
    </row>
    <row r="640" spans="2:2" ht="15" x14ac:dyDescent="0.2">
      <c r="B640" s="183"/>
    </row>
    <row r="641" spans="2:2" ht="15" x14ac:dyDescent="0.2">
      <c r="B641" s="183"/>
    </row>
    <row r="642" spans="2:2" ht="15" x14ac:dyDescent="0.2">
      <c r="B642" s="183"/>
    </row>
    <row r="643" spans="2:2" ht="15" x14ac:dyDescent="0.2">
      <c r="B643" s="183"/>
    </row>
    <row r="644" spans="2:2" ht="15" x14ac:dyDescent="0.2">
      <c r="B644" s="183"/>
    </row>
    <row r="645" spans="2:2" ht="15" x14ac:dyDescent="0.2">
      <c r="B645" s="183"/>
    </row>
    <row r="646" spans="2:2" ht="15" x14ac:dyDescent="0.2">
      <c r="B646" s="183"/>
    </row>
    <row r="647" spans="2:2" ht="15" x14ac:dyDescent="0.2">
      <c r="B647" s="183"/>
    </row>
    <row r="648" spans="2:2" ht="15" x14ac:dyDescent="0.2">
      <c r="B648" s="183"/>
    </row>
    <row r="649" spans="2:2" ht="15" x14ac:dyDescent="0.2">
      <c r="B649" s="183"/>
    </row>
    <row r="650" spans="2:2" ht="15" x14ac:dyDescent="0.2">
      <c r="B650" s="183"/>
    </row>
    <row r="651" spans="2:2" ht="15" x14ac:dyDescent="0.2">
      <c r="B651" s="183"/>
    </row>
    <row r="652" spans="2:2" ht="15" x14ac:dyDescent="0.2">
      <c r="B652" s="183"/>
    </row>
    <row r="653" spans="2:2" ht="15" x14ac:dyDescent="0.2">
      <c r="B653" s="183"/>
    </row>
    <row r="654" spans="2:2" ht="15" x14ac:dyDescent="0.2">
      <c r="B654" s="183"/>
    </row>
    <row r="655" spans="2:2" ht="15" x14ac:dyDescent="0.2">
      <c r="B655" s="183"/>
    </row>
    <row r="656" spans="2:2" ht="15" x14ac:dyDescent="0.2">
      <c r="B656" s="183"/>
    </row>
    <row r="657" spans="2:2" ht="15" x14ac:dyDescent="0.2">
      <c r="B657" s="183"/>
    </row>
    <row r="658" spans="2:2" ht="15" x14ac:dyDescent="0.2">
      <c r="B658" s="183"/>
    </row>
    <row r="659" spans="2:2" ht="15" x14ac:dyDescent="0.2">
      <c r="B659" s="183"/>
    </row>
    <row r="660" spans="2:2" ht="15" x14ac:dyDescent="0.2">
      <c r="B660" s="183"/>
    </row>
    <row r="661" spans="2:2" ht="15" x14ac:dyDescent="0.2">
      <c r="B661" s="183"/>
    </row>
    <row r="662" spans="2:2" ht="15" x14ac:dyDescent="0.2">
      <c r="B662" s="183"/>
    </row>
    <row r="663" spans="2:2" ht="15" x14ac:dyDescent="0.2">
      <c r="B663" s="183"/>
    </row>
    <row r="664" spans="2:2" ht="15" x14ac:dyDescent="0.2">
      <c r="B664" s="183"/>
    </row>
    <row r="665" spans="2:2" ht="15" x14ac:dyDescent="0.2">
      <c r="B665" s="183"/>
    </row>
    <row r="666" spans="2:2" ht="15" x14ac:dyDescent="0.2">
      <c r="B666" s="183"/>
    </row>
    <row r="667" spans="2:2" ht="15" x14ac:dyDescent="0.2">
      <c r="B667" s="183"/>
    </row>
    <row r="668" spans="2:2" ht="15" x14ac:dyDescent="0.2">
      <c r="B668" s="183"/>
    </row>
    <row r="669" spans="2:2" ht="15" x14ac:dyDescent="0.2">
      <c r="B669" s="183"/>
    </row>
    <row r="670" spans="2:2" ht="15" x14ac:dyDescent="0.2">
      <c r="B670" s="183"/>
    </row>
    <row r="671" spans="2:2" ht="15" x14ac:dyDescent="0.2">
      <c r="B671" s="183"/>
    </row>
    <row r="672" spans="2:2" ht="15" x14ac:dyDescent="0.2">
      <c r="B672" s="183"/>
    </row>
    <row r="673" spans="2:2" ht="15" x14ac:dyDescent="0.2">
      <c r="B673" s="183"/>
    </row>
    <row r="674" spans="2:2" ht="15" x14ac:dyDescent="0.2">
      <c r="B674" s="183"/>
    </row>
    <row r="675" spans="2:2" ht="15" x14ac:dyDescent="0.2">
      <c r="B675" s="183"/>
    </row>
    <row r="676" spans="2:2" ht="15" x14ac:dyDescent="0.2">
      <c r="B676" s="183"/>
    </row>
    <row r="677" spans="2:2" ht="15" x14ac:dyDescent="0.2">
      <c r="B677" s="183"/>
    </row>
    <row r="678" spans="2:2" ht="15" x14ac:dyDescent="0.2">
      <c r="B678" s="183"/>
    </row>
    <row r="679" spans="2:2" ht="15" x14ac:dyDescent="0.2">
      <c r="B679" s="183"/>
    </row>
    <row r="680" spans="2:2" ht="15" x14ac:dyDescent="0.2">
      <c r="B680" s="183"/>
    </row>
    <row r="681" spans="2:2" ht="15" x14ac:dyDescent="0.2">
      <c r="B681" s="183"/>
    </row>
    <row r="682" spans="2:2" ht="15" x14ac:dyDescent="0.2">
      <c r="B682" s="183"/>
    </row>
    <row r="683" spans="2:2" ht="15" x14ac:dyDescent="0.2">
      <c r="B683" s="183"/>
    </row>
    <row r="684" spans="2:2" ht="15" x14ac:dyDescent="0.2">
      <c r="B684" s="183"/>
    </row>
    <row r="685" spans="2:2" ht="15" x14ac:dyDescent="0.2">
      <c r="B685" s="183"/>
    </row>
    <row r="686" spans="2:2" ht="15" x14ac:dyDescent="0.2">
      <c r="B686" s="183"/>
    </row>
    <row r="687" spans="2:2" ht="15" x14ac:dyDescent="0.2">
      <c r="B687" s="183"/>
    </row>
    <row r="688" spans="2:2" ht="15" x14ac:dyDescent="0.2">
      <c r="B688" s="183"/>
    </row>
    <row r="689" spans="2:2" ht="15" x14ac:dyDescent="0.2">
      <c r="B689" s="183"/>
    </row>
    <row r="690" spans="2:2" ht="15" x14ac:dyDescent="0.2">
      <c r="B690" s="183"/>
    </row>
    <row r="691" spans="2:2" ht="15" x14ac:dyDescent="0.2">
      <c r="B691" s="183"/>
    </row>
    <row r="692" spans="2:2" ht="15" x14ac:dyDescent="0.2">
      <c r="B692" s="183"/>
    </row>
    <row r="693" spans="2:2" ht="15" x14ac:dyDescent="0.2">
      <c r="B693" s="183"/>
    </row>
    <row r="694" spans="2:2" ht="15" x14ac:dyDescent="0.2">
      <c r="B694" s="183"/>
    </row>
    <row r="695" spans="2:2" ht="15" x14ac:dyDescent="0.2">
      <c r="B695" s="183"/>
    </row>
    <row r="696" spans="2:2" ht="15" x14ac:dyDescent="0.2">
      <c r="B696" s="183"/>
    </row>
    <row r="697" spans="2:2" ht="15" x14ac:dyDescent="0.2">
      <c r="B697" s="183"/>
    </row>
    <row r="698" spans="2:2" ht="15" x14ac:dyDescent="0.2">
      <c r="B698" s="183"/>
    </row>
    <row r="699" spans="2:2" ht="15" x14ac:dyDescent="0.2">
      <c r="B699" s="183"/>
    </row>
    <row r="700" spans="2:2" ht="15" x14ac:dyDescent="0.2">
      <c r="B700" s="183"/>
    </row>
    <row r="701" spans="2:2" ht="15" x14ac:dyDescent="0.2">
      <c r="B701" s="183"/>
    </row>
    <row r="702" spans="2:2" ht="15" x14ac:dyDescent="0.2">
      <c r="B702" s="183"/>
    </row>
    <row r="703" spans="2:2" ht="15" x14ac:dyDescent="0.2">
      <c r="B703" s="183"/>
    </row>
    <row r="704" spans="2:2" ht="15" x14ac:dyDescent="0.2">
      <c r="B704" s="183"/>
    </row>
    <row r="705" spans="2:2" ht="15" x14ac:dyDescent="0.2">
      <c r="B705" s="183"/>
    </row>
    <row r="706" spans="2:2" ht="15" x14ac:dyDescent="0.2">
      <c r="B706" s="183"/>
    </row>
    <row r="707" spans="2:2" ht="15" x14ac:dyDescent="0.2">
      <c r="B707" s="183"/>
    </row>
    <row r="708" spans="2:2" ht="15" x14ac:dyDescent="0.2">
      <c r="B708" s="183"/>
    </row>
    <row r="709" spans="2:2" ht="15" x14ac:dyDescent="0.2">
      <c r="B709" s="183"/>
    </row>
    <row r="710" spans="2:2" ht="15" x14ac:dyDescent="0.2">
      <c r="B710" s="183"/>
    </row>
    <row r="711" spans="2:2" ht="15" x14ac:dyDescent="0.2">
      <c r="B711" s="183"/>
    </row>
    <row r="712" spans="2:2" ht="15" x14ac:dyDescent="0.2">
      <c r="B712" s="183"/>
    </row>
    <row r="713" spans="2:2" ht="15" x14ac:dyDescent="0.2">
      <c r="B713" s="183"/>
    </row>
    <row r="714" spans="2:2" ht="15" x14ac:dyDescent="0.2">
      <c r="B714" s="183"/>
    </row>
    <row r="715" spans="2:2" ht="15" x14ac:dyDescent="0.2">
      <c r="B715" s="183"/>
    </row>
    <row r="716" spans="2:2" ht="15" x14ac:dyDescent="0.2">
      <c r="B716" s="183"/>
    </row>
    <row r="717" spans="2:2" ht="15" x14ac:dyDescent="0.2">
      <c r="B717" s="183"/>
    </row>
    <row r="718" spans="2:2" ht="15" x14ac:dyDescent="0.2">
      <c r="B718" s="183"/>
    </row>
    <row r="719" spans="2:2" ht="15" x14ac:dyDescent="0.2">
      <c r="B719" s="183"/>
    </row>
    <row r="720" spans="2:2" ht="15" x14ac:dyDescent="0.2">
      <c r="B720" s="183"/>
    </row>
    <row r="721" spans="2:2" ht="15" x14ac:dyDescent="0.2">
      <c r="B721" s="183"/>
    </row>
    <row r="722" spans="2:2" ht="15" x14ac:dyDescent="0.2">
      <c r="B722" s="183"/>
    </row>
    <row r="723" spans="2:2" ht="15" x14ac:dyDescent="0.2">
      <c r="B723" s="183"/>
    </row>
    <row r="724" spans="2:2" ht="15" x14ac:dyDescent="0.2">
      <c r="B724" s="183"/>
    </row>
    <row r="725" spans="2:2" ht="15" x14ac:dyDescent="0.2">
      <c r="B725" s="183"/>
    </row>
    <row r="726" spans="2:2" ht="15" x14ac:dyDescent="0.2">
      <c r="B726" s="183"/>
    </row>
    <row r="727" spans="2:2" ht="15" x14ac:dyDescent="0.2">
      <c r="B727" s="183"/>
    </row>
    <row r="728" spans="2:2" ht="15" x14ac:dyDescent="0.2">
      <c r="B728" s="183"/>
    </row>
    <row r="729" spans="2:2" ht="15" x14ac:dyDescent="0.2">
      <c r="B729" s="183"/>
    </row>
    <row r="730" spans="2:2" ht="15" x14ac:dyDescent="0.2">
      <c r="B730" s="183"/>
    </row>
    <row r="731" spans="2:2" ht="15" x14ac:dyDescent="0.2">
      <c r="B731" s="183"/>
    </row>
    <row r="732" spans="2:2" ht="15" x14ac:dyDescent="0.2">
      <c r="B732" s="183"/>
    </row>
    <row r="733" spans="2:2" ht="15" x14ac:dyDescent="0.2">
      <c r="B733" s="183"/>
    </row>
    <row r="734" spans="2:2" ht="15" x14ac:dyDescent="0.2">
      <c r="B734" s="183"/>
    </row>
    <row r="735" spans="2:2" ht="15" x14ac:dyDescent="0.2">
      <c r="B735" s="183"/>
    </row>
    <row r="736" spans="2:2" ht="15" x14ac:dyDescent="0.2">
      <c r="B736" s="183"/>
    </row>
    <row r="737" spans="2:2" ht="15" x14ac:dyDescent="0.2">
      <c r="B737" s="183"/>
    </row>
    <row r="738" spans="2:2" ht="15" x14ac:dyDescent="0.2">
      <c r="B738" s="183"/>
    </row>
    <row r="739" spans="2:2" ht="15" x14ac:dyDescent="0.2">
      <c r="B739" s="183"/>
    </row>
    <row r="740" spans="2:2" ht="15" x14ac:dyDescent="0.2">
      <c r="B740" s="183"/>
    </row>
    <row r="741" spans="2:2" ht="15" x14ac:dyDescent="0.2">
      <c r="B741" s="183"/>
    </row>
    <row r="742" spans="2:2" ht="15" x14ac:dyDescent="0.2">
      <c r="B742" s="183"/>
    </row>
    <row r="743" spans="2:2" ht="15" x14ac:dyDescent="0.2">
      <c r="B743" s="183"/>
    </row>
    <row r="744" spans="2:2" ht="15" x14ac:dyDescent="0.2">
      <c r="B744" s="183"/>
    </row>
    <row r="745" spans="2:2" ht="15" x14ac:dyDescent="0.2">
      <c r="B745" s="183"/>
    </row>
    <row r="746" spans="2:2" ht="15" x14ac:dyDescent="0.2">
      <c r="B746" s="183"/>
    </row>
    <row r="747" spans="2:2" ht="15" x14ac:dyDescent="0.2">
      <c r="B747" s="183"/>
    </row>
    <row r="748" spans="2:2" ht="15" x14ac:dyDescent="0.2">
      <c r="B748" s="183"/>
    </row>
    <row r="749" spans="2:2" ht="15" x14ac:dyDescent="0.2">
      <c r="B749" s="183"/>
    </row>
    <row r="750" spans="2:2" ht="15" x14ac:dyDescent="0.2">
      <c r="B750" s="183"/>
    </row>
    <row r="751" spans="2:2" ht="15" x14ac:dyDescent="0.2">
      <c r="B751" s="183"/>
    </row>
    <row r="752" spans="2:2" ht="15" x14ac:dyDescent="0.2">
      <c r="B752" s="183"/>
    </row>
    <row r="753" spans="2:2" ht="15" x14ac:dyDescent="0.2">
      <c r="B753" s="183"/>
    </row>
    <row r="754" spans="2:2" ht="15" x14ac:dyDescent="0.2">
      <c r="B754" s="183"/>
    </row>
    <row r="755" spans="2:2" ht="15" x14ac:dyDescent="0.2">
      <c r="B755" s="183"/>
    </row>
    <row r="756" spans="2:2" ht="15" x14ac:dyDescent="0.2">
      <c r="B756" s="183"/>
    </row>
    <row r="757" spans="2:2" ht="15" x14ac:dyDescent="0.2">
      <c r="B757" s="183"/>
    </row>
    <row r="758" spans="2:2" ht="15" x14ac:dyDescent="0.2">
      <c r="B758" s="183"/>
    </row>
    <row r="759" spans="2:2" ht="15" x14ac:dyDescent="0.2">
      <c r="B759" s="183"/>
    </row>
    <row r="760" spans="2:2" ht="15" x14ac:dyDescent="0.2">
      <c r="B760" s="183"/>
    </row>
    <row r="761" spans="2:2" ht="15" x14ac:dyDescent="0.2">
      <c r="B761" s="183"/>
    </row>
    <row r="762" spans="2:2" ht="15" x14ac:dyDescent="0.2">
      <c r="B762" s="183"/>
    </row>
    <row r="763" spans="2:2" ht="15" x14ac:dyDescent="0.2">
      <c r="B763" s="183"/>
    </row>
    <row r="764" spans="2:2" ht="15" x14ac:dyDescent="0.2">
      <c r="B764" s="183"/>
    </row>
    <row r="765" spans="2:2" ht="15" x14ac:dyDescent="0.2">
      <c r="B765" s="183"/>
    </row>
    <row r="766" spans="2:2" ht="15" x14ac:dyDescent="0.2">
      <c r="B766" s="183"/>
    </row>
    <row r="767" spans="2:2" ht="15" x14ac:dyDescent="0.2">
      <c r="B767" s="183"/>
    </row>
    <row r="768" spans="2:2" ht="15" x14ac:dyDescent="0.2">
      <c r="B768" s="183"/>
    </row>
    <row r="769" spans="2:2" ht="15" x14ac:dyDescent="0.2">
      <c r="B769" s="183"/>
    </row>
    <row r="770" spans="2:2" ht="15" x14ac:dyDescent="0.2">
      <c r="B770" s="183"/>
    </row>
    <row r="771" spans="2:2" ht="15" x14ac:dyDescent="0.2">
      <c r="B771" s="183"/>
    </row>
    <row r="772" spans="2:2" ht="15" x14ac:dyDescent="0.2">
      <c r="B772" s="183"/>
    </row>
    <row r="773" spans="2:2" ht="15" x14ac:dyDescent="0.2">
      <c r="B773" s="183"/>
    </row>
    <row r="774" spans="2:2" ht="15" x14ac:dyDescent="0.2">
      <c r="B774" s="183"/>
    </row>
    <row r="775" spans="2:2" ht="15" x14ac:dyDescent="0.2">
      <c r="B775" s="183"/>
    </row>
    <row r="776" spans="2:2" ht="15" x14ac:dyDescent="0.2">
      <c r="B776" s="183"/>
    </row>
    <row r="777" spans="2:2" ht="15" x14ac:dyDescent="0.2">
      <c r="B777" s="183"/>
    </row>
    <row r="778" spans="2:2" ht="15" x14ac:dyDescent="0.2">
      <c r="B778" s="183"/>
    </row>
    <row r="779" spans="2:2" ht="15" x14ac:dyDescent="0.2">
      <c r="B779" s="183"/>
    </row>
    <row r="780" spans="2:2" ht="15" x14ac:dyDescent="0.2">
      <c r="B780" s="183"/>
    </row>
    <row r="781" spans="2:2" ht="15" x14ac:dyDescent="0.2">
      <c r="B781" s="183"/>
    </row>
    <row r="782" spans="2:2" ht="15" x14ac:dyDescent="0.2">
      <c r="B782" s="183"/>
    </row>
    <row r="783" spans="2:2" ht="15" x14ac:dyDescent="0.2">
      <c r="B783" s="183"/>
    </row>
    <row r="784" spans="2:2" ht="15" x14ac:dyDescent="0.2">
      <c r="B784" s="183"/>
    </row>
    <row r="785" spans="2:2" ht="15" x14ac:dyDescent="0.2">
      <c r="B785" s="183"/>
    </row>
    <row r="786" spans="2:2" ht="15" x14ac:dyDescent="0.2">
      <c r="B786" s="183"/>
    </row>
    <row r="787" spans="2:2" ht="15" x14ac:dyDescent="0.2">
      <c r="B787" s="183"/>
    </row>
    <row r="788" spans="2:2" ht="15" x14ac:dyDescent="0.2">
      <c r="B788" s="183"/>
    </row>
    <row r="789" spans="2:2" ht="15" x14ac:dyDescent="0.2">
      <c r="B789" s="183"/>
    </row>
    <row r="790" spans="2:2" ht="15" x14ac:dyDescent="0.2">
      <c r="B790" s="183"/>
    </row>
    <row r="791" spans="2:2" ht="15" x14ac:dyDescent="0.2">
      <c r="B791" s="183"/>
    </row>
    <row r="792" spans="2:2" ht="15" x14ac:dyDescent="0.2">
      <c r="B792" s="183"/>
    </row>
    <row r="793" spans="2:2" ht="15" x14ac:dyDescent="0.2">
      <c r="B793" s="183"/>
    </row>
    <row r="794" spans="2:2" ht="15" x14ac:dyDescent="0.2">
      <c r="B794" s="183"/>
    </row>
    <row r="795" spans="2:2" ht="15" x14ac:dyDescent="0.2">
      <c r="B795" s="183"/>
    </row>
    <row r="796" spans="2:2" ht="15" x14ac:dyDescent="0.2">
      <c r="B796" s="183"/>
    </row>
    <row r="797" spans="2:2" ht="15" x14ac:dyDescent="0.2">
      <c r="B797" s="183"/>
    </row>
    <row r="798" spans="2:2" ht="15" x14ac:dyDescent="0.2">
      <c r="B798" s="183"/>
    </row>
    <row r="799" spans="2:2" ht="15" x14ac:dyDescent="0.2">
      <c r="B799" s="183"/>
    </row>
    <row r="800" spans="2:2" ht="15" x14ac:dyDescent="0.2">
      <c r="B800" s="183"/>
    </row>
    <row r="801" spans="2:2" ht="15" x14ac:dyDescent="0.2">
      <c r="B801" s="183"/>
    </row>
    <row r="802" spans="2:2" ht="15" x14ac:dyDescent="0.2">
      <c r="B802" s="183"/>
    </row>
    <row r="803" spans="2:2" ht="15" x14ac:dyDescent="0.2">
      <c r="B803" s="183"/>
    </row>
    <row r="804" spans="2:2" ht="15" x14ac:dyDescent="0.2">
      <c r="B804" s="183"/>
    </row>
    <row r="805" spans="2:2" ht="15" x14ac:dyDescent="0.2">
      <c r="B805" s="183"/>
    </row>
    <row r="806" spans="2:2" ht="15" x14ac:dyDescent="0.2">
      <c r="B806" s="183"/>
    </row>
    <row r="807" spans="2:2" ht="15" x14ac:dyDescent="0.2">
      <c r="B807" s="183"/>
    </row>
    <row r="808" spans="2:2" ht="15" x14ac:dyDescent="0.2">
      <c r="B808" s="183"/>
    </row>
    <row r="809" spans="2:2" ht="15" x14ac:dyDescent="0.2">
      <c r="B809" s="183"/>
    </row>
    <row r="810" spans="2:2" ht="15" x14ac:dyDescent="0.2">
      <c r="B810" s="183"/>
    </row>
    <row r="811" spans="2:2" ht="15" x14ac:dyDescent="0.2">
      <c r="B811" s="183"/>
    </row>
    <row r="812" spans="2:2" ht="15" x14ac:dyDescent="0.2">
      <c r="B812" s="183"/>
    </row>
    <row r="813" spans="2:2" ht="15" x14ac:dyDescent="0.2">
      <c r="B813" s="183"/>
    </row>
    <row r="814" spans="2:2" ht="15" x14ac:dyDescent="0.2">
      <c r="B814" s="183"/>
    </row>
    <row r="815" spans="2:2" ht="15" x14ac:dyDescent="0.2">
      <c r="B815" s="183"/>
    </row>
    <row r="816" spans="2:2" ht="15" x14ac:dyDescent="0.2">
      <c r="B816" s="183"/>
    </row>
    <row r="817" spans="2:2" ht="15" x14ac:dyDescent="0.2">
      <c r="B817" s="183"/>
    </row>
    <row r="818" spans="2:2" ht="15" x14ac:dyDescent="0.2">
      <c r="B818" s="183"/>
    </row>
    <row r="819" spans="2:2" ht="15" x14ac:dyDescent="0.2">
      <c r="B819" s="183"/>
    </row>
    <row r="820" spans="2:2" ht="15" x14ac:dyDescent="0.2">
      <c r="B820" s="183"/>
    </row>
    <row r="821" spans="2:2" ht="15" x14ac:dyDescent="0.2">
      <c r="B821" s="183"/>
    </row>
    <row r="822" spans="2:2" ht="15" x14ac:dyDescent="0.2">
      <c r="B822" s="183"/>
    </row>
    <row r="823" spans="2:2" ht="15" x14ac:dyDescent="0.2">
      <c r="B823" s="183"/>
    </row>
    <row r="824" spans="2:2" ht="15" x14ac:dyDescent="0.2">
      <c r="B824" s="183"/>
    </row>
    <row r="825" spans="2:2" ht="15" x14ac:dyDescent="0.2">
      <c r="B825" s="183"/>
    </row>
    <row r="826" spans="2:2" ht="15" x14ac:dyDescent="0.2">
      <c r="B826" s="183"/>
    </row>
    <row r="827" spans="2:2" ht="15" x14ac:dyDescent="0.2">
      <c r="B827" s="183"/>
    </row>
    <row r="828" spans="2:2" ht="15" x14ac:dyDescent="0.2">
      <c r="B828" s="183"/>
    </row>
    <row r="829" spans="2:2" ht="15" x14ac:dyDescent="0.2">
      <c r="B829" s="183"/>
    </row>
    <row r="830" spans="2:2" ht="15" x14ac:dyDescent="0.2">
      <c r="B830" s="183"/>
    </row>
    <row r="831" spans="2:2" ht="15" x14ac:dyDescent="0.2">
      <c r="B831" s="183"/>
    </row>
    <row r="832" spans="2:2" ht="15" x14ac:dyDescent="0.2">
      <c r="B832" s="183"/>
    </row>
    <row r="833" spans="2:2" ht="15" x14ac:dyDescent="0.2">
      <c r="B833" s="183"/>
    </row>
    <row r="834" spans="2:2" ht="15" x14ac:dyDescent="0.2">
      <c r="B834" s="183"/>
    </row>
    <row r="835" spans="2:2" ht="15" x14ac:dyDescent="0.2">
      <c r="B835" s="183"/>
    </row>
    <row r="836" spans="2:2" ht="15" x14ac:dyDescent="0.2">
      <c r="B836" s="183"/>
    </row>
    <row r="837" spans="2:2" ht="15" x14ac:dyDescent="0.2">
      <c r="B837" s="183"/>
    </row>
    <row r="838" spans="2:2" ht="15" x14ac:dyDescent="0.2">
      <c r="B838" s="183"/>
    </row>
    <row r="839" spans="2:2" ht="15" x14ac:dyDescent="0.2">
      <c r="B839" s="183"/>
    </row>
    <row r="840" spans="2:2" ht="15" x14ac:dyDescent="0.2">
      <c r="B840" s="183"/>
    </row>
    <row r="841" spans="2:2" ht="15" x14ac:dyDescent="0.2">
      <c r="B841" s="183"/>
    </row>
    <row r="842" spans="2:2" ht="15" x14ac:dyDescent="0.2">
      <c r="B842" s="183"/>
    </row>
    <row r="843" spans="2:2" ht="15" x14ac:dyDescent="0.2">
      <c r="B843" s="183"/>
    </row>
    <row r="844" spans="2:2" ht="15" x14ac:dyDescent="0.2">
      <c r="B844" s="183"/>
    </row>
    <row r="845" spans="2:2" ht="15" x14ac:dyDescent="0.2">
      <c r="B845" s="183"/>
    </row>
    <row r="846" spans="2:2" ht="15" x14ac:dyDescent="0.2">
      <c r="B846" s="183"/>
    </row>
    <row r="847" spans="2:2" ht="15" x14ac:dyDescent="0.2">
      <c r="B847" s="183"/>
    </row>
    <row r="848" spans="2:2" ht="15" x14ac:dyDescent="0.2">
      <c r="B848" s="183"/>
    </row>
    <row r="849" spans="2:2" ht="15" x14ac:dyDescent="0.2">
      <c r="B849" s="183"/>
    </row>
    <row r="850" spans="2:2" ht="15" x14ac:dyDescent="0.2">
      <c r="B850" s="183"/>
    </row>
    <row r="851" spans="2:2" ht="15" x14ac:dyDescent="0.2">
      <c r="B851" s="183"/>
    </row>
    <row r="852" spans="2:2" ht="15" x14ac:dyDescent="0.2">
      <c r="B852" s="183"/>
    </row>
    <row r="853" spans="2:2" ht="15" x14ac:dyDescent="0.2">
      <c r="B853" s="183"/>
    </row>
    <row r="854" spans="2:2" ht="15" x14ac:dyDescent="0.2">
      <c r="B854" s="183"/>
    </row>
    <row r="855" spans="2:2" ht="15" x14ac:dyDescent="0.2">
      <c r="B855" s="183"/>
    </row>
    <row r="856" spans="2:2" ht="15" x14ac:dyDescent="0.2">
      <c r="B856" s="183"/>
    </row>
    <row r="857" spans="2:2" ht="15" x14ac:dyDescent="0.2">
      <c r="B857" s="183"/>
    </row>
    <row r="858" spans="2:2" ht="15" x14ac:dyDescent="0.2">
      <c r="B858" s="183"/>
    </row>
    <row r="859" spans="2:2" ht="15" x14ac:dyDescent="0.2">
      <c r="B859" s="183"/>
    </row>
    <row r="860" spans="2:2" ht="15" x14ac:dyDescent="0.2">
      <c r="B860" s="183"/>
    </row>
    <row r="861" spans="2:2" ht="15" x14ac:dyDescent="0.2">
      <c r="B861" s="183"/>
    </row>
    <row r="862" spans="2:2" ht="15" x14ac:dyDescent="0.2">
      <c r="B862" s="183"/>
    </row>
    <row r="863" spans="2:2" ht="15" x14ac:dyDescent="0.2">
      <c r="B863" s="183"/>
    </row>
    <row r="864" spans="2:2" ht="15" x14ac:dyDescent="0.2">
      <c r="B864" s="183"/>
    </row>
    <row r="865" spans="2:2" ht="15" x14ac:dyDescent="0.2">
      <c r="B865" s="183"/>
    </row>
    <row r="866" spans="2:2" ht="15" x14ac:dyDescent="0.2">
      <c r="B866" s="183"/>
    </row>
    <row r="867" spans="2:2" ht="15" x14ac:dyDescent="0.2">
      <c r="B867" s="183"/>
    </row>
    <row r="868" spans="2:2" ht="15" x14ac:dyDescent="0.2">
      <c r="B868" s="183"/>
    </row>
    <row r="869" spans="2:2" ht="15" x14ac:dyDescent="0.2">
      <c r="B869" s="183"/>
    </row>
    <row r="870" spans="2:2" ht="15" x14ac:dyDescent="0.2">
      <c r="B870" s="183"/>
    </row>
    <row r="871" spans="2:2" ht="15" x14ac:dyDescent="0.2">
      <c r="B871" s="183"/>
    </row>
    <row r="872" spans="2:2" ht="15" x14ac:dyDescent="0.2">
      <c r="B872" s="183"/>
    </row>
    <row r="873" spans="2:2" ht="15" x14ac:dyDescent="0.2">
      <c r="B873" s="183"/>
    </row>
    <row r="874" spans="2:2" ht="15" x14ac:dyDescent="0.2">
      <c r="B874" s="183"/>
    </row>
    <row r="875" spans="2:2" ht="15" x14ac:dyDescent="0.2">
      <c r="B875" s="183"/>
    </row>
    <row r="876" spans="2:2" ht="15" x14ac:dyDescent="0.2">
      <c r="B876" s="183"/>
    </row>
    <row r="877" spans="2:2" ht="15" x14ac:dyDescent="0.2">
      <c r="B877" s="183"/>
    </row>
    <row r="878" spans="2:2" ht="15" x14ac:dyDescent="0.2">
      <c r="B878" s="183"/>
    </row>
    <row r="879" spans="2:2" ht="15" x14ac:dyDescent="0.2">
      <c r="B879" s="183"/>
    </row>
    <row r="880" spans="2:2" ht="15" x14ac:dyDescent="0.2">
      <c r="B880" s="183"/>
    </row>
    <row r="881" spans="2:2" ht="15" x14ac:dyDescent="0.2">
      <c r="B881" s="183"/>
    </row>
    <row r="882" spans="2:2" ht="15" x14ac:dyDescent="0.2">
      <c r="B882" s="183"/>
    </row>
    <row r="883" spans="2:2" ht="15" x14ac:dyDescent="0.2">
      <c r="B883" s="183"/>
    </row>
    <row r="884" spans="2:2" ht="15" x14ac:dyDescent="0.2">
      <c r="B884" s="183"/>
    </row>
    <row r="885" spans="2:2" ht="15" x14ac:dyDescent="0.2">
      <c r="B885" s="183"/>
    </row>
    <row r="886" spans="2:2" ht="15" x14ac:dyDescent="0.2">
      <c r="B886" s="183"/>
    </row>
    <row r="887" spans="2:2" ht="15" x14ac:dyDescent="0.2">
      <c r="B887" s="183"/>
    </row>
    <row r="888" spans="2:2" ht="15" x14ac:dyDescent="0.2">
      <c r="B888" s="183"/>
    </row>
    <row r="889" spans="2:2" ht="15" x14ac:dyDescent="0.2">
      <c r="B889" s="183"/>
    </row>
    <row r="890" spans="2:2" ht="15" x14ac:dyDescent="0.2">
      <c r="B890" s="183"/>
    </row>
    <row r="891" spans="2:2" ht="15" x14ac:dyDescent="0.2">
      <c r="B891" s="183"/>
    </row>
    <row r="892" spans="2:2" ht="15" x14ac:dyDescent="0.2">
      <c r="B892" s="183"/>
    </row>
    <row r="893" spans="2:2" ht="15" x14ac:dyDescent="0.2">
      <c r="B893" s="183"/>
    </row>
    <row r="894" spans="2:2" ht="15" x14ac:dyDescent="0.2">
      <c r="B894" s="183"/>
    </row>
    <row r="895" spans="2:2" ht="15" x14ac:dyDescent="0.2">
      <c r="B895" s="183"/>
    </row>
    <row r="896" spans="2:2" ht="15" x14ac:dyDescent="0.2">
      <c r="B896" s="183"/>
    </row>
    <row r="897" spans="2:2" ht="15" x14ac:dyDescent="0.2">
      <c r="B897" s="183"/>
    </row>
    <row r="898" spans="2:2" ht="15" x14ac:dyDescent="0.2">
      <c r="B898" s="183"/>
    </row>
    <row r="899" spans="2:2" ht="15" x14ac:dyDescent="0.2">
      <c r="B899" s="183"/>
    </row>
    <row r="900" spans="2:2" ht="15" x14ac:dyDescent="0.2">
      <c r="B900" s="183"/>
    </row>
    <row r="901" spans="2:2" ht="15" x14ac:dyDescent="0.2">
      <c r="B901" s="183"/>
    </row>
    <row r="902" spans="2:2" ht="15" x14ac:dyDescent="0.2">
      <c r="B902" s="183"/>
    </row>
    <row r="903" spans="2:2" ht="15" x14ac:dyDescent="0.2">
      <c r="B903" s="183"/>
    </row>
    <row r="904" spans="2:2" ht="15" x14ac:dyDescent="0.2">
      <c r="B904" s="183"/>
    </row>
    <row r="905" spans="2:2" ht="15" x14ac:dyDescent="0.2">
      <c r="B905" s="183"/>
    </row>
    <row r="906" spans="2:2" ht="15" x14ac:dyDescent="0.2">
      <c r="B906" s="183"/>
    </row>
    <row r="907" spans="2:2" ht="15" x14ac:dyDescent="0.2">
      <c r="B907" s="183"/>
    </row>
    <row r="908" spans="2:2" ht="15" x14ac:dyDescent="0.2">
      <c r="B908" s="183"/>
    </row>
    <row r="909" spans="2:2" ht="15" x14ac:dyDescent="0.2">
      <c r="B909" s="183"/>
    </row>
    <row r="910" spans="2:2" ht="15" x14ac:dyDescent="0.2">
      <c r="B910" s="183"/>
    </row>
    <row r="911" spans="2:2" ht="15" x14ac:dyDescent="0.2">
      <c r="B911" s="183"/>
    </row>
    <row r="912" spans="2:2" ht="15" x14ac:dyDescent="0.2">
      <c r="B912" s="183"/>
    </row>
    <row r="913" spans="2:2" ht="15" x14ac:dyDescent="0.2">
      <c r="B913" s="183"/>
    </row>
    <row r="914" spans="2:2" ht="15" x14ac:dyDescent="0.2">
      <c r="B914" s="183"/>
    </row>
    <row r="915" spans="2:2" ht="15" x14ac:dyDescent="0.2">
      <c r="B915" s="183"/>
    </row>
    <row r="916" spans="2:2" ht="15" x14ac:dyDescent="0.2">
      <c r="B916" s="183"/>
    </row>
    <row r="917" spans="2:2" ht="15" x14ac:dyDescent="0.2">
      <c r="B917" s="183"/>
    </row>
    <row r="918" spans="2:2" ht="15" x14ac:dyDescent="0.2">
      <c r="B918" s="183"/>
    </row>
    <row r="919" spans="2:2" ht="15" x14ac:dyDescent="0.2">
      <c r="B919" s="183"/>
    </row>
    <row r="920" spans="2:2" ht="15" x14ac:dyDescent="0.2">
      <c r="B920" s="183"/>
    </row>
    <row r="921" spans="2:2" ht="15" x14ac:dyDescent="0.2">
      <c r="B921" s="183"/>
    </row>
    <row r="922" spans="2:2" ht="15" x14ac:dyDescent="0.2">
      <c r="B922" s="183"/>
    </row>
    <row r="923" spans="2:2" ht="15" x14ac:dyDescent="0.2">
      <c r="B923" s="183"/>
    </row>
    <row r="924" spans="2:2" ht="15" x14ac:dyDescent="0.2">
      <c r="B924" s="183"/>
    </row>
    <row r="925" spans="2:2" ht="15" x14ac:dyDescent="0.2">
      <c r="B925" s="183"/>
    </row>
    <row r="926" spans="2:2" ht="15" x14ac:dyDescent="0.2">
      <c r="B926" s="183"/>
    </row>
    <row r="927" spans="2:2" ht="15" x14ac:dyDescent="0.2">
      <c r="B927" s="183"/>
    </row>
    <row r="928" spans="2:2" ht="15" x14ac:dyDescent="0.2">
      <c r="B928" s="183"/>
    </row>
    <row r="929" spans="2:2" ht="15" x14ac:dyDescent="0.2">
      <c r="B929" s="183"/>
    </row>
    <row r="930" spans="2:2" ht="15" x14ac:dyDescent="0.2">
      <c r="B930" s="183"/>
    </row>
    <row r="931" spans="2:2" ht="15" x14ac:dyDescent="0.2">
      <c r="B931" s="183"/>
    </row>
    <row r="932" spans="2:2" ht="15" x14ac:dyDescent="0.2">
      <c r="B932" s="183"/>
    </row>
    <row r="933" spans="2:2" ht="15" x14ac:dyDescent="0.2">
      <c r="B933" s="183"/>
    </row>
    <row r="934" spans="2:2" ht="15" x14ac:dyDescent="0.2">
      <c r="B934" s="183"/>
    </row>
    <row r="935" spans="2:2" ht="15" x14ac:dyDescent="0.2">
      <c r="B935" s="183"/>
    </row>
    <row r="936" spans="2:2" ht="15" x14ac:dyDescent="0.2">
      <c r="B936" s="183"/>
    </row>
    <row r="937" spans="2:2" ht="15" x14ac:dyDescent="0.2">
      <c r="B937" s="183"/>
    </row>
    <row r="938" spans="2:2" ht="15" x14ac:dyDescent="0.2">
      <c r="B938" s="183"/>
    </row>
    <row r="939" spans="2:2" ht="15" x14ac:dyDescent="0.2">
      <c r="B939" s="183"/>
    </row>
    <row r="940" spans="2:2" ht="15" x14ac:dyDescent="0.2">
      <c r="B940" s="183"/>
    </row>
    <row r="941" spans="2:2" ht="15" x14ac:dyDescent="0.2">
      <c r="B941" s="183"/>
    </row>
    <row r="942" spans="2:2" ht="15" x14ac:dyDescent="0.2">
      <c r="B942" s="183"/>
    </row>
    <row r="943" spans="2:2" ht="15" x14ac:dyDescent="0.2">
      <c r="B943" s="183"/>
    </row>
    <row r="944" spans="2:2" ht="15" x14ac:dyDescent="0.2">
      <c r="B944" s="183"/>
    </row>
    <row r="945" spans="2:2" ht="15" x14ac:dyDescent="0.2">
      <c r="B945" s="183"/>
    </row>
    <row r="946" spans="2:2" ht="15" x14ac:dyDescent="0.2">
      <c r="B946" s="183"/>
    </row>
    <row r="947" spans="2:2" ht="15" x14ac:dyDescent="0.2">
      <c r="B947" s="183"/>
    </row>
    <row r="948" spans="2:2" ht="15" x14ac:dyDescent="0.2">
      <c r="B948" s="183"/>
    </row>
    <row r="949" spans="2:2" ht="15" x14ac:dyDescent="0.2">
      <c r="B949" s="183"/>
    </row>
    <row r="950" spans="2:2" ht="15" x14ac:dyDescent="0.2">
      <c r="B950" s="183"/>
    </row>
    <row r="951" spans="2:2" ht="15" x14ac:dyDescent="0.2">
      <c r="B951" s="183"/>
    </row>
    <row r="952" spans="2:2" ht="15" x14ac:dyDescent="0.2">
      <c r="B952" s="183"/>
    </row>
    <row r="953" spans="2:2" ht="15" x14ac:dyDescent="0.2">
      <c r="B953" s="183"/>
    </row>
    <row r="954" spans="2:2" ht="15" x14ac:dyDescent="0.2">
      <c r="B954" s="183"/>
    </row>
    <row r="955" spans="2:2" ht="15" x14ac:dyDescent="0.2">
      <c r="B955" s="183"/>
    </row>
    <row r="956" spans="2:2" ht="15" x14ac:dyDescent="0.2">
      <c r="B956" s="183"/>
    </row>
    <row r="957" spans="2:2" ht="15" x14ac:dyDescent="0.2">
      <c r="B957" s="183"/>
    </row>
    <row r="958" spans="2:2" ht="15" x14ac:dyDescent="0.2">
      <c r="B958" s="183"/>
    </row>
    <row r="959" spans="2:2" ht="15" x14ac:dyDescent="0.2">
      <c r="B959" s="183"/>
    </row>
    <row r="960" spans="2:2" ht="15" x14ac:dyDescent="0.2">
      <c r="B960" s="183"/>
    </row>
    <row r="961" spans="2:2" ht="15" x14ac:dyDescent="0.2">
      <c r="B961" s="183"/>
    </row>
    <row r="962" spans="2:2" ht="15" x14ac:dyDescent="0.2">
      <c r="B962" s="183"/>
    </row>
    <row r="963" spans="2:2" ht="15" x14ac:dyDescent="0.2">
      <c r="B963" s="183"/>
    </row>
    <row r="964" spans="2:2" ht="15" x14ac:dyDescent="0.2">
      <c r="B964" s="183"/>
    </row>
    <row r="965" spans="2:2" ht="15" x14ac:dyDescent="0.2">
      <c r="B965" s="183"/>
    </row>
    <row r="966" spans="2:2" ht="15" x14ac:dyDescent="0.2">
      <c r="B966" s="183"/>
    </row>
    <row r="967" spans="2:2" ht="15" x14ac:dyDescent="0.2">
      <c r="B967" s="183"/>
    </row>
    <row r="968" spans="2:2" ht="15" x14ac:dyDescent="0.2">
      <c r="B968" s="183"/>
    </row>
    <row r="969" spans="2:2" ht="15" x14ac:dyDescent="0.2">
      <c r="B969" s="183"/>
    </row>
    <row r="970" spans="2:2" ht="15" x14ac:dyDescent="0.2">
      <c r="B970" s="183"/>
    </row>
    <row r="971" spans="2:2" ht="15" x14ac:dyDescent="0.2">
      <c r="B971" s="183"/>
    </row>
    <row r="972" spans="2:2" ht="15" x14ac:dyDescent="0.2">
      <c r="B972" s="183"/>
    </row>
    <row r="973" spans="2:2" ht="15" x14ac:dyDescent="0.2">
      <c r="B973" s="183"/>
    </row>
    <row r="974" spans="2:2" ht="15" x14ac:dyDescent="0.2">
      <c r="B974" s="183"/>
    </row>
    <row r="975" spans="2:2" ht="15" x14ac:dyDescent="0.2">
      <c r="B975" s="183"/>
    </row>
    <row r="976" spans="2:2" ht="15" x14ac:dyDescent="0.2">
      <c r="B976" s="183"/>
    </row>
    <row r="977" spans="2:2" ht="15" x14ac:dyDescent="0.2">
      <c r="B977" s="183"/>
    </row>
    <row r="978" spans="2:2" ht="15" x14ac:dyDescent="0.2">
      <c r="B978" s="183"/>
    </row>
    <row r="979" spans="2:2" ht="15" x14ac:dyDescent="0.2">
      <c r="B979" s="183"/>
    </row>
    <row r="980" spans="2:2" ht="15" x14ac:dyDescent="0.2">
      <c r="B980" s="183"/>
    </row>
    <row r="981" spans="2:2" ht="15" x14ac:dyDescent="0.2">
      <c r="B981" s="183"/>
    </row>
    <row r="982" spans="2:2" ht="15" x14ac:dyDescent="0.2">
      <c r="B982" s="183"/>
    </row>
    <row r="983" spans="2:2" ht="15" x14ac:dyDescent="0.2">
      <c r="B983" s="183"/>
    </row>
    <row r="984" spans="2:2" ht="15" x14ac:dyDescent="0.2">
      <c r="B984" s="183"/>
    </row>
    <row r="985" spans="2:2" ht="15" x14ac:dyDescent="0.2">
      <c r="B985" s="183"/>
    </row>
    <row r="986" spans="2:2" ht="15" x14ac:dyDescent="0.2">
      <c r="B986" s="183"/>
    </row>
    <row r="987" spans="2:2" ht="15" x14ac:dyDescent="0.2">
      <c r="B987" s="183"/>
    </row>
    <row r="988" spans="2:2" ht="15" x14ac:dyDescent="0.2">
      <c r="B988" s="183"/>
    </row>
    <row r="989" spans="2:2" ht="15" x14ac:dyDescent="0.2">
      <c r="B989" s="183"/>
    </row>
    <row r="990" spans="2:2" ht="15" x14ac:dyDescent="0.2">
      <c r="B990" s="183"/>
    </row>
    <row r="991" spans="2:2" ht="15" x14ac:dyDescent="0.2">
      <c r="B991" s="183"/>
    </row>
    <row r="992" spans="2:2" ht="15" x14ac:dyDescent="0.2">
      <c r="B992" s="183"/>
    </row>
    <row r="993" spans="2:2" ht="15" x14ac:dyDescent="0.2">
      <c r="B993" s="183"/>
    </row>
    <row r="994" spans="2:2" ht="15" x14ac:dyDescent="0.2">
      <c r="B994" s="183"/>
    </row>
    <row r="995" spans="2:2" ht="15" x14ac:dyDescent="0.2">
      <c r="B995" s="183"/>
    </row>
    <row r="996" spans="2:2" ht="15" x14ac:dyDescent="0.2">
      <c r="B996" s="183"/>
    </row>
    <row r="997" spans="2:2" ht="15" x14ac:dyDescent="0.2">
      <c r="B997" s="183"/>
    </row>
    <row r="998" spans="2:2" ht="15" x14ac:dyDescent="0.2">
      <c r="B998" s="183"/>
    </row>
    <row r="999" spans="2:2" ht="15" x14ac:dyDescent="0.2">
      <c r="B999" s="183"/>
    </row>
    <row r="1000" spans="2:2" ht="15" x14ac:dyDescent="0.2">
      <c r="B1000" s="183"/>
    </row>
    <row r="1001" spans="2:2" ht="15" x14ac:dyDescent="0.2">
      <c r="B1001" s="183"/>
    </row>
    <row r="1002" spans="2:2" ht="15" x14ac:dyDescent="0.2">
      <c r="B1002" s="183"/>
    </row>
    <row r="1003" spans="2:2" ht="15" x14ac:dyDescent="0.2">
      <c r="B1003" s="183"/>
    </row>
    <row r="1004" spans="2:2" ht="15" x14ac:dyDescent="0.2">
      <c r="B1004" s="183"/>
    </row>
    <row r="1005" spans="2:2" ht="15" x14ac:dyDescent="0.2">
      <c r="B1005" s="183"/>
    </row>
    <row r="1006" spans="2:2" ht="15" x14ac:dyDescent="0.2">
      <c r="B1006" s="183"/>
    </row>
    <row r="1007" spans="2:2" ht="15" x14ac:dyDescent="0.2">
      <c r="B1007" s="183"/>
    </row>
    <row r="1008" spans="2:2" ht="15" x14ac:dyDescent="0.2">
      <c r="B1008" s="183"/>
    </row>
    <row r="1009" spans="2:2" ht="15" x14ac:dyDescent="0.2">
      <c r="B1009" s="183"/>
    </row>
    <row r="1010" spans="2:2" ht="15" x14ac:dyDescent="0.2">
      <c r="B1010" s="183"/>
    </row>
    <row r="1011" spans="2:2" ht="15" x14ac:dyDescent="0.2">
      <c r="B1011" s="183"/>
    </row>
    <row r="1012" spans="2:2" ht="15" x14ac:dyDescent="0.2">
      <c r="B1012" s="183"/>
    </row>
    <row r="1013" spans="2:2" ht="15" x14ac:dyDescent="0.2">
      <c r="B1013" s="183"/>
    </row>
    <row r="1014" spans="2:2" ht="15" x14ac:dyDescent="0.2">
      <c r="B1014" s="183"/>
    </row>
    <row r="1015" spans="2:2" ht="15" x14ac:dyDescent="0.2">
      <c r="B1015" s="183"/>
    </row>
    <row r="1016" spans="2:2" ht="15" x14ac:dyDescent="0.2">
      <c r="B1016" s="183"/>
    </row>
    <row r="1017" spans="2:2" ht="15" x14ac:dyDescent="0.2">
      <c r="B1017" s="183"/>
    </row>
    <row r="1018" spans="2:2" ht="15" x14ac:dyDescent="0.2">
      <c r="B1018" s="183"/>
    </row>
    <row r="1019" spans="2:2" ht="15" x14ac:dyDescent="0.2">
      <c r="B1019" s="183"/>
    </row>
    <row r="1020" spans="2:2" ht="15" x14ac:dyDescent="0.2">
      <c r="B1020" s="183"/>
    </row>
    <row r="1021" spans="2:2" ht="15" x14ac:dyDescent="0.2">
      <c r="B1021" s="183"/>
    </row>
    <row r="1022" spans="2:2" ht="15" x14ac:dyDescent="0.2">
      <c r="B1022" s="183"/>
    </row>
    <row r="1023" spans="2:2" ht="15" x14ac:dyDescent="0.2">
      <c r="B1023" s="183"/>
    </row>
    <row r="1024" spans="2:2" ht="15" x14ac:dyDescent="0.2">
      <c r="B1024" s="183"/>
    </row>
    <row r="1025" spans="2:2" ht="15" x14ac:dyDescent="0.2">
      <c r="B1025" s="183"/>
    </row>
    <row r="1026" spans="2:2" ht="15" x14ac:dyDescent="0.2">
      <c r="B1026" s="183"/>
    </row>
    <row r="1027" spans="2:2" ht="15" x14ac:dyDescent="0.2">
      <c r="B1027" s="183"/>
    </row>
    <row r="1028" spans="2:2" ht="15" x14ac:dyDescent="0.2">
      <c r="B1028" s="183"/>
    </row>
    <row r="1029" spans="2:2" ht="15" x14ac:dyDescent="0.2">
      <c r="B1029" s="183"/>
    </row>
    <row r="1030" spans="2:2" ht="15" x14ac:dyDescent="0.2">
      <c r="B1030" s="183"/>
    </row>
    <row r="1031" spans="2:2" ht="15" x14ac:dyDescent="0.2">
      <c r="B1031" s="183"/>
    </row>
    <row r="1032" spans="2:2" ht="15" x14ac:dyDescent="0.2">
      <c r="B1032" s="183"/>
    </row>
    <row r="1033" spans="2:2" ht="15" x14ac:dyDescent="0.2">
      <c r="B1033" s="183"/>
    </row>
    <row r="1034" spans="2:2" ht="15" x14ac:dyDescent="0.2">
      <c r="B1034" s="183"/>
    </row>
    <row r="1035" spans="2:2" ht="15" x14ac:dyDescent="0.2">
      <c r="B1035" s="183"/>
    </row>
    <row r="1036" spans="2:2" ht="15" x14ac:dyDescent="0.2">
      <c r="B1036" s="183"/>
    </row>
    <row r="1037" spans="2:2" ht="15" x14ac:dyDescent="0.2">
      <c r="B1037" s="183"/>
    </row>
    <row r="1038" spans="2:2" ht="15" x14ac:dyDescent="0.2">
      <c r="B1038" s="183"/>
    </row>
    <row r="1039" spans="2:2" ht="15" x14ac:dyDescent="0.2">
      <c r="B1039" s="183"/>
    </row>
    <row r="1040" spans="2:2" ht="15" x14ac:dyDescent="0.2">
      <c r="B1040" s="183"/>
    </row>
    <row r="1041" spans="2:2" ht="15" x14ac:dyDescent="0.2">
      <c r="B1041" s="183"/>
    </row>
    <row r="1042" spans="2:2" ht="15" x14ac:dyDescent="0.2">
      <c r="B1042" s="183"/>
    </row>
    <row r="1043" spans="2:2" ht="15" x14ac:dyDescent="0.2">
      <c r="B1043" s="183"/>
    </row>
    <row r="1044" spans="2:2" ht="15" x14ac:dyDescent="0.2">
      <c r="B1044" s="183"/>
    </row>
    <row r="1045" spans="2:2" ht="15" x14ac:dyDescent="0.2">
      <c r="B1045" s="183"/>
    </row>
    <row r="1046" spans="2:2" ht="15" x14ac:dyDescent="0.2">
      <c r="B1046" s="183"/>
    </row>
    <row r="1047" spans="2:2" ht="15" x14ac:dyDescent="0.2">
      <c r="B1047" s="183"/>
    </row>
    <row r="1048" spans="2:2" ht="15" x14ac:dyDescent="0.2">
      <c r="B1048" s="183"/>
    </row>
    <row r="1049" spans="2:2" ht="15" x14ac:dyDescent="0.2">
      <c r="B1049" s="183"/>
    </row>
    <row r="1050" spans="2:2" ht="15" x14ac:dyDescent="0.2">
      <c r="B1050" s="183"/>
    </row>
    <row r="1051" spans="2:2" ht="15" x14ac:dyDescent="0.2">
      <c r="B1051" s="183"/>
    </row>
    <row r="1052" spans="2:2" ht="15" x14ac:dyDescent="0.2">
      <c r="B1052" s="183"/>
    </row>
    <row r="1053" spans="2:2" ht="15" x14ac:dyDescent="0.2">
      <c r="B1053" s="183"/>
    </row>
    <row r="1054" spans="2:2" ht="15" x14ac:dyDescent="0.2">
      <c r="B1054" s="183"/>
    </row>
    <row r="1055" spans="2:2" ht="15" x14ac:dyDescent="0.2">
      <c r="B1055" s="183"/>
    </row>
    <row r="1056" spans="2:2" ht="15" x14ac:dyDescent="0.2">
      <c r="B1056" s="183"/>
    </row>
    <row r="1057" spans="2:2" ht="15" x14ac:dyDescent="0.2">
      <c r="B1057" s="183"/>
    </row>
    <row r="1058" spans="2:2" ht="15" x14ac:dyDescent="0.2">
      <c r="B1058" s="183"/>
    </row>
    <row r="1059" spans="2:2" ht="15" x14ac:dyDescent="0.2">
      <c r="B1059" s="183"/>
    </row>
    <row r="1060" spans="2:2" ht="15" x14ac:dyDescent="0.2">
      <c r="B1060" s="183"/>
    </row>
    <row r="1061" spans="2:2" ht="15" x14ac:dyDescent="0.2">
      <c r="B1061" s="183"/>
    </row>
    <row r="1062" spans="2:2" ht="15" x14ac:dyDescent="0.2">
      <c r="B1062" s="183"/>
    </row>
    <row r="1063" spans="2:2" ht="15" x14ac:dyDescent="0.2">
      <c r="B1063" s="183"/>
    </row>
    <row r="1064" spans="2:2" ht="15" x14ac:dyDescent="0.2">
      <c r="B1064" s="183"/>
    </row>
    <row r="1065" spans="2:2" ht="15" x14ac:dyDescent="0.2">
      <c r="B1065" s="183"/>
    </row>
    <row r="1066" spans="2:2" ht="15" x14ac:dyDescent="0.2">
      <c r="B1066" s="183"/>
    </row>
    <row r="1067" spans="2:2" ht="15" x14ac:dyDescent="0.2">
      <c r="B1067" s="183"/>
    </row>
    <row r="1068" spans="2:2" ht="15" x14ac:dyDescent="0.2">
      <c r="B1068" s="183"/>
    </row>
    <row r="1069" spans="2:2" ht="15" x14ac:dyDescent="0.2">
      <c r="B1069" s="183"/>
    </row>
    <row r="1070" spans="2:2" ht="15" x14ac:dyDescent="0.2">
      <c r="B1070" s="183"/>
    </row>
    <row r="1071" spans="2:2" ht="15" x14ac:dyDescent="0.2">
      <c r="B1071" s="183"/>
    </row>
    <row r="1072" spans="2:2" ht="15" x14ac:dyDescent="0.2">
      <c r="B1072" s="183"/>
    </row>
    <row r="1073" spans="2:2" ht="15" x14ac:dyDescent="0.2">
      <c r="B1073" s="183"/>
    </row>
    <row r="1074" spans="2:2" ht="15" x14ac:dyDescent="0.2">
      <c r="B1074" s="183"/>
    </row>
    <row r="1075" spans="2:2" ht="15" x14ac:dyDescent="0.2">
      <c r="B1075" s="183"/>
    </row>
    <row r="1076" spans="2:2" ht="15" x14ac:dyDescent="0.2">
      <c r="B1076" s="183"/>
    </row>
    <row r="1077" spans="2:2" ht="15" x14ac:dyDescent="0.2">
      <c r="B1077" s="183"/>
    </row>
    <row r="1078" spans="2:2" ht="15" x14ac:dyDescent="0.2">
      <c r="B1078" s="183"/>
    </row>
    <row r="1079" spans="2:2" ht="15" x14ac:dyDescent="0.2">
      <c r="B1079" s="183"/>
    </row>
    <row r="1080" spans="2:2" ht="15" x14ac:dyDescent="0.2">
      <c r="B1080" s="183"/>
    </row>
    <row r="1081" spans="2:2" ht="15" x14ac:dyDescent="0.2">
      <c r="B1081" s="183"/>
    </row>
    <row r="1082" spans="2:2" ht="15" x14ac:dyDescent="0.2">
      <c r="B1082" s="183"/>
    </row>
    <row r="1083" spans="2:2" ht="15" x14ac:dyDescent="0.2">
      <c r="B1083" s="183"/>
    </row>
    <row r="1084" spans="2:2" ht="15" x14ac:dyDescent="0.2">
      <c r="B1084" s="183"/>
    </row>
    <row r="1085" spans="2:2" ht="15" x14ac:dyDescent="0.2">
      <c r="B1085" s="183"/>
    </row>
    <row r="1086" spans="2:2" ht="15" x14ac:dyDescent="0.2">
      <c r="B1086" s="183"/>
    </row>
    <row r="1087" spans="2:2" ht="15" x14ac:dyDescent="0.2">
      <c r="B1087" s="183"/>
    </row>
    <row r="1088" spans="2:2" ht="15" x14ac:dyDescent="0.2">
      <c r="B1088" s="183"/>
    </row>
    <row r="1089" spans="2:2" ht="15" x14ac:dyDescent="0.2">
      <c r="B1089" s="183"/>
    </row>
    <row r="1090" spans="2:2" ht="15" x14ac:dyDescent="0.2">
      <c r="B1090" s="183"/>
    </row>
    <row r="1091" spans="2:2" ht="15" x14ac:dyDescent="0.2">
      <c r="B1091" s="183"/>
    </row>
    <row r="1092" spans="2:2" ht="15" x14ac:dyDescent="0.2">
      <c r="B1092" s="183"/>
    </row>
    <row r="1093" spans="2:2" ht="15" x14ac:dyDescent="0.2">
      <c r="B1093" s="183"/>
    </row>
    <row r="1094" spans="2:2" ht="15" x14ac:dyDescent="0.2">
      <c r="B1094" s="183"/>
    </row>
    <row r="1095" spans="2:2" ht="15" x14ac:dyDescent="0.2">
      <c r="B1095" s="183"/>
    </row>
    <row r="1096" spans="2:2" ht="15" x14ac:dyDescent="0.2">
      <c r="B1096" s="183"/>
    </row>
    <row r="1097" spans="2:2" ht="15" x14ac:dyDescent="0.2">
      <c r="B1097" s="183"/>
    </row>
    <row r="1098" spans="2:2" ht="15" x14ac:dyDescent="0.2">
      <c r="B1098" s="183"/>
    </row>
    <row r="1099" spans="2:2" ht="15" x14ac:dyDescent="0.2">
      <c r="B1099" s="183"/>
    </row>
    <row r="1100" spans="2:2" ht="15" x14ac:dyDescent="0.2">
      <c r="B1100" s="183"/>
    </row>
    <row r="1101" spans="2:2" ht="15" x14ac:dyDescent="0.2">
      <c r="B1101" s="183"/>
    </row>
    <row r="1102" spans="2:2" ht="15" x14ac:dyDescent="0.2">
      <c r="B1102" s="183"/>
    </row>
    <row r="1103" spans="2:2" ht="15" x14ac:dyDescent="0.2">
      <c r="B1103" s="183"/>
    </row>
    <row r="1104" spans="2:2" ht="15" x14ac:dyDescent="0.2">
      <c r="B1104" s="183"/>
    </row>
    <row r="1105" spans="2:2" ht="15" x14ac:dyDescent="0.2">
      <c r="B1105" s="183"/>
    </row>
    <row r="1106" spans="2:2" ht="15" x14ac:dyDescent="0.2">
      <c r="B1106" s="183"/>
    </row>
    <row r="1107" spans="2:2" ht="15" x14ac:dyDescent="0.2">
      <c r="B1107" s="183"/>
    </row>
    <row r="1108" spans="2:2" ht="15" x14ac:dyDescent="0.2">
      <c r="B1108" s="183"/>
    </row>
    <row r="1109" spans="2:2" ht="15" x14ac:dyDescent="0.2">
      <c r="B1109" s="183"/>
    </row>
    <row r="1110" spans="2:2" ht="15" x14ac:dyDescent="0.2">
      <c r="B1110" s="183"/>
    </row>
    <row r="1111" spans="2:2" ht="15" x14ac:dyDescent="0.2">
      <c r="B1111" s="183"/>
    </row>
    <row r="1112" spans="2:2" ht="15" x14ac:dyDescent="0.2">
      <c r="B1112" s="183"/>
    </row>
    <row r="1113" spans="2:2" ht="15" x14ac:dyDescent="0.2">
      <c r="B1113" s="183"/>
    </row>
    <row r="1114" spans="2:2" ht="15" x14ac:dyDescent="0.2">
      <c r="B1114" s="183"/>
    </row>
    <row r="1115" spans="2:2" ht="15" x14ac:dyDescent="0.2">
      <c r="B1115" s="183"/>
    </row>
    <row r="1116" spans="2:2" ht="15" x14ac:dyDescent="0.2">
      <c r="B1116" s="183"/>
    </row>
    <row r="1117" spans="2:2" ht="15" x14ac:dyDescent="0.2">
      <c r="B1117" s="183"/>
    </row>
    <row r="1118" spans="2:2" ht="15" x14ac:dyDescent="0.2">
      <c r="B1118" s="183"/>
    </row>
    <row r="1119" spans="2:2" ht="15" x14ac:dyDescent="0.2">
      <c r="B1119" s="183"/>
    </row>
    <row r="1120" spans="2:2" ht="15" x14ac:dyDescent="0.2">
      <c r="B1120" s="183"/>
    </row>
    <row r="1121" spans="2:2" ht="15" x14ac:dyDescent="0.2">
      <c r="B1121" s="183"/>
    </row>
    <row r="1122" spans="2:2" ht="15" x14ac:dyDescent="0.2">
      <c r="B1122" s="183"/>
    </row>
    <row r="1123" spans="2:2" ht="15" x14ac:dyDescent="0.2">
      <c r="B1123" s="183"/>
    </row>
    <row r="1124" spans="2:2" ht="15" x14ac:dyDescent="0.2">
      <c r="B1124" s="183"/>
    </row>
    <row r="1125" spans="2:2" ht="15" x14ac:dyDescent="0.2">
      <c r="B1125" s="183"/>
    </row>
    <row r="1126" spans="2:2" ht="15" x14ac:dyDescent="0.2">
      <c r="B1126" s="183"/>
    </row>
    <row r="1127" spans="2:2" ht="15" x14ac:dyDescent="0.2">
      <c r="B1127" s="183"/>
    </row>
    <row r="1128" spans="2:2" ht="15" x14ac:dyDescent="0.2">
      <c r="B1128" s="183"/>
    </row>
    <row r="1129" spans="2:2" ht="15" x14ac:dyDescent="0.2">
      <c r="B1129" s="183"/>
    </row>
    <row r="1130" spans="2:2" ht="15" x14ac:dyDescent="0.2">
      <c r="B1130" s="183"/>
    </row>
    <row r="1131" spans="2:2" ht="15" x14ac:dyDescent="0.2">
      <c r="B1131" s="183"/>
    </row>
    <row r="1132" spans="2:2" ht="15" x14ac:dyDescent="0.2">
      <c r="B1132" s="183"/>
    </row>
    <row r="1133" spans="2:2" ht="15" x14ac:dyDescent="0.2">
      <c r="B1133" s="183"/>
    </row>
    <row r="1134" spans="2:2" ht="15" x14ac:dyDescent="0.2">
      <c r="B1134" s="183"/>
    </row>
    <row r="1135" spans="2:2" ht="15" x14ac:dyDescent="0.2">
      <c r="B1135" s="183"/>
    </row>
    <row r="1136" spans="2:2" ht="15" x14ac:dyDescent="0.2">
      <c r="B1136" s="183"/>
    </row>
    <row r="1137" spans="2:2" ht="15" x14ac:dyDescent="0.2">
      <c r="B1137" s="183"/>
    </row>
    <row r="1138" spans="2:2" ht="15" x14ac:dyDescent="0.2">
      <c r="B1138" s="183"/>
    </row>
    <row r="1139" spans="2:2" ht="15" x14ac:dyDescent="0.2">
      <c r="B1139" s="183"/>
    </row>
    <row r="1140" spans="2:2" ht="15" x14ac:dyDescent="0.2">
      <c r="B1140" s="183"/>
    </row>
    <row r="1141" spans="2:2" ht="15" x14ac:dyDescent="0.2">
      <c r="B1141" s="183"/>
    </row>
    <row r="1142" spans="2:2" ht="15" x14ac:dyDescent="0.2">
      <c r="B1142" s="183"/>
    </row>
    <row r="1143" spans="2:2" ht="15" x14ac:dyDescent="0.2">
      <c r="B1143" s="183"/>
    </row>
    <row r="1144" spans="2:2" ht="15" x14ac:dyDescent="0.2">
      <c r="B1144" s="183"/>
    </row>
    <row r="1145" spans="2:2" ht="15" x14ac:dyDescent="0.2">
      <c r="B1145" s="183"/>
    </row>
    <row r="1146" spans="2:2" ht="15" x14ac:dyDescent="0.2">
      <c r="B1146" s="183"/>
    </row>
    <row r="1147" spans="2:2" ht="15" x14ac:dyDescent="0.2">
      <c r="B1147" s="183"/>
    </row>
    <row r="1148" spans="2:2" ht="15" x14ac:dyDescent="0.2">
      <c r="B1148" s="183"/>
    </row>
    <row r="1149" spans="2:2" ht="15" x14ac:dyDescent="0.2">
      <c r="B1149" s="183"/>
    </row>
    <row r="1150" spans="2:2" ht="15" x14ac:dyDescent="0.2">
      <c r="B1150" s="183"/>
    </row>
    <row r="1151" spans="2:2" ht="15" x14ac:dyDescent="0.2">
      <c r="B1151" s="183"/>
    </row>
    <row r="1152" spans="2:2" ht="15" x14ac:dyDescent="0.2">
      <c r="B1152" s="183"/>
    </row>
    <row r="1153" spans="2:2" ht="15" x14ac:dyDescent="0.2">
      <c r="B1153" s="183"/>
    </row>
    <row r="1154" spans="2:2" ht="15" x14ac:dyDescent="0.2">
      <c r="B1154" s="183"/>
    </row>
    <row r="1155" spans="2:2" ht="15" x14ac:dyDescent="0.2">
      <c r="B1155" s="183"/>
    </row>
    <row r="1156" spans="2:2" ht="15" x14ac:dyDescent="0.2">
      <c r="B1156" s="183"/>
    </row>
    <row r="1157" spans="2:2" ht="15" x14ac:dyDescent="0.2">
      <c r="B1157" s="183"/>
    </row>
    <row r="1158" spans="2:2" ht="15" x14ac:dyDescent="0.2">
      <c r="B1158" s="183"/>
    </row>
    <row r="1159" spans="2:2" ht="15" x14ac:dyDescent="0.2">
      <c r="B1159" s="183"/>
    </row>
    <row r="1160" spans="2:2" ht="15" x14ac:dyDescent="0.2">
      <c r="B1160" s="183"/>
    </row>
    <row r="1161" spans="2:2" ht="15" x14ac:dyDescent="0.2">
      <c r="B1161" s="183"/>
    </row>
    <row r="1162" spans="2:2" ht="15" x14ac:dyDescent="0.2">
      <c r="B1162" s="183"/>
    </row>
    <row r="1163" spans="2:2" ht="15" x14ac:dyDescent="0.2">
      <c r="B1163" s="183"/>
    </row>
    <row r="1164" spans="2:2" ht="15" x14ac:dyDescent="0.2">
      <c r="B1164" s="183"/>
    </row>
    <row r="1165" spans="2:2" ht="15" x14ac:dyDescent="0.2">
      <c r="B1165" s="183"/>
    </row>
    <row r="1166" spans="2:2" ht="15" x14ac:dyDescent="0.2">
      <c r="B1166" s="183"/>
    </row>
    <row r="1167" spans="2:2" ht="15" x14ac:dyDescent="0.2">
      <c r="B1167" s="183"/>
    </row>
    <row r="1168" spans="2:2" ht="15" x14ac:dyDescent="0.2">
      <c r="B1168" s="183"/>
    </row>
    <row r="1169" spans="2:2" ht="15" x14ac:dyDescent="0.2">
      <c r="B1169" s="183"/>
    </row>
    <row r="1170" spans="2:2" ht="15" x14ac:dyDescent="0.2">
      <c r="B1170" s="183"/>
    </row>
    <row r="1171" spans="2:2" ht="15" x14ac:dyDescent="0.2">
      <c r="B1171" s="183"/>
    </row>
    <row r="1172" spans="2:2" ht="15" x14ac:dyDescent="0.2">
      <c r="B1172" s="183"/>
    </row>
    <row r="1173" spans="2:2" ht="15" x14ac:dyDescent="0.2">
      <c r="B1173" s="183"/>
    </row>
    <row r="1174" spans="2:2" ht="15" x14ac:dyDescent="0.2">
      <c r="B1174" s="183"/>
    </row>
    <row r="1175" spans="2:2" ht="15" x14ac:dyDescent="0.2">
      <c r="B1175" s="183"/>
    </row>
    <row r="1176" spans="2:2" ht="15" x14ac:dyDescent="0.2">
      <c r="B1176" s="183"/>
    </row>
    <row r="1177" spans="2:2" ht="15" x14ac:dyDescent="0.2">
      <c r="B1177" s="183"/>
    </row>
    <row r="1178" spans="2:2" ht="15" x14ac:dyDescent="0.2">
      <c r="B1178" s="183"/>
    </row>
    <row r="1179" spans="2:2" ht="15" x14ac:dyDescent="0.2">
      <c r="B1179" s="183"/>
    </row>
    <row r="1180" spans="2:2" ht="15" x14ac:dyDescent="0.2">
      <c r="B1180" s="183"/>
    </row>
    <row r="1181" spans="2:2" ht="15" x14ac:dyDescent="0.2">
      <c r="B1181" s="183"/>
    </row>
    <row r="1182" spans="2:2" ht="15" x14ac:dyDescent="0.2">
      <c r="B1182" s="183"/>
    </row>
    <row r="1183" spans="2:2" ht="15" x14ac:dyDescent="0.2">
      <c r="B1183" s="183"/>
    </row>
    <row r="1184" spans="2:2" ht="15" x14ac:dyDescent="0.2">
      <c r="B1184" s="183"/>
    </row>
    <row r="1185" spans="2:2" ht="15" x14ac:dyDescent="0.2">
      <c r="B1185" s="183"/>
    </row>
    <row r="1186" spans="2:2" ht="15" x14ac:dyDescent="0.2">
      <c r="B1186" s="183"/>
    </row>
    <row r="1187" spans="2:2" ht="15" x14ac:dyDescent="0.2">
      <c r="B1187" s="183"/>
    </row>
    <row r="1188" spans="2:2" ht="15" x14ac:dyDescent="0.2">
      <c r="B1188" s="183"/>
    </row>
    <row r="1189" spans="2:2" ht="15" x14ac:dyDescent="0.2">
      <c r="B1189" s="183"/>
    </row>
    <row r="1190" spans="2:2" ht="15" x14ac:dyDescent="0.2">
      <c r="B1190" s="183"/>
    </row>
    <row r="1191" spans="2:2" ht="15" x14ac:dyDescent="0.2">
      <c r="B1191" s="183"/>
    </row>
    <row r="1192" spans="2:2" ht="15" x14ac:dyDescent="0.2">
      <c r="B1192" s="183"/>
    </row>
    <row r="1193" spans="2:2" ht="15" x14ac:dyDescent="0.2">
      <c r="B1193" s="183"/>
    </row>
    <row r="1194" spans="2:2" ht="15" x14ac:dyDescent="0.2">
      <c r="B1194" s="183"/>
    </row>
    <row r="1195" spans="2:2" ht="15" x14ac:dyDescent="0.2">
      <c r="B1195" s="183"/>
    </row>
    <row r="1196" spans="2:2" ht="15" x14ac:dyDescent="0.2">
      <c r="B1196" s="183"/>
    </row>
    <row r="1197" spans="2:2" ht="15" x14ac:dyDescent="0.2">
      <c r="B1197" s="183"/>
    </row>
    <row r="1198" spans="2:2" ht="15" x14ac:dyDescent="0.2">
      <c r="B1198" s="183"/>
    </row>
    <row r="1199" spans="2:2" ht="15" x14ac:dyDescent="0.2">
      <c r="B1199" s="183"/>
    </row>
    <row r="1200" spans="2:2" ht="15" x14ac:dyDescent="0.2">
      <c r="B1200" s="183"/>
    </row>
    <row r="1201" spans="2:2" ht="15" x14ac:dyDescent="0.2">
      <c r="B1201" s="183"/>
    </row>
    <row r="1202" spans="2:2" ht="15" x14ac:dyDescent="0.2">
      <c r="B1202" s="183"/>
    </row>
    <row r="1203" spans="2:2" ht="15" x14ac:dyDescent="0.2">
      <c r="B1203" s="183"/>
    </row>
    <row r="1204" spans="2:2" ht="15" x14ac:dyDescent="0.2">
      <c r="B1204" s="183"/>
    </row>
    <row r="1205" spans="2:2" ht="15" x14ac:dyDescent="0.2">
      <c r="B1205" s="183"/>
    </row>
    <row r="1206" spans="2:2" ht="15" x14ac:dyDescent="0.2">
      <c r="B1206" s="183"/>
    </row>
    <row r="1207" spans="2:2" ht="15" x14ac:dyDescent="0.2">
      <c r="B1207" s="183"/>
    </row>
    <row r="1208" spans="2:2" ht="15" x14ac:dyDescent="0.2">
      <c r="B1208" s="183"/>
    </row>
    <row r="1209" spans="2:2" ht="15" x14ac:dyDescent="0.2">
      <c r="B1209" s="183"/>
    </row>
    <row r="1210" spans="2:2" ht="15" x14ac:dyDescent="0.2">
      <c r="B1210" s="183"/>
    </row>
    <row r="1211" spans="2:2" ht="15" x14ac:dyDescent="0.2">
      <c r="B1211" s="183"/>
    </row>
    <row r="1212" spans="2:2" ht="15" x14ac:dyDescent="0.2">
      <c r="B1212" s="183"/>
    </row>
    <row r="1213" spans="2:2" ht="15" x14ac:dyDescent="0.2">
      <c r="B1213" s="183"/>
    </row>
    <row r="1214" spans="2:2" ht="15" x14ac:dyDescent="0.2">
      <c r="B1214" s="183"/>
    </row>
    <row r="1215" spans="2:2" ht="15" x14ac:dyDescent="0.2">
      <c r="B1215" s="183"/>
    </row>
    <row r="1216" spans="2:2" ht="15" x14ac:dyDescent="0.2">
      <c r="B1216" s="183"/>
    </row>
    <row r="1217" spans="2:2" ht="15" x14ac:dyDescent="0.2">
      <c r="B1217" s="183"/>
    </row>
    <row r="1218" spans="2:2" ht="15" x14ac:dyDescent="0.2">
      <c r="B1218" s="183"/>
    </row>
    <row r="1219" spans="2:2" ht="15" x14ac:dyDescent="0.2">
      <c r="B1219" s="183"/>
    </row>
    <row r="1220" spans="2:2" ht="15" x14ac:dyDescent="0.2">
      <c r="B1220" s="183"/>
    </row>
    <row r="1221" spans="2:2" ht="15" x14ac:dyDescent="0.2">
      <c r="B1221" s="183"/>
    </row>
    <row r="1222" spans="2:2" ht="15" x14ac:dyDescent="0.2">
      <c r="B1222" s="183"/>
    </row>
    <row r="1223" spans="2:2" ht="15" x14ac:dyDescent="0.2">
      <c r="B1223" s="183"/>
    </row>
    <row r="1224" spans="2:2" ht="15" x14ac:dyDescent="0.2">
      <c r="B1224" s="183"/>
    </row>
    <row r="1225" spans="2:2" ht="15" x14ac:dyDescent="0.2">
      <c r="B1225" s="183"/>
    </row>
    <row r="1226" spans="2:2" ht="15" x14ac:dyDescent="0.2">
      <c r="B1226" s="183"/>
    </row>
    <row r="1227" spans="2:2" ht="15" x14ac:dyDescent="0.2">
      <c r="B1227" s="183"/>
    </row>
    <row r="1228" spans="2:2" ht="15" x14ac:dyDescent="0.2">
      <c r="B1228" s="183"/>
    </row>
    <row r="1229" spans="2:2" ht="15" x14ac:dyDescent="0.2">
      <c r="B1229" s="183"/>
    </row>
    <row r="1230" spans="2:2" ht="15" x14ac:dyDescent="0.2">
      <c r="B1230" s="183"/>
    </row>
    <row r="1231" spans="2:2" ht="15" x14ac:dyDescent="0.2">
      <c r="B1231" s="183"/>
    </row>
    <row r="1232" spans="2:2" ht="15" x14ac:dyDescent="0.2">
      <c r="B1232" s="183"/>
    </row>
    <row r="1233" spans="2:2" ht="15" x14ac:dyDescent="0.2">
      <c r="B1233" s="183"/>
    </row>
    <row r="1234" spans="2:2" ht="15" x14ac:dyDescent="0.2">
      <c r="B1234" s="183"/>
    </row>
    <row r="1235" spans="2:2" ht="15" x14ac:dyDescent="0.2">
      <c r="B1235" s="183"/>
    </row>
    <row r="1236" spans="2:2" ht="15" x14ac:dyDescent="0.2">
      <c r="B1236" s="183"/>
    </row>
    <row r="1237" spans="2:2" ht="15" x14ac:dyDescent="0.2">
      <c r="B1237" s="183"/>
    </row>
    <row r="1238" spans="2:2" ht="15" x14ac:dyDescent="0.2">
      <c r="B1238" s="183"/>
    </row>
    <row r="1239" spans="2:2" ht="15" x14ac:dyDescent="0.2">
      <c r="B1239" s="183"/>
    </row>
    <row r="1240" spans="2:2" ht="15" x14ac:dyDescent="0.2">
      <c r="B1240" s="183"/>
    </row>
    <row r="1241" spans="2:2" ht="15" x14ac:dyDescent="0.2">
      <c r="B1241" s="183"/>
    </row>
    <row r="1242" spans="2:2" ht="15" x14ac:dyDescent="0.2">
      <c r="B1242" s="183"/>
    </row>
    <row r="1243" spans="2:2" ht="15" x14ac:dyDescent="0.2">
      <c r="B1243" s="183"/>
    </row>
    <row r="1244" spans="2:2" ht="15" x14ac:dyDescent="0.2">
      <c r="B1244" s="183"/>
    </row>
    <row r="1245" spans="2:2" ht="15" x14ac:dyDescent="0.2">
      <c r="B1245" s="183"/>
    </row>
    <row r="1246" spans="2:2" ht="15" x14ac:dyDescent="0.2">
      <c r="B1246" s="183"/>
    </row>
    <row r="1247" spans="2:2" ht="15" x14ac:dyDescent="0.2">
      <c r="B1247" s="183"/>
    </row>
    <row r="1248" spans="2:2" ht="15" x14ac:dyDescent="0.2">
      <c r="B1248" s="183"/>
    </row>
    <row r="1249" spans="2:2" ht="15" x14ac:dyDescent="0.2">
      <c r="B1249" s="183"/>
    </row>
    <row r="1250" spans="2:2" ht="15" x14ac:dyDescent="0.2">
      <c r="B1250" s="183"/>
    </row>
    <row r="1251" spans="2:2" ht="15" x14ac:dyDescent="0.2">
      <c r="B1251" s="183"/>
    </row>
    <row r="1252" spans="2:2" ht="15" x14ac:dyDescent="0.2">
      <c r="B1252" s="183"/>
    </row>
    <row r="1253" spans="2:2" ht="15" x14ac:dyDescent="0.2">
      <c r="B1253" s="183"/>
    </row>
    <row r="1254" spans="2:2" ht="15" x14ac:dyDescent="0.2">
      <c r="B1254" s="183"/>
    </row>
    <row r="1255" spans="2:2" ht="15" x14ac:dyDescent="0.2">
      <c r="B1255" s="183"/>
    </row>
    <row r="1256" spans="2:2" ht="15" x14ac:dyDescent="0.2">
      <c r="B1256" s="183"/>
    </row>
    <row r="1257" spans="2:2" ht="15" x14ac:dyDescent="0.2">
      <c r="B1257" s="183"/>
    </row>
    <row r="1258" spans="2:2" ht="15" x14ac:dyDescent="0.2">
      <c r="B1258" s="183"/>
    </row>
    <row r="1259" spans="2:2" ht="15" x14ac:dyDescent="0.2">
      <c r="B1259" s="183"/>
    </row>
    <row r="1260" spans="2:2" ht="15" x14ac:dyDescent="0.2">
      <c r="B1260" s="183"/>
    </row>
    <row r="1261" spans="2:2" ht="15" x14ac:dyDescent="0.2">
      <c r="B1261" s="183"/>
    </row>
    <row r="1262" spans="2:2" ht="15" x14ac:dyDescent="0.2">
      <c r="B1262" s="183"/>
    </row>
    <row r="1263" spans="2:2" ht="15" x14ac:dyDescent="0.2">
      <c r="B1263" s="183"/>
    </row>
    <row r="1264" spans="2:2" ht="15" x14ac:dyDescent="0.2">
      <c r="B1264" s="183"/>
    </row>
    <row r="1265" spans="2:2" ht="15" x14ac:dyDescent="0.2">
      <c r="B1265" s="183"/>
    </row>
    <row r="1266" spans="2:2" ht="15" x14ac:dyDescent="0.2">
      <c r="B1266" s="183"/>
    </row>
    <row r="1267" spans="2:2" ht="15" x14ac:dyDescent="0.2">
      <c r="B1267" s="183"/>
    </row>
    <row r="1268" spans="2:2" ht="15" x14ac:dyDescent="0.2">
      <c r="B1268" s="183"/>
    </row>
    <row r="1269" spans="2:2" ht="15" x14ac:dyDescent="0.2">
      <c r="B1269" s="183"/>
    </row>
    <row r="1270" spans="2:2" ht="15" x14ac:dyDescent="0.2">
      <c r="B1270" s="183"/>
    </row>
    <row r="1271" spans="2:2" ht="15" x14ac:dyDescent="0.2">
      <c r="B1271" s="183"/>
    </row>
    <row r="1272" spans="2:2" ht="15" x14ac:dyDescent="0.2">
      <c r="B1272" s="183"/>
    </row>
    <row r="1273" spans="2:2" ht="15" x14ac:dyDescent="0.2">
      <c r="B1273" s="183"/>
    </row>
    <row r="1274" spans="2:2" ht="15" x14ac:dyDescent="0.2">
      <c r="B1274" s="183"/>
    </row>
    <row r="1275" spans="2:2" ht="15" x14ac:dyDescent="0.2">
      <c r="B1275" s="183"/>
    </row>
    <row r="1276" spans="2:2" ht="15" x14ac:dyDescent="0.2">
      <c r="B1276" s="183"/>
    </row>
    <row r="1277" spans="2:2" ht="15" x14ac:dyDescent="0.2">
      <c r="B1277" s="183"/>
    </row>
    <row r="1278" spans="2:2" ht="15" x14ac:dyDescent="0.2">
      <c r="B1278" s="183"/>
    </row>
    <row r="1279" spans="2:2" ht="15" x14ac:dyDescent="0.2">
      <c r="B1279" s="183"/>
    </row>
    <row r="1280" spans="2:2" ht="15" x14ac:dyDescent="0.2">
      <c r="B1280" s="183"/>
    </row>
    <row r="1281" spans="2:2" ht="15" x14ac:dyDescent="0.2">
      <c r="B1281" s="183"/>
    </row>
    <row r="1282" spans="2:2" ht="15" x14ac:dyDescent="0.2">
      <c r="B1282" s="183"/>
    </row>
    <row r="1283" spans="2:2" ht="15" x14ac:dyDescent="0.2">
      <c r="B1283" s="183"/>
    </row>
    <row r="1284" spans="2:2" ht="15" x14ac:dyDescent="0.2">
      <c r="B1284" s="183"/>
    </row>
    <row r="1285" spans="2:2" ht="15" x14ac:dyDescent="0.2">
      <c r="B1285" s="183"/>
    </row>
    <row r="1286" spans="2:2" ht="15" x14ac:dyDescent="0.2">
      <c r="B1286" s="183"/>
    </row>
    <row r="1287" spans="2:2" ht="15" x14ac:dyDescent="0.2">
      <c r="B1287" s="183"/>
    </row>
    <row r="1288" spans="2:2" ht="15" x14ac:dyDescent="0.2">
      <c r="B1288" s="183"/>
    </row>
    <row r="1289" spans="2:2" ht="15" x14ac:dyDescent="0.2">
      <c r="B1289" s="183"/>
    </row>
    <row r="1290" spans="2:2" ht="15" x14ac:dyDescent="0.2">
      <c r="B1290" s="183"/>
    </row>
    <row r="1291" spans="2:2" ht="15" x14ac:dyDescent="0.2">
      <c r="B1291" s="183"/>
    </row>
    <row r="1292" spans="2:2" ht="15" x14ac:dyDescent="0.2">
      <c r="B1292" s="183"/>
    </row>
    <row r="1293" spans="2:2" ht="15" x14ac:dyDescent="0.2">
      <c r="B1293" s="183"/>
    </row>
    <row r="1294" spans="2:2" ht="15" x14ac:dyDescent="0.2">
      <c r="B1294" s="183"/>
    </row>
    <row r="1295" spans="2:2" ht="15" x14ac:dyDescent="0.2">
      <c r="B1295" s="183"/>
    </row>
    <row r="1296" spans="2:2" ht="15" x14ac:dyDescent="0.2">
      <c r="B1296" s="183"/>
    </row>
    <row r="1297" spans="2:2" ht="15" x14ac:dyDescent="0.2">
      <c r="B1297" s="183"/>
    </row>
    <row r="1298" spans="2:2" ht="15" x14ac:dyDescent="0.2">
      <c r="B1298" s="183"/>
    </row>
    <row r="1299" spans="2:2" ht="15" x14ac:dyDescent="0.2">
      <c r="B1299" s="183"/>
    </row>
    <row r="1300" spans="2:2" ht="15" x14ac:dyDescent="0.2">
      <c r="B1300" s="183"/>
    </row>
    <row r="1301" spans="2:2" ht="15" x14ac:dyDescent="0.2">
      <c r="B1301" s="183"/>
    </row>
    <row r="1302" spans="2:2" ht="15" x14ac:dyDescent="0.2">
      <c r="B1302" s="183"/>
    </row>
    <row r="1303" spans="2:2" ht="15" x14ac:dyDescent="0.2">
      <c r="B1303" s="183"/>
    </row>
    <row r="1304" spans="2:2" ht="15" x14ac:dyDescent="0.2">
      <c r="B1304" s="183"/>
    </row>
    <row r="1305" spans="2:2" ht="15" x14ac:dyDescent="0.2">
      <c r="B1305" s="183"/>
    </row>
    <row r="1306" spans="2:2" ht="15" x14ac:dyDescent="0.2">
      <c r="B1306" s="183"/>
    </row>
    <row r="1307" spans="2:2" ht="15" x14ac:dyDescent="0.2">
      <c r="B1307" s="183"/>
    </row>
    <row r="1308" spans="2:2" ht="15" x14ac:dyDescent="0.2">
      <c r="B1308" s="183"/>
    </row>
    <row r="1309" spans="2:2" ht="15" x14ac:dyDescent="0.2">
      <c r="B1309" s="183"/>
    </row>
    <row r="1310" spans="2:2" ht="15" x14ac:dyDescent="0.2">
      <c r="B1310" s="183"/>
    </row>
    <row r="1311" spans="2:2" ht="15" x14ac:dyDescent="0.2">
      <c r="B1311" s="183"/>
    </row>
    <row r="1312" spans="2:2" ht="15" x14ac:dyDescent="0.2">
      <c r="B1312" s="183"/>
    </row>
    <row r="1313" spans="2:2" ht="15" x14ac:dyDescent="0.2">
      <c r="B1313" s="183"/>
    </row>
    <row r="1314" spans="2:2" ht="15" x14ac:dyDescent="0.2">
      <c r="B1314" s="183"/>
    </row>
    <row r="1315" spans="2:2" ht="15" x14ac:dyDescent="0.2">
      <c r="B1315" s="183"/>
    </row>
    <row r="1316" spans="2:2" ht="15" x14ac:dyDescent="0.2">
      <c r="B1316" s="183"/>
    </row>
    <row r="1317" spans="2:2" ht="15" x14ac:dyDescent="0.2">
      <c r="B1317" s="183"/>
    </row>
    <row r="1318" spans="2:2" ht="15" x14ac:dyDescent="0.2">
      <c r="B1318" s="183"/>
    </row>
    <row r="1319" spans="2:2" ht="15" x14ac:dyDescent="0.2">
      <c r="B1319" s="183"/>
    </row>
    <row r="1320" spans="2:2" ht="15" x14ac:dyDescent="0.2">
      <c r="B1320" s="183"/>
    </row>
    <row r="1321" spans="2:2" ht="15" x14ac:dyDescent="0.2">
      <c r="B1321" s="183"/>
    </row>
    <row r="1322" spans="2:2" ht="15" x14ac:dyDescent="0.2">
      <c r="B1322" s="183"/>
    </row>
    <row r="1323" spans="2:2" ht="15" x14ac:dyDescent="0.2">
      <c r="B1323" s="183"/>
    </row>
    <row r="1324" spans="2:2" ht="15" x14ac:dyDescent="0.2">
      <c r="B1324" s="183"/>
    </row>
    <row r="1325" spans="2:2" ht="15" x14ac:dyDescent="0.2">
      <c r="B1325" s="183"/>
    </row>
    <row r="1326" spans="2:2" ht="15" x14ac:dyDescent="0.2">
      <c r="B1326" s="183"/>
    </row>
    <row r="1327" spans="2:2" ht="15" x14ac:dyDescent="0.2">
      <c r="B1327" s="183"/>
    </row>
    <row r="1328" spans="2:2" ht="15" x14ac:dyDescent="0.2">
      <c r="B1328" s="183"/>
    </row>
    <row r="1329" spans="2:2" ht="15" x14ac:dyDescent="0.2">
      <c r="B1329" s="183"/>
    </row>
    <row r="1330" spans="2:2" ht="15" x14ac:dyDescent="0.2">
      <c r="B1330" s="183"/>
    </row>
    <row r="1331" spans="2:2" ht="15" x14ac:dyDescent="0.2">
      <c r="B1331" s="183"/>
    </row>
    <row r="1332" spans="2:2" ht="15" x14ac:dyDescent="0.2">
      <c r="B1332" s="183"/>
    </row>
    <row r="1333" spans="2:2" ht="15" x14ac:dyDescent="0.2">
      <c r="B1333" s="183"/>
    </row>
    <row r="1334" spans="2:2" ht="15" x14ac:dyDescent="0.2">
      <c r="B1334" s="183"/>
    </row>
    <row r="1335" spans="2:2" ht="15" x14ac:dyDescent="0.2">
      <c r="B1335" s="183"/>
    </row>
    <row r="1336" spans="2:2" ht="15" x14ac:dyDescent="0.2">
      <c r="B1336" s="183"/>
    </row>
    <row r="1337" spans="2:2" ht="15" x14ac:dyDescent="0.2">
      <c r="B1337" s="183"/>
    </row>
    <row r="1338" spans="2:2" ht="15" x14ac:dyDescent="0.2">
      <c r="B1338" s="183"/>
    </row>
    <row r="1339" spans="2:2" ht="15" x14ac:dyDescent="0.2">
      <c r="B1339" s="183"/>
    </row>
    <row r="1340" spans="2:2" ht="15" x14ac:dyDescent="0.2">
      <c r="B1340" s="183"/>
    </row>
    <row r="1341" spans="2:2" ht="15" x14ac:dyDescent="0.2">
      <c r="B1341" s="183"/>
    </row>
    <row r="1342" spans="2:2" ht="15" x14ac:dyDescent="0.2">
      <c r="B1342" s="183"/>
    </row>
    <row r="1343" spans="2:2" ht="15" x14ac:dyDescent="0.2">
      <c r="B1343" s="183"/>
    </row>
    <row r="1344" spans="2:2" ht="15" x14ac:dyDescent="0.2">
      <c r="B1344" s="183"/>
    </row>
    <row r="1345" spans="2:2" ht="15" x14ac:dyDescent="0.2">
      <c r="B1345" s="183"/>
    </row>
    <row r="1346" spans="2:2" ht="15" x14ac:dyDescent="0.2">
      <c r="B1346" s="183"/>
    </row>
    <row r="1347" spans="2:2" ht="15" x14ac:dyDescent="0.2">
      <c r="B1347" s="183"/>
    </row>
    <row r="1348" spans="2:2" ht="15" x14ac:dyDescent="0.2">
      <c r="B1348" s="183"/>
    </row>
    <row r="1349" spans="2:2" ht="15" x14ac:dyDescent="0.2">
      <c r="B1349" s="183"/>
    </row>
    <row r="1350" spans="2:2" ht="15" x14ac:dyDescent="0.2">
      <c r="B1350" s="183"/>
    </row>
    <row r="1351" spans="2:2" ht="15" x14ac:dyDescent="0.2">
      <c r="B1351" s="183"/>
    </row>
    <row r="1352" spans="2:2" ht="15" x14ac:dyDescent="0.2">
      <c r="B1352" s="183"/>
    </row>
    <row r="1353" spans="2:2" ht="15" x14ac:dyDescent="0.2">
      <c r="B1353" s="183"/>
    </row>
    <row r="1354" spans="2:2" ht="15" x14ac:dyDescent="0.2">
      <c r="B1354" s="183"/>
    </row>
    <row r="1355" spans="2:2" ht="15" x14ac:dyDescent="0.2">
      <c r="B1355" s="183"/>
    </row>
    <row r="1356" spans="2:2" ht="15" x14ac:dyDescent="0.2">
      <c r="B1356" s="183"/>
    </row>
    <row r="1357" spans="2:2" ht="15" x14ac:dyDescent="0.2">
      <c r="B1357" s="183"/>
    </row>
    <row r="1358" spans="2:2" ht="15" x14ac:dyDescent="0.2">
      <c r="B1358" s="183"/>
    </row>
    <row r="1359" spans="2:2" ht="15" x14ac:dyDescent="0.2">
      <c r="B1359" s="183"/>
    </row>
    <row r="1360" spans="2:2" ht="15" x14ac:dyDescent="0.2">
      <c r="B1360" s="183"/>
    </row>
    <row r="1361" spans="2:2" ht="15" x14ac:dyDescent="0.2">
      <c r="B1361" s="183"/>
    </row>
    <row r="1362" spans="2:2" ht="15" x14ac:dyDescent="0.2">
      <c r="B1362" s="183"/>
    </row>
    <row r="1363" spans="2:2" ht="15" x14ac:dyDescent="0.2">
      <c r="B1363" s="183"/>
    </row>
    <row r="1364" spans="2:2" ht="15" x14ac:dyDescent="0.2">
      <c r="B1364" s="183"/>
    </row>
    <row r="1365" spans="2:2" ht="15" x14ac:dyDescent="0.2">
      <c r="B1365" s="183"/>
    </row>
    <row r="1366" spans="2:2" ht="15" x14ac:dyDescent="0.2">
      <c r="B1366" s="183"/>
    </row>
    <row r="1367" spans="2:2" ht="15" x14ac:dyDescent="0.2">
      <c r="B1367" s="183"/>
    </row>
    <row r="1368" spans="2:2" ht="15" x14ac:dyDescent="0.2">
      <c r="B1368" s="183"/>
    </row>
    <row r="1369" spans="2:2" ht="15" x14ac:dyDescent="0.2">
      <c r="B1369" s="183"/>
    </row>
    <row r="1370" spans="2:2" ht="15" x14ac:dyDescent="0.2">
      <c r="B1370" s="183"/>
    </row>
    <row r="1371" spans="2:2" ht="15" x14ac:dyDescent="0.2">
      <c r="B1371" s="183"/>
    </row>
    <row r="1372" spans="2:2" ht="15" x14ac:dyDescent="0.2">
      <c r="B1372" s="183"/>
    </row>
    <row r="1373" spans="2:2" ht="15" x14ac:dyDescent="0.2">
      <c r="B1373" s="183"/>
    </row>
    <row r="1374" spans="2:2" ht="15" x14ac:dyDescent="0.2">
      <c r="B1374" s="183"/>
    </row>
    <row r="1375" spans="2:2" ht="15" x14ac:dyDescent="0.2">
      <c r="B1375" s="183"/>
    </row>
    <row r="1376" spans="2:2" ht="15" x14ac:dyDescent="0.2">
      <c r="B1376" s="183"/>
    </row>
    <row r="1377" spans="2:2" ht="15" x14ac:dyDescent="0.2">
      <c r="B1377" s="183"/>
    </row>
    <row r="1378" spans="2:2" ht="15" x14ac:dyDescent="0.2">
      <c r="B1378" s="183"/>
    </row>
    <row r="1379" spans="2:2" ht="15" x14ac:dyDescent="0.2">
      <c r="B1379" s="183"/>
    </row>
    <row r="1380" spans="2:2" ht="15" x14ac:dyDescent="0.2">
      <c r="B1380" s="183"/>
    </row>
    <row r="1381" spans="2:2" ht="15" x14ac:dyDescent="0.2">
      <c r="B1381" s="183"/>
    </row>
    <row r="1382" spans="2:2" ht="15" x14ac:dyDescent="0.2">
      <c r="B1382" s="183"/>
    </row>
    <row r="1383" spans="2:2" ht="15" x14ac:dyDescent="0.2">
      <c r="B1383" s="183"/>
    </row>
    <row r="1384" spans="2:2" ht="15" x14ac:dyDescent="0.2">
      <c r="B1384" s="183"/>
    </row>
    <row r="1385" spans="2:2" ht="15" x14ac:dyDescent="0.2">
      <c r="B1385" s="183"/>
    </row>
    <row r="1386" spans="2:2" ht="15" x14ac:dyDescent="0.2">
      <c r="B1386" s="183"/>
    </row>
    <row r="1387" spans="2:2" ht="15" x14ac:dyDescent="0.2">
      <c r="B1387" s="183"/>
    </row>
    <row r="1388" spans="2:2" ht="15" x14ac:dyDescent="0.2">
      <c r="B1388" s="183"/>
    </row>
    <row r="1389" spans="2:2" ht="15" x14ac:dyDescent="0.2">
      <c r="B1389" s="183"/>
    </row>
    <row r="1390" spans="2:2" ht="15" x14ac:dyDescent="0.2">
      <c r="B1390" s="183"/>
    </row>
    <row r="1391" spans="2:2" ht="15" x14ac:dyDescent="0.2">
      <c r="B1391" s="183"/>
    </row>
    <row r="1392" spans="2:2" ht="15" x14ac:dyDescent="0.2">
      <c r="B1392" s="183"/>
    </row>
    <row r="1393" spans="2:2" ht="15" x14ac:dyDescent="0.2">
      <c r="B1393" s="183"/>
    </row>
    <row r="1394" spans="2:2" ht="15" x14ac:dyDescent="0.2">
      <c r="B1394" s="183"/>
    </row>
    <row r="1395" spans="2:2" ht="15" x14ac:dyDescent="0.2">
      <c r="B1395" s="183"/>
    </row>
    <row r="1396" spans="2:2" ht="15" x14ac:dyDescent="0.2">
      <c r="B1396" s="183"/>
    </row>
    <row r="1397" spans="2:2" ht="15" x14ac:dyDescent="0.2">
      <c r="B1397" s="183"/>
    </row>
    <row r="1398" spans="2:2" ht="15" x14ac:dyDescent="0.2">
      <c r="B1398" s="183"/>
    </row>
    <row r="1399" spans="2:2" ht="15" x14ac:dyDescent="0.2">
      <c r="B1399" s="183"/>
    </row>
    <row r="1400" spans="2:2" ht="15" x14ac:dyDescent="0.2">
      <c r="B1400" s="183"/>
    </row>
    <row r="1401" spans="2:2" ht="15" x14ac:dyDescent="0.2">
      <c r="B1401" s="183"/>
    </row>
    <row r="1402" spans="2:2" ht="15" x14ac:dyDescent="0.2">
      <c r="B1402" s="183"/>
    </row>
    <row r="1403" spans="2:2" ht="15" x14ac:dyDescent="0.2">
      <c r="B1403" s="183"/>
    </row>
    <row r="1404" spans="2:2" ht="15" x14ac:dyDescent="0.2">
      <c r="B1404" s="183"/>
    </row>
    <row r="1405" spans="2:2" ht="15" x14ac:dyDescent="0.2">
      <c r="B1405" s="183"/>
    </row>
    <row r="1406" spans="2:2" ht="15" x14ac:dyDescent="0.2">
      <c r="B1406" s="183"/>
    </row>
    <row r="1407" spans="2:2" ht="15" x14ac:dyDescent="0.2">
      <c r="B1407" s="183"/>
    </row>
    <row r="1408" spans="2:2" ht="15" x14ac:dyDescent="0.2">
      <c r="B1408" s="183"/>
    </row>
    <row r="1409" spans="2:2" ht="15" x14ac:dyDescent="0.2">
      <c r="B1409" s="183"/>
    </row>
    <row r="1410" spans="2:2" ht="15" x14ac:dyDescent="0.2">
      <c r="B1410" s="183"/>
    </row>
    <row r="1411" spans="2:2" ht="15" x14ac:dyDescent="0.2">
      <c r="B1411" s="183"/>
    </row>
    <row r="1412" spans="2:2" ht="15" x14ac:dyDescent="0.2">
      <c r="B1412" s="183"/>
    </row>
    <row r="1413" spans="2:2" ht="15" x14ac:dyDescent="0.2">
      <c r="B1413" s="183"/>
    </row>
    <row r="1414" spans="2:2" ht="15" x14ac:dyDescent="0.2">
      <c r="B1414" s="183"/>
    </row>
    <row r="1415" spans="2:2" ht="15" x14ac:dyDescent="0.2">
      <c r="B1415" s="183"/>
    </row>
    <row r="1416" spans="2:2" ht="15" x14ac:dyDescent="0.2">
      <c r="B1416" s="183"/>
    </row>
    <row r="1417" spans="2:2" ht="15" x14ac:dyDescent="0.2">
      <c r="B1417" s="183"/>
    </row>
    <row r="1418" spans="2:2" ht="15" x14ac:dyDescent="0.2">
      <c r="B1418" s="183"/>
    </row>
    <row r="1419" spans="2:2" ht="15" x14ac:dyDescent="0.2">
      <c r="B1419" s="183"/>
    </row>
    <row r="1420" spans="2:2" ht="15" x14ac:dyDescent="0.2">
      <c r="B1420" s="183"/>
    </row>
    <row r="1421" spans="2:2" ht="15" x14ac:dyDescent="0.2">
      <c r="B1421" s="183"/>
    </row>
    <row r="1422" spans="2:2" ht="15" x14ac:dyDescent="0.2">
      <c r="B1422" s="183"/>
    </row>
    <row r="1423" spans="2:2" ht="15" x14ac:dyDescent="0.2">
      <c r="B1423" s="183"/>
    </row>
    <row r="1424" spans="2:2" ht="15" x14ac:dyDescent="0.2">
      <c r="B1424" s="183"/>
    </row>
    <row r="1425" spans="2:2" ht="15" x14ac:dyDescent="0.2">
      <c r="B1425" s="183"/>
    </row>
    <row r="1426" spans="2:2" ht="15" x14ac:dyDescent="0.2">
      <c r="B1426" s="183"/>
    </row>
    <row r="1427" spans="2:2" ht="15" x14ac:dyDescent="0.2">
      <c r="B1427" s="183"/>
    </row>
    <row r="1428" spans="2:2" ht="15" x14ac:dyDescent="0.2">
      <c r="B1428" s="183"/>
    </row>
    <row r="1429" spans="2:2" ht="15" x14ac:dyDescent="0.2">
      <c r="B1429" s="183"/>
    </row>
    <row r="1430" spans="2:2" ht="15" x14ac:dyDescent="0.2">
      <c r="B1430" s="183"/>
    </row>
    <row r="1431" spans="2:2" ht="15" x14ac:dyDescent="0.2">
      <c r="B1431" s="183"/>
    </row>
    <row r="1432" spans="2:2" ht="15" x14ac:dyDescent="0.2">
      <c r="B1432" s="183"/>
    </row>
    <row r="1433" spans="2:2" ht="15" x14ac:dyDescent="0.2">
      <c r="B1433" s="183"/>
    </row>
    <row r="1434" spans="2:2" ht="15" x14ac:dyDescent="0.2">
      <c r="B1434" s="183"/>
    </row>
    <row r="1435" spans="2:2" ht="15" x14ac:dyDescent="0.2">
      <c r="B1435" s="183"/>
    </row>
    <row r="1436" spans="2:2" ht="15" x14ac:dyDescent="0.2">
      <c r="B1436" s="183"/>
    </row>
    <row r="1437" spans="2:2" ht="15" x14ac:dyDescent="0.2">
      <c r="B1437" s="183"/>
    </row>
    <row r="1438" spans="2:2" ht="15" x14ac:dyDescent="0.2">
      <c r="B1438" s="183"/>
    </row>
    <row r="1439" spans="2:2" ht="15" x14ac:dyDescent="0.2">
      <c r="B1439" s="183"/>
    </row>
    <row r="1440" spans="2:2" ht="15" x14ac:dyDescent="0.2">
      <c r="B1440" s="183"/>
    </row>
    <row r="1441" spans="2:2" ht="15" x14ac:dyDescent="0.2">
      <c r="B1441" s="183"/>
    </row>
    <row r="1442" spans="2:2" ht="15" x14ac:dyDescent="0.2">
      <c r="B1442" s="183"/>
    </row>
    <row r="1443" spans="2:2" ht="15" x14ac:dyDescent="0.2">
      <c r="B1443" s="183"/>
    </row>
    <row r="1444" spans="2:2" ht="15" x14ac:dyDescent="0.2">
      <c r="B1444" s="183"/>
    </row>
    <row r="1445" spans="2:2" ht="15" x14ac:dyDescent="0.2">
      <c r="B1445" s="183"/>
    </row>
    <row r="1446" spans="2:2" ht="15" x14ac:dyDescent="0.2">
      <c r="B1446" s="183"/>
    </row>
    <row r="1447" spans="2:2" ht="15" x14ac:dyDescent="0.2">
      <c r="B1447" s="183"/>
    </row>
    <row r="1448" spans="2:2" ht="15" x14ac:dyDescent="0.2">
      <c r="B1448" s="183"/>
    </row>
    <row r="1449" spans="2:2" ht="15" x14ac:dyDescent="0.2">
      <c r="B1449" s="183"/>
    </row>
    <row r="1450" spans="2:2" ht="15" x14ac:dyDescent="0.2">
      <c r="B1450" s="183"/>
    </row>
    <row r="1451" spans="2:2" ht="15" x14ac:dyDescent="0.2">
      <c r="B1451" s="183"/>
    </row>
    <row r="1452" spans="2:2" ht="15" x14ac:dyDescent="0.2">
      <c r="B1452" s="183"/>
    </row>
    <row r="1453" spans="2:2" ht="15" x14ac:dyDescent="0.2">
      <c r="B1453" s="183"/>
    </row>
    <row r="1454" spans="2:2" ht="15" x14ac:dyDescent="0.2">
      <c r="B1454" s="183"/>
    </row>
    <row r="1455" spans="2:2" ht="15" x14ac:dyDescent="0.2">
      <c r="B1455" s="183"/>
    </row>
    <row r="1456" spans="2:2" ht="15" x14ac:dyDescent="0.2">
      <c r="B1456" s="183"/>
    </row>
    <row r="1457" spans="2:2" ht="15" x14ac:dyDescent="0.2">
      <c r="B1457" s="183"/>
    </row>
    <row r="1458" spans="2:2" ht="15" x14ac:dyDescent="0.2">
      <c r="B1458" s="183"/>
    </row>
    <row r="1459" spans="2:2" ht="15" x14ac:dyDescent="0.2">
      <c r="B1459" s="183"/>
    </row>
    <row r="1460" spans="2:2" ht="15" x14ac:dyDescent="0.2">
      <c r="B1460" s="183"/>
    </row>
    <row r="1461" spans="2:2" ht="15" x14ac:dyDescent="0.2">
      <c r="B1461" s="183"/>
    </row>
    <row r="1462" spans="2:2" ht="15" x14ac:dyDescent="0.2">
      <c r="B1462" s="183"/>
    </row>
    <row r="1463" spans="2:2" ht="15" x14ac:dyDescent="0.2">
      <c r="B1463" s="183"/>
    </row>
    <row r="1464" spans="2:2" ht="15" x14ac:dyDescent="0.2">
      <c r="B1464" s="183"/>
    </row>
    <row r="1465" spans="2:2" ht="15" x14ac:dyDescent="0.2">
      <c r="B1465" s="183"/>
    </row>
    <row r="1466" spans="2:2" ht="15" x14ac:dyDescent="0.2">
      <c r="B1466" s="183"/>
    </row>
    <row r="1467" spans="2:2" ht="15" x14ac:dyDescent="0.2">
      <c r="B1467" s="183"/>
    </row>
    <row r="1468" spans="2:2" ht="15" x14ac:dyDescent="0.2">
      <c r="B1468" s="183"/>
    </row>
    <row r="1469" spans="2:2" ht="15" x14ac:dyDescent="0.2">
      <c r="B1469" s="183"/>
    </row>
    <row r="1470" spans="2:2" ht="15" x14ac:dyDescent="0.2">
      <c r="B1470" s="183"/>
    </row>
    <row r="1471" spans="2:2" ht="15" x14ac:dyDescent="0.2">
      <c r="B1471" s="183"/>
    </row>
    <row r="1472" spans="2:2" ht="15" x14ac:dyDescent="0.2">
      <c r="B1472" s="183"/>
    </row>
    <row r="1473" spans="2:2" ht="15" x14ac:dyDescent="0.2">
      <c r="B1473" s="183"/>
    </row>
    <row r="1474" spans="2:2" ht="15" x14ac:dyDescent="0.2">
      <c r="B1474" s="183"/>
    </row>
    <row r="1475" spans="2:2" ht="15" x14ac:dyDescent="0.2">
      <c r="B1475" s="183"/>
    </row>
    <row r="1476" spans="2:2" ht="15" x14ac:dyDescent="0.2">
      <c r="B1476" s="183"/>
    </row>
    <row r="1477" spans="2:2" ht="15" x14ac:dyDescent="0.2">
      <c r="B1477" s="183"/>
    </row>
    <row r="1478" spans="2:2" ht="15" x14ac:dyDescent="0.2">
      <c r="B1478" s="183"/>
    </row>
    <row r="1479" spans="2:2" ht="15" x14ac:dyDescent="0.2">
      <c r="B1479" s="183"/>
    </row>
    <row r="1480" spans="2:2" ht="15" x14ac:dyDescent="0.2">
      <c r="B1480" s="183"/>
    </row>
    <row r="1481" spans="2:2" ht="15" x14ac:dyDescent="0.2">
      <c r="B1481" s="183"/>
    </row>
    <row r="1482" spans="2:2" ht="15" x14ac:dyDescent="0.2">
      <c r="B1482" s="183"/>
    </row>
    <row r="1483" spans="2:2" ht="15" x14ac:dyDescent="0.2">
      <c r="B1483" s="183"/>
    </row>
    <row r="1484" spans="2:2" ht="15" x14ac:dyDescent="0.2">
      <c r="B1484" s="183"/>
    </row>
    <row r="1485" spans="2:2" ht="15" x14ac:dyDescent="0.2">
      <c r="B1485" s="183"/>
    </row>
    <row r="1486" spans="2:2" ht="15" x14ac:dyDescent="0.2">
      <c r="B1486" s="183"/>
    </row>
    <row r="1487" spans="2:2" ht="15" x14ac:dyDescent="0.2">
      <c r="B1487" s="183"/>
    </row>
    <row r="1488" spans="2:2" ht="15" x14ac:dyDescent="0.2">
      <c r="B1488" s="183"/>
    </row>
    <row r="1489" spans="2:2" ht="15" x14ac:dyDescent="0.2">
      <c r="B1489" s="183"/>
    </row>
    <row r="1490" spans="2:2" ht="15" x14ac:dyDescent="0.2">
      <c r="B1490" s="183"/>
    </row>
    <row r="1491" spans="2:2" ht="15" x14ac:dyDescent="0.2">
      <c r="B1491" s="183"/>
    </row>
    <row r="1492" spans="2:2" ht="15" x14ac:dyDescent="0.2">
      <c r="B1492" s="183"/>
    </row>
    <row r="1493" spans="2:2" ht="15" x14ac:dyDescent="0.2">
      <c r="B1493" s="183"/>
    </row>
    <row r="1494" spans="2:2" ht="15" x14ac:dyDescent="0.2">
      <c r="B1494" s="183"/>
    </row>
    <row r="1495" spans="2:2" ht="15" x14ac:dyDescent="0.2">
      <c r="B1495" s="183"/>
    </row>
    <row r="1496" spans="2:2" ht="15" x14ac:dyDescent="0.2">
      <c r="B1496" s="183"/>
    </row>
    <row r="1497" spans="2:2" ht="15" x14ac:dyDescent="0.2">
      <c r="B1497" s="183"/>
    </row>
    <row r="1498" spans="2:2" ht="15" x14ac:dyDescent="0.2">
      <c r="B1498" s="183"/>
    </row>
    <row r="1499" spans="2:2" ht="15" x14ac:dyDescent="0.2">
      <c r="B1499" s="183"/>
    </row>
    <row r="1500" spans="2:2" ht="15" x14ac:dyDescent="0.2">
      <c r="B1500" s="183"/>
    </row>
    <row r="1501" spans="2:2" ht="15" x14ac:dyDescent="0.2">
      <c r="B1501" s="183"/>
    </row>
    <row r="1502" spans="2:2" ht="15" x14ac:dyDescent="0.2">
      <c r="B1502" s="183"/>
    </row>
    <row r="1503" spans="2:2" ht="15" x14ac:dyDescent="0.2">
      <c r="B1503" s="183"/>
    </row>
    <row r="1504" spans="2:2" ht="15" x14ac:dyDescent="0.2">
      <c r="B1504" s="183"/>
    </row>
    <row r="1505" spans="2:2" ht="15" x14ac:dyDescent="0.2">
      <c r="B1505" s="183"/>
    </row>
    <row r="1506" spans="2:2" ht="15" x14ac:dyDescent="0.2">
      <c r="B1506" s="183"/>
    </row>
    <row r="1507" spans="2:2" ht="15" x14ac:dyDescent="0.2">
      <c r="B1507" s="183"/>
    </row>
    <row r="1508" spans="2:2" ht="15" x14ac:dyDescent="0.2">
      <c r="B1508" s="183"/>
    </row>
    <row r="1509" spans="2:2" ht="15" x14ac:dyDescent="0.2">
      <c r="B1509" s="183"/>
    </row>
    <row r="1510" spans="2:2" ht="15" x14ac:dyDescent="0.2">
      <c r="B1510" s="183"/>
    </row>
    <row r="1511" spans="2:2" ht="15" x14ac:dyDescent="0.2">
      <c r="B1511" s="183"/>
    </row>
    <row r="1512" spans="2:2" ht="15" x14ac:dyDescent="0.2">
      <c r="B1512" s="183"/>
    </row>
    <row r="1513" spans="2:2" ht="15" x14ac:dyDescent="0.2">
      <c r="B1513" s="183"/>
    </row>
    <row r="1514" spans="2:2" ht="15" x14ac:dyDescent="0.2">
      <c r="B1514" s="183"/>
    </row>
    <row r="1515" spans="2:2" ht="15" x14ac:dyDescent="0.2">
      <c r="B1515" s="183"/>
    </row>
    <row r="1516" spans="2:2" ht="15" x14ac:dyDescent="0.2">
      <c r="B1516" s="183"/>
    </row>
    <row r="1517" spans="2:2" ht="15" x14ac:dyDescent="0.2">
      <c r="B1517" s="183"/>
    </row>
    <row r="1518" spans="2:2" ht="15" x14ac:dyDescent="0.2">
      <c r="B1518" s="183"/>
    </row>
    <row r="1519" spans="2:2" ht="15" x14ac:dyDescent="0.2">
      <c r="B1519" s="183"/>
    </row>
    <row r="1520" spans="2:2" ht="15" x14ac:dyDescent="0.2">
      <c r="B1520" s="183"/>
    </row>
    <row r="1521" spans="2:2" ht="15" x14ac:dyDescent="0.2">
      <c r="B1521" s="183"/>
    </row>
    <row r="1522" spans="2:2" ht="15" x14ac:dyDescent="0.2">
      <c r="B1522" s="183"/>
    </row>
    <row r="1523" spans="2:2" ht="15" x14ac:dyDescent="0.2">
      <c r="B1523" s="183"/>
    </row>
    <row r="1524" spans="2:2" ht="15" x14ac:dyDescent="0.2">
      <c r="B1524" s="183"/>
    </row>
    <row r="1525" spans="2:2" ht="15" x14ac:dyDescent="0.2">
      <c r="B1525" s="183"/>
    </row>
    <row r="1526" spans="2:2" ht="15" x14ac:dyDescent="0.2">
      <c r="B1526" s="183"/>
    </row>
    <row r="1527" spans="2:2" ht="15" x14ac:dyDescent="0.2">
      <c r="B1527" s="183"/>
    </row>
    <row r="1528" spans="2:2" ht="15" x14ac:dyDescent="0.2">
      <c r="B1528" s="183"/>
    </row>
    <row r="1529" spans="2:2" ht="15" x14ac:dyDescent="0.2">
      <c r="B1529" s="183"/>
    </row>
    <row r="1530" spans="2:2" ht="15" x14ac:dyDescent="0.2">
      <c r="B1530" s="183"/>
    </row>
    <row r="1531" spans="2:2" ht="15" x14ac:dyDescent="0.2">
      <c r="B1531" s="183"/>
    </row>
    <row r="1532" spans="2:2" ht="15" x14ac:dyDescent="0.2">
      <c r="B1532" s="183"/>
    </row>
    <row r="1533" spans="2:2" ht="15" x14ac:dyDescent="0.2">
      <c r="B1533" s="183"/>
    </row>
    <row r="1534" spans="2:2" ht="15" x14ac:dyDescent="0.2">
      <c r="B1534" s="183"/>
    </row>
    <row r="1535" spans="2:2" ht="15" x14ac:dyDescent="0.2">
      <c r="B1535" s="183"/>
    </row>
    <row r="1536" spans="2:2" ht="15" x14ac:dyDescent="0.2">
      <c r="B1536" s="183"/>
    </row>
    <row r="1537" spans="2:2" ht="15" x14ac:dyDescent="0.2">
      <c r="B1537" s="183"/>
    </row>
    <row r="1538" spans="2:2" ht="15" x14ac:dyDescent="0.2">
      <c r="B1538" s="183"/>
    </row>
    <row r="1539" spans="2:2" ht="15" x14ac:dyDescent="0.2">
      <c r="B1539" s="183"/>
    </row>
    <row r="1540" spans="2:2" ht="15" x14ac:dyDescent="0.2">
      <c r="B1540" s="183"/>
    </row>
    <row r="1541" spans="2:2" ht="15" x14ac:dyDescent="0.2">
      <c r="B1541" s="183"/>
    </row>
    <row r="1542" spans="2:2" ht="15" x14ac:dyDescent="0.2">
      <c r="B1542" s="183"/>
    </row>
    <row r="1543" spans="2:2" ht="15" x14ac:dyDescent="0.2">
      <c r="B1543" s="183"/>
    </row>
    <row r="1544" spans="2:2" ht="15" x14ac:dyDescent="0.2">
      <c r="B1544" s="183"/>
    </row>
    <row r="1545" spans="2:2" ht="15" x14ac:dyDescent="0.2">
      <c r="B1545" s="183"/>
    </row>
    <row r="1546" spans="2:2" ht="15" x14ac:dyDescent="0.2">
      <c r="B1546" s="183"/>
    </row>
    <row r="1547" spans="2:2" ht="15" x14ac:dyDescent="0.2">
      <c r="B1547" s="183"/>
    </row>
    <row r="1548" spans="2:2" ht="15" x14ac:dyDescent="0.2">
      <c r="B1548" s="183"/>
    </row>
    <row r="1549" spans="2:2" ht="15" x14ac:dyDescent="0.2">
      <c r="B1549" s="183"/>
    </row>
    <row r="1550" spans="2:2" ht="15" x14ac:dyDescent="0.2">
      <c r="B1550" s="183"/>
    </row>
    <row r="1551" spans="2:2" ht="15" x14ac:dyDescent="0.2">
      <c r="B1551" s="183"/>
    </row>
    <row r="1552" spans="2:2" ht="15" x14ac:dyDescent="0.2">
      <c r="B1552" s="183"/>
    </row>
    <row r="1553" spans="2:2" ht="15" x14ac:dyDescent="0.2">
      <c r="B1553" s="183"/>
    </row>
    <row r="1554" spans="2:2" ht="15" x14ac:dyDescent="0.2">
      <c r="B1554" s="183"/>
    </row>
    <row r="1555" spans="2:2" ht="15" x14ac:dyDescent="0.2">
      <c r="B1555" s="183"/>
    </row>
    <row r="1556" spans="2:2" ht="15" x14ac:dyDescent="0.2">
      <c r="B1556" s="183"/>
    </row>
    <row r="1557" spans="2:2" ht="15" x14ac:dyDescent="0.2">
      <c r="B1557" s="183"/>
    </row>
    <row r="1558" spans="2:2" ht="15" x14ac:dyDescent="0.2">
      <c r="B1558" s="183"/>
    </row>
    <row r="1559" spans="2:2" ht="15" x14ac:dyDescent="0.2">
      <c r="B1559" s="183"/>
    </row>
    <row r="1560" spans="2:2" ht="15" x14ac:dyDescent="0.2">
      <c r="B1560" s="183"/>
    </row>
    <row r="1561" spans="2:2" ht="15" x14ac:dyDescent="0.2">
      <c r="B1561" s="183"/>
    </row>
    <row r="1562" spans="2:2" ht="15" x14ac:dyDescent="0.2">
      <c r="B1562" s="183"/>
    </row>
    <row r="1563" spans="2:2" ht="15" x14ac:dyDescent="0.2">
      <c r="B1563" s="183"/>
    </row>
    <row r="1564" spans="2:2" ht="15" x14ac:dyDescent="0.2">
      <c r="B1564" s="183"/>
    </row>
    <row r="1565" spans="2:2" ht="15" x14ac:dyDescent="0.2">
      <c r="B1565" s="183"/>
    </row>
    <row r="1566" spans="2:2" ht="15" x14ac:dyDescent="0.2">
      <c r="B1566" s="183"/>
    </row>
    <row r="1567" spans="2:2" ht="15" x14ac:dyDescent="0.2">
      <c r="B1567" s="183"/>
    </row>
    <row r="1568" spans="2:2" ht="15" x14ac:dyDescent="0.2">
      <c r="B1568" s="183"/>
    </row>
    <row r="1569" spans="2:2" ht="15" x14ac:dyDescent="0.2">
      <c r="B1569" s="183"/>
    </row>
    <row r="1570" spans="2:2" ht="15" x14ac:dyDescent="0.2">
      <c r="B1570" s="183"/>
    </row>
    <row r="1571" spans="2:2" ht="15" x14ac:dyDescent="0.2">
      <c r="B1571" s="183"/>
    </row>
    <row r="1572" spans="2:2" ht="15" x14ac:dyDescent="0.2">
      <c r="B1572" s="183"/>
    </row>
    <row r="1573" spans="2:2" ht="15" x14ac:dyDescent="0.2">
      <c r="B1573" s="183"/>
    </row>
    <row r="1574" spans="2:2" ht="15" x14ac:dyDescent="0.2">
      <c r="B1574" s="183"/>
    </row>
    <row r="1575" spans="2:2" ht="15" x14ac:dyDescent="0.2">
      <c r="B1575" s="183"/>
    </row>
    <row r="1576" spans="2:2" ht="15" x14ac:dyDescent="0.2">
      <c r="B1576" s="183"/>
    </row>
    <row r="1577" spans="2:2" ht="15" x14ac:dyDescent="0.2">
      <c r="B1577" s="183"/>
    </row>
    <row r="1578" spans="2:2" ht="15" x14ac:dyDescent="0.2">
      <c r="B1578" s="183"/>
    </row>
    <row r="1579" spans="2:2" ht="15" x14ac:dyDescent="0.2">
      <c r="B1579" s="183"/>
    </row>
    <row r="1580" spans="2:2" ht="15" x14ac:dyDescent="0.2">
      <c r="B1580" s="183"/>
    </row>
    <row r="1581" spans="2:2" ht="15" x14ac:dyDescent="0.2">
      <c r="B1581" s="183"/>
    </row>
    <row r="1582" spans="2:2" ht="15" x14ac:dyDescent="0.2">
      <c r="B1582" s="183"/>
    </row>
    <row r="1583" spans="2:2" ht="15" x14ac:dyDescent="0.2">
      <c r="B1583" s="183"/>
    </row>
    <row r="1584" spans="2:2" ht="15" x14ac:dyDescent="0.2">
      <c r="B1584" s="183"/>
    </row>
    <row r="1585" spans="2:2" ht="15" x14ac:dyDescent="0.2">
      <c r="B1585" s="183"/>
    </row>
    <row r="1586" spans="2:2" ht="15" x14ac:dyDescent="0.2">
      <c r="B1586" s="183"/>
    </row>
    <row r="1587" spans="2:2" ht="15" x14ac:dyDescent="0.2">
      <c r="B1587" s="183"/>
    </row>
    <row r="1588" spans="2:2" ht="15" x14ac:dyDescent="0.2">
      <c r="B1588" s="183"/>
    </row>
    <row r="1589" spans="2:2" ht="15" x14ac:dyDescent="0.2">
      <c r="B1589" s="183"/>
    </row>
    <row r="1590" spans="2:2" ht="15" x14ac:dyDescent="0.2">
      <c r="B1590" s="183"/>
    </row>
    <row r="1591" spans="2:2" ht="15" x14ac:dyDescent="0.2">
      <c r="B1591" s="183"/>
    </row>
    <row r="1592" spans="2:2" ht="15" x14ac:dyDescent="0.2">
      <c r="B1592" s="183"/>
    </row>
    <row r="1593" spans="2:2" ht="15" x14ac:dyDescent="0.2">
      <c r="B1593" s="183"/>
    </row>
    <row r="1594" spans="2:2" ht="15" x14ac:dyDescent="0.2">
      <c r="B1594" s="183"/>
    </row>
    <row r="1595" spans="2:2" ht="15" x14ac:dyDescent="0.2">
      <c r="B1595" s="183"/>
    </row>
    <row r="1596" spans="2:2" ht="15" x14ac:dyDescent="0.2">
      <c r="B1596" s="183"/>
    </row>
    <row r="1597" spans="2:2" ht="15" x14ac:dyDescent="0.2">
      <c r="B1597" s="183"/>
    </row>
    <row r="1598" spans="2:2" ht="15" x14ac:dyDescent="0.2">
      <c r="B1598" s="183"/>
    </row>
    <row r="1599" spans="2:2" ht="15" x14ac:dyDescent="0.2">
      <c r="B1599" s="183"/>
    </row>
    <row r="1600" spans="2:2" ht="15" x14ac:dyDescent="0.2">
      <c r="B1600" s="183"/>
    </row>
    <row r="1601" spans="2:2" ht="15" x14ac:dyDescent="0.2">
      <c r="B1601" s="183"/>
    </row>
    <row r="1602" spans="2:2" ht="15" x14ac:dyDescent="0.2">
      <c r="B1602" s="183"/>
    </row>
    <row r="1603" spans="2:2" ht="15" x14ac:dyDescent="0.2">
      <c r="B1603" s="183"/>
    </row>
    <row r="1604" spans="2:2" ht="15" x14ac:dyDescent="0.2">
      <c r="B1604" s="183"/>
    </row>
    <row r="1605" spans="2:2" ht="15" x14ac:dyDescent="0.2">
      <c r="B1605" s="183"/>
    </row>
    <row r="1606" spans="2:2" ht="15" x14ac:dyDescent="0.2">
      <c r="B1606" s="183"/>
    </row>
    <row r="1607" spans="2:2" ht="15" x14ac:dyDescent="0.2">
      <c r="B1607" s="183"/>
    </row>
    <row r="1608" spans="2:2" ht="15" x14ac:dyDescent="0.2">
      <c r="B1608" s="183"/>
    </row>
    <row r="1609" spans="2:2" ht="15" x14ac:dyDescent="0.2">
      <c r="B1609" s="183"/>
    </row>
    <row r="1610" spans="2:2" ht="15" x14ac:dyDescent="0.2">
      <c r="B1610" s="183"/>
    </row>
    <row r="1611" spans="2:2" ht="15" x14ac:dyDescent="0.2">
      <c r="B1611" s="183"/>
    </row>
    <row r="1612" spans="2:2" ht="15" x14ac:dyDescent="0.2">
      <c r="B1612" s="183"/>
    </row>
    <row r="1613" spans="2:2" ht="15" x14ac:dyDescent="0.2">
      <c r="B1613" s="183"/>
    </row>
    <row r="1614" spans="2:2" ht="15" x14ac:dyDescent="0.2">
      <c r="B1614" s="183"/>
    </row>
    <row r="1615" spans="2:2" ht="15" x14ac:dyDescent="0.2">
      <c r="B1615" s="183"/>
    </row>
    <row r="1616" spans="2:2" ht="15" x14ac:dyDescent="0.2">
      <c r="B1616" s="183"/>
    </row>
    <row r="1617" spans="2:2" ht="15" x14ac:dyDescent="0.2">
      <c r="B1617" s="183"/>
    </row>
    <row r="1618" spans="2:2" ht="15" x14ac:dyDescent="0.2">
      <c r="B1618" s="183"/>
    </row>
    <row r="1619" spans="2:2" ht="15" x14ac:dyDescent="0.2">
      <c r="B1619" s="183"/>
    </row>
    <row r="1620" spans="2:2" ht="15" x14ac:dyDescent="0.2">
      <c r="B1620" s="183"/>
    </row>
    <row r="1621" spans="2:2" ht="15" x14ac:dyDescent="0.2">
      <c r="B1621" s="183"/>
    </row>
    <row r="1622" spans="2:2" ht="15" x14ac:dyDescent="0.2">
      <c r="B1622" s="183"/>
    </row>
    <row r="1623" spans="2:2" ht="15" x14ac:dyDescent="0.2">
      <c r="B1623" s="183"/>
    </row>
    <row r="1624" spans="2:2" ht="15" x14ac:dyDescent="0.2">
      <c r="B1624" s="183"/>
    </row>
    <row r="1625" spans="2:2" ht="15" x14ac:dyDescent="0.2">
      <c r="B1625" s="183"/>
    </row>
    <row r="1626" spans="2:2" ht="15" x14ac:dyDescent="0.2">
      <c r="B1626" s="183"/>
    </row>
    <row r="1627" spans="2:2" ht="15" x14ac:dyDescent="0.2">
      <c r="B1627" s="183"/>
    </row>
    <row r="1628" spans="2:2" ht="15" x14ac:dyDescent="0.2">
      <c r="B1628" s="183"/>
    </row>
    <row r="1629" spans="2:2" ht="15" x14ac:dyDescent="0.2">
      <c r="B1629" s="183"/>
    </row>
    <row r="1630" spans="2:2" ht="15" x14ac:dyDescent="0.2">
      <c r="B1630" s="183"/>
    </row>
    <row r="1631" spans="2:2" ht="15" x14ac:dyDescent="0.2">
      <c r="B1631" s="183"/>
    </row>
    <row r="1632" spans="2:2" ht="15" x14ac:dyDescent="0.2">
      <c r="B1632" s="183"/>
    </row>
    <row r="1633" spans="2:2" ht="15" x14ac:dyDescent="0.2">
      <c r="B1633" s="183"/>
    </row>
    <row r="1634" spans="2:2" ht="15" x14ac:dyDescent="0.2">
      <c r="B1634" s="183"/>
    </row>
    <row r="1635" spans="2:2" ht="15" x14ac:dyDescent="0.2">
      <c r="B1635" s="183"/>
    </row>
    <row r="1636" spans="2:2" ht="15" x14ac:dyDescent="0.2">
      <c r="B1636" s="183"/>
    </row>
    <row r="1637" spans="2:2" ht="15" x14ac:dyDescent="0.2">
      <c r="B1637" s="183"/>
    </row>
    <row r="1638" spans="2:2" ht="15" x14ac:dyDescent="0.2">
      <c r="B1638" s="183"/>
    </row>
    <row r="1639" spans="2:2" ht="15" x14ac:dyDescent="0.2">
      <c r="B1639" s="183"/>
    </row>
    <row r="1640" spans="2:2" ht="15" x14ac:dyDescent="0.2">
      <c r="B1640" s="183"/>
    </row>
    <row r="1641" spans="2:2" ht="15" x14ac:dyDescent="0.2">
      <c r="B1641" s="183"/>
    </row>
    <row r="1642" spans="2:2" ht="15" x14ac:dyDescent="0.2">
      <c r="B1642" s="183"/>
    </row>
    <row r="1643" spans="2:2" ht="15" x14ac:dyDescent="0.2">
      <c r="B1643" s="183"/>
    </row>
    <row r="1644" spans="2:2" ht="15" x14ac:dyDescent="0.2">
      <c r="B1644" s="183"/>
    </row>
    <row r="1645" spans="2:2" ht="15" x14ac:dyDescent="0.2">
      <c r="B1645" s="183"/>
    </row>
    <row r="1646" spans="2:2" ht="15" x14ac:dyDescent="0.2">
      <c r="B1646" s="183"/>
    </row>
    <row r="1647" spans="2:2" ht="15" x14ac:dyDescent="0.2">
      <c r="B1647" s="183"/>
    </row>
    <row r="1648" spans="2:2" ht="15" x14ac:dyDescent="0.2">
      <c r="B1648" s="183"/>
    </row>
    <row r="1649" spans="2:2" ht="15" x14ac:dyDescent="0.2">
      <c r="B1649" s="183"/>
    </row>
    <row r="1650" spans="2:2" ht="15" x14ac:dyDescent="0.2">
      <c r="B1650" s="183"/>
    </row>
    <row r="1651" spans="2:2" ht="15" x14ac:dyDescent="0.2">
      <c r="B1651" s="183"/>
    </row>
    <row r="1652" spans="2:2" ht="15" x14ac:dyDescent="0.2">
      <c r="B1652" s="183"/>
    </row>
    <row r="1653" spans="2:2" ht="15" x14ac:dyDescent="0.2">
      <c r="B1653" s="183"/>
    </row>
    <row r="1654" spans="2:2" ht="15" x14ac:dyDescent="0.2">
      <c r="B1654" s="183"/>
    </row>
    <row r="1655" spans="2:2" ht="15" x14ac:dyDescent="0.2">
      <c r="B1655" s="183"/>
    </row>
    <row r="1656" spans="2:2" ht="15" x14ac:dyDescent="0.2">
      <c r="B1656" s="183"/>
    </row>
    <row r="1657" spans="2:2" ht="15" x14ac:dyDescent="0.2">
      <c r="B1657" s="183"/>
    </row>
    <row r="1658" spans="2:2" ht="15" x14ac:dyDescent="0.2">
      <c r="B1658" s="183"/>
    </row>
    <row r="1659" spans="2:2" ht="15" x14ac:dyDescent="0.2">
      <c r="B1659" s="183"/>
    </row>
    <row r="1660" spans="2:2" ht="15" x14ac:dyDescent="0.2">
      <c r="B1660" s="183"/>
    </row>
    <row r="1661" spans="2:2" ht="15" x14ac:dyDescent="0.2">
      <c r="B1661" s="183"/>
    </row>
    <row r="1662" spans="2:2" ht="15" x14ac:dyDescent="0.2">
      <c r="B1662" s="183"/>
    </row>
    <row r="1663" spans="2:2" ht="15" x14ac:dyDescent="0.2">
      <c r="B1663" s="183"/>
    </row>
    <row r="1664" spans="2:2" ht="15" x14ac:dyDescent="0.2">
      <c r="B1664" s="183"/>
    </row>
    <row r="1665" spans="2:2" ht="15" x14ac:dyDescent="0.2">
      <c r="B1665" s="183"/>
    </row>
    <row r="1666" spans="2:2" ht="15" x14ac:dyDescent="0.2">
      <c r="B1666" s="183"/>
    </row>
    <row r="1667" spans="2:2" ht="15" x14ac:dyDescent="0.2">
      <c r="B1667" s="183"/>
    </row>
    <row r="1668" spans="2:2" ht="15" x14ac:dyDescent="0.2">
      <c r="B1668" s="183"/>
    </row>
    <row r="1669" spans="2:2" ht="15" x14ac:dyDescent="0.2">
      <c r="B1669" s="183"/>
    </row>
    <row r="1670" spans="2:2" ht="15" x14ac:dyDescent="0.2">
      <c r="B1670" s="183"/>
    </row>
    <row r="1671" spans="2:2" ht="15" x14ac:dyDescent="0.2">
      <c r="B1671" s="183"/>
    </row>
    <row r="1672" spans="2:2" ht="15" x14ac:dyDescent="0.2">
      <c r="B1672" s="183"/>
    </row>
    <row r="1673" spans="2:2" ht="15" x14ac:dyDescent="0.2">
      <c r="B1673" s="183"/>
    </row>
    <row r="1674" spans="2:2" ht="15" x14ac:dyDescent="0.2">
      <c r="B1674" s="183"/>
    </row>
    <row r="1675" spans="2:2" ht="15" x14ac:dyDescent="0.2">
      <c r="B1675" s="183"/>
    </row>
    <row r="1676" spans="2:2" ht="15" x14ac:dyDescent="0.2">
      <c r="B1676" s="183"/>
    </row>
    <row r="1677" spans="2:2" ht="15" x14ac:dyDescent="0.2">
      <c r="B1677" s="183"/>
    </row>
    <row r="1678" spans="2:2" ht="15" x14ac:dyDescent="0.2">
      <c r="B1678" s="183"/>
    </row>
    <row r="1679" spans="2:2" ht="15" x14ac:dyDescent="0.2">
      <c r="B1679" s="183"/>
    </row>
    <row r="1680" spans="2:2" ht="15" x14ac:dyDescent="0.2">
      <c r="B1680" s="183"/>
    </row>
    <row r="1681" spans="2:2" ht="15" x14ac:dyDescent="0.2">
      <c r="B1681" s="183"/>
    </row>
    <row r="1682" spans="2:2" ht="15" x14ac:dyDescent="0.2">
      <c r="B1682" s="183"/>
    </row>
    <row r="1683" spans="2:2" ht="15" x14ac:dyDescent="0.2">
      <c r="B1683" s="183"/>
    </row>
    <row r="1684" spans="2:2" ht="15" x14ac:dyDescent="0.2">
      <c r="B1684" s="183"/>
    </row>
    <row r="1685" spans="2:2" ht="15" x14ac:dyDescent="0.2">
      <c r="B1685" s="183"/>
    </row>
    <row r="1686" spans="2:2" ht="15" x14ac:dyDescent="0.2">
      <c r="B1686" s="183"/>
    </row>
    <row r="1687" spans="2:2" ht="15" x14ac:dyDescent="0.2">
      <c r="B1687" s="183"/>
    </row>
    <row r="1688" spans="2:2" ht="15" x14ac:dyDescent="0.2">
      <c r="B1688" s="183"/>
    </row>
    <row r="1689" spans="2:2" ht="15" x14ac:dyDescent="0.2">
      <c r="B1689" s="183"/>
    </row>
    <row r="1690" spans="2:2" ht="15" x14ac:dyDescent="0.2">
      <c r="B1690" s="183"/>
    </row>
    <row r="1691" spans="2:2" ht="15" x14ac:dyDescent="0.2">
      <c r="B1691" s="183"/>
    </row>
    <row r="1692" spans="2:2" ht="15" x14ac:dyDescent="0.2">
      <c r="B1692" s="183"/>
    </row>
    <row r="1693" spans="2:2" ht="15" x14ac:dyDescent="0.2">
      <c r="B1693" s="183"/>
    </row>
    <row r="1694" spans="2:2" ht="15" x14ac:dyDescent="0.2">
      <c r="B1694" s="183"/>
    </row>
    <row r="1695" spans="2:2" ht="15" x14ac:dyDescent="0.2">
      <c r="B1695" s="183"/>
    </row>
    <row r="1696" spans="2:2" ht="15" x14ac:dyDescent="0.2">
      <c r="B1696" s="183"/>
    </row>
    <row r="1697" spans="2:2" ht="15" x14ac:dyDescent="0.2">
      <c r="B1697" s="183"/>
    </row>
    <row r="1698" spans="2:2" ht="15" x14ac:dyDescent="0.2">
      <c r="B1698" s="183"/>
    </row>
    <row r="1699" spans="2:2" ht="15" x14ac:dyDescent="0.2">
      <c r="B1699" s="183"/>
    </row>
    <row r="1700" spans="2:2" ht="15" x14ac:dyDescent="0.2">
      <c r="B1700" s="183"/>
    </row>
    <row r="1701" spans="2:2" ht="15" x14ac:dyDescent="0.2">
      <c r="B1701" s="183"/>
    </row>
    <row r="1702" spans="2:2" ht="15" x14ac:dyDescent="0.2">
      <c r="B1702" s="183"/>
    </row>
    <row r="1703" spans="2:2" ht="15" x14ac:dyDescent="0.2">
      <c r="B1703" s="183"/>
    </row>
    <row r="1704" spans="2:2" ht="15" x14ac:dyDescent="0.2">
      <c r="B1704" s="183"/>
    </row>
    <row r="1705" spans="2:2" ht="15" x14ac:dyDescent="0.2">
      <c r="B1705" s="183"/>
    </row>
    <row r="1706" spans="2:2" ht="15" x14ac:dyDescent="0.2">
      <c r="B1706" s="183"/>
    </row>
    <row r="1707" spans="2:2" ht="15" x14ac:dyDescent="0.2">
      <c r="B1707" s="183"/>
    </row>
    <row r="1708" spans="2:2" ht="15" x14ac:dyDescent="0.2">
      <c r="B1708" s="183"/>
    </row>
    <row r="1709" spans="2:2" ht="15" x14ac:dyDescent="0.2">
      <c r="B1709" s="183"/>
    </row>
    <row r="1710" spans="2:2" ht="15" x14ac:dyDescent="0.2">
      <c r="B1710" s="183"/>
    </row>
    <row r="1711" spans="2:2" ht="15" x14ac:dyDescent="0.2">
      <c r="B1711" s="183"/>
    </row>
    <row r="1712" spans="2:2" ht="15" x14ac:dyDescent="0.2">
      <c r="B1712" s="183"/>
    </row>
    <row r="1713" spans="2:2" ht="15" x14ac:dyDescent="0.2">
      <c r="B1713" s="183"/>
    </row>
    <row r="1714" spans="2:2" ht="15" x14ac:dyDescent="0.2">
      <c r="B1714" s="183"/>
    </row>
    <row r="1715" spans="2:2" ht="15" x14ac:dyDescent="0.2">
      <c r="B1715" s="183"/>
    </row>
    <row r="1716" spans="2:2" ht="15" x14ac:dyDescent="0.2">
      <c r="B1716" s="183"/>
    </row>
    <row r="1717" spans="2:2" ht="15" x14ac:dyDescent="0.2">
      <c r="B1717" s="183"/>
    </row>
    <row r="1718" spans="2:2" ht="15" x14ac:dyDescent="0.2">
      <c r="B1718" s="183"/>
    </row>
    <row r="1719" spans="2:2" ht="15" x14ac:dyDescent="0.2">
      <c r="B1719" s="183"/>
    </row>
    <row r="1720" spans="2:2" ht="15" x14ac:dyDescent="0.2">
      <c r="B1720" s="183"/>
    </row>
    <row r="1721" spans="2:2" ht="15" x14ac:dyDescent="0.2">
      <c r="B1721" s="183"/>
    </row>
    <row r="1722" spans="2:2" ht="15" x14ac:dyDescent="0.2">
      <c r="B1722" s="183"/>
    </row>
    <row r="1723" spans="2:2" ht="15" x14ac:dyDescent="0.2">
      <c r="B1723" s="183"/>
    </row>
    <row r="1724" spans="2:2" ht="15" x14ac:dyDescent="0.2">
      <c r="B1724" s="183"/>
    </row>
    <row r="1725" spans="2:2" ht="15" x14ac:dyDescent="0.2">
      <c r="B1725" s="183"/>
    </row>
    <row r="1726" spans="2:2" ht="15" x14ac:dyDescent="0.2">
      <c r="B1726" s="183"/>
    </row>
    <row r="1727" spans="2:2" ht="15" x14ac:dyDescent="0.2">
      <c r="B1727" s="183"/>
    </row>
    <row r="1728" spans="2:2" ht="15" x14ac:dyDescent="0.2">
      <c r="B1728" s="183"/>
    </row>
    <row r="1729" spans="2:2" ht="15" x14ac:dyDescent="0.2">
      <c r="B1729" s="183"/>
    </row>
    <row r="1730" spans="2:2" ht="15" x14ac:dyDescent="0.2">
      <c r="B1730" s="183"/>
    </row>
    <row r="1731" spans="2:2" ht="15" x14ac:dyDescent="0.2">
      <c r="B1731" s="183"/>
    </row>
    <row r="1732" spans="2:2" ht="15" x14ac:dyDescent="0.2">
      <c r="B1732" s="183"/>
    </row>
    <row r="1733" spans="2:2" ht="15" x14ac:dyDescent="0.2">
      <c r="B1733" s="183"/>
    </row>
    <row r="1734" spans="2:2" ht="15" x14ac:dyDescent="0.2">
      <c r="B1734" s="183"/>
    </row>
    <row r="1735" spans="2:2" ht="15" x14ac:dyDescent="0.2">
      <c r="B1735" s="183"/>
    </row>
    <row r="1736" spans="2:2" ht="15" x14ac:dyDescent="0.2">
      <c r="B1736" s="183"/>
    </row>
    <row r="1737" spans="2:2" ht="15" x14ac:dyDescent="0.2">
      <c r="B1737" s="183"/>
    </row>
    <row r="1738" spans="2:2" ht="15" x14ac:dyDescent="0.2">
      <c r="B1738" s="183"/>
    </row>
    <row r="1739" spans="2:2" ht="15" x14ac:dyDescent="0.2">
      <c r="B1739" s="183"/>
    </row>
    <row r="1740" spans="2:2" ht="15" x14ac:dyDescent="0.2">
      <c r="B1740" s="183"/>
    </row>
    <row r="1741" spans="2:2" ht="15" x14ac:dyDescent="0.2">
      <c r="B1741" s="183"/>
    </row>
    <row r="1742" spans="2:2" ht="15" x14ac:dyDescent="0.2">
      <c r="B1742" s="183"/>
    </row>
    <row r="1743" spans="2:2" ht="15" x14ac:dyDescent="0.2">
      <c r="B1743" s="183"/>
    </row>
    <row r="1744" spans="2:2" ht="15" x14ac:dyDescent="0.2">
      <c r="B1744" s="183"/>
    </row>
    <row r="1745" spans="2:2" ht="15" x14ac:dyDescent="0.2">
      <c r="B1745" s="183"/>
    </row>
    <row r="1746" spans="2:2" ht="15" x14ac:dyDescent="0.2">
      <c r="B1746" s="183"/>
    </row>
    <row r="1747" spans="2:2" ht="15" x14ac:dyDescent="0.2">
      <c r="B1747" s="183"/>
    </row>
    <row r="1748" spans="2:2" ht="15" x14ac:dyDescent="0.2">
      <c r="B1748" s="183"/>
    </row>
    <row r="1749" spans="2:2" ht="15" x14ac:dyDescent="0.2">
      <c r="B1749" s="183"/>
    </row>
    <row r="1750" spans="2:2" ht="15" x14ac:dyDescent="0.2">
      <c r="B1750" s="183"/>
    </row>
    <row r="1751" spans="2:2" ht="15" x14ac:dyDescent="0.2">
      <c r="B1751" s="183"/>
    </row>
    <row r="1752" spans="2:2" ht="15" x14ac:dyDescent="0.2">
      <c r="B1752" s="183"/>
    </row>
    <row r="1753" spans="2:2" ht="15" x14ac:dyDescent="0.2">
      <c r="B1753" s="183"/>
    </row>
    <row r="1754" spans="2:2" ht="15" x14ac:dyDescent="0.2">
      <c r="B1754" s="183"/>
    </row>
    <row r="1755" spans="2:2" ht="15" x14ac:dyDescent="0.2">
      <c r="B1755" s="183"/>
    </row>
    <row r="1756" spans="2:2" ht="15" x14ac:dyDescent="0.2">
      <c r="B1756" s="183"/>
    </row>
    <row r="1757" spans="2:2" ht="15" x14ac:dyDescent="0.2">
      <c r="B1757" s="183"/>
    </row>
    <row r="1758" spans="2:2" ht="15" x14ac:dyDescent="0.2">
      <c r="B1758" s="183"/>
    </row>
    <row r="1759" spans="2:2" ht="15" x14ac:dyDescent="0.2">
      <c r="B1759" s="183"/>
    </row>
    <row r="1760" spans="2:2" ht="15" x14ac:dyDescent="0.2">
      <c r="B1760" s="183"/>
    </row>
    <row r="1761" spans="2:2" ht="15" x14ac:dyDescent="0.2">
      <c r="B1761" s="183"/>
    </row>
    <row r="1762" spans="2:2" ht="15" x14ac:dyDescent="0.2">
      <c r="B1762" s="183"/>
    </row>
    <row r="1763" spans="2:2" ht="15" x14ac:dyDescent="0.2">
      <c r="B1763" s="183"/>
    </row>
    <row r="1764" spans="2:2" ht="15" x14ac:dyDescent="0.2">
      <c r="B1764" s="183"/>
    </row>
    <row r="1765" spans="2:2" ht="15" x14ac:dyDescent="0.2">
      <c r="B1765" s="183"/>
    </row>
    <row r="1766" spans="2:2" ht="15" x14ac:dyDescent="0.2">
      <c r="B1766" s="183"/>
    </row>
    <row r="1767" spans="2:2" ht="15" x14ac:dyDescent="0.2">
      <c r="B1767" s="183"/>
    </row>
    <row r="1768" spans="2:2" ht="15" x14ac:dyDescent="0.2">
      <c r="B1768" s="183"/>
    </row>
    <row r="1769" spans="2:2" ht="15" x14ac:dyDescent="0.2">
      <c r="B1769" s="183"/>
    </row>
    <row r="1770" spans="2:2" ht="15" x14ac:dyDescent="0.2">
      <c r="B1770" s="183"/>
    </row>
    <row r="1771" spans="2:2" ht="15" x14ac:dyDescent="0.2">
      <c r="B1771" s="183"/>
    </row>
    <row r="1772" spans="2:2" ht="15" x14ac:dyDescent="0.2">
      <c r="B1772" s="183"/>
    </row>
    <row r="1773" spans="2:2" ht="15" x14ac:dyDescent="0.2">
      <c r="B1773" s="183"/>
    </row>
    <row r="1774" spans="2:2" ht="15" x14ac:dyDescent="0.2">
      <c r="B1774" s="183"/>
    </row>
    <row r="1775" spans="2:2" ht="15" x14ac:dyDescent="0.2">
      <c r="B1775" s="183"/>
    </row>
    <row r="1776" spans="2:2" ht="15" x14ac:dyDescent="0.2">
      <c r="B1776" s="183"/>
    </row>
    <row r="1777" spans="2:2" ht="15" x14ac:dyDescent="0.2">
      <c r="B1777" s="183"/>
    </row>
    <row r="1778" spans="2:2" ht="15" x14ac:dyDescent="0.2">
      <c r="B1778" s="183"/>
    </row>
    <row r="1779" spans="2:2" ht="15" x14ac:dyDescent="0.2">
      <c r="B1779" s="183"/>
    </row>
    <row r="1780" spans="2:2" ht="15" x14ac:dyDescent="0.2">
      <c r="B1780" s="183"/>
    </row>
    <row r="1781" spans="2:2" ht="15" x14ac:dyDescent="0.2">
      <c r="B1781" s="183"/>
    </row>
    <row r="1782" spans="2:2" ht="15" x14ac:dyDescent="0.2">
      <c r="B1782" s="183"/>
    </row>
    <row r="1783" spans="2:2" ht="15" x14ac:dyDescent="0.2">
      <c r="B1783" s="183"/>
    </row>
    <row r="1784" spans="2:2" ht="15" x14ac:dyDescent="0.2">
      <c r="B1784" s="183"/>
    </row>
    <row r="1785" spans="2:2" ht="15" x14ac:dyDescent="0.2">
      <c r="B1785" s="183"/>
    </row>
    <row r="1786" spans="2:2" ht="15" x14ac:dyDescent="0.2">
      <c r="B1786" s="183"/>
    </row>
    <row r="1787" spans="2:2" ht="15" x14ac:dyDescent="0.2">
      <c r="B1787" s="183"/>
    </row>
    <row r="1788" spans="2:2" ht="15" x14ac:dyDescent="0.2">
      <c r="B1788" s="183"/>
    </row>
    <row r="1789" spans="2:2" ht="15" x14ac:dyDescent="0.2">
      <c r="B1789" s="183"/>
    </row>
    <row r="1790" spans="2:2" ht="15" x14ac:dyDescent="0.2">
      <c r="B1790" s="183"/>
    </row>
    <row r="1791" spans="2:2" ht="15" x14ac:dyDescent="0.2">
      <c r="B1791" s="183"/>
    </row>
    <row r="1792" spans="2:2" ht="15" x14ac:dyDescent="0.2">
      <c r="B1792" s="183"/>
    </row>
    <row r="1793" spans="2:2" ht="15" x14ac:dyDescent="0.2">
      <c r="B1793" s="183"/>
    </row>
    <row r="1794" spans="2:2" ht="15" x14ac:dyDescent="0.2">
      <c r="B1794" s="183"/>
    </row>
    <row r="1795" spans="2:2" ht="15" x14ac:dyDescent="0.2">
      <c r="B1795" s="183"/>
    </row>
    <row r="1796" spans="2:2" ht="15" x14ac:dyDescent="0.2">
      <c r="B1796" s="183"/>
    </row>
    <row r="1797" spans="2:2" ht="15" x14ac:dyDescent="0.2">
      <c r="B1797" s="183"/>
    </row>
    <row r="1798" spans="2:2" ht="15" x14ac:dyDescent="0.2">
      <c r="B1798" s="183"/>
    </row>
    <row r="1799" spans="2:2" ht="15" x14ac:dyDescent="0.2">
      <c r="B1799" s="183"/>
    </row>
    <row r="1800" spans="2:2" ht="15" x14ac:dyDescent="0.2">
      <c r="B1800" s="183"/>
    </row>
    <row r="1801" spans="2:2" ht="15" x14ac:dyDescent="0.2">
      <c r="B1801" s="183"/>
    </row>
    <row r="1802" spans="2:2" ht="15" x14ac:dyDescent="0.2">
      <c r="B1802" s="183"/>
    </row>
    <row r="1803" spans="2:2" ht="15" x14ac:dyDescent="0.2">
      <c r="B1803" s="183"/>
    </row>
    <row r="1804" spans="2:2" ht="15" x14ac:dyDescent="0.2">
      <c r="B1804" s="183"/>
    </row>
    <row r="1805" spans="2:2" ht="15" x14ac:dyDescent="0.2">
      <c r="B1805" s="183"/>
    </row>
    <row r="1806" spans="2:2" ht="15" x14ac:dyDescent="0.2">
      <c r="B1806" s="183"/>
    </row>
    <row r="1807" spans="2:2" ht="15" x14ac:dyDescent="0.2">
      <c r="B1807" s="183"/>
    </row>
    <row r="1808" spans="2:2" ht="15" x14ac:dyDescent="0.2">
      <c r="B1808" s="183"/>
    </row>
    <row r="1809" spans="2:2" ht="15" x14ac:dyDescent="0.2">
      <c r="B1809" s="183"/>
    </row>
    <row r="1810" spans="2:2" ht="15" x14ac:dyDescent="0.2">
      <c r="B1810" s="183"/>
    </row>
    <row r="1811" spans="2:2" ht="15" x14ac:dyDescent="0.2">
      <c r="B1811" s="183"/>
    </row>
    <row r="1812" spans="2:2" ht="15" x14ac:dyDescent="0.2">
      <c r="B1812" s="183"/>
    </row>
    <row r="1813" spans="2:2" ht="15" x14ac:dyDescent="0.2">
      <c r="B1813" s="183"/>
    </row>
    <row r="1814" spans="2:2" ht="15" x14ac:dyDescent="0.2">
      <c r="B1814" s="183"/>
    </row>
    <row r="1815" spans="2:2" ht="15" x14ac:dyDescent="0.2">
      <c r="B1815" s="183"/>
    </row>
    <row r="1816" spans="2:2" ht="15" x14ac:dyDescent="0.2">
      <c r="B1816" s="183"/>
    </row>
    <row r="1817" spans="2:2" ht="15" x14ac:dyDescent="0.2">
      <c r="B1817" s="183"/>
    </row>
    <row r="1818" spans="2:2" ht="15" x14ac:dyDescent="0.2">
      <c r="B1818" s="183"/>
    </row>
    <row r="1819" spans="2:2" ht="15" x14ac:dyDescent="0.2">
      <c r="B1819" s="183"/>
    </row>
    <row r="1820" spans="2:2" ht="15" x14ac:dyDescent="0.2">
      <c r="B1820" s="183"/>
    </row>
    <row r="1821" spans="2:2" ht="15" x14ac:dyDescent="0.2">
      <c r="B1821" s="183"/>
    </row>
    <row r="1822" spans="2:2" ht="15" x14ac:dyDescent="0.2">
      <c r="B1822" s="183"/>
    </row>
    <row r="1823" spans="2:2" ht="15" x14ac:dyDescent="0.2">
      <c r="B1823" s="183"/>
    </row>
    <row r="1824" spans="2:2" ht="15" x14ac:dyDescent="0.2">
      <c r="B1824" s="183"/>
    </row>
    <row r="1825" spans="2:2" ht="15" x14ac:dyDescent="0.2">
      <c r="B1825" s="183"/>
    </row>
    <row r="1826" spans="2:2" ht="15" x14ac:dyDescent="0.2">
      <c r="B1826" s="183"/>
    </row>
    <row r="1827" spans="2:2" ht="15" x14ac:dyDescent="0.2">
      <c r="B1827" s="183"/>
    </row>
    <row r="1828" spans="2:2" ht="15" x14ac:dyDescent="0.2">
      <c r="B1828" s="183"/>
    </row>
    <row r="1829" spans="2:2" ht="15" x14ac:dyDescent="0.2">
      <c r="B1829" s="183"/>
    </row>
    <row r="1830" spans="2:2" ht="15" x14ac:dyDescent="0.2">
      <c r="B1830" s="183"/>
    </row>
    <row r="1831" spans="2:2" ht="15" x14ac:dyDescent="0.2">
      <c r="B1831" s="183"/>
    </row>
    <row r="1832" spans="2:2" ht="15" x14ac:dyDescent="0.2">
      <c r="B1832" s="183"/>
    </row>
    <row r="1833" spans="2:2" ht="15" x14ac:dyDescent="0.2">
      <c r="B1833" s="183"/>
    </row>
    <row r="1834" spans="2:2" ht="15" x14ac:dyDescent="0.2">
      <c r="B1834" s="183"/>
    </row>
    <row r="1835" spans="2:2" ht="15" x14ac:dyDescent="0.2">
      <c r="B1835" s="183"/>
    </row>
    <row r="1836" spans="2:2" ht="15" x14ac:dyDescent="0.2">
      <c r="B1836" s="183"/>
    </row>
    <row r="1837" spans="2:2" ht="15" x14ac:dyDescent="0.2">
      <c r="B1837" s="183"/>
    </row>
    <row r="1838" spans="2:2" ht="15" x14ac:dyDescent="0.2">
      <c r="B1838" s="183"/>
    </row>
    <row r="1839" spans="2:2" ht="15" x14ac:dyDescent="0.2">
      <c r="B1839" s="183"/>
    </row>
    <row r="1840" spans="2:2" ht="15" x14ac:dyDescent="0.2">
      <c r="B1840" s="183"/>
    </row>
    <row r="1841" spans="2:2" ht="15" x14ac:dyDescent="0.2">
      <c r="B1841" s="183"/>
    </row>
    <row r="1842" spans="2:2" ht="15" x14ac:dyDescent="0.2">
      <c r="B1842" s="183"/>
    </row>
    <row r="1843" spans="2:2" ht="15" x14ac:dyDescent="0.2">
      <c r="B1843" s="183"/>
    </row>
    <row r="1844" spans="2:2" ht="15" x14ac:dyDescent="0.2">
      <c r="B1844" s="183"/>
    </row>
    <row r="1845" spans="2:2" ht="15" x14ac:dyDescent="0.2">
      <c r="B1845" s="183"/>
    </row>
    <row r="1846" spans="2:2" ht="15" x14ac:dyDescent="0.2">
      <c r="B1846" s="183"/>
    </row>
    <row r="1847" spans="2:2" ht="15" x14ac:dyDescent="0.2">
      <c r="B1847" s="183"/>
    </row>
    <row r="1848" spans="2:2" ht="15" x14ac:dyDescent="0.2">
      <c r="B1848" s="183"/>
    </row>
    <row r="1849" spans="2:2" ht="15" x14ac:dyDescent="0.2">
      <c r="B1849" s="183"/>
    </row>
    <row r="1850" spans="2:2" ht="15" x14ac:dyDescent="0.2">
      <c r="B1850" s="183"/>
    </row>
    <row r="1851" spans="2:2" ht="15" x14ac:dyDescent="0.2">
      <c r="B1851" s="183"/>
    </row>
    <row r="1852" spans="2:2" ht="15" x14ac:dyDescent="0.2">
      <c r="B1852" s="183"/>
    </row>
    <row r="1853" spans="2:2" ht="15" x14ac:dyDescent="0.2">
      <c r="B1853" s="183"/>
    </row>
    <row r="1854" spans="2:2" ht="15" x14ac:dyDescent="0.2">
      <c r="B1854" s="183"/>
    </row>
    <row r="1855" spans="2:2" ht="15" x14ac:dyDescent="0.2">
      <c r="B1855" s="183"/>
    </row>
    <row r="1856" spans="2:2" ht="15" x14ac:dyDescent="0.2">
      <c r="B1856" s="183"/>
    </row>
    <row r="1857" spans="2:2" ht="15" x14ac:dyDescent="0.2">
      <c r="B1857" s="183"/>
    </row>
    <row r="1858" spans="2:2" ht="15" x14ac:dyDescent="0.2">
      <c r="B1858" s="183"/>
    </row>
    <row r="1859" spans="2:2" ht="15" x14ac:dyDescent="0.2">
      <c r="B1859" s="183"/>
    </row>
    <row r="1860" spans="2:2" ht="15" x14ac:dyDescent="0.2">
      <c r="B1860" s="183"/>
    </row>
    <row r="1861" spans="2:2" ht="15" x14ac:dyDescent="0.2">
      <c r="B1861" s="183"/>
    </row>
    <row r="1862" spans="2:2" ht="15" x14ac:dyDescent="0.2">
      <c r="B1862" s="183"/>
    </row>
    <row r="1863" spans="2:2" ht="15" x14ac:dyDescent="0.2">
      <c r="B1863" s="183"/>
    </row>
    <row r="1864" spans="2:2" ht="15" x14ac:dyDescent="0.2">
      <c r="B1864" s="183"/>
    </row>
    <row r="1865" spans="2:2" ht="15" x14ac:dyDescent="0.2">
      <c r="B1865" s="183"/>
    </row>
    <row r="1866" spans="2:2" ht="15" x14ac:dyDescent="0.2">
      <c r="B1866" s="183"/>
    </row>
    <row r="1867" spans="2:2" ht="15" x14ac:dyDescent="0.2">
      <c r="B1867" s="183"/>
    </row>
    <row r="1868" spans="2:2" ht="15" x14ac:dyDescent="0.2">
      <c r="B1868" s="183"/>
    </row>
    <row r="1869" spans="2:2" ht="15" x14ac:dyDescent="0.2">
      <c r="B1869" s="183"/>
    </row>
    <row r="1870" spans="2:2" ht="15" x14ac:dyDescent="0.2">
      <c r="B1870" s="183"/>
    </row>
    <row r="1871" spans="2:2" ht="15" x14ac:dyDescent="0.2">
      <c r="B1871" s="183"/>
    </row>
    <row r="1872" spans="2:2" ht="15" x14ac:dyDescent="0.2">
      <c r="B1872" s="183"/>
    </row>
    <row r="1873" spans="2:2" ht="15" x14ac:dyDescent="0.2">
      <c r="B1873" s="183"/>
    </row>
    <row r="1874" spans="2:2" ht="15" x14ac:dyDescent="0.2">
      <c r="B1874" s="183"/>
    </row>
    <row r="1875" spans="2:2" ht="15" x14ac:dyDescent="0.2">
      <c r="B1875" s="183"/>
    </row>
    <row r="1876" spans="2:2" ht="15" x14ac:dyDescent="0.2">
      <c r="B1876" s="183"/>
    </row>
    <row r="1877" spans="2:2" ht="15" x14ac:dyDescent="0.2">
      <c r="B1877" s="183"/>
    </row>
    <row r="1878" spans="2:2" ht="15" x14ac:dyDescent="0.2">
      <c r="B1878" s="183"/>
    </row>
    <row r="1879" spans="2:2" ht="15" x14ac:dyDescent="0.2">
      <c r="B1879" s="183"/>
    </row>
    <row r="1880" spans="2:2" ht="15" x14ac:dyDescent="0.2">
      <c r="B1880" s="183"/>
    </row>
    <row r="1881" spans="2:2" ht="15" x14ac:dyDescent="0.2">
      <c r="B1881" s="183"/>
    </row>
    <row r="1882" spans="2:2" ht="15" x14ac:dyDescent="0.2">
      <c r="B1882" s="183"/>
    </row>
    <row r="1883" spans="2:2" ht="15" x14ac:dyDescent="0.2">
      <c r="B1883" s="183"/>
    </row>
    <row r="1884" spans="2:2" ht="15" x14ac:dyDescent="0.2">
      <c r="B1884" s="183"/>
    </row>
    <row r="1885" spans="2:2" ht="15" x14ac:dyDescent="0.2">
      <c r="B1885" s="183"/>
    </row>
    <row r="1886" spans="2:2" ht="15" x14ac:dyDescent="0.2">
      <c r="B1886" s="183"/>
    </row>
    <row r="1887" spans="2:2" ht="15" x14ac:dyDescent="0.2">
      <c r="B1887" s="183"/>
    </row>
    <row r="1888" spans="2:2" ht="15" x14ac:dyDescent="0.2">
      <c r="B1888" s="183"/>
    </row>
    <row r="1889" spans="2:2" ht="15" x14ac:dyDescent="0.2">
      <c r="B1889" s="183"/>
    </row>
    <row r="1890" spans="2:2" ht="15" x14ac:dyDescent="0.2">
      <c r="B1890" s="183"/>
    </row>
    <row r="1891" spans="2:2" ht="15" x14ac:dyDescent="0.2">
      <c r="B1891" s="183"/>
    </row>
    <row r="1892" spans="2:2" ht="15" x14ac:dyDescent="0.2">
      <c r="B1892" s="183"/>
    </row>
    <row r="1893" spans="2:2" ht="15" x14ac:dyDescent="0.2">
      <c r="B1893" s="183"/>
    </row>
    <row r="1894" spans="2:2" ht="15" x14ac:dyDescent="0.2">
      <c r="B1894" s="183"/>
    </row>
    <row r="1895" spans="2:2" ht="15" x14ac:dyDescent="0.2">
      <c r="B1895" s="183"/>
    </row>
    <row r="1896" spans="2:2" ht="15" x14ac:dyDescent="0.2">
      <c r="B1896" s="183"/>
    </row>
    <row r="1897" spans="2:2" ht="15" x14ac:dyDescent="0.2">
      <c r="B1897" s="183"/>
    </row>
    <row r="1898" spans="2:2" ht="15" x14ac:dyDescent="0.2">
      <c r="B1898" s="183"/>
    </row>
    <row r="1899" spans="2:2" ht="15" x14ac:dyDescent="0.2">
      <c r="B1899" s="183"/>
    </row>
    <row r="1900" spans="2:2" ht="15" x14ac:dyDescent="0.2">
      <c r="B1900" s="183"/>
    </row>
    <row r="1901" spans="2:2" ht="15" x14ac:dyDescent="0.2">
      <c r="B1901" s="183"/>
    </row>
    <row r="1902" spans="2:2" ht="15" x14ac:dyDescent="0.2">
      <c r="B1902" s="183"/>
    </row>
    <row r="1903" spans="2:2" ht="15" x14ac:dyDescent="0.2">
      <c r="B1903" s="183"/>
    </row>
    <row r="1904" spans="2:2" ht="15" x14ac:dyDescent="0.2">
      <c r="B1904" s="183"/>
    </row>
    <row r="1905" spans="2:2" ht="15" x14ac:dyDescent="0.2">
      <c r="B1905" s="183"/>
    </row>
    <row r="1906" spans="2:2" ht="15" x14ac:dyDescent="0.2">
      <c r="B1906" s="183"/>
    </row>
    <row r="1907" spans="2:2" ht="15" x14ac:dyDescent="0.2">
      <c r="B1907" s="183"/>
    </row>
    <row r="1908" spans="2:2" ht="15" x14ac:dyDescent="0.2">
      <c r="B1908" s="183"/>
    </row>
    <row r="1909" spans="2:2" ht="15" x14ac:dyDescent="0.2">
      <c r="B1909" s="183"/>
    </row>
    <row r="1910" spans="2:2" ht="15" x14ac:dyDescent="0.2">
      <c r="B1910" s="183"/>
    </row>
    <row r="1911" spans="2:2" ht="15" x14ac:dyDescent="0.2">
      <c r="B1911" s="183"/>
    </row>
    <row r="1912" spans="2:2" ht="15" x14ac:dyDescent="0.2">
      <c r="B1912" s="183"/>
    </row>
    <row r="1913" spans="2:2" ht="15" x14ac:dyDescent="0.2">
      <c r="B1913" s="183"/>
    </row>
    <row r="1914" spans="2:2" ht="15" x14ac:dyDescent="0.2">
      <c r="B1914" s="183"/>
    </row>
    <row r="1915" spans="2:2" ht="15" x14ac:dyDescent="0.2">
      <c r="B1915" s="183"/>
    </row>
    <row r="1916" spans="2:2" ht="15" x14ac:dyDescent="0.2">
      <c r="B1916" s="183"/>
    </row>
    <row r="1917" spans="2:2" ht="15" x14ac:dyDescent="0.2">
      <c r="B1917" s="183"/>
    </row>
    <row r="1918" spans="2:2" ht="15" x14ac:dyDescent="0.2">
      <c r="B1918" s="183"/>
    </row>
    <row r="1919" spans="2:2" ht="15" x14ac:dyDescent="0.2">
      <c r="B1919" s="183"/>
    </row>
    <row r="1920" spans="2:2" ht="15" x14ac:dyDescent="0.2">
      <c r="B1920" s="183"/>
    </row>
    <row r="1921" spans="2:2" ht="15" x14ac:dyDescent="0.2">
      <c r="B1921" s="183"/>
    </row>
    <row r="1922" spans="2:2" ht="15" x14ac:dyDescent="0.2">
      <c r="B1922" s="183"/>
    </row>
    <row r="1923" spans="2:2" ht="15" x14ac:dyDescent="0.2">
      <c r="B1923" s="183"/>
    </row>
    <row r="1924" spans="2:2" ht="15" x14ac:dyDescent="0.2">
      <c r="B1924" s="183"/>
    </row>
    <row r="1925" spans="2:2" ht="15" x14ac:dyDescent="0.2">
      <c r="B1925" s="183"/>
    </row>
    <row r="1926" spans="2:2" ht="15" x14ac:dyDescent="0.2">
      <c r="B1926" s="183"/>
    </row>
    <row r="1927" spans="2:2" ht="15" x14ac:dyDescent="0.2">
      <c r="B1927" s="183"/>
    </row>
    <row r="1928" spans="2:2" ht="15" x14ac:dyDescent="0.2">
      <c r="B1928" s="183"/>
    </row>
    <row r="1929" spans="2:2" ht="15" x14ac:dyDescent="0.2">
      <c r="B1929" s="183"/>
    </row>
    <row r="1930" spans="2:2" ht="15" x14ac:dyDescent="0.2">
      <c r="B1930" s="183"/>
    </row>
    <row r="1931" spans="2:2" ht="15" x14ac:dyDescent="0.2">
      <c r="B1931" s="183"/>
    </row>
    <row r="1932" spans="2:2" ht="15" x14ac:dyDescent="0.2">
      <c r="B1932" s="183"/>
    </row>
    <row r="1933" spans="2:2" ht="15" x14ac:dyDescent="0.2">
      <c r="B1933" s="183"/>
    </row>
    <row r="1934" spans="2:2" ht="15" x14ac:dyDescent="0.2">
      <c r="B1934" s="183"/>
    </row>
    <row r="1935" spans="2:2" ht="15" x14ac:dyDescent="0.2">
      <c r="B1935" s="183"/>
    </row>
    <row r="1936" spans="2:2" ht="15" x14ac:dyDescent="0.2">
      <c r="B1936" s="183"/>
    </row>
    <row r="1937" spans="2:2" ht="15" x14ac:dyDescent="0.2">
      <c r="B1937" s="183"/>
    </row>
    <row r="1938" spans="2:2" ht="15" x14ac:dyDescent="0.2">
      <c r="B1938" s="183"/>
    </row>
    <row r="1939" spans="2:2" ht="15" x14ac:dyDescent="0.2">
      <c r="B1939" s="183"/>
    </row>
    <row r="1940" spans="2:2" ht="15" x14ac:dyDescent="0.2">
      <c r="B1940" s="183"/>
    </row>
    <row r="1941" spans="2:2" ht="15" x14ac:dyDescent="0.2">
      <c r="B1941" s="183"/>
    </row>
    <row r="1942" spans="2:2" ht="15" x14ac:dyDescent="0.2">
      <c r="B1942" s="183"/>
    </row>
    <row r="1943" spans="2:2" ht="15" x14ac:dyDescent="0.2">
      <c r="B1943" s="183"/>
    </row>
    <row r="1944" spans="2:2" ht="15" x14ac:dyDescent="0.2">
      <c r="B1944" s="183"/>
    </row>
    <row r="1945" spans="2:2" ht="15" x14ac:dyDescent="0.2">
      <c r="B1945" s="183"/>
    </row>
    <row r="1946" spans="2:2" ht="15" x14ac:dyDescent="0.2">
      <c r="B1946" s="183"/>
    </row>
    <row r="1947" spans="2:2" ht="15" x14ac:dyDescent="0.2">
      <c r="B1947" s="183"/>
    </row>
    <row r="1948" spans="2:2" ht="15" x14ac:dyDescent="0.2">
      <c r="B1948" s="183"/>
    </row>
    <row r="1949" spans="2:2" ht="15" x14ac:dyDescent="0.2">
      <c r="B1949" s="183"/>
    </row>
    <row r="1950" spans="2:2" ht="15" x14ac:dyDescent="0.2">
      <c r="B1950" s="183"/>
    </row>
    <row r="1951" spans="2:2" ht="15" x14ac:dyDescent="0.2">
      <c r="B1951" s="183"/>
    </row>
    <row r="1952" spans="2:2" ht="15" x14ac:dyDescent="0.2">
      <c r="B1952" s="183"/>
    </row>
    <row r="1953" spans="2:2" ht="15" x14ac:dyDescent="0.2">
      <c r="B1953" s="183"/>
    </row>
    <row r="1954" spans="2:2" ht="15" x14ac:dyDescent="0.2">
      <c r="B1954" s="183"/>
    </row>
    <row r="1955" spans="2:2" ht="15" x14ac:dyDescent="0.2">
      <c r="B1955" s="183"/>
    </row>
    <row r="1956" spans="2:2" ht="15" x14ac:dyDescent="0.2">
      <c r="B1956" s="183"/>
    </row>
    <row r="1957" spans="2:2" ht="15" x14ac:dyDescent="0.2">
      <c r="B1957" s="183"/>
    </row>
    <row r="1958" spans="2:2" ht="15" x14ac:dyDescent="0.2">
      <c r="B1958" s="183"/>
    </row>
    <row r="1959" spans="2:2" ht="15" x14ac:dyDescent="0.2">
      <c r="B1959" s="183"/>
    </row>
    <row r="1960" spans="2:2" ht="15" x14ac:dyDescent="0.2">
      <c r="B1960" s="183"/>
    </row>
    <row r="1961" spans="2:2" ht="15" x14ac:dyDescent="0.2">
      <c r="B1961" s="183"/>
    </row>
    <row r="1962" spans="2:2" ht="15" x14ac:dyDescent="0.2">
      <c r="B1962" s="183"/>
    </row>
    <row r="1963" spans="2:2" ht="15" x14ac:dyDescent="0.2">
      <c r="B1963" s="183"/>
    </row>
    <row r="1964" spans="2:2" ht="15" x14ac:dyDescent="0.2">
      <c r="B1964" s="183"/>
    </row>
    <row r="1965" spans="2:2" ht="15" x14ac:dyDescent="0.2">
      <c r="B1965" s="183"/>
    </row>
    <row r="1966" spans="2:2" ht="15" x14ac:dyDescent="0.2">
      <c r="B1966" s="183"/>
    </row>
    <row r="1967" spans="2:2" ht="15" x14ac:dyDescent="0.2">
      <c r="B1967" s="183"/>
    </row>
    <row r="1968" spans="2:2" ht="15" x14ac:dyDescent="0.2">
      <c r="B1968" s="183"/>
    </row>
    <row r="1969" spans="2:2" ht="15" x14ac:dyDescent="0.2">
      <c r="B1969" s="183"/>
    </row>
    <row r="1970" spans="2:2" ht="15" x14ac:dyDescent="0.2">
      <c r="B1970" s="183"/>
    </row>
    <row r="1971" spans="2:2" ht="15" x14ac:dyDescent="0.2">
      <c r="B1971" s="183"/>
    </row>
    <row r="1972" spans="2:2" ht="15" x14ac:dyDescent="0.2">
      <c r="B1972" s="183"/>
    </row>
    <row r="1973" spans="2:2" ht="15" x14ac:dyDescent="0.2">
      <c r="B1973" s="183"/>
    </row>
    <row r="1974" spans="2:2" ht="15" x14ac:dyDescent="0.2">
      <c r="B1974" s="183"/>
    </row>
    <row r="1975" spans="2:2" ht="15" x14ac:dyDescent="0.2">
      <c r="B1975" s="183"/>
    </row>
    <row r="1976" spans="2:2" ht="15" x14ac:dyDescent="0.2">
      <c r="B1976" s="183"/>
    </row>
    <row r="1977" spans="2:2" ht="15" x14ac:dyDescent="0.2">
      <c r="B1977" s="183"/>
    </row>
    <row r="1978" spans="2:2" ht="15" x14ac:dyDescent="0.2">
      <c r="B1978" s="183"/>
    </row>
    <row r="1979" spans="2:2" ht="15" x14ac:dyDescent="0.2">
      <c r="B1979" s="183"/>
    </row>
    <row r="1980" spans="2:2" ht="15" x14ac:dyDescent="0.2">
      <c r="B1980" s="183"/>
    </row>
    <row r="1981" spans="2:2" ht="15" x14ac:dyDescent="0.2">
      <c r="B1981" s="183"/>
    </row>
    <row r="1982" spans="2:2" ht="15" x14ac:dyDescent="0.2">
      <c r="B1982" s="183"/>
    </row>
    <row r="1983" spans="2:2" ht="15" x14ac:dyDescent="0.2">
      <c r="B1983" s="183"/>
    </row>
    <row r="1984" spans="2:2" ht="15" x14ac:dyDescent="0.2">
      <c r="B1984" s="183"/>
    </row>
    <row r="1985" spans="2:2" ht="15" x14ac:dyDescent="0.2">
      <c r="B1985" s="183"/>
    </row>
    <row r="1986" spans="2:2" ht="15" x14ac:dyDescent="0.2">
      <c r="B1986" s="183"/>
    </row>
    <row r="1987" spans="2:2" ht="15" x14ac:dyDescent="0.2">
      <c r="B1987" s="183"/>
    </row>
    <row r="1988" spans="2:2" ht="15" x14ac:dyDescent="0.2">
      <c r="B1988" s="183"/>
    </row>
    <row r="1989" spans="2:2" ht="15" x14ac:dyDescent="0.2">
      <c r="B1989" s="183"/>
    </row>
    <row r="1990" spans="2:2" ht="15" x14ac:dyDescent="0.2">
      <c r="B1990" s="183"/>
    </row>
    <row r="1991" spans="2:2" ht="15" x14ac:dyDescent="0.2">
      <c r="B1991" s="183"/>
    </row>
    <row r="1992" spans="2:2" ht="15" x14ac:dyDescent="0.2">
      <c r="B1992" s="183"/>
    </row>
    <row r="1993" spans="2:2" ht="15" x14ac:dyDescent="0.2">
      <c r="B1993" s="183"/>
    </row>
    <row r="1994" spans="2:2" ht="15" x14ac:dyDescent="0.2">
      <c r="B1994" s="183"/>
    </row>
    <row r="1995" spans="2:2" ht="15" x14ac:dyDescent="0.2">
      <c r="B1995" s="183"/>
    </row>
    <row r="1996" spans="2:2" ht="15" x14ac:dyDescent="0.2">
      <c r="B1996" s="183"/>
    </row>
    <row r="1997" spans="2:2" ht="15" x14ac:dyDescent="0.2">
      <c r="B1997" s="183"/>
    </row>
    <row r="1998" spans="2:2" ht="15" x14ac:dyDescent="0.2">
      <c r="B1998" s="183"/>
    </row>
    <row r="1999" spans="2:2" ht="15" x14ac:dyDescent="0.2">
      <c r="B1999" s="183"/>
    </row>
    <row r="2000" spans="2:2" ht="15" x14ac:dyDescent="0.2">
      <c r="B2000" s="183"/>
    </row>
    <row r="2001" spans="2:2" ht="15" x14ac:dyDescent="0.2">
      <c r="B2001" s="183"/>
    </row>
    <row r="2002" spans="2:2" ht="15" x14ac:dyDescent="0.2">
      <c r="B2002" s="183"/>
    </row>
    <row r="2003" spans="2:2" ht="15" x14ac:dyDescent="0.2">
      <c r="B2003" s="183"/>
    </row>
    <row r="2004" spans="2:2" ht="15" x14ac:dyDescent="0.2">
      <c r="B2004" s="183"/>
    </row>
    <row r="2005" spans="2:2" ht="15" x14ac:dyDescent="0.2">
      <c r="B2005" s="183"/>
    </row>
    <row r="2006" spans="2:2" ht="15" x14ac:dyDescent="0.2">
      <c r="B2006" s="183"/>
    </row>
    <row r="2007" spans="2:2" ht="15" x14ac:dyDescent="0.2">
      <c r="B2007" s="183"/>
    </row>
    <row r="2008" spans="2:2" ht="15" x14ac:dyDescent="0.2">
      <c r="B2008" s="183"/>
    </row>
    <row r="2009" spans="2:2" ht="15" x14ac:dyDescent="0.2">
      <c r="B2009" s="183"/>
    </row>
    <row r="2010" spans="2:2" ht="15" x14ac:dyDescent="0.2">
      <c r="B2010" s="183"/>
    </row>
    <row r="2011" spans="2:2" ht="15" x14ac:dyDescent="0.2">
      <c r="B2011" s="183"/>
    </row>
    <row r="2012" spans="2:2" ht="15" x14ac:dyDescent="0.2">
      <c r="B2012" s="183"/>
    </row>
    <row r="2013" spans="2:2" ht="15" x14ac:dyDescent="0.2">
      <c r="B2013" s="183"/>
    </row>
    <row r="2014" spans="2:2" ht="15" x14ac:dyDescent="0.2">
      <c r="B2014" s="183"/>
    </row>
    <row r="2015" spans="2:2" ht="15" x14ac:dyDescent="0.2">
      <c r="B2015" s="183"/>
    </row>
    <row r="2016" spans="2:2" ht="15" x14ac:dyDescent="0.2">
      <c r="B2016" s="183"/>
    </row>
    <row r="2017" spans="2:2" ht="15" x14ac:dyDescent="0.2">
      <c r="B2017" s="183"/>
    </row>
    <row r="2018" spans="2:2" ht="15" x14ac:dyDescent="0.2">
      <c r="B2018" s="183"/>
    </row>
    <row r="2019" spans="2:2" ht="15" x14ac:dyDescent="0.2">
      <c r="B2019" s="183"/>
    </row>
    <row r="2020" spans="2:2" ht="15" x14ac:dyDescent="0.2">
      <c r="B2020" s="183"/>
    </row>
    <row r="2021" spans="2:2" ht="15" x14ac:dyDescent="0.2">
      <c r="B2021" s="183"/>
    </row>
    <row r="2022" spans="2:2" ht="15" x14ac:dyDescent="0.2">
      <c r="B2022" s="183"/>
    </row>
    <row r="2023" spans="2:2" ht="15" x14ac:dyDescent="0.2">
      <c r="B2023" s="183"/>
    </row>
    <row r="2024" spans="2:2" ht="15" x14ac:dyDescent="0.2">
      <c r="B2024" s="183"/>
    </row>
    <row r="2025" spans="2:2" ht="15" x14ac:dyDescent="0.2">
      <c r="B2025" s="183"/>
    </row>
    <row r="2026" spans="2:2" ht="15" x14ac:dyDescent="0.2">
      <c r="B2026" s="183"/>
    </row>
    <row r="2027" spans="2:2" ht="15" x14ac:dyDescent="0.2">
      <c r="B2027" s="183"/>
    </row>
    <row r="2028" spans="2:2" ht="15" x14ac:dyDescent="0.2">
      <c r="B2028" s="183"/>
    </row>
    <row r="2029" spans="2:2" ht="15" x14ac:dyDescent="0.2">
      <c r="B2029" s="183"/>
    </row>
    <row r="2030" spans="2:2" ht="15" x14ac:dyDescent="0.2">
      <c r="B2030" s="183"/>
    </row>
    <row r="2031" spans="2:2" ht="15" x14ac:dyDescent="0.2">
      <c r="B2031" s="183"/>
    </row>
    <row r="2032" spans="2:2" ht="15" x14ac:dyDescent="0.2">
      <c r="B2032" s="183"/>
    </row>
    <row r="2033" spans="2:2" ht="15" x14ac:dyDescent="0.2">
      <c r="B2033" s="183"/>
    </row>
    <row r="2034" spans="2:2" ht="15" x14ac:dyDescent="0.2">
      <c r="B2034" s="183"/>
    </row>
    <row r="2035" spans="2:2" ht="15" x14ac:dyDescent="0.2">
      <c r="B2035" s="183"/>
    </row>
    <row r="2036" spans="2:2" ht="15" x14ac:dyDescent="0.2">
      <c r="B2036" s="183"/>
    </row>
    <row r="2037" spans="2:2" ht="15" x14ac:dyDescent="0.2">
      <c r="B2037" s="183"/>
    </row>
    <row r="2038" spans="2:2" ht="15" x14ac:dyDescent="0.2">
      <c r="B2038" s="183"/>
    </row>
    <row r="2039" spans="2:2" ht="15" x14ac:dyDescent="0.2">
      <c r="B2039" s="183"/>
    </row>
    <row r="2040" spans="2:2" ht="15" x14ac:dyDescent="0.2">
      <c r="B2040" s="183"/>
    </row>
    <row r="2041" spans="2:2" ht="15" x14ac:dyDescent="0.2">
      <c r="B2041" s="183"/>
    </row>
    <row r="2042" spans="2:2" ht="15" x14ac:dyDescent="0.2">
      <c r="B2042" s="183"/>
    </row>
    <row r="2043" spans="2:2" ht="15" x14ac:dyDescent="0.2">
      <c r="B2043" s="183"/>
    </row>
    <row r="2044" spans="2:2" ht="15" x14ac:dyDescent="0.2">
      <c r="B2044" s="183"/>
    </row>
    <row r="2045" spans="2:2" ht="15" x14ac:dyDescent="0.2">
      <c r="B2045" s="183"/>
    </row>
    <row r="2046" spans="2:2" ht="15" x14ac:dyDescent="0.2">
      <c r="B2046" s="183"/>
    </row>
    <row r="2047" spans="2:2" ht="15" x14ac:dyDescent="0.2">
      <c r="B2047" s="183"/>
    </row>
    <row r="2048" spans="2:2" ht="15" x14ac:dyDescent="0.2">
      <c r="B2048" s="183"/>
    </row>
    <row r="2049" spans="2:2" ht="15" x14ac:dyDescent="0.2">
      <c r="B2049" s="183"/>
    </row>
    <row r="2050" spans="2:2" ht="15" x14ac:dyDescent="0.2">
      <c r="B2050" s="183"/>
    </row>
    <row r="2051" spans="2:2" ht="15" x14ac:dyDescent="0.2">
      <c r="B2051" s="183"/>
    </row>
    <row r="2052" spans="2:2" ht="15" x14ac:dyDescent="0.2">
      <c r="B2052" s="183"/>
    </row>
    <row r="2053" spans="2:2" ht="15" x14ac:dyDescent="0.2">
      <c r="B2053" s="183"/>
    </row>
    <row r="2054" spans="2:2" ht="15" x14ac:dyDescent="0.2">
      <c r="B2054" s="183"/>
    </row>
    <row r="2055" spans="2:2" ht="15" x14ac:dyDescent="0.2">
      <c r="B2055" s="183"/>
    </row>
    <row r="2056" spans="2:2" ht="15" x14ac:dyDescent="0.2">
      <c r="B2056" s="183"/>
    </row>
    <row r="2057" spans="2:2" ht="15" x14ac:dyDescent="0.2">
      <c r="B2057" s="183"/>
    </row>
    <row r="2058" spans="2:2" ht="15" x14ac:dyDescent="0.2">
      <c r="B2058" s="183"/>
    </row>
    <row r="2059" spans="2:2" ht="15" x14ac:dyDescent="0.2">
      <c r="B2059" s="183"/>
    </row>
    <row r="2060" spans="2:2" ht="15" x14ac:dyDescent="0.2">
      <c r="B2060" s="183"/>
    </row>
    <row r="2061" spans="2:2" ht="15" x14ac:dyDescent="0.2">
      <c r="B2061" s="183"/>
    </row>
    <row r="2062" spans="2:2" ht="15" x14ac:dyDescent="0.2">
      <c r="B2062" s="183"/>
    </row>
    <row r="2063" spans="2:2" ht="15" x14ac:dyDescent="0.2">
      <c r="B2063" s="183"/>
    </row>
    <row r="2064" spans="2:2" ht="15" x14ac:dyDescent="0.2">
      <c r="B2064" s="183"/>
    </row>
    <row r="2065" spans="2:2" ht="15" x14ac:dyDescent="0.2">
      <c r="B2065" s="183"/>
    </row>
    <row r="2066" spans="2:2" ht="15" x14ac:dyDescent="0.2">
      <c r="B2066" s="183"/>
    </row>
    <row r="2067" spans="2:2" ht="15" x14ac:dyDescent="0.2">
      <c r="B2067" s="183"/>
    </row>
    <row r="2068" spans="2:2" ht="15" x14ac:dyDescent="0.2">
      <c r="B2068" s="183"/>
    </row>
    <row r="2069" spans="2:2" ht="15" x14ac:dyDescent="0.2">
      <c r="B2069" s="183"/>
    </row>
    <row r="2070" spans="2:2" ht="15" x14ac:dyDescent="0.2">
      <c r="B2070" s="183"/>
    </row>
    <row r="2071" spans="2:2" ht="15" x14ac:dyDescent="0.2">
      <c r="B2071" s="183"/>
    </row>
    <row r="2072" spans="2:2" ht="15" x14ac:dyDescent="0.2">
      <c r="B2072" s="183"/>
    </row>
    <row r="2073" spans="2:2" ht="15" x14ac:dyDescent="0.2">
      <c r="B2073" s="183"/>
    </row>
    <row r="2074" spans="2:2" ht="15" x14ac:dyDescent="0.2">
      <c r="B2074" s="183"/>
    </row>
    <row r="2075" spans="2:2" ht="15" x14ac:dyDescent="0.2">
      <c r="B2075" s="183"/>
    </row>
    <row r="2076" spans="2:2" ht="15" x14ac:dyDescent="0.2">
      <c r="B2076" s="183"/>
    </row>
    <row r="2077" spans="2:2" ht="15" x14ac:dyDescent="0.2">
      <c r="B2077" s="183"/>
    </row>
    <row r="2078" spans="2:2" ht="15" x14ac:dyDescent="0.2">
      <c r="B2078" s="183"/>
    </row>
    <row r="2079" spans="2:2" ht="15" x14ac:dyDescent="0.2">
      <c r="B2079" s="183"/>
    </row>
    <row r="2080" spans="2:2" ht="15" x14ac:dyDescent="0.2">
      <c r="B2080" s="183"/>
    </row>
    <row r="2081" spans="2:2" ht="15" x14ac:dyDescent="0.2">
      <c r="B2081" s="183"/>
    </row>
    <row r="2082" spans="2:2" ht="15" x14ac:dyDescent="0.2">
      <c r="B2082" s="183"/>
    </row>
    <row r="2083" spans="2:2" ht="15" x14ac:dyDescent="0.2">
      <c r="B2083" s="183"/>
    </row>
    <row r="2084" spans="2:2" ht="15" x14ac:dyDescent="0.2">
      <c r="B2084" s="183"/>
    </row>
    <row r="2085" spans="2:2" ht="15" x14ac:dyDescent="0.2">
      <c r="B2085" s="183"/>
    </row>
    <row r="2086" spans="2:2" ht="15" x14ac:dyDescent="0.2">
      <c r="B2086" s="183"/>
    </row>
    <row r="2087" spans="2:2" ht="15" x14ac:dyDescent="0.2">
      <c r="B2087" s="183"/>
    </row>
    <row r="2088" spans="2:2" ht="15" x14ac:dyDescent="0.2">
      <c r="B2088" s="183"/>
    </row>
    <row r="2089" spans="2:2" ht="15" x14ac:dyDescent="0.2">
      <c r="B2089" s="183"/>
    </row>
    <row r="2090" spans="2:2" ht="15" x14ac:dyDescent="0.2">
      <c r="B2090" s="183"/>
    </row>
    <row r="2091" spans="2:2" ht="15" x14ac:dyDescent="0.2">
      <c r="B2091" s="183"/>
    </row>
    <row r="2092" spans="2:2" ht="15" x14ac:dyDescent="0.2">
      <c r="B2092" s="183"/>
    </row>
    <row r="2093" spans="2:2" ht="15" x14ac:dyDescent="0.2">
      <c r="B2093" s="183"/>
    </row>
    <row r="2094" spans="2:2" ht="15" x14ac:dyDescent="0.2">
      <c r="B2094" s="183"/>
    </row>
    <row r="2095" spans="2:2" ht="15" x14ac:dyDescent="0.2">
      <c r="B2095" s="183"/>
    </row>
    <row r="2096" spans="2:2" ht="15" x14ac:dyDescent="0.2">
      <c r="B2096" s="183"/>
    </row>
    <row r="2097" spans="2:2" ht="15" x14ac:dyDescent="0.2">
      <c r="B2097" s="183"/>
    </row>
    <row r="2098" spans="2:2" ht="15" x14ac:dyDescent="0.2">
      <c r="B2098" s="183"/>
    </row>
    <row r="2099" spans="2:2" ht="15" x14ac:dyDescent="0.2">
      <c r="B2099" s="183"/>
    </row>
    <row r="2100" spans="2:2" ht="15" x14ac:dyDescent="0.2">
      <c r="B2100" s="183"/>
    </row>
    <row r="2101" spans="2:2" ht="15" x14ac:dyDescent="0.2">
      <c r="B2101" s="183"/>
    </row>
    <row r="2102" spans="2:2" ht="15" x14ac:dyDescent="0.2">
      <c r="B2102" s="183"/>
    </row>
    <row r="2103" spans="2:2" ht="15" x14ac:dyDescent="0.2">
      <c r="B2103" s="183"/>
    </row>
    <row r="2104" spans="2:2" ht="15" x14ac:dyDescent="0.2">
      <c r="B2104" s="183"/>
    </row>
    <row r="2105" spans="2:2" ht="15" x14ac:dyDescent="0.2">
      <c r="B2105" s="183"/>
    </row>
    <row r="2106" spans="2:2" ht="15" x14ac:dyDescent="0.2">
      <c r="B2106" s="183"/>
    </row>
    <row r="2107" spans="2:2" ht="15" x14ac:dyDescent="0.2">
      <c r="B2107" s="183"/>
    </row>
    <row r="2108" spans="2:2" ht="15" x14ac:dyDescent="0.2">
      <c r="B2108" s="183"/>
    </row>
    <row r="2109" spans="2:2" ht="15" x14ac:dyDescent="0.2">
      <c r="B2109" s="183"/>
    </row>
    <row r="2110" spans="2:2" ht="15" x14ac:dyDescent="0.2">
      <c r="B2110" s="183"/>
    </row>
    <row r="2111" spans="2:2" ht="15" x14ac:dyDescent="0.2">
      <c r="B2111" s="183"/>
    </row>
    <row r="2112" spans="2:2" ht="15" x14ac:dyDescent="0.2">
      <c r="B2112" s="183"/>
    </row>
    <row r="2113" spans="2:2" ht="15" x14ac:dyDescent="0.2">
      <c r="B2113" s="183"/>
    </row>
    <row r="2114" spans="2:2" ht="15" x14ac:dyDescent="0.2">
      <c r="B2114" s="183"/>
    </row>
    <row r="2115" spans="2:2" ht="15" x14ac:dyDescent="0.2">
      <c r="B2115" s="183"/>
    </row>
    <row r="2116" spans="2:2" ht="15" x14ac:dyDescent="0.2">
      <c r="B2116" s="183"/>
    </row>
    <row r="2117" spans="2:2" ht="15" x14ac:dyDescent="0.2">
      <c r="B2117" s="183"/>
    </row>
    <row r="2118" spans="2:2" ht="15" x14ac:dyDescent="0.2">
      <c r="B2118" s="183"/>
    </row>
    <row r="2119" spans="2:2" ht="15" x14ac:dyDescent="0.2">
      <c r="B2119" s="183"/>
    </row>
    <row r="2120" spans="2:2" ht="15" x14ac:dyDescent="0.2">
      <c r="B2120" s="183"/>
    </row>
    <row r="2121" spans="2:2" ht="15" x14ac:dyDescent="0.2">
      <c r="B2121" s="183"/>
    </row>
    <row r="2122" spans="2:2" ht="15" x14ac:dyDescent="0.2">
      <c r="B2122" s="183"/>
    </row>
    <row r="2123" spans="2:2" ht="15" x14ac:dyDescent="0.2">
      <c r="B2123" s="183"/>
    </row>
    <row r="2124" spans="2:2" ht="15" x14ac:dyDescent="0.2">
      <c r="B2124" s="183"/>
    </row>
    <row r="2125" spans="2:2" ht="15" x14ac:dyDescent="0.2">
      <c r="B2125" s="183"/>
    </row>
    <row r="2126" spans="2:2" ht="15" x14ac:dyDescent="0.2">
      <c r="B2126" s="183"/>
    </row>
    <row r="2127" spans="2:2" ht="15" x14ac:dyDescent="0.2">
      <c r="B2127" s="183"/>
    </row>
    <row r="2128" spans="2:2" ht="15" x14ac:dyDescent="0.2">
      <c r="B2128" s="183"/>
    </row>
    <row r="2129" spans="2:2" ht="15" x14ac:dyDescent="0.2">
      <c r="B2129" s="183"/>
    </row>
    <row r="2130" spans="2:2" ht="15" x14ac:dyDescent="0.2">
      <c r="B2130" s="183"/>
    </row>
    <row r="2131" spans="2:2" ht="15" x14ac:dyDescent="0.2">
      <c r="B2131" s="183"/>
    </row>
    <row r="2132" spans="2:2" ht="15" x14ac:dyDescent="0.2">
      <c r="B2132" s="183"/>
    </row>
    <row r="2133" spans="2:2" ht="15" x14ac:dyDescent="0.2">
      <c r="B2133" s="183"/>
    </row>
    <row r="2134" spans="2:2" ht="15" x14ac:dyDescent="0.2">
      <c r="B2134" s="183"/>
    </row>
    <row r="2135" spans="2:2" ht="15" x14ac:dyDescent="0.2">
      <c r="B2135" s="183"/>
    </row>
    <row r="2136" spans="2:2" ht="15" x14ac:dyDescent="0.2">
      <c r="B2136" s="183"/>
    </row>
    <row r="2137" spans="2:2" ht="15" x14ac:dyDescent="0.2">
      <c r="B2137" s="183"/>
    </row>
    <row r="2138" spans="2:2" ht="15" x14ac:dyDescent="0.2">
      <c r="B2138" s="183"/>
    </row>
    <row r="2139" spans="2:2" ht="15" x14ac:dyDescent="0.2">
      <c r="B2139" s="183"/>
    </row>
    <row r="2140" spans="2:2" ht="15" x14ac:dyDescent="0.2">
      <c r="B2140" s="183"/>
    </row>
    <row r="2141" spans="2:2" ht="15" x14ac:dyDescent="0.2">
      <c r="B2141" s="183"/>
    </row>
    <row r="2142" spans="2:2" ht="15" x14ac:dyDescent="0.2">
      <c r="B2142" s="183"/>
    </row>
    <row r="2143" spans="2:2" ht="15" x14ac:dyDescent="0.2">
      <c r="B2143" s="183"/>
    </row>
    <row r="2144" spans="2:2" ht="15" x14ac:dyDescent="0.2">
      <c r="B2144" s="183"/>
    </row>
    <row r="2145" spans="2:2" ht="15" x14ac:dyDescent="0.2">
      <c r="B2145" s="183"/>
    </row>
    <row r="2146" spans="2:2" ht="15" x14ac:dyDescent="0.2">
      <c r="B2146" s="183"/>
    </row>
    <row r="2147" spans="2:2" ht="15" x14ac:dyDescent="0.2">
      <c r="B2147" s="183"/>
    </row>
    <row r="2148" spans="2:2" ht="15" x14ac:dyDescent="0.2">
      <c r="B2148" s="183"/>
    </row>
    <row r="2149" spans="2:2" ht="15" x14ac:dyDescent="0.2">
      <c r="B2149" s="183"/>
    </row>
    <row r="2150" spans="2:2" ht="15" x14ac:dyDescent="0.2">
      <c r="B2150" s="183"/>
    </row>
    <row r="2151" spans="2:2" ht="15" x14ac:dyDescent="0.2">
      <c r="B2151" s="183"/>
    </row>
    <row r="2152" spans="2:2" ht="15" x14ac:dyDescent="0.2">
      <c r="B2152" s="183"/>
    </row>
    <row r="2153" spans="2:2" ht="15" x14ac:dyDescent="0.2">
      <c r="B2153" s="183"/>
    </row>
    <row r="2154" spans="2:2" ht="15" x14ac:dyDescent="0.2">
      <c r="B2154" s="183"/>
    </row>
    <row r="2155" spans="2:2" ht="15" x14ac:dyDescent="0.2">
      <c r="B2155" s="183"/>
    </row>
    <row r="2156" spans="2:2" ht="15" x14ac:dyDescent="0.2">
      <c r="B2156" s="183"/>
    </row>
    <row r="2157" spans="2:2" ht="15" x14ac:dyDescent="0.2">
      <c r="B2157" s="183"/>
    </row>
    <row r="2158" spans="2:2" ht="15" x14ac:dyDescent="0.2">
      <c r="B2158" s="183"/>
    </row>
    <row r="2159" spans="2:2" ht="15" x14ac:dyDescent="0.2">
      <c r="B2159" s="183"/>
    </row>
    <row r="2160" spans="2:2" ht="15" x14ac:dyDescent="0.2">
      <c r="B2160" s="183"/>
    </row>
    <row r="2161" spans="2:2" ht="15" x14ac:dyDescent="0.2">
      <c r="B2161" s="183"/>
    </row>
    <row r="2162" spans="2:2" ht="15" x14ac:dyDescent="0.2">
      <c r="B2162" s="183"/>
    </row>
    <row r="2163" spans="2:2" ht="15" x14ac:dyDescent="0.2">
      <c r="B2163" s="183"/>
    </row>
    <row r="2164" spans="2:2" ht="15" x14ac:dyDescent="0.2">
      <c r="B2164" s="183"/>
    </row>
    <row r="2165" spans="2:2" ht="15" x14ac:dyDescent="0.2">
      <c r="B2165" s="183"/>
    </row>
    <row r="2166" spans="2:2" ht="15" x14ac:dyDescent="0.2">
      <c r="B2166" s="183"/>
    </row>
    <row r="2167" spans="2:2" ht="15" x14ac:dyDescent="0.2">
      <c r="B2167" s="183"/>
    </row>
    <row r="2168" spans="2:2" ht="15" x14ac:dyDescent="0.2">
      <c r="B2168" s="183"/>
    </row>
    <row r="2169" spans="2:2" ht="15" x14ac:dyDescent="0.2">
      <c r="B2169" s="183"/>
    </row>
    <row r="2170" spans="2:2" ht="15" x14ac:dyDescent="0.2">
      <c r="B2170" s="183"/>
    </row>
    <row r="2171" spans="2:2" ht="15" x14ac:dyDescent="0.2">
      <c r="B2171" s="183"/>
    </row>
    <row r="2172" spans="2:2" ht="15" x14ac:dyDescent="0.2">
      <c r="B2172" s="183"/>
    </row>
    <row r="2173" spans="2:2" ht="15" x14ac:dyDescent="0.2">
      <c r="B2173" s="183"/>
    </row>
    <row r="2174" spans="2:2" ht="15" x14ac:dyDescent="0.2">
      <c r="B2174" s="183"/>
    </row>
    <row r="2175" spans="2:2" ht="15" x14ac:dyDescent="0.2">
      <c r="B2175" s="183"/>
    </row>
    <row r="2176" spans="2:2" ht="15" x14ac:dyDescent="0.2">
      <c r="B2176" s="183"/>
    </row>
    <row r="2177" spans="2:2" ht="15" x14ac:dyDescent="0.2">
      <c r="B2177" s="183"/>
    </row>
    <row r="2178" spans="2:2" ht="15" x14ac:dyDescent="0.2">
      <c r="B2178" s="183"/>
    </row>
    <row r="2179" spans="2:2" ht="15" x14ac:dyDescent="0.2">
      <c r="B2179" s="183"/>
    </row>
    <row r="2180" spans="2:2" ht="15" x14ac:dyDescent="0.2">
      <c r="B2180" s="183"/>
    </row>
    <row r="2181" spans="2:2" ht="15" x14ac:dyDescent="0.2">
      <c r="B2181" s="183"/>
    </row>
    <row r="2182" spans="2:2" ht="15" x14ac:dyDescent="0.2">
      <c r="B2182" s="183"/>
    </row>
    <row r="2183" spans="2:2" ht="15" x14ac:dyDescent="0.2">
      <c r="B2183" s="183"/>
    </row>
    <row r="2184" spans="2:2" ht="15" x14ac:dyDescent="0.2">
      <c r="B2184" s="183"/>
    </row>
    <row r="2185" spans="2:2" ht="15" x14ac:dyDescent="0.2">
      <c r="B2185" s="183"/>
    </row>
    <row r="2186" spans="2:2" ht="15" x14ac:dyDescent="0.2">
      <c r="B2186" s="183"/>
    </row>
    <row r="2187" spans="2:2" ht="15" x14ac:dyDescent="0.2">
      <c r="B2187" s="183"/>
    </row>
    <row r="2188" spans="2:2" ht="15" x14ac:dyDescent="0.2">
      <c r="B2188" s="183"/>
    </row>
    <row r="2189" spans="2:2" ht="15" x14ac:dyDescent="0.2">
      <c r="B2189" s="183"/>
    </row>
    <row r="2190" spans="2:2" ht="15" x14ac:dyDescent="0.2">
      <c r="B2190" s="183"/>
    </row>
    <row r="2191" spans="2:2" ht="15" x14ac:dyDescent="0.2">
      <c r="B2191" s="183"/>
    </row>
    <row r="2192" spans="2:2" ht="15" x14ac:dyDescent="0.2">
      <c r="B2192" s="183"/>
    </row>
    <row r="2193" spans="2:2" ht="15" x14ac:dyDescent="0.2">
      <c r="B2193" s="183"/>
    </row>
    <row r="2194" spans="2:2" ht="15" x14ac:dyDescent="0.2">
      <c r="B2194" s="183"/>
    </row>
    <row r="2195" spans="2:2" ht="15" x14ac:dyDescent="0.2">
      <c r="B2195" s="183"/>
    </row>
    <row r="2196" spans="2:2" ht="15" x14ac:dyDescent="0.2">
      <c r="B2196" s="183"/>
    </row>
    <row r="2197" spans="2:2" ht="15" x14ac:dyDescent="0.2">
      <c r="B2197" s="183"/>
    </row>
    <row r="2198" spans="2:2" ht="15" x14ac:dyDescent="0.2">
      <c r="B2198" s="183"/>
    </row>
    <row r="2199" spans="2:2" ht="15" x14ac:dyDescent="0.2">
      <c r="B2199" s="183"/>
    </row>
    <row r="2200" spans="2:2" ht="15" x14ac:dyDescent="0.2">
      <c r="B2200" s="183"/>
    </row>
    <row r="2201" spans="2:2" ht="15" x14ac:dyDescent="0.2">
      <c r="B2201" s="183"/>
    </row>
    <row r="2202" spans="2:2" ht="15" x14ac:dyDescent="0.2">
      <c r="B2202" s="183"/>
    </row>
    <row r="2203" spans="2:2" ht="15" x14ac:dyDescent="0.2">
      <c r="B2203" s="183"/>
    </row>
    <row r="2204" spans="2:2" ht="15" x14ac:dyDescent="0.2">
      <c r="B2204" s="183"/>
    </row>
    <row r="2205" spans="2:2" ht="15" x14ac:dyDescent="0.2">
      <c r="B2205" s="183"/>
    </row>
    <row r="2206" spans="2:2" ht="15" x14ac:dyDescent="0.2">
      <c r="B2206" s="183"/>
    </row>
    <row r="2207" spans="2:2" ht="15" x14ac:dyDescent="0.2">
      <c r="B2207" s="183"/>
    </row>
    <row r="2208" spans="2:2" ht="15" x14ac:dyDescent="0.2">
      <c r="B2208" s="183"/>
    </row>
    <row r="2209" spans="2:2" ht="15" x14ac:dyDescent="0.2">
      <c r="B2209" s="183"/>
    </row>
    <row r="2210" spans="2:2" ht="15" x14ac:dyDescent="0.2">
      <c r="B2210" s="183"/>
    </row>
    <row r="2211" spans="2:2" ht="15" x14ac:dyDescent="0.2">
      <c r="B2211" s="183"/>
    </row>
    <row r="2212" spans="2:2" ht="15" x14ac:dyDescent="0.2">
      <c r="B2212" s="183"/>
    </row>
    <row r="2213" spans="2:2" ht="15" x14ac:dyDescent="0.2">
      <c r="B2213" s="183"/>
    </row>
    <row r="2214" spans="2:2" ht="15" x14ac:dyDescent="0.2">
      <c r="B2214" s="183"/>
    </row>
    <row r="2215" spans="2:2" ht="15" x14ac:dyDescent="0.2">
      <c r="B2215" s="183"/>
    </row>
    <row r="2216" spans="2:2" ht="15" x14ac:dyDescent="0.2">
      <c r="B2216" s="183"/>
    </row>
    <row r="2217" spans="2:2" ht="15" x14ac:dyDescent="0.2">
      <c r="B2217" s="183"/>
    </row>
    <row r="2218" spans="2:2" ht="15" x14ac:dyDescent="0.2">
      <c r="B2218" s="183"/>
    </row>
    <row r="2219" spans="2:2" ht="15" x14ac:dyDescent="0.2">
      <c r="B2219" s="183"/>
    </row>
    <row r="2220" spans="2:2" ht="15" x14ac:dyDescent="0.2">
      <c r="B2220" s="183"/>
    </row>
    <row r="2221" spans="2:2" ht="15" x14ac:dyDescent="0.2">
      <c r="B2221" s="183"/>
    </row>
    <row r="2222" spans="2:2" ht="15" x14ac:dyDescent="0.2">
      <c r="B2222" s="183"/>
    </row>
    <row r="2223" spans="2:2" ht="15" x14ac:dyDescent="0.2">
      <c r="B2223" s="183"/>
    </row>
    <row r="2224" spans="2:2" ht="15" x14ac:dyDescent="0.2">
      <c r="B2224" s="183"/>
    </row>
    <row r="2225" spans="2:2" ht="15" x14ac:dyDescent="0.2">
      <c r="B2225" s="183"/>
    </row>
    <row r="2226" spans="2:2" ht="15" x14ac:dyDescent="0.2">
      <c r="B2226" s="183"/>
    </row>
    <row r="2227" spans="2:2" ht="15" x14ac:dyDescent="0.2">
      <c r="B2227" s="183"/>
    </row>
    <row r="2228" spans="2:2" ht="15" x14ac:dyDescent="0.2">
      <c r="B2228" s="183"/>
    </row>
    <row r="2229" spans="2:2" ht="15" x14ac:dyDescent="0.2">
      <c r="B2229" s="183"/>
    </row>
    <row r="2230" spans="2:2" ht="15" x14ac:dyDescent="0.2">
      <c r="B2230" s="183"/>
    </row>
    <row r="2231" spans="2:2" ht="15" x14ac:dyDescent="0.2">
      <c r="B2231" s="183"/>
    </row>
    <row r="2232" spans="2:2" ht="15" x14ac:dyDescent="0.2">
      <c r="B2232" s="183"/>
    </row>
    <row r="2233" spans="2:2" ht="15" x14ac:dyDescent="0.2">
      <c r="B2233" s="183"/>
    </row>
    <row r="2234" spans="2:2" ht="15" x14ac:dyDescent="0.2">
      <c r="B2234" s="183"/>
    </row>
    <row r="2235" spans="2:2" ht="15" x14ac:dyDescent="0.2">
      <c r="B2235" s="183"/>
    </row>
    <row r="2236" spans="2:2" ht="15" x14ac:dyDescent="0.2">
      <c r="B2236" s="183"/>
    </row>
    <row r="2237" spans="2:2" ht="15" x14ac:dyDescent="0.2">
      <c r="B2237" s="183"/>
    </row>
    <row r="2238" spans="2:2" ht="15" x14ac:dyDescent="0.2">
      <c r="B2238" s="183"/>
    </row>
    <row r="2239" spans="2:2" ht="15" x14ac:dyDescent="0.2">
      <c r="B2239" s="183"/>
    </row>
    <row r="2240" spans="2:2" ht="15" x14ac:dyDescent="0.2">
      <c r="B2240" s="183"/>
    </row>
    <row r="2241" spans="2:2" ht="15" x14ac:dyDescent="0.2">
      <c r="B2241" s="183"/>
    </row>
    <row r="2242" spans="2:2" ht="15" x14ac:dyDescent="0.2">
      <c r="B2242" s="183"/>
    </row>
    <row r="2243" spans="2:2" ht="15" x14ac:dyDescent="0.2">
      <c r="B2243" s="183"/>
    </row>
    <row r="2244" spans="2:2" ht="15" x14ac:dyDescent="0.2">
      <c r="B2244" s="183"/>
    </row>
    <row r="2245" spans="2:2" ht="15" x14ac:dyDescent="0.2">
      <c r="B2245" s="183"/>
    </row>
    <row r="2246" spans="2:2" ht="15" x14ac:dyDescent="0.2">
      <c r="B2246" s="183"/>
    </row>
    <row r="2247" spans="2:2" ht="15" x14ac:dyDescent="0.2">
      <c r="B2247" s="183"/>
    </row>
    <row r="2248" spans="2:2" ht="15" x14ac:dyDescent="0.2">
      <c r="B2248" s="183"/>
    </row>
    <row r="2249" spans="2:2" ht="15" x14ac:dyDescent="0.2">
      <c r="B2249" s="183"/>
    </row>
    <row r="2250" spans="2:2" ht="15" x14ac:dyDescent="0.2">
      <c r="B2250" s="183"/>
    </row>
    <row r="2251" spans="2:2" ht="15" x14ac:dyDescent="0.2">
      <c r="B2251" s="183"/>
    </row>
    <row r="2252" spans="2:2" ht="15" x14ac:dyDescent="0.2">
      <c r="B2252" s="183"/>
    </row>
    <row r="2253" spans="2:2" ht="15" x14ac:dyDescent="0.2">
      <c r="B2253" s="183"/>
    </row>
    <row r="2254" spans="2:2" ht="15" x14ac:dyDescent="0.2">
      <c r="B2254" s="183"/>
    </row>
    <row r="2255" spans="2:2" ht="15" x14ac:dyDescent="0.2">
      <c r="B2255" s="183"/>
    </row>
    <row r="2256" spans="2:2" ht="15" x14ac:dyDescent="0.2">
      <c r="B2256" s="183"/>
    </row>
    <row r="2257" spans="2:2" ht="15" x14ac:dyDescent="0.2">
      <c r="B2257" s="183"/>
    </row>
    <row r="2258" spans="2:2" ht="15" x14ac:dyDescent="0.2">
      <c r="B2258" s="183"/>
    </row>
    <row r="2259" spans="2:2" ht="15" x14ac:dyDescent="0.2">
      <c r="B2259" s="183"/>
    </row>
    <row r="2260" spans="2:2" ht="15" x14ac:dyDescent="0.2">
      <c r="B2260" s="183"/>
    </row>
    <row r="2261" spans="2:2" ht="15" x14ac:dyDescent="0.2">
      <c r="B2261" s="183"/>
    </row>
    <row r="2262" spans="2:2" ht="15" x14ac:dyDescent="0.2">
      <c r="B2262" s="183"/>
    </row>
    <row r="2263" spans="2:2" ht="15" x14ac:dyDescent="0.2">
      <c r="B2263" s="183"/>
    </row>
    <row r="2264" spans="2:2" ht="15" x14ac:dyDescent="0.2">
      <c r="B2264" s="183"/>
    </row>
    <row r="2265" spans="2:2" ht="15" x14ac:dyDescent="0.2">
      <c r="B2265" s="183"/>
    </row>
    <row r="2266" spans="2:2" ht="15" x14ac:dyDescent="0.2">
      <c r="B2266" s="183"/>
    </row>
    <row r="2267" spans="2:2" ht="15" x14ac:dyDescent="0.2">
      <c r="B2267" s="183"/>
    </row>
    <row r="2268" spans="2:2" ht="15" x14ac:dyDescent="0.2">
      <c r="B2268" s="183"/>
    </row>
    <row r="2269" spans="2:2" ht="15" x14ac:dyDescent="0.2">
      <c r="B2269" s="183"/>
    </row>
    <row r="2270" spans="2:2" ht="15" x14ac:dyDescent="0.2">
      <c r="B2270" s="183"/>
    </row>
    <row r="2271" spans="2:2" ht="15" x14ac:dyDescent="0.2">
      <c r="B2271" s="183"/>
    </row>
    <row r="2272" spans="2:2" ht="15" x14ac:dyDescent="0.2">
      <c r="B2272" s="183"/>
    </row>
    <row r="2273" spans="2:2" ht="15" x14ac:dyDescent="0.2">
      <c r="B2273" s="183"/>
    </row>
    <row r="2274" spans="2:2" ht="15" x14ac:dyDescent="0.2">
      <c r="B2274" s="183"/>
    </row>
    <row r="2275" spans="2:2" ht="15" x14ac:dyDescent="0.2">
      <c r="B2275" s="183"/>
    </row>
    <row r="2276" spans="2:2" ht="15" x14ac:dyDescent="0.2">
      <c r="B2276" s="183"/>
    </row>
    <row r="2277" spans="2:2" ht="15" x14ac:dyDescent="0.2">
      <c r="B2277" s="183"/>
    </row>
    <row r="2278" spans="2:2" ht="15" x14ac:dyDescent="0.2">
      <c r="B2278" s="183"/>
    </row>
    <row r="2279" spans="2:2" ht="15" x14ac:dyDescent="0.2">
      <c r="B2279" s="183"/>
    </row>
    <row r="2280" spans="2:2" ht="15" x14ac:dyDescent="0.2">
      <c r="B2280" s="183"/>
    </row>
    <row r="2281" spans="2:2" ht="15" x14ac:dyDescent="0.2">
      <c r="B2281" s="183"/>
    </row>
    <row r="2282" spans="2:2" ht="15" x14ac:dyDescent="0.2">
      <c r="B2282" s="183"/>
    </row>
    <row r="2283" spans="2:2" ht="15" x14ac:dyDescent="0.2">
      <c r="B2283" s="183"/>
    </row>
    <row r="2284" spans="2:2" ht="15" x14ac:dyDescent="0.2">
      <c r="B2284" s="183"/>
    </row>
    <row r="2285" spans="2:2" ht="15" x14ac:dyDescent="0.2">
      <c r="B2285" s="183"/>
    </row>
    <row r="2286" spans="2:2" ht="15" x14ac:dyDescent="0.2">
      <c r="B2286" s="183"/>
    </row>
    <row r="2287" spans="2:2" ht="15" x14ac:dyDescent="0.2">
      <c r="B2287" s="183"/>
    </row>
    <row r="2288" spans="2:2" ht="15" x14ac:dyDescent="0.2">
      <c r="B2288" s="183"/>
    </row>
    <row r="2289" spans="2:2" ht="15" x14ac:dyDescent="0.2">
      <c r="B2289" s="183"/>
    </row>
    <row r="2290" spans="2:2" ht="15" x14ac:dyDescent="0.2">
      <c r="B2290" s="183"/>
    </row>
    <row r="2291" spans="2:2" ht="15" x14ac:dyDescent="0.2">
      <c r="B2291" s="183"/>
    </row>
    <row r="2292" spans="2:2" ht="15" x14ac:dyDescent="0.2">
      <c r="B2292" s="183"/>
    </row>
    <row r="2293" spans="2:2" ht="15" x14ac:dyDescent="0.2">
      <c r="B2293" s="183"/>
    </row>
    <row r="2294" spans="2:2" ht="15" x14ac:dyDescent="0.2">
      <c r="B2294" s="183"/>
    </row>
    <row r="2295" spans="2:2" ht="15" x14ac:dyDescent="0.2">
      <c r="B2295" s="183"/>
    </row>
    <row r="2296" spans="2:2" ht="15" x14ac:dyDescent="0.2">
      <c r="B2296" s="183"/>
    </row>
    <row r="2297" spans="2:2" ht="15" x14ac:dyDescent="0.2">
      <c r="B2297" s="183"/>
    </row>
    <row r="2298" spans="2:2" ht="15" x14ac:dyDescent="0.2">
      <c r="B2298" s="183"/>
    </row>
    <row r="2299" spans="2:2" ht="15" x14ac:dyDescent="0.2">
      <c r="B2299" s="183"/>
    </row>
    <row r="2300" spans="2:2" ht="15" x14ac:dyDescent="0.2">
      <c r="B2300" s="183"/>
    </row>
    <row r="2301" spans="2:2" ht="15" x14ac:dyDescent="0.2">
      <c r="B2301" s="183"/>
    </row>
    <row r="2302" spans="2:2" ht="15" x14ac:dyDescent="0.2">
      <c r="B2302" s="183"/>
    </row>
    <row r="2303" spans="2:2" ht="15" x14ac:dyDescent="0.2">
      <c r="B2303" s="183"/>
    </row>
    <row r="2304" spans="2:2" ht="15" x14ac:dyDescent="0.2">
      <c r="B2304" s="183"/>
    </row>
    <row r="2305" spans="2:2" ht="15" x14ac:dyDescent="0.2">
      <c r="B2305" s="183"/>
    </row>
    <row r="2306" spans="2:2" ht="15" x14ac:dyDescent="0.2">
      <c r="B2306" s="183"/>
    </row>
    <row r="2307" spans="2:2" ht="15" x14ac:dyDescent="0.2">
      <c r="B2307" s="183"/>
    </row>
    <row r="2308" spans="2:2" ht="15" x14ac:dyDescent="0.2">
      <c r="B2308" s="183"/>
    </row>
    <row r="2309" spans="2:2" ht="15" x14ac:dyDescent="0.2">
      <c r="B2309" s="183"/>
    </row>
    <row r="2310" spans="2:2" ht="15" x14ac:dyDescent="0.2">
      <c r="B2310" s="183"/>
    </row>
    <row r="2311" spans="2:2" ht="15" x14ac:dyDescent="0.2">
      <c r="B2311" s="183"/>
    </row>
    <row r="2312" spans="2:2" ht="15" x14ac:dyDescent="0.2">
      <c r="B2312" s="183"/>
    </row>
    <row r="2313" spans="2:2" ht="15" x14ac:dyDescent="0.2">
      <c r="B2313" s="183"/>
    </row>
    <row r="2314" spans="2:2" ht="15" x14ac:dyDescent="0.2">
      <c r="B2314" s="183"/>
    </row>
    <row r="2315" spans="2:2" ht="15" x14ac:dyDescent="0.2">
      <c r="B2315" s="183"/>
    </row>
    <row r="2316" spans="2:2" ht="15" x14ac:dyDescent="0.2">
      <c r="B2316" s="183"/>
    </row>
    <row r="2317" spans="2:2" ht="15" x14ac:dyDescent="0.2">
      <c r="B2317" s="183"/>
    </row>
    <row r="2318" spans="2:2" ht="15" x14ac:dyDescent="0.2">
      <c r="B2318" s="183"/>
    </row>
    <row r="2319" spans="2:2" ht="15" x14ac:dyDescent="0.2">
      <c r="B2319" s="183"/>
    </row>
    <row r="2320" spans="2:2" ht="15" x14ac:dyDescent="0.2">
      <c r="B2320" s="183"/>
    </row>
    <row r="2321" spans="2:2" ht="15" x14ac:dyDescent="0.2">
      <c r="B2321" s="183"/>
    </row>
    <row r="2322" spans="2:2" ht="15" x14ac:dyDescent="0.2">
      <c r="B2322" s="183"/>
    </row>
    <row r="2323" spans="2:2" ht="15" x14ac:dyDescent="0.2">
      <c r="B2323" s="183"/>
    </row>
    <row r="2324" spans="2:2" ht="15" x14ac:dyDescent="0.2">
      <c r="B2324" s="183"/>
    </row>
    <row r="2325" spans="2:2" ht="15" x14ac:dyDescent="0.2">
      <c r="B2325" s="183"/>
    </row>
    <row r="2326" spans="2:2" ht="15" x14ac:dyDescent="0.2">
      <c r="B2326" s="183"/>
    </row>
    <row r="2327" spans="2:2" ht="15" x14ac:dyDescent="0.2">
      <c r="B2327" s="183"/>
    </row>
    <row r="2328" spans="2:2" ht="15" x14ac:dyDescent="0.2">
      <c r="B2328" s="183"/>
    </row>
    <row r="2329" spans="2:2" ht="15" x14ac:dyDescent="0.2">
      <c r="B2329" s="183"/>
    </row>
    <row r="2330" spans="2:2" ht="15" x14ac:dyDescent="0.2">
      <c r="B2330" s="183"/>
    </row>
    <row r="2331" spans="2:2" ht="15" x14ac:dyDescent="0.2">
      <c r="B2331" s="183"/>
    </row>
    <row r="2332" spans="2:2" ht="15" x14ac:dyDescent="0.2">
      <c r="B2332" s="183"/>
    </row>
    <row r="2333" spans="2:2" ht="15" x14ac:dyDescent="0.2">
      <c r="B2333" s="183"/>
    </row>
    <row r="2334" spans="2:2" ht="15" x14ac:dyDescent="0.2">
      <c r="B2334" s="183"/>
    </row>
    <row r="2335" spans="2:2" ht="15" x14ac:dyDescent="0.2">
      <c r="B2335" s="183"/>
    </row>
    <row r="2336" spans="2:2" ht="15" x14ac:dyDescent="0.2">
      <c r="B2336" s="183"/>
    </row>
    <row r="2337" spans="2:2" ht="15" x14ac:dyDescent="0.2">
      <c r="B2337" s="183"/>
    </row>
    <row r="2338" spans="2:2" ht="15" x14ac:dyDescent="0.2">
      <c r="B2338" s="183"/>
    </row>
    <row r="2339" spans="2:2" ht="15" x14ac:dyDescent="0.2">
      <c r="B2339" s="183"/>
    </row>
    <row r="2340" spans="2:2" ht="15" x14ac:dyDescent="0.2">
      <c r="B2340" s="183"/>
    </row>
    <row r="2341" spans="2:2" ht="15" x14ac:dyDescent="0.2">
      <c r="B2341" s="183"/>
    </row>
    <row r="2342" spans="2:2" ht="15" x14ac:dyDescent="0.2">
      <c r="B2342" s="183"/>
    </row>
    <row r="2343" spans="2:2" ht="15" x14ac:dyDescent="0.2">
      <c r="B2343" s="183"/>
    </row>
    <row r="2344" spans="2:2" ht="15" x14ac:dyDescent="0.2">
      <c r="B2344" s="183"/>
    </row>
    <row r="2345" spans="2:2" ht="15" x14ac:dyDescent="0.2">
      <c r="B2345" s="183"/>
    </row>
    <row r="2346" spans="2:2" ht="15" x14ac:dyDescent="0.2">
      <c r="B2346" s="183"/>
    </row>
    <row r="2347" spans="2:2" ht="15" x14ac:dyDescent="0.2">
      <c r="B2347" s="183"/>
    </row>
    <row r="2348" spans="2:2" ht="15" x14ac:dyDescent="0.2">
      <c r="B2348" s="183"/>
    </row>
    <row r="2349" spans="2:2" ht="15" x14ac:dyDescent="0.2">
      <c r="B2349" s="183"/>
    </row>
    <row r="2350" spans="2:2" ht="15" x14ac:dyDescent="0.2">
      <c r="B2350" s="183"/>
    </row>
    <row r="2351" spans="2:2" ht="15" x14ac:dyDescent="0.2">
      <c r="B2351" s="183"/>
    </row>
    <row r="2352" spans="2:2" ht="15" x14ac:dyDescent="0.2">
      <c r="B2352" s="183"/>
    </row>
    <row r="2353" spans="2:2" ht="15" x14ac:dyDescent="0.2">
      <c r="B2353" s="183"/>
    </row>
    <row r="2354" spans="2:2" ht="15" x14ac:dyDescent="0.2">
      <c r="B2354" s="183"/>
    </row>
    <row r="2355" spans="2:2" ht="15" x14ac:dyDescent="0.2">
      <c r="B2355" s="183"/>
    </row>
    <row r="2356" spans="2:2" ht="15" x14ac:dyDescent="0.2">
      <c r="B2356" s="183"/>
    </row>
    <row r="2357" spans="2:2" ht="15" x14ac:dyDescent="0.2">
      <c r="B2357" s="183"/>
    </row>
    <row r="2358" spans="2:2" ht="15" x14ac:dyDescent="0.2">
      <c r="B2358" s="183"/>
    </row>
    <row r="2359" spans="2:2" ht="15" x14ac:dyDescent="0.2">
      <c r="B2359" s="183"/>
    </row>
    <row r="2360" spans="2:2" ht="15" x14ac:dyDescent="0.2">
      <c r="B2360" s="183"/>
    </row>
    <row r="2361" spans="2:2" ht="15" x14ac:dyDescent="0.2">
      <c r="B2361" s="183"/>
    </row>
    <row r="2362" spans="2:2" ht="15" x14ac:dyDescent="0.2">
      <c r="B2362" s="183"/>
    </row>
    <row r="2363" spans="2:2" ht="15" x14ac:dyDescent="0.2">
      <c r="B2363" s="183"/>
    </row>
    <row r="2364" spans="2:2" ht="15" x14ac:dyDescent="0.2">
      <c r="B2364" s="183"/>
    </row>
    <row r="2365" spans="2:2" ht="15" x14ac:dyDescent="0.2">
      <c r="B2365" s="183"/>
    </row>
    <row r="2366" spans="2:2" ht="15" x14ac:dyDescent="0.2">
      <c r="B2366" s="183"/>
    </row>
    <row r="2367" spans="2:2" ht="15" x14ac:dyDescent="0.2">
      <c r="B2367" s="183"/>
    </row>
    <row r="2368" spans="2:2" ht="15" x14ac:dyDescent="0.2">
      <c r="B2368" s="183"/>
    </row>
    <row r="2369" spans="2:2" ht="15" x14ac:dyDescent="0.2">
      <c r="B2369" s="183"/>
    </row>
    <row r="2370" spans="2:2" ht="15" x14ac:dyDescent="0.2">
      <c r="B2370" s="183"/>
    </row>
    <row r="2371" spans="2:2" ht="15" x14ac:dyDescent="0.2">
      <c r="B2371" s="183"/>
    </row>
    <row r="2372" spans="2:2" ht="15" x14ac:dyDescent="0.2">
      <c r="B2372" s="183"/>
    </row>
    <row r="2373" spans="2:2" ht="15" x14ac:dyDescent="0.2">
      <c r="B2373" s="183"/>
    </row>
    <row r="2374" spans="2:2" ht="15" x14ac:dyDescent="0.2">
      <c r="B2374" s="183"/>
    </row>
    <row r="2375" spans="2:2" ht="15" x14ac:dyDescent="0.2">
      <c r="B2375" s="183"/>
    </row>
    <row r="2376" spans="2:2" ht="15" x14ac:dyDescent="0.2">
      <c r="B2376" s="183"/>
    </row>
    <row r="2377" spans="2:2" ht="15" x14ac:dyDescent="0.2">
      <c r="B2377" s="183"/>
    </row>
    <row r="2378" spans="2:2" ht="15" x14ac:dyDescent="0.2">
      <c r="B2378" s="183"/>
    </row>
    <row r="2379" spans="2:2" ht="15" x14ac:dyDescent="0.2">
      <c r="B2379" s="183"/>
    </row>
    <row r="2380" spans="2:2" ht="15" x14ac:dyDescent="0.2">
      <c r="B2380" s="183"/>
    </row>
    <row r="2381" spans="2:2" ht="15" x14ac:dyDescent="0.2">
      <c r="B2381" s="183"/>
    </row>
    <row r="2382" spans="2:2" ht="15" x14ac:dyDescent="0.2">
      <c r="B2382" s="183"/>
    </row>
    <row r="2383" spans="2:2" ht="15" x14ac:dyDescent="0.2">
      <c r="B2383" s="183"/>
    </row>
    <row r="2384" spans="2:2" ht="15" x14ac:dyDescent="0.2">
      <c r="B2384" s="183"/>
    </row>
    <row r="2385" spans="2:2" ht="15" x14ac:dyDescent="0.2">
      <c r="B2385" s="183"/>
    </row>
    <row r="2386" spans="2:2" ht="15" x14ac:dyDescent="0.2">
      <c r="B2386" s="183"/>
    </row>
    <row r="2387" spans="2:2" ht="15" x14ac:dyDescent="0.2">
      <c r="B2387" s="183"/>
    </row>
    <row r="2388" spans="2:2" ht="15" x14ac:dyDescent="0.2">
      <c r="B2388" s="183"/>
    </row>
    <row r="2389" spans="2:2" ht="15" x14ac:dyDescent="0.2">
      <c r="B2389" s="183"/>
    </row>
    <row r="2390" spans="2:2" ht="15" x14ac:dyDescent="0.2">
      <c r="B2390" s="183"/>
    </row>
    <row r="2391" spans="2:2" ht="15" x14ac:dyDescent="0.2">
      <c r="B2391" s="183"/>
    </row>
    <row r="2392" spans="2:2" ht="15" x14ac:dyDescent="0.2">
      <c r="B2392" s="183"/>
    </row>
    <row r="2393" spans="2:2" ht="15" x14ac:dyDescent="0.2">
      <c r="B2393" s="183"/>
    </row>
    <row r="2394" spans="2:2" ht="15" x14ac:dyDescent="0.2">
      <c r="B2394" s="183"/>
    </row>
    <row r="2395" spans="2:2" ht="15" x14ac:dyDescent="0.2">
      <c r="B2395" s="183"/>
    </row>
    <row r="2396" spans="2:2" ht="15" x14ac:dyDescent="0.2">
      <c r="B2396" s="183"/>
    </row>
    <row r="2397" spans="2:2" ht="15" x14ac:dyDescent="0.2">
      <c r="B2397" s="183"/>
    </row>
    <row r="2398" spans="2:2" ht="15" x14ac:dyDescent="0.2">
      <c r="B2398" s="183"/>
    </row>
    <row r="2399" spans="2:2" ht="15" x14ac:dyDescent="0.2">
      <c r="B2399" s="183"/>
    </row>
    <row r="2400" spans="2:2" ht="15" x14ac:dyDescent="0.2">
      <c r="B2400" s="183"/>
    </row>
    <row r="2401" spans="2:2" ht="15" x14ac:dyDescent="0.2">
      <c r="B2401" s="183"/>
    </row>
    <row r="2402" spans="2:2" ht="15" x14ac:dyDescent="0.2">
      <c r="B2402" s="183"/>
    </row>
    <row r="2403" spans="2:2" ht="15" x14ac:dyDescent="0.2">
      <c r="B2403" s="183"/>
    </row>
    <row r="2404" spans="2:2" ht="15" x14ac:dyDescent="0.2">
      <c r="B2404" s="183"/>
    </row>
    <row r="2405" spans="2:2" ht="15" x14ac:dyDescent="0.2">
      <c r="B2405" s="183"/>
    </row>
    <row r="2406" spans="2:2" ht="15" x14ac:dyDescent="0.2">
      <c r="B2406" s="183"/>
    </row>
    <row r="2407" spans="2:2" ht="15" x14ac:dyDescent="0.2">
      <c r="B2407" s="183"/>
    </row>
    <row r="2408" spans="2:2" ht="15" x14ac:dyDescent="0.2">
      <c r="B2408" s="183"/>
    </row>
    <row r="2409" spans="2:2" ht="15" x14ac:dyDescent="0.2">
      <c r="B2409" s="183"/>
    </row>
    <row r="2410" spans="2:2" ht="15" x14ac:dyDescent="0.2">
      <c r="B2410" s="183"/>
    </row>
    <row r="2411" spans="2:2" ht="15" x14ac:dyDescent="0.2">
      <c r="B2411" s="183"/>
    </row>
    <row r="2412" spans="2:2" ht="15" x14ac:dyDescent="0.2">
      <c r="B2412" s="183"/>
    </row>
    <row r="2413" spans="2:2" ht="15" x14ac:dyDescent="0.2">
      <c r="B2413" s="183"/>
    </row>
    <row r="2414" spans="2:2" ht="15" x14ac:dyDescent="0.2">
      <c r="B2414" s="183"/>
    </row>
    <row r="2415" spans="2:2" ht="15" x14ac:dyDescent="0.2">
      <c r="B2415" s="183"/>
    </row>
    <row r="2416" spans="2:2" ht="15" x14ac:dyDescent="0.2">
      <c r="B2416" s="183"/>
    </row>
    <row r="2417" spans="2:2" ht="15" x14ac:dyDescent="0.2">
      <c r="B2417" s="183"/>
    </row>
    <row r="2418" spans="2:2" ht="15" x14ac:dyDescent="0.2">
      <c r="B2418" s="183"/>
    </row>
    <row r="2419" spans="2:2" ht="15" x14ac:dyDescent="0.2">
      <c r="B2419" s="183"/>
    </row>
    <row r="2420" spans="2:2" ht="15" x14ac:dyDescent="0.2">
      <c r="B2420" s="183"/>
    </row>
    <row r="2421" spans="2:2" ht="15" x14ac:dyDescent="0.2">
      <c r="B2421" s="183"/>
    </row>
    <row r="2422" spans="2:2" ht="15" x14ac:dyDescent="0.2">
      <c r="B2422" s="183"/>
    </row>
    <row r="2423" spans="2:2" ht="15" x14ac:dyDescent="0.2">
      <c r="B2423" s="183"/>
    </row>
    <row r="2424" spans="2:2" ht="15" x14ac:dyDescent="0.2">
      <c r="B2424" s="183"/>
    </row>
    <row r="2425" spans="2:2" ht="15" x14ac:dyDescent="0.2">
      <c r="B2425" s="183"/>
    </row>
    <row r="2426" spans="2:2" ht="15" x14ac:dyDescent="0.2">
      <c r="B2426" s="183"/>
    </row>
    <row r="2427" spans="2:2" ht="15" x14ac:dyDescent="0.2">
      <c r="B2427" s="183"/>
    </row>
    <row r="2428" spans="2:2" ht="15" x14ac:dyDescent="0.2">
      <c r="B2428" s="183"/>
    </row>
    <row r="2429" spans="2:2" ht="15" x14ac:dyDescent="0.2">
      <c r="B2429" s="183"/>
    </row>
    <row r="2430" spans="2:2" ht="15" x14ac:dyDescent="0.2">
      <c r="B2430" s="183"/>
    </row>
    <row r="2431" spans="2:2" ht="15" x14ac:dyDescent="0.2">
      <c r="B2431" s="183"/>
    </row>
    <row r="2432" spans="2:2" ht="15" x14ac:dyDescent="0.2">
      <c r="B2432" s="183"/>
    </row>
    <row r="2433" spans="2:2" ht="15" x14ac:dyDescent="0.2">
      <c r="B2433" s="183"/>
    </row>
    <row r="2434" spans="2:2" ht="15" x14ac:dyDescent="0.2">
      <c r="B2434" s="183"/>
    </row>
    <row r="2435" spans="2:2" ht="15" x14ac:dyDescent="0.2">
      <c r="B2435" s="183"/>
    </row>
    <row r="2436" spans="2:2" ht="15" x14ac:dyDescent="0.2">
      <c r="B2436" s="183"/>
    </row>
    <row r="2437" spans="2:2" ht="15" x14ac:dyDescent="0.2">
      <c r="B2437" s="183"/>
    </row>
    <row r="2438" spans="2:2" ht="15" x14ac:dyDescent="0.2">
      <c r="B2438" s="183"/>
    </row>
    <row r="2439" spans="2:2" ht="15" x14ac:dyDescent="0.2">
      <c r="B2439" s="183"/>
    </row>
    <row r="2440" spans="2:2" ht="15" x14ac:dyDescent="0.2">
      <c r="B2440" s="183"/>
    </row>
    <row r="2441" spans="2:2" ht="15" x14ac:dyDescent="0.2">
      <c r="B2441" s="183"/>
    </row>
    <row r="2442" spans="2:2" ht="15" x14ac:dyDescent="0.2">
      <c r="B2442" s="183"/>
    </row>
    <row r="2443" spans="2:2" ht="15" x14ac:dyDescent="0.2">
      <c r="B2443" s="183"/>
    </row>
    <row r="2444" spans="2:2" ht="15" x14ac:dyDescent="0.2">
      <c r="B2444" s="183"/>
    </row>
    <row r="2445" spans="2:2" ht="15" x14ac:dyDescent="0.2">
      <c r="B2445" s="183"/>
    </row>
    <row r="2446" spans="2:2" ht="15" x14ac:dyDescent="0.2">
      <c r="B2446" s="183"/>
    </row>
    <row r="2447" spans="2:2" ht="15" x14ac:dyDescent="0.2">
      <c r="B2447" s="183"/>
    </row>
    <row r="2448" spans="2:2" ht="15" x14ac:dyDescent="0.2">
      <c r="B2448" s="183"/>
    </row>
    <row r="2449" spans="2:2" ht="15" x14ac:dyDescent="0.2">
      <c r="B2449" s="183"/>
    </row>
    <row r="2450" spans="2:2" ht="15" x14ac:dyDescent="0.2">
      <c r="B2450" s="183"/>
    </row>
    <row r="2451" spans="2:2" ht="15" x14ac:dyDescent="0.2">
      <c r="B2451" s="183"/>
    </row>
    <row r="2452" spans="2:2" ht="15" x14ac:dyDescent="0.2">
      <c r="B2452" s="183"/>
    </row>
    <row r="2453" spans="2:2" ht="15" x14ac:dyDescent="0.2">
      <c r="B2453" s="183"/>
    </row>
    <row r="2454" spans="2:2" ht="15" x14ac:dyDescent="0.2">
      <c r="B2454" s="183"/>
    </row>
    <row r="2455" spans="2:2" ht="15" x14ac:dyDescent="0.2">
      <c r="B2455" s="183"/>
    </row>
    <row r="2456" spans="2:2" ht="15" x14ac:dyDescent="0.2">
      <c r="B2456" s="183"/>
    </row>
    <row r="2457" spans="2:2" ht="15" x14ac:dyDescent="0.2">
      <c r="B2457" s="183"/>
    </row>
    <row r="2458" spans="2:2" ht="15" x14ac:dyDescent="0.2">
      <c r="B2458" s="183"/>
    </row>
    <row r="2459" spans="2:2" ht="15" x14ac:dyDescent="0.2">
      <c r="B2459" s="183"/>
    </row>
    <row r="2460" spans="2:2" ht="15" x14ac:dyDescent="0.2">
      <c r="B2460" s="183"/>
    </row>
    <row r="2461" spans="2:2" ht="15" x14ac:dyDescent="0.2">
      <c r="B2461" s="183"/>
    </row>
    <row r="2462" spans="2:2" ht="15" x14ac:dyDescent="0.2">
      <c r="B2462" s="183"/>
    </row>
    <row r="2463" spans="2:2" ht="15" x14ac:dyDescent="0.2">
      <c r="B2463" s="183"/>
    </row>
    <row r="2464" spans="2:2" ht="15" x14ac:dyDescent="0.2">
      <c r="B2464" s="183"/>
    </row>
    <row r="2465" spans="2:2" ht="15" x14ac:dyDescent="0.2">
      <c r="B2465" s="183"/>
    </row>
    <row r="2466" spans="2:2" ht="15" x14ac:dyDescent="0.2">
      <c r="B2466" s="183"/>
    </row>
    <row r="2467" spans="2:2" ht="15" x14ac:dyDescent="0.2">
      <c r="B2467" s="183"/>
    </row>
    <row r="2468" spans="2:2" ht="15" x14ac:dyDescent="0.2">
      <c r="B2468" s="183"/>
    </row>
    <row r="2469" spans="2:2" ht="15" x14ac:dyDescent="0.2">
      <c r="B2469" s="183"/>
    </row>
    <row r="2470" spans="2:2" ht="15" x14ac:dyDescent="0.2">
      <c r="B2470" s="183"/>
    </row>
    <row r="2471" spans="2:2" ht="15" x14ac:dyDescent="0.2">
      <c r="B2471" s="183"/>
    </row>
    <row r="2472" spans="2:2" ht="15" x14ac:dyDescent="0.2">
      <c r="B2472" s="183"/>
    </row>
    <row r="2473" spans="2:2" ht="15" x14ac:dyDescent="0.2">
      <c r="B2473" s="183"/>
    </row>
    <row r="2474" spans="2:2" ht="15" x14ac:dyDescent="0.2">
      <c r="B2474" s="183"/>
    </row>
    <row r="2475" spans="2:2" ht="15" x14ac:dyDescent="0.2">
      <c r="B2475" s="183"/>
    </row>
    <row r="2476" spans="2:2" ht="15" x14ac:dyDescent="0.2">
      <c r="B2476" s="183"/>
    </row>
    <row r="2477" spans="2:2" ht="15" x14ac:dyDescent="0.2">
      <c r="B2477" s="183"/>
    </row>
    <row r="2478" spans="2:2" ht="15" x14ac:dyDescent="0.2">
      <c r="B2478" s="183"/>
    </row>
    <row r="2479" spans="2:2" ht="15" x14ac:dyDescent="0.2">
      <c r="B2479" s="183"/>
    </row>
    <row r="2480" spans="2:2" ht="15" x14ac:dyDescent="0.2">
      <c r="B2480" s="183"/>
    </row>
    <row r="2481" spans="2:2" ht="15" x14ac:dyDescent="0.2">
      <c r="B2481" s="183"/>
    </row>
    <row r="2482" spans="2:2" ht="15" x14ac:dyDescent="0.2">
      <c r="B2482" s="183"/>
    </row>
    <row r="2483" spans="2:2" ht="15" x14ac:dyDescent="0.2">
      <c r="B2483" s="183"/>
    </row>
    <row r="2484" spans="2:2" ht="15" x14ac:dyDescent="0.2">
      <c r="B2484" s="183"/>
    </row>
    <row r="2485" spans="2:2" ht="15" x14ac:dyDescent="0.2">
      <c r="B2485" s="183"/>
    </row>
    <row r="2486" spans="2:2" ht="15" x14ac:dyDescent="0.2">
      <c r="B2486" s="183"/>
    </row>
    <row r="2487" spans="2:2" ht="15" x14ac:dyDescent="0.2">
      <c r="B2487" s="183"/>
    </row>
    <row r="2488" spans="2:2" ht="15" x14ac:dyDescent="0.2">
      <c r="B2488" s="183"/>
    </row>
    <row r="2489" spans="2:2" ht="15" x14ac:dyDescent="0.2">
      <c r="B2489" s="183"/>
    </row>
    <row r="2490" spans="2:2" ht="15" x14ac:dyDescent="0.2">
      <c r="B2490" s="183"/>
    </row>
    <row r="2491" spans="2:2" ht="15" x14ac:dyDescent="0.2">
      <c r="B2491" s="183"/>
    </row>
    <row r="2492" spans="2:2" ht="15" x14ac:dyDescent="0.2">
      <c r="B2492" s="183"/>
    </row>
    <row r="2493" spans="2:2" ht="15" x14ac:dyDescent="0.2">
      <c r="B2493" s="183"/>
    </row>
    <row r="2494" spans="2:2" ht="15" x14ac:dyDescent="0.2">
      <c r="B2494" s="183"/>
    </row>
    <row r="2495" spans="2:2" ht="15" x14ac:dyDescent="0.2">
      <c r="B2495" s="183"/>
    </row>
    <row r="2496" spans="2:2" ht="15" x14ac:dyDescent="0.2">
      <c r="B2496" s="183"/>
    </row>
    <row r="2497" spans="2:2" ht="15" x14ac:dyDescent="0.2">
      <c r="B2497" s="183"/>
    </row>
    <row r="2498" spans="2:2" ht="15" x14ac:dyDescent="0.2">
      <c r="B2498" s="183"/>
    </row>
    <row r="2499" spans="2:2" ht="15" x14ac:dyDescent="0.2">
      <c r="B2499" s="183"/>
    </row>
    <row r="2500" spans="2:2" ht="15" x14ac:dyDescent="0.2">
      <c r="B2500" s="183"/>
    </row>
    <row r="2501" spans="2:2" ht="15" x14ac:dyDescent="0.2">
      <c r="B2501" s="183"/>
    </row>
    <row r="2502" spans="2:2" ht="15" x14ac:dyDescent="0.2">
      <c r="B2502" s="183"/>
    </row>
    <row r="2503" spans="2:2" ht="15" x14ac:dyDescent="0.2">
      <c r="B2503" s="183"/>
    </row>
    <row r="2504" spans="2:2" ht="15" x14ac:dyDescent="0.2">
      <c r="B2504" s="183"/>
    </row>
    <row r="2505" spans="2:2" ht="15" x14ac:dyDescent="0.2">
      <c r="B2505" s="183"/>
    </row>
    <row r="2506" spans="2:2" ht="15" x14ac:dyDescent="0.2">
      <c r="B2506" s="183"/>
    </row>
    <row r="2507" spans="2:2" ht="15" x14ac:dyDescent="0.2">
      <c r="B2507" s="183"/>
    </row>
    <row r="2508" spans="2:2" ht="15" x14ac:dyDescent="0.2">
      <c r="B2508" s="183"/>
    </row>
    <row r="2509" spans="2:2" ht="15" x14ac:dyDescent="0.2">
      <c r="B2509" s="183"/>
    </row>
    <row r="2510" spans="2:2" ht="15" x14ac:dyDescent="0.2">
      <c r="B2510" s="183"/>
    </row>
    <row r="2511" spans="2:2" ht="15" x14ac:dyDescent="0.2">
      <c r="B2511" s="183"/>
    </row>
    <row r="2512" spans="2:2" ht="15" x14ac:dyDescent="0.2">
      <c r="B2512" s="183"/>
    </row>
    <row r="2513" spans="2:2" ht="15" x14ac:dyDescent="0.2">
      <c r="B2513" s="183"/>
    </row>
    <row r="2514" spans="2:2" ht="15" x14ac:dyDescent="0.2">
      <c r="B2514" s="183"/>
    </row>
    <row r="2515" spans="2:2" ht="15" x14ac:dyDescent="0.2">
      <c r="B2515" s="183"/>
    </row>
    <row r="2516" spans="2:2" ht="15" x14ac:dyDescent="0.2">
      <c r="B2516" s="183"/>
    </row>
    <row r="2517" spans="2:2" ht="15" x14ac:dyDescent="0.2">
      <c r="B2517" s="183"/>
    </row>
    <row r="2518" spans="2:2" ht="15" x14ac:dyDescent="0.2">
      <c r="B2518" s="183"/>
    </row>
    <row r="2519" spans="2:2" ht="15" x14ac:dyDescent="0.2">
      <c r="B2519" s="183"/>
    </row>
    <row r="2520" spans="2:2" ht="15" x14ac:dyDescent="0.2">
      <c r="B2520" s="183"/>
    </row>
    <row r="2521" spans="2:2" ht="15" x14ac:dyDescent="0.2">
      <c r="B2521" s="183"/>
    </row>
    <row r="2522" spans="2:2" ht="15" x14ac:dyDescent="0.2">
      <c r="B2522" s="183"/>
    </row>
    <row r="2523" spans="2:2" ht="15" x14ac:dyDescent="0.2">
      <c r="B2523" s="183"/>
    </row>
    <row r="2524" spans="2:2" ht="15" x14ac:dyDescent="0.2">
      <c r="B2524" s="183"/>
    </row>
    <row r="2525" spans="2:2" ht="15" x14ac:dyDescent="0.2">
      <c r="B2525" s="183"/>
    </row>
    <row r="2526" spans="2:2" ht="15" x14ac:dyDescent="0.2">
      <c r="B2526" s="183"/>
    </row>
    <row r="2527" spans="2:2" ht="15" x14ac:dyDescent="0.2">
      <c r="B2527" s="183"/>
    </row>
    <row r="2528" spans="2:2" ht="15" x14ac:dyDescent="0.2">
      <c r="B2528" s="183"/>
    </row>
    <row r="2529" spans="2:2" ht="15" x14ac:dyDescent="0.2">
      <c r="B2529" s="183"/>
    </row>
    <row r="2530" spans="2:2" ht="15" x14ac:dyDescent="0.2">
      <c r="B2530" s="183"/>
    </row>
    <row r="2531" spans="2:2" ht="15" x14ac:dyDescent="0.2">
      <c r="B2531" s="183"/>
    </row>
    <row r="2532" spans="2:2" ht="15" x14ac:dyDescent="0.2">
      <c r="B2532" s="183"/>
    </row>
    <row r="2533" spans="2:2" ht="15" x14ac:dyDescent="0.2">
      <c r="B2533" s="183"/>
    </row>
    <row r="2534" spans="2:2" ht="15" x14ac:dyDescent="0.2">
      <c r="B2534" s="183"/>
    </row>
    <row r="2535" spans="2:2" ht="15" x14ac:dyDescent="0.2">
      <c r="B2535" s="183"/>
    </row>
    <row r="2536" spans="2:2" ht="15" x14ac:dyDescent="0.2">
      <c r="B2536" s="183"/>
    </row>
    <row r="2537" spans="2:2" ht="15" x14ac:dyDescent="0.2">
      <c r="B2537" s="183"/>
    </row>
    <row r="2538" spans="2:2" ht="15" x14ac:dyDescent="0.2">
      <c r="B2538" s="183"/>
    </row>
    <row r="2539" spans="2:2" ht="15" x14ac:dyDescent="0.2">
      <c r="B2539" s="183"/>
    </row>
    <row r="2540" spans="2:2" ht="15" x14ac:dyDescent="0.2">
      <c r="B2540" s="183"/>
    </row>
    <row r="2541" spans="2:2" ht="15" x14ac:dyDescent="0.2">
      <c r="B2541" s="183"/>
    </row>
    <row r="2542" spans="2:2" ht="15" x14ac:dyDescent="0.2">
      <c r="B2542" s="183"/>
    </row>
    <row r="2543" spans="2:2" ht="15" x14ac:dyDescent="0.2">
      <c r="B2543" s="183"/>
    </row>
    <row r="2544" spans="2:2" ht="15" x14ac:dyDescent="0.2">
      <c r="B2544" s="183"/>
    </row>
    <row r="2545" spans="2:2" ht="15" x14ac:dyDescent="0.2">
      <c r="B2545" s="183"/>
    </row>
    <row r="2546" spans="2:2" ht="15" x14ac:dyDescent="0.2">
      <c r="B2546" s="183"/>
    </row>
    <row r="2547" spans="2:2" ht="15" x14ac:dyDescent="0.2">
      <c r="B2547" s="183"/>
    </row>
    <row r="2548" spans="2:2" ht="15" x14ac:dyDescent="0.2">
      <c r="B2548" s="183"/>
    </row>
    <row r="2549" spans="2:2" ht="15" x14ac:dyDescent="0.2">
      <c r="B2549" s="183"/>
    </row>
    <row r="2550" spans="2:2" ht="15" x14ac:dyDescent="0.2">
      <c r="B2550" s="183"/>
    </row>
    <row r="2551" spans="2:2" ht="15" x14ac:dyDescent="0.2">
      <c r="B2551" s="183"/>
    </row>
    <row r="2552" spans="2:2" ht="15" x14ac:dyDescent="0.2">
      <c r="B2552" s="183"/>
    </row>
    <row r="2553" spans="2:2" ht="15" x14ac:dyDescent="0.2">
      <c r="B2553" s="183"/>
    </row>
    <row r="2554" spans="2:2" ht="15" x14ac:dyDescent="0.2">
      <c r="B2554" s="183"/>
    </row>
    <row r="2555" spans="2:2" ht="15" x14ac:dyDescent="0.2">
      <c r="B2555" s="183"/>
    </row>
    <row r="2556" spans="2:2" ht="15" x14ac:dyDescent="0.2">
      <c r="B2556" s="183"/>
    </row>
    <row r="2557" spans="2:2" ht="15" x14ac:dyDescent="0.2">
      <c r="B2557" s="183"/>
    </row>
    <row r="2558" spans="2:2" ht="15" x14ac:dyDescent="0.2">
      <c r="B2558" s="183"/>
    </row>
    <row r="2559" spans="2:2" ht="15" x14ac:dyDescent="0.2">
      <c r="B2559" s="183"/>
    </row>
    <row r="2560" spans="2:2" ht="15" x14ac:dyDescent="0.2">
      <c r="B2560" s="183"/>
    </row>
    <row r="2561" spans="2:2" ht="15" x14ac:dyDescent="0.2">
      <c r="B2561" s="183"/>
    </row>
    <row r="2562" spans="2:2" ht="15" x14ac:dyDescent="0.2">
      <c r="B2562" s="183"/>
    </row>
    <row r="2563" spans="2:2" ht="15" x14ac:dyDescent="0.2">
      <c r="B2563" s="183"/>
    </row>
    <row r="2564" spans="2:2" ht="15" x14ac:dyDescent="0.2">
      <c r="B2564" s="183"/>
    </row>
    <row r="2565" spans="2:2" ht="15" x14ac:dyDescent="0.2">
      <c r="B2565" s="183"/>
    </row>
    <row r="2566" spans="2:2" ht="15" x14ac:dyDescent="0.2">
      <c r="B2566" s="183"/>
    </row>
    <row r="2567" spans="2:2" ht="15" x14ac:dyDescent="0.2">
      <c r="B2567" s="183"/>
    </row>
    <row r="2568" spans="2:2" ht="15" x14ac:dyDescent="0.2">
      <c r="B2568" s="183"/>
    </row>
    <row r="2569" spans="2:2" ht="15" x14ac:dyDescent="0.2">
      <c r="B2569" s="183"/>
    </row>
    <row r="2570" spans="2:2" ht="15" x14ac:dyDescent="0.2">
      <c r="B2570" s="183"/>
    </row>
    <row r="2571" spans="2:2" ht="15" x14ac:dyDescent="0.2">
      <c r="B2571" s="183"/>
    </row>
    <row r="2572" spans="2:2" ht="15" x14ac:dyDescent="0.2">
      <c r="B2572" s="183"/>
    </row>
    <row r="2573" spans="2:2" ht="15" x14ac:dyDescent="0.2">
      <c r="B2573" s="183"/>
    </row>
    <row r="2574" spans="2:2" ht="15" x14ac:dyDescent="0.2">
      <c r="B2574" s="183"/>
    </row>
    <row r="2575" spans="2:2" ht="15" x14ac:dyDescent="0.2">
      <c r="B2575" s="183"/>
    </row>
    <row r="2576" spans="2:2" ht="15" x14ac:dyDescent="0.2">
      <c r="B2576" s="183"/>
    </row>
    <row r="2577" spans="2:2" ht="15" x14ac:dyDescent="0.2">
      <c r="B2577" s="183"/>
    </row>
    <row r="2578" spans="2:2" ht="15" x14ac:dyDescent="0.2">
      <c r="B2578" s="183"/>
    </row>
    <row r="2579" spans="2:2" ht="15" x14ac:dyDescent="0.2">
      <c r="B2579" s="183"/>
    </row>
    <row r="2580" spans="2:2" ht="15" x14ac:dyDescent="0.2">
      <c r="B2580" s="183"/>
    </row>
    <row r="2581" spans="2:2" ht="15" x14ac:dyDescent="0.2">
      <c r="B2581" s="183"/>
    </row>
    <row r="2582" spans="2:2" ht="15" x14ac:dyDescent="0.2">
      <c r="B2582" s="183"/>
    </row>
    <row r="2583" spans="2:2" ht="15" x14ac:dyDescent="0.2">
      <c r="B2583" s="183"/>
    </row>
    <row r="2584" spans="2:2" ht="15" x14ac:dyDescent="0.2">
      <c r="B2584" s="183"/>
    </row>
    <row r="2585" spans="2:2" ht="15" x14ac:dyDescent="0.2">
      <c r="B2585" s="183"/>
    </row>
    <row r="2586" spans="2:2" ht="15" x14ac:dyDescent="0.2">
      <c r="B2586" s="183"/>
    </row>
    <row r="2587" spans="2:2" ht="15" x14ac:dyDescent="0.2">
      <c r="B2587" s="183"/>
    </row>
    <row r="2588" spans="2:2" ht="15" x14ac:dyDescent="0.2">
      <c r="B2588" s="183"/>
    </row>
    <row r="2589" spans="2:2" ht="15" x14ac:dyDescent="0.2">
      <c r="B2589" s="183"/>
    </row>
    <row r="2590" spans="2:2" ht="15" x14ac:dyDescent="0.2">
      <c r="B2590" s="183"/>
    </row>
    <row r="2591" spans="2:2" ht="15" x14ac:dyDescent="0.2">
      <c r="B2591" s="183"/>
    </row>
    <row r="2592" spans="2:2" ht="15" x14ac:dyDescent="0.2">
      <c r="B2592" s="183"/>
    </row>
    <row r="2593" spans="2:2" ht="15" x14ac:dyDescent="0.2">
      <c r="B2593" s="183"/>
    </row>
    <row r="2594" spans="2:2" ht="15" x14ac:dyDescent="0.2">
      <c r="B2594" s="183"/>
    </row>
    <row r="2595" spans="2:2" ht="15" x14ac:dyDescent="0.2">
      <c r="B2595" s="183"/>
    </row>
    <row r="2596" spans="2:2" ht="15" x14ac:dyDescent="0.2">
      <c r="B2596" s="183"/>
    </row>
    <row r="2597" spans="2:2" ht="15" x14ac:dyDescent="0.2">
      <c r="B2597" s="183"/>
    </row>
    <row r="2598" spans="2:2" ht="15" x14ac:dyDescent="0.2">
      <c r="B2598" s="183"/>
    </row>
    <row r="2599" spans="2:2" ht="15" x14ac:dyDescent="0.2">
      <c r="B2599" s="183"/>
    </row>
    <row r="2600" spans="2:2" ht="15" x14ac:dyDescent="0.2">
      <c r="B2600" s="183"/>
    </row>
    <row r="2601" spans="2:2" ht="15" x14ac:dyDescent="0.2">
      <c r="B2601" s="183"/>
    </row>
    <row r="2602" spans="2:2" ht="15" x14ac:dyDescent="0.2">
      <c r="B2602" s="183"/>
    </row>
    <row r="2603" spans="2:2" ht="15" x14ac:dyDescent="0.2">
      <c r="B2603" s="183"/>
    </row>
    <row r="2604" spans="2:2" ht="15" x14ac:dyDescent="0.2">
      <c r="B2604" s="183"/>
    </row>
    <row r="2605" spans="2:2" ht="15" x14ac:dyDescent="0.2">
      <c r="B2605" s="183"/>
    </row>
    <row r="2606" spans="2:2" ht="15" x14ac:dyDescent="0.2">
      <c r="B2606" s="183"/>
    </row>
    <row r="2607" spans="2:2" ht="15" x14ac:dyDescent="0.2">
      <c r="B2607" s="183"/>
    </row>
    <row r="2608" spans="2:2" ht="15" x14ac:dyDescent="0.2">
      <c r="B2608" s="183"/>
    </row>
    <row r="2609" spans="2:2" ht="15" x14ac:dyDescent="0.2">
      <c r="B2609" s="183"/>
    </row>
    <row r="2610" spans="2:2" ht="15" x14ac:dyDescent="0.2">
      <c r="B2610" s="183"/>
    </row>
    <row r="2611" spans="2:2" ht="15" x14ac:dyDescent="0.2">
      <c r="B2611" s="183"/>
    </row>
    <row r="2612" spans="2:2" ht="15" x14ac:dyDescent="0.2">
      <c r="B2612" s="183"/>
    </row>
    <row r="2613" spans="2:2" ht="15" x14ac:dyDescent="0.2">
      <c r="B2613" s="183"/>
    </row>
    <row r="2614" spans="2:2" ht="15" x14ac:dyDescent="0.2">
      <c r="B2614" s="183"/>
    </row>
    <row r="2615" spans="2:2" ht="15" x14ac:dyDescent="0.2">
      <c r="B2615" s="183"/>
    </row>
    <row r="2616" spans="2:2" ht="15" x14ac:dyDescent="0.2">
      <c r="B2616" s="183"/>
    </row>
    <row r="2617" spans="2:2" ht="15" x14ac:dyDescent="0.2">
      <c r="B2617" s="183"/>
    </row>
    <row r="2618" spans="2:2" ht="15" x14ac:dyDescent="0.2">
      <c r="B2618" s="183"/>
    </row>
    <row r="2619" spans="2:2" ht="15" x14ac:dyDescent="0.2">
      <c r="B2619" s="183"/>
    </row>
    <row r="2620" spans="2:2" ht="15" x14ac:dyDescent="0.2">
      <c r="B2620" s="183"/>
    </row>
    <row r="2621" spans="2:2" ht="15" x14ac:dyDescent="0.2">
      <c r="B2621" s="183"/>
    </row>
    <row r="2622" spans="2:2" ht="15" x14ac:dyDescent="0.2">
      <c r="B2622" s="183"/>
    </row>
    <row r="2623" spans="2:2" ht="15" x14ac:dyDescent="0.2">
      <c r="B2623" s="183"/>
    </row>
    <row r="2624" spans="2:2" ht="15" x14ac:dyDescent="0.2">
      <c r="B2624" s="183"/>
    </row>
    <row r="2625" spans="2:2" ht="15" x14ac:dyDescent="0.2">
      <c r="B2625" s="183"/>
    </row>
    <row r="2626" spans="2:2" ht="15" x14ac:dyDescent="0.2">
      <c r="B2626" s="183"/>
    </row>
    <row r="2627" spans="2:2" ht="15" x14ac:dyDescent="0.2">
      <c r="B2627" s="183"/>
    </row>
    <row r="2628" spans="2:2" ht="15" x14ac:dyDescent="0.2">
      <c r="B2628" s="183"/>
    </row>
    <row r="2629" spans="2:2" ht="15" x14ac:dyDescent="0.2">
      <c r="B2629" s="183"/>
    </row>
    <row r="2630" spans="2:2" ht="15" x14ac:dyDescent="0.2">
      <c r="B2630" s="183"/>
    </row>
    <row r="2631" spans="2:2" ht="15" x14ac:dyDescent="0.2">
      <c r="B2631" s="183"/>
    </row>
    <row r="2632" spans="2:2" ht="15" x14ac:dyDescent="0.2">
      <c r="B2632" s="183"/>
    </row>
    <row r="2633" spans="2:2" ht="15" x14ac:dyDescent="0.2">
      <c r="B2633" s="183"/>
    </row>
    <row r="2634" spans="2:2" ht="15" x14ac:dyDescent="0.2">
      <c r="B2634" s="183"/>
    </row>
    <row r="2635" spans="2:2" ht="15" x14ac:dyDescent="0.2">
      <c r="B2635" s="183"/>
    </row>
    <row r="2636" spans="2:2" ht="15" x14ac:dyDescent="0.2">
      <c r="B2636" s="183"/>
    </row>
    <row r="2637" spans="2:2" ht="15" x14ac:dyDescent="0.2">
      <c r="B2637" s="183"/>
    </row>
    <row r="2638" spans="2:2" ht="15" x14ac:dyDescent="0.2">
      <c r="B2638" s="183"/>
    </row>
    <row r="2639" spans="2:2" ht="15" x14ac:dyDescent="0.2">
      <c r="B2639" s="183"/>
    </row>
    <row r="2640" spans="2:2" ht="15" x14ac:dyDescent="0.2">
      <c r="B2640" s="183"/>
    </row>
    <row r="2641" spans="2:2" ht="15" x14ac:dyDescent="0.2">
      <c r="B2641" s="183"/>
    </row>
    <row r="2642" spans="2:2" ht="15" x14ac:dyDescent="0.2">
      <c r="B2642" s="183"/>
    </row>
    <row r="2643" spans="2:2" ht="15" x14ac:dyDescent="0.2">
      <c r="B2643" s="183"/>
    </row>
    <row r="2644" spans="2:2" ht="15" x14ac:dyDescent="0.2">
      <c r="B2644" s="183"/>
    </row>
    <row r="2645" spans="2:2" ht="15" x14ac:dyDescent="0.2">
      <c r="B2645" s="183"/>
    </row>
    <row r="2646" spans="2:2" ht="15" x14ac:dyDescent="0.2">
      <c r="B2646" s="183"/>
    </row>
    <row r="2647" spans="2:2" ht="15" x14ac:dyDescent="0.2">
      <c r="B2647" s="183"/>
    </row>
    <row r="2648" spans="2:2" ht="15" x14ac:dyDescent="0.2">
      <c r="B2648" s="183"/>
    </row>
    <row r="2649" spans="2:2" ht="15" x14ac:dyDescent="0.2">
      <c r="B2649" s="183"/>
    </row>
    <row r="2650" spans="2:2" ht="15" x14ac:dyDescent="0.2">
      <c r="B2650" s="183"/>
    </row>
    <row r="2651" spans="2:2" ht="15" x14ac:dyDescent="0.2">
      <c r="B2651" s="183"/>
    </row>
    <row r="2652" spans="2:2" ht="15" x14ac:dyDescent="0.2">
      <c r="B2652" s="183"/>
    </row>
    <row r="2653" spans="2:2" ht="15" x14ac:dyDescent="0.2">
      <c r="B2653" s="183"/>
    </row>
    <row r="2654" spans="2:2" ht="15" x14ac:dyDescent="0.2">
      <c r="B2654" s="183"/>
    </row>
    <row r="2655" spans="2:2" ht="15" x14ac:dyDescent="0.2">
      <c r="B2655" s="183"/>
    </row>
    <row r="2656" spans="2:2" ht="15" x14ac:dyDescent="0.2">
      <c r="B2656" s="183"/>
    </row>
    <row r="2657" spans="2:2" ht="15" x14ac:dyDescent="0.2">
      <c r="B2657" s="183"/>
    </row>
    <row r="2658" spans="2:2" ht="15" x14ac:dyDescent="0.2">
      <c r="B2658" s="183"/>
    </row>
    <row r="2659" spans="2:2" ht="15" x14ac:dyDescent="0.2">
      <c r="B2659" s="183"/>
    </row>
    <row r="2660" spans="2:2" ht="15" x14ac:dyDescent="0.2">
      <c r="B2660" s="183"/>
    </row>
    <row r="2661" spans="2:2" ht="15" x14ac:dyDescent="0.2">
      <c r="B2661" s="183"/>
    </row>
    <row r="2662" spans="2:2" ht="15" x14ac:dyDescent="0.2">
      <c r="B2662" s="183"/>
    </row>
    <row r="2663" spans="2:2" ht="15" x14ac:dyDescent="0.2">
      <c r="B2663" s="183"/>
    </row>
    <row r="2664" spans="2:2" ht="15" x14ac:dyDescent="0.2">
      <c r="B2664" s="183"/>
    </row>
    <row r="2665" spans="2:2" ht="15" x14ac:dyDescent="0.2">
      <c r="B2665" s="183"/>
    </row>
    <row r="2666" spans="2:2" ht="15" x14ac:dyDescent="0.2">
      <c r="B2666" s="183"/>
    </row>
    <row r="2667" spans="2:2" ht="15" x14ac:dyDescent="0.2">
      <c r="B2667" s="183"/>
    </row>
    <row r="2668" spans="2:2" ht="15" x14ac:dyDescent="0.2">
      <c r="B2668" s="183"/>
    </row>
    <row r="2669" spans="2:2" ht="15" x14ac:dyDescent="0.2">
      <c r="B2669" s="183"/>
    </row>
    <row r="2670" spans="2:2" ht="15" x14ac:dyDescent="0.2">
      <c r="B2670" s="183"/>
    </row>
    <row r="2671" spans="2:2" ht="15" x14ac:dyDescent="0.2">
      <c r="B2671" s="183"/>
    </row>
    <row r="2672" spans="2:2" ht="15" x14ac:dyDescent="0.2">
      <c r="B2672" s="183"/>
    </row>
    <row r="2673" spans="2:2" ht="15" x14ac:dyDescent="0.2">
      <c r="B2673" s="183"/>
    </row>
    <row r="2674" spans="2:2" ht="15" x14ac:dyDescent="0.2">
      <c r="B2674" s="183"/>
    </row>
    <row r="2675" spans="2:2" ht="15" x14ac:dyDescent="0.2">
      <c r="B2675" s="183"/>
    </row>
    <row r="2676" spans="2:2" ht="15" x14ac:dyDescent="0.2">
      <c r="B2676" s="183"/>
    </row>
    <row r="2677" spans="2:2" ht="15" x14ac:dyDescent="0.2">
      <c r="B2677" s="183"/>
    </row>
    <row r="2678" spans="2:2" ht="15" x14ac:dyDescent="0.2">
      <c r="B2678" s="183"/>
    </row>
    <row r="2679" spans="2:2" ht="15" x14ac:dyDescent="0.2">
      <c r="B2679" s="183"/>
    </row>
    <row r="2680" spans="2:2" ht="15" x14ac:dyDescent="0.2">
      <c r="B2680" s="183"/>
    </row>
    <row r="2681" spans="2:2" ht="15" x14ac:dyDescent="0.2">
      <c r="B2681" s="183"/>
    </row>
    <row r="2682" spans="2:2" ht="15" x14ac:dyDescent="0.2">
      <c r="B2682" s="183"/>
    </row>
    <row r="2683" spans="2:2" ht="15" x14ac:dyDescent="0.2">
      <c r="B2683" s="183"/>
    </row>
    <row r="2684" spans="2:2" ht="15" x14ac:dyDescent="0.2">
      <c r="B2684" s="183"/>
    </row>
    <row r="2685" spans="2:2" ht="15" x14ac:dyDescent="0.2">
      <c r="B2685" s="183"/>
    </row>
    <row r="2686" spans="2:2" ht="15" x14ac:dyDescent="0.2">
      <c r="B2686" s="183"/>
    </row>
    <row r="2687" spans="2:2" ht="15" x14ac:dyDescent="0.2">
      <c r="B2687" s="183"/>
    </row>
    <row r="2688" spans="2:2" ht="15" x14ac:dyDescent="0.2">
      <c r="B2688" s="183"/>
    </row>
    <row r="2689" spans="2:2" ht="15" x14ac:dyDescent="0.2">
      <c r="B2689" s="183"/>
    </row>
    <row r="2690" spans="2:2" ht="15" x14ac:dyDescent="0.2">
      <c r="B2690" s="183"/>
    </row>
    <row r="2691" spans="2:2" ht="15" x14ac:dyDescent="0.2">
      <c r="B2691" s="183"/>
    </row>
    <row r="2692" spans="2:2" ht="15" x14ac:dyDescent="0.2">
      <c r="B2692" s="183"/>
    </row>
    <row r="2693" spans="2:2" ht="15" x14ac:dyDescent="0.2">
      <c r="B2693" s="183"/>
    </row>
    <row r="2694" spans="2:2" ht="15" x14ac:dyDescent="0.2">
      <c r="B2694" s="183"/>
    </row>
    <row r="2695" spans="2:2" ht="15" x14ac:dyDescent="0.2">
      <c r="B2695" s="183"/>
    </row>
    <row r="2696" spans="2:2" ht="15" x14ac:dyDescent="0.2">
      <c r="B2696" s="183"/>
    </row>
    <row r="2697" spans="2:2" ht="15" x14ac:dyDescent="0.2">
      <c r="B2697" s="183"/>
    </row>
    <row r="2698" spans="2:2" ht="15" x14ac:dyDescent="0.2">
      <c r="B2698" s="183"/>
    </row>
    <row r="2699" spans="2:2" ht="15" x14ac:dyDescent="0.2">
      <c r="B2699" s="183"/>
    </row>
    <row r="2700" spans="2:2" ht="15" x14ac:dyDescent="0.2">
      <c r="B2700" s="183"/>
    </row>
    <row r="2701" spans="2:2" ht="15" x14ac:dyDescent="0.2">
      <c r="B2701" s="183"/>
    </row>
    <row r="2702" spans="2:2" ht="15" x14ac:dyDescent="0.2">
      <c r="B2702" s="183"/>
    </row>
    <row r="2703" spans="2:2" ht="15" x14ac:dyDescent="0.2">
      <c r="B2703" s="183"/>
    </row>
    <row r="2704" spans="2:2" ht="15" x14ac:dyDescent="0.2">
      <c r="B2704" s="183"/>
    </row>
    <row r="2705" spans="2:2" ht="15" x14ac:dyDescent="0.2">
      <c r="B2705" s="183"/>
    </row>
    <row r="2706" spans="2:2" ht="15" x14ac:dyDescent="0.2">
      <c r="B2706" s="183"/>
    </row>
    <row r="2707" spans="2:2" ht="15" x14ac:dyDescent="0.2">
      <c r="B2707" s="183"/>
    </row>
    <row r="2708" spans="2:2" ht="15" x14ac:dyDescent="0.2">
      <c r="B2708" s="183"/>
    </row>
    <row r="2709" spans="2:2" ht="15" x14ac:dyDescent="0.2">
      <c r="B2709" s="183"/>
    </row>
    <row r="2710" spans="2:2" ht="15" x14ac:dyDescent="0.2">
      <c r="B2710" s="183"/>
    </row>
    <row r="2711" spans="2:2" ht="15" x14ac:dyDescent="0.2">
      <c r="B2711" s="183"/>
    </row>
    <row r="2712" spans="2:2" ht="15" x14ac:dyDescent="0.2">
      <c r="B2712" s="183"/>
    </row>
    <row r="2713" spans="2:2" ht="15" x14ac:dyDescent="0.2">
      <c r="B2713" s="183"/>
    </row>
    <row r="2714" spans="2:2" ht="15" x14ac:dyDescent="0.2">
      <c r="B2714" s="183"/>
    </row>
    <row r="2715" spans="2:2" ht="15" x14ac:dyDescent="0.2">
      <c r="B2715" s="183"/>
    </row>
    <row r="2716" spans="2:2" ht="15" x14ac:dyDescent="0.2">
      <c r="B2716" s="183"/>
    </row>
    <row r="2717" spans="2:2" ht="15" x14ac:dyDescent="0.2">
      <c r="B2717" s="183"/>
    </row>
    <row r="2718" spans="2:2" ht="15" x14ac:dyDescent="0.2">
      <c r="B2718" s="183"/>
    </row>
    <row r="2719" spans="2:2" ht="15" x14ac:dyDescent="0.2">
      <c r="B2719" s="183"/>
    </row>
    <row r="2720" spans="2:2" ht="15" x14ac:dyDescent="0.2">
      <c r="B2720" s="183"/>
    </row>
    <row r="2721" spans="2:2" ht="15" x14ac:dyDescent="0.2">
      <c r="B2721" s="183"/>
    </row>
    <row r="2722" spans="2:2" ht="15" x14ac:dyDescent="0.2">
      <c r="B2722" s="183"/>
    </row>
    <row r="2723" spans="2:2" ht="15" x14ac:dyDescent="0.2">
      <c r="B2723" s="183"/>
    </row>
    <row r="2724" spans="2:2" ht="15" x14ac:dyDescent="0.2">
      <c r="B2724" s="183"/>
    </row>
    <row r="2725" spans="2:2" ht="15" x14ac:dyDescent="0.2">
      <c r="B2725" s="183"/>
    </row>
    <row r="2726" spans="2:2" ht="15" x14ac:dyDescent="0.2">
      <c r="B2726" s="183"/>
    </row>
    <row r="2727" spans="2:2" ht="15" x14ac:dyDescent="0.2">
      <c r="B2727" s="183"/>
    </row>
    <row r="2728" spans="2:2" ht="15" x14ac:dyDescent="0.2">
      <c r="B2728" s="183"/>
    </row>
    <row r="2729" spans="2:2" ht="15" x14ac:dyDescent="0.2">
      <c r="B2729" s="183"/>
    </row>
    <row r="2730" spans="2:2" ht="15" x14ac:dyDescent="0.2">
      <c r="B2730" s="183"/>
    </row>
    <row r="2731" spans="2:2" ht="15" x14ac:dyDescent="0.2">
      <c r="B2731" s="183"/>
    </row>
    <row r="2732" spans="2:2" ht="15" x14ac:dyDescent="0.2">
      <c r="B2732" s="183"/>
    </row>
    <row r="2733" spans="2:2" ht="15" x14ac:dyDescent="0.2">
      <c r="B2733" s="183"/>
    </row>
    <row r="2734" spans="2:2" ht="15" x14ac:dyDescent="0.2">
      <c r="B2734" s="183"/>
    </row>
    <row r="2735" spans="2:2" ht="15" x14ac:dyDescent="0.2">
      <c r="B2735" s="183"/>
    </row>
    <row r="2736" spans="2:2" ht="15" x14ac:dyDescent="0.2">
      <c r="B2736" s="183"/>
    </row>
    <row r="2737" spans="2:2" ht="15" x14ac:dyDescent="0.2">
      <c r="B2737" s="183"/>
    </row>
    <row r="2738" spans="2:2" ht="15" x14ac:dyDescent="0.2">
      <c r="B2738" s="183"/>
    </row>
    <row r="2739" spans="2:2" ht="15" x14ac:dyDescent="0.2">
      <c r="B2739" s="183"/>
    </row>
    <row r="2740" spans="2:2" ht="15" x14ac:dyDescent="0.2">
      <c r="B2740" s="183"/>
    </row>
    <row r="2741" spans="2:2" ht="15" x14ac:dyDescent="0.2">
      <c r="B2741" s="183"/>
    </row>
    <row r="2742" spans="2:2" ht="15" x14ac:dyDescent="0.2">
      <c r="B2742" s="183"/>
    </row>
    <row r="2743" spans="2:2" ht="15" x14ac:dyDescent="0.2">
      <c r="B2743" s="183"/>
    </row>
    <row r="2744" spans="2:2" ht="15" x14ac:dyDescent="0.2">
      <c r="B2744" s="183"/>
    </row>
    <row r="2745" spans="2:2" ht="15" x14ac:dyDescent="0.2">
      <c r="B2745" s="183"/>
    </row>
    <row r="2746" spans="2:2" ht="15" x14ac:dyDescent="0.2">
      <c r="B2746" s="183"/>
    </row>
    <row r="2747" spans="2:2" ht="15" x14ac:dyDescent="0.2">
      <c r="B2747" s="183"/>
    </row>
    <row r="2748" spans="2:2" ht="15" x14ac:dyDescent="0.2">
      <c r="B2748" s="183"/>
    </row>
    <row r="2749" spans="2:2" ht="15" x14ac:dyDescent="0.2">
      <c r="B2749" s="183"/>
    </row>
    <row r="2750" spans="2:2" ht="15" x14ac:dyDescent="0.2">
      <c r="B2750" s="183"/>
    </row>
    <row r="2751" spans="2:2" ht="15" x14ac:dyDescent="0.2">
      <c r="B2751" s="183"/>
    </row>
    <row r="2752" spans="2:2" ht="15" x14ac:dyDescent="0.2">
      <c r="B2752" s="183"/>
    </row>
    <row r="2753" spans="2:2" ht="15" x14ac:dyDescent="0.2">
      <c r="B2753" s="183"/>
    </row>
    <row r="2754" spans="2:2" ht="15" x14ac:dyDescent="0.2">
      <c r="B2754" s="183"/>
    </row>
    <row r="2755" spans="2:2" ht="15" x14ac:dyDescent="0.2">
      <c r="B2755" s="183"/>
    </row>
    <row r="2756" spans="2:2" ht="15" x14ac:dyDescent="0.2">
      <c r="B2756" s="183"/>
    </row>
    <row r="2757" spans="2:2" ht="15" x14ac:dyDescent="0.2">
      <c r="B2757" s="183"/>
    </row>
    <row r="2758" spans="2:2" ht="15" x14ac:dyDescent="0.2">
      <c r="B2758" s="183"/>
    </row>
    <row r="2759" spans="2:2" ht="15" x14ac:dyDescent="0.2">
      <c r="B2759" s="183"/>
    </row>
    <row r="2760" spans="2:2" ht="15" x14ac:dyDescent="0.2">
      <c r="B2760" s="183"/>
    </row>
    <row r="2761" spans="2:2" ht="15" x14ac:dyDescent="0.2">
      <c r="B2761" s="183"/>
    </row>
    <row r="2762" spans="2:2" ht="15" x14ac:dyDescent="0.2">
      <c r="B2762" s="183"/>
    </row>
    <row r="2763" spans="2:2" ht="15" x14ac:dyDescent="0.2">
      <c r="B2763" s="183"/>
    </row>
    <row r="2764" spans="2:2" ht="15" x14ac:dyDescent="0.2">
      <c r="B2764" s="183"/>
    </row>
    <row r="2765" spans="2:2" ht="15" x14ac:dyDescent="0.2">
      <c r="B2765" s="183"/>
    </row>
    <row r="2766" spans="2:2" ht="15" x14ac:dyDescent="0.2">
      <c r="B2766" s="183"/>
    </row>
    <row r="2767" spans="2:2" ht="15" x14ac:dyDescent="0.2">
      <c r="B2767" s="183"/>
    </row>
    <row r="2768" spans="2:2" ht="15" x14ac:dyDescent="0.2">
      <c r="B2768" s="183"/>
    </row>
    <row r="2769" spans="2:2" ht="15" x14ac:dyDescent="0.2">
      <c r="B2769" s="183"/>
    </row>
    <row r="2770" spans="2:2" ht="15" x14ac:dyDescent="0.2">
      <c r="B2770" s="183"/>
    </row>
    <row r="2771" spans="2:2" ht="15" x14ac:dyDescent="0.2">
      <c r="B2771" s="183"/>
    </row>
    <row r="2772" spans="2:2" ht="15" x14ac:dyDescent="0.2">
      <c r="B2772" s="183"/>
    </row>
    <row r="2773" spans="2:2" ht="15" x14ac:dyDescent="0.2">
      <c r="B2773" s="183"/>
    </row>
    <row r="2774" spans="2:2" ht="15" x14ac:dyDescent="0.2">
      <c r="B2774" s="183"/>
    </row>
    <row r="2775" spans="2:2" ht="15" x14ac:dyDescent="0.2">
      <c r="B2775" s="183"/>
    </row>
    <row r="2776" spans="2:2" ht="15" x14ac:dyDescent="0.2">
      <c r="B2776" s="183"/>
    </row>
    <row r="2777" spans="2:2" ht="15" x14ac:dyDescent="0.2">
      <c r="B2777" s="183"/>
    </row>
    <row r="2778" spans="2:2" ht="15" x14ac:dyDescent="0.2">
      <c r="B2778" s="183"/>
    </row>
    <row r="2779" spans="2:2" ht="15" x14ac:dyDescent="0.2">
      <c r="B2779" s="183"/>
    </row>
    <row r="2780" spans="2:2" ht="15" x14ac:dyDescent="0.2">
      <c r="B2780" s="183"/>
    </row>
    <row r="2781" spans="2:2" ht="15" x14ac:dyDescent="0.2">
      <c r="B2781" s="183"/>
    </row>
    <row r="2782" spans="2:2" ht="15" x14ac:dyDescent="0.2">
      <c r="B2782" s="183"/>
    </row>
    <row r="2783" spans="2:2" ht="15" x14ac:dyDescent="0.2">
      <c r="B2783" s="183"/>
    </row>
    <row r="2784" spans="2:2" ht="15" x14ac:dyDescent="0.2">
      <c r="B2784" s="183"/>
    </row>
    <row r="2785" spans="2:2" ht="15" x14ac:dyDescent="0.2">
      <c r="B2785" s="183"/>
    </row>
    <row r="2786" spans="2:2" ht="15" x14ac:dyDescent="0.2">
      <c r="B2786" s="183"/>
    </row>
    <row r="2787" spans="2:2" ht="15" x14ac:dyDescent="0.2">
      <c r="B2787" s="183"/>
    </row>
    <row r="2788" spans="2:2" ht="15" x14ac:dyDescent="0.2">
      <c r="B2788" s="183"/>
    </row>
    <row r="2789" spans="2:2" ht="15" x14ac:dyDescent="0.2">
      <c r="B2789" s="183"/>
    </row>
    <row r="2790" spans="2:2" ht="15" x14ac:dyDescent="0.2">
      <c r="B2790" s="183"/>
    </row>
    <row r="2791" spans="2:2" ht="15" x14ac:dyDescent="0.2">
      <c r="B2791" s="183"/>
    </row>
    <row r="2792" spans="2:2" ht="15" x14ac:dyDescent="0.2">
      <c r="B2792" s="183"/>
    </row>
    <row r="2793" spans="2:2" ht="15" x14ac:dyDescent="0.2">
      <c r="B2793" s="183"/>
    </row>
    <row r="2794" spans="2:2" ht="15" x14ac:dyDescent="0.2">
      <c r="B2794" s="183"/>
    </row>
    <row r="2795" spans="2:2" ht="15" x14ac:dyDescent="0.2">
      <c r="B2795" s="183"/>
    </row>
    <row r="2796" spans="2:2" ht="15" x14ac:dyDescent="0.2">
      <c r="B2796" s="183"/>
    </row>
    <row r="2797" spans="2:2" ht="15" x14ac:dyDescent="0.2">
      <c r="B2797" s="183"/>
    </row>
    <row r="2798" spans="2:2" ht="15" x14ac:dyDescent="0.2">
      <c r="B2798" s="183"/>
    </row>
    <row r="2799" spans="2:2" ht="15" x14ac:dyDescent="0.2">
      <c r="B2799" s="183"/>
    </row>
    <row r="2800" spans="2:2" ht="15" x14ac:dyDescent="0.2">
      <c r="B2800" s="183"/>
    </row>
    <row r="2801" spans="2:2" ht="15" x14ac:dyDescent="0.2">
      <c r="B2801" s="183"/>
    </row>
    <row r="2802" spans="2:2" ht="15" x14ac:dyDescent="0.2">
      <c r="B2802" s="183"/>
    </row>
    <row r="2803" spans="2:2" ht="15" x14ac:dyDescent="0.2">
      <c r="B2803" s="183"/>
    </row>
    <row r="2804" spans="2:2" ht="15" x14ac:dyDescent="0.2">
      <c r="B2804" s="183"/>
    </row>
    <row r="2805" spans="2:2" ht="15" x14ac:dyDescent="0.2">
      <c r="B2805" s="183"/>
    </row>
    <row r="2806" spans="2:2" ht="15" x14ac:dyDescent="0.2">
      <c r="B2806" s="183"/>
    </row>
    <row r="2807" spans="2:2" ht="15" x14ac:dyDescent="0.2">
      <c r="B2807" s="183"/>
    </row>
    <row r="2808" spans="2:2" ht="15" x14ac:dyDescent="0.2">
      <c r="B2808" s="183"/>
    </row>
    <row r="2809" spans="2:2" ht="15" x14ac:dyDescent="0.2">
      <c r="B2809" s="183"/>
    </row>
    <row r="2810" spans="2:2" ht="15" x14ac:dyDescent="0.2">
      <c r="B2810" s="183"/>
    </row>
    <row r="2811" spans="2:2" ht="15" x14ac:dyDescent="0.2">
      <c r="B2811" s="183"/>
    </row>
    <row r="2812" spans="2:2" ht="15" x14ac:dyDescent="0.2">
      <c r="B2812" s="183"/>
    </row>
    <row r="2813" spans="2:2" ht="15" x14ac:dyDescent="0.2">
      <c r="B2813" s="183"/>
    </row>
    <row r="2814" spans="2:2" ht="15" x14ac:dyDescent="0.2">
      <c r="B2814" s="183"/>
    </row>
    <row r="2815" spans="2:2" ht="15" x14ac:dyDescent="0.2">
      <c r="B2815" s="183"/>
    </row>
    <row r="2816" spans="2:2" ht="15" x14ac:dyDescent="0.2">
      <c r="B2816" s="183"/>
    </row>
    <row r="2817" spans="2:2" ht="15" x14ac:dyDescent="0.2">
      <c r="B2817" s="183"/>
    </row>
    <row r="2818" spans="2:2" ht="15" x14ac:dyDescent="0.2">
      <c r="B2818" s="183"/>
    </row>
    <row r="2819" spans="2:2" ht="15" x14ac:dyDescent="0.2">
      <c r="B2819" s="183"/>
    </row>
    <row r="2820" spans="2:2" ht="15" x14ac:dyDescent="0.2">
      <c r="B2820" s="183"/>
    </row>
    <row r="2821" spans="2:2" ht="15" x14ac:dyDescent="0.2">
      <c r="B2821" s="183"/>
    </row>
    <row r="2822" spans="2:2" ht="15" x14ac:dyDescent="0.2">
      <c r="B2822" s="183"/>
    </row>
    <row r="2823" spans="2:2" ht="15" x14ac:dyDescent="0.2">
      <c r="B2823" s="183"/>
    </row>
    <row r="2824" spans="2:2" ht="15" x14ac:dyDescent="0.2">
      <c r="B2824" s="183"/>
    </row>
    <row r="2825" spans="2:2" ht="15" x14ac:dyDescent="0.2">
      <c r="B2825" s="183"/>
    </row>
    <row r="2826" spans="2:2" ht="15" x14ac:dyDescent="0.2">
      <c r="B2826" s="183"/>
    </row>
    <row r="2827" spans="2:2" ht="15" x14ac:dyDescent="0.2">
      <c r="B2827" s="183"/>
    </row>
    <row r="2828" spans="2:2" ht="15" x14ac:dyDescent="0.2">
      <c r="B2828" s="183"/>
    </row>
    <row r="2829" spans="2:2" ht="15" x14ac:dyDescent="0.2">
      <c r="B2829" s="183"/>
    </row>
    <row r="2830" spans="2:2" ht="15" x14ac:dyDescent="0.2">
      <c r="B2830" s="183"/>
    </row>
    <row r="2831" spans="2:2" ht="15" x14ac:dyDescent="0.2">
      <c r="B2831" s="183"/>
    </row>
    <row r="2832" spans="2:2" ht="15" x14ac:dyDescent="0.2">
      <c r="B2832" s="183"/>
    </row>
    <row r="2833" spans="2:2" ht="15" x14ac:dyDescent="0.2">
      <c r="B2833" s="183"/>
    </row>
    <row r="2834" spans="2:2" ht="15" x14ac:dyDescent="0.2">
      <c r="B2834" s="183"/>
    </row>
    <row r="2835" spans="2:2" ht="15" x14ac:dyDescent="0.2">
      <c r="B2835" s="183"/>
    </row>
    <row r="2836" spans="2:2" ht="15" x14ac:dyDescent="0.2">
      <c r="B2836" s="183"/>
    </row>
    <row r="2837" spans="2:2" ht="15" x14ac:dyDescent="0.2">
      <c r="B2837" s="183"/>
    </row>
    <row r="2838" spans="2:2" ht="15" x14ac:dyDescent="0.2">
      <c r="B2838" s="183"/>
    </row>
    <row r="2839" spans="2:2" ht="15" x14ac:dyDescent="0.2">
      <c r="B2839" s="183"/>
    </row>
    <row r="2840" spans="2:2" ht="15" x14ac:dyDescent="0.2">
      <c r="B2840" s="183"/>
    </row>
    <row r="2841" spans="2:2" ht="15" x14ac:dyDescent="0.2">
      <c r="B2841" s="183"/>
    </row>
    <row r="2842" spans="2:2" ht="15" x14ac:dyDescent="0.2">
      <c r="B2842" s="183"/>
    </row>
    <row r="2843" spans="2:2" ht="15" x14ac:dyDescent="0.2">
      <c r="B2843" s="183"/>
    </row>
    <row r="2844" spans="2:2" ht="15" x14ac:dyDescent="0.2">
      <c r="B2844" s="183"/>
    </row>
    <row r="2845" spans="2:2" ht="15" x14ac:dyDescent="0.2">
      <c r="B2845" s="183"/>
    </row>
    <row r="2846" spans="2:2" ht="15" x14ac:dyDescent="0.2">
      <c r="B2846" s="183"/>
    </row>
    <row r="2847" spans="2:2" ht="15" x14ac:dyDescent="0.2">
      <c r="B2847" s="183"/>
    </row>
    <row r="2848" spans="2:2" ht="15" x14ac:dyDescent="0.2">
      <c r="B2848" s="183"/>
    </row>
    <row r="2849" spans="2:2" ht="15" x14ac:dyDescent="0.2">
      <c r="B2849" s="183"/>
    </row>
    <row r="2850" spans="2:2" ht="15" x14ac:dyDescent="0.2">
      <c r="B2850" s="183"/>
    </row>
    <row r="2851" spans="2:2" ht="15" x14ac:dyDescent="0.2">
      <c r="B2851" s="183"/>
    </row>
    <row r="2852" spans="2:2" ht="15" x14ac:dyDescent="0.2">
      <c r="B2852" s="183"/>
    </row>
    <row r="2853" spans="2:2" ht="15" x14ac:dyDescent="0.2">
      <c r="B2853" s="183"/>
    </row>
    <row r="2854" spans="2:2" ht="15" x14ac:dyDescent="0.2">
      <c r="B2854" s="183"/>
    </row>
    <row r="2855" spans="2:2" ht="15" x14ac:dyDescent="0.2">
      <c r="B2855" s="183"/>
    </row>
    <row r="2856" spans="2:2" ht="15" x14ac:dyDescent="0.2">
      <c r="B2856" s="183"/>
    </row>
    <row r="2857" spans="2:2" ht="15" x14ac:dyDescent="0.2">
      <c r="B2857" s="183"/>
    </row>
    <row r="2858" spans="2:2" ht="15" x14ac:dyDescent="0.2">
      <c r="B2858" s="183"/>
    </row>
    <row r="2859" spans="2:2" ht="15" x14ac:dyDescent="0.2">
      <c r="B2859" s="183"/>
    </row>
    <row r="2860" spans="2:2" ht="15" x14ac:dyDescent="0.2">
      <c r="B2860" s="183"/>
    </row>
    <row r="2861" spans="2:2" ht="15" x14ac:dyDescent="0.2">
      <c r="B2861" s="183"/>
    </row>
    <row r="2862" spans="2:2" ht="15" x14ac:dyDescent="0.2">
      <c r="B2862" s="183"/>
    </row>
    <row r="2863" spans="2:2" ht="15" x14ac:dyDescent="0.2">
      <c r="B2863" s="183"/>
    </row>
    <row r="2864" spans="2:2" ht="15" x14ac:dyDescent="0.2">
      <c r="B2864" s="183"/>
    </row>
    <row r="2865" spans="2:2" ht="15" x14ac:dyDescent="0.2">
      <c r="B2865" s="183"/>
    </row>
    <row r="2866" spans="2:2" ht="15" x14ac:dyDescent="0.2">
      <c r="B2866" s="183"/>
    </row>
    <row r="2867" spans="2:2" ht="15" x14ac:dyDescent="0.2">
      <c r="B2867" s="183"/>
    </row>
    <row r="2868" spans="2:2" ht="15" x14ac:dyDescent="0.2">
      <c r="B2868" s="183"/>
    </row>
    <row r="2869" spans="2:2" ht="15" x14ac:dyDescent="0.2">
      <c r="B2869" s="183"/>
    </row>
    <row r="2870" spans="2:2" ht="15" x14ac:dyDescent="0.2">
      <c r="B2870" s="183"/>
    </row>
    <row r="2871" spans="2:2" ht="15" x14ac:dyDescent="0.2">
      <c r="B2871" s="183"/>
    </row>
    <row r="2872" spans="2:2" ht="15" x14ac:dyDescent="0.2">
      <c r="B2872" s="183"/>
    </row>
    <row r="2873" spans="2:2" ht="15" x14ac:dyDescent="0.2">
      <c r="B2873" s="183"/>
    </row>
    <row r="2874" spans="2:2" ht="15" x14ac:dyDescent="0.2">
      <c r="B2874" s="183"/>
    </row>
    <row r="2875" spans="2:2" ht="15" x14ac:dyDescent="0.2">
      <c r="B2875" s="183"/>
    </row>
    <row r="2876" spans="2:2" ht="15" x14ac:dyDescent="0.2">
      <c r="B2876" s="183"/>
    </row>
    <row r="2877" spans="2:2" ht="15" x14ac:dyDescent="0.2">
      <c r="B2877" s="183"/>
    </row>
    <row r="2878" spans="2:2" ht="15" x14ac:dyDescent="0.2">
      <c r="B2878" s="183"/>
    </row>
    <row r="2879" spans="2:2" ht="15" x14ac:dyDescent="0.2">
      <c r="B2879" s="183"/>
    </row>
    <row r="2880" spans="2:2" ht="15" x14ac:dyDescent="0.2">
      <c r="B2880" s="183"/>
    </row>
    <row r="2881" spans="2:2" ht="15" x14ac:dyDescent="0.2">
      <c r="B2881" s="183"/>
    </row>
    <row r="2882" spans="2:2" ht="15" x14ac:dyDescent="0.2">
      <c r="B2882" s="183"/>
    </row>
    <row r="2883" spans="2:2" ht="15" x14ac:dyDescent="0.2">
      <c r="B2883" s="183"/>
    </row>
    <row r="2884" spans="2:2" ht="15" x14ac:dyDescent="0.2">
      <c r="B2884" s="183"/>
    </row>
    <row r="2885" spans="2:2" ht="15" x14ac:dyDescent="0.2">
      <c r="B2885" s="183"/>
    </row>
    <row r="2886" spans="2:2" ht="15" x14ac:dyDescent="0.2">
      <c r="B2886" s="183"/>
    </row>
    <row r="2887" spans="2:2" ht="15" x14ac:dyDescent="0.2">
      <c r="B2887" s="183"/>
    </row>
    <row r="2888" spans="2:2" ht="15" x14ac:dyDescent="0.2">
      <c r="B2888" s="183"/>
    </row>
    <row r="2889" spans="2:2" ht="15" x14ac:dyDescent="0.2">
      <c r="B2889" s="183"/>
    </row>
    <row r="2890" spans="2:2" ht="15" x14ac:dyDescent="0.2">
      <c r="B2890" s="183"/>
    </row>
    <row r="2891" spans="2:2" ht="15" x14ac:dyDescent="0.2">
      <c r="B2891" s="183"/>
    </row>
    <row r="2892" spans="2:2" ht="15" x14ac:dyDescent="0.2">
      <c r="B2892" s="183"/>
    </row>
    <row r="2893" spans="2:2" ht="15" x14ac:dyDescent="0.2">
      <c r="B2893" s="183"/>
    </row>
    <row r="2894" spans="2:2" ht="15" x14ac:dyDescent="0.2">
      <c r="B2894" s="183"/>
    </row>
    <row r="2895" spans="2:2" ht="15" x14ac:dyDescent="0.2">
      <c r="B2895" s="183"/>
    </row>
    <row r="2896" spans="2:2" ht="15" x14ac:dyDescent="0.2">
      <c r="B2896" s="183"/>
    </row>
    <row r="2897" spans="2:2" ht="15" x14ac:dyDescent="0.2">
      <c r="B2897" s="183"/>
    </row>
    <row r="2898" spans="2:2" ht="15" x14ac:dyDescent="0.2">
      <c r="B2898" s="183"/>
    </row>
    <row r="2899" spans="2:2" ht="15" x14ac:dyDescent="0.2">
      <c r="B2899" s="183"/>
    </row>
    <row r="2900" spans="2:2" ht="15" x14ac:dyDescent="0.2">
      <c r="B2900" s="183"/>
    </row>
    <row r="2901" spans="2:2" ht="15" x14ac:dyDescent="0.2">
      <c r="B2901" s="183"/>
    </row>
    <row r="2902" spans="2:2" ht="15" x14ac:dyDescent="0.2">
      <c r="B2902" s="183"/>
    </row>
    <row r="2903" spans="2:2" ht="15" x14ac:dyDescent="0.2">
      <c r="B2903" s="183"/>
    </row>
    <row r="2904" spans="2:2" ht="15" x14ac:dyDescent="0.2">
      <c r="B2904" s="183"/>
    </row>
    <row r="2905" spans="2:2" ht="15" x14ac:dyDescent="0.2">
      <c r="B2905" s="183"/>
    </row>
    <row r="2906" spans="2:2" ht="15" x14ac:dyDescent="0.2">
      <c r="B2906" s="183"/>
    </row>
    <row r="2907" spans="2:2" ht="15" x14ac:dyDescent="0.2">
      <c r="B2907" s="183"/>
    </row>
    <row r="2908" spans="2:2" ht="15" x14ac:dyDescent="0.2">
      <c r="B2908" s="183"/>
    </row>
    <row r="2909" spans="2:2" ht="15" x14ac:dyDescent="0.2">
      <c r="B2909" s="183"/>
    </row>
    <row r="2910" spans="2:2" ht="15" x14ac:dyDescent="0.2">
      <c r="B2910" s="183"/>
    </row>
    <row r="2911" spans="2:2" ht="15" x14ac:dyDescent="0.2">
      <c r="B2911" s="183"/>
    </row>
    <row r="2912" spans="2:2" ht="15" x14ac:dyDescent="0.2">
      <c r="B2912" s="183"/>
    </row>
    <row r="2913" spans="2:2" ht="15" x14ac:dyDescent="0.2">
      <c r="B2913" s="183"/>
    </row>
    <row r="2914" spans="2:2" ht="15" x14ac:dyDescent="0.2">
      <c r="B2914" s="183"/>
    </row>
    <row r="2915" spans="2:2" ht="15" x14ac:dyDescent="0.2">
      <c r="B2915" s="183"/>
    </row>
    <row r="2916" spans="2:2" ht="15" x14ac:dyDescent="0.2">
      <c r="B2916" s="183"/>
    </row>
    <row r="2917" spans="2:2" ht="15" x14ac:dyDescent="0.2">
      <c r="B2917" s="183"/>
    </row>
    <row r="2918" spans="2:2" ht="15" x14ac:dyDescent="0.2">
      <c r="B2918" s="183"/>
    </row>
    <row r="2919" spans="2:2" ht="15" x14ac:dyDescent="0.2">
      <c r="B2919" s="183"/>
    </row>
    <row r="2920" spans="2:2" ht="15" x14ac:dyDescent="0.2">
      <c r="B2920" s="183"/>
    </row>
    <row r="2921" spans="2:2" ht="15" x14ac:dyDescent="0.2">
      <c r="B2921" s="183"/>
    </row>
    <row r="2922" spans="2:2" ht="15" x14ac:dyDescent="0.2">
      <c r="B2922" s="183"/>
    </row>
    <row r="2923" spans="2:2" ht="15" x14ac:dyDescent="0.2">
      <c r="B2923" s="183"/>
    </row>
    <row r="2924" spans="2:2" ht="15" x14ac:dyDescent="0.2">
      <c r="B2924" s="183"/>
    </row>
    <row r="2925" spans="2:2" ht="15" x14ac:dyDescent="0.2">
      <c r="B2925" s="183"/>
    </row>
    <row r="2926" spans="2:2" ht="15" x14ac:dyDescent="0.2">
      <c r="B2926" s="183"/>
    </row>
    <row r="2927" spans="2:2" ht="15" x14ac:dyDescent="0.2">
      <c r="B2927" s="183"/>
    </row>
    <row r="2928" spans="2:2" ht="15" x14ac:dyDescent="0.2">
      <c r="B2928" s="183"/>
    </row>
    <row r="2929" spans="2:2" ht="15" x14ac:dyDescent="0.2">
      <c r="B2929" s="183"/>
    </row>
    <row r="2930" spans="2:2" ht="15" x14ac:dyDescent="0.2">
      <c r="B2930" s="183"/>
    </row>
    <row r="2931" spans="2:2" ht="15" x14ac:dyDescent="0.2">
      <c r="B2931" s="183"/>
    </row>
    <row r="2932" spans="2:2" ht="15" x14ac:dyDescent="0.2">
      <c r="B2932" s="183"/>
    </row>
    <row r="2933" spans="2:2" ht="15" x14ac:dyDescent="0.2">
      <c r="B2933" s="183"/>
    </row>
    <row r="2934" spans="2:2" ht="15" x14ac:dyDescent="0.2">
      <c r="B2934" s="183"/>
    </row>
    <row r="2935" spans="2:2" ht="15" x14ac:dyDescent="0.2">
      <c r="B2935" s="183"/>
    </row>
    <row r="2936" spans="2:2" ht="15" x14ac:dyDescent="0.2">
      <c r="B2936" s="183"/>
    </row>
    <row r="2937" spans="2:2" ht="15" x14ac:dyDescent="0.2">
      <c r="B2937" s="183"/>
    </row>
    <row r="2938" spans="2:2" ht="15" x14ac:dyDescent="0.2">
      <c r="B2938" s="183"/>
    </row>
    <row r="2939" spans="2:2" ht="15" x14ac:dyDescent="0.2">
      <c r="B2939" s="183"/>
    </row>
    <row r="2940" spans="2:2" ht="15" x14ac:dyDescent="0.2">
      <c r="B2940" s="183"/>
    </row>
    <row r="2941" spans="2:2" ht="15" x14ac:dyDescent="0.2">
      <c r="B2941" s="183"/>
    </row>
    <row r="2942" spans="2:2" ht="15" x14ac:dyDescent="0.2">
      <c r="B2942" s="183"/>
    </row>
    <row r="2943" spans="2:2" ht="15" x14ac:dyDescent="0.2">
      <c r="B2943" s="183"/>
    </row>
    <row r="2944" spans="2:2" ht="15" x14ac:dyDescent="0.2">
      <c r="B2944" s="183"/>
    </row>
    <row r="2945" spans="2:2" ht="15" x14ac:dyDescent="0.2">
      <c r="B2945" s="183"/>
    </row>
    <row r="2946" spans="2:2" ht="15" x14ac:dyDescent="0.2">
      <c r="B2946" s="183"/>
    </row>
    <row r="2947" spans="2:2" ht="15" x14ac:dyDescent="0.2">
      <c r="B2947" s="183"/>
    </row>
    <row r="2948" spans="2:2" ht="15" x14ac:dyDescent="0.2">
      <c r="B2948" s="183"/>
    </row>
    <row r="2949" spans="2:2" ht="15" x14ac:dyDescent="0.2">
      <c r="B2949" s="183"/>
    </row>
    <row r="2950" spans="2:2" ht="15" x14ac:dyDescent="0.2">
      <c r="B2950" s="183"/>
    </row>
    <row r="2951" spans="2:2" ht="15" x14ac:dyDescent="0.2">
      <c r="B2951" s="183"/>
    </row>
    <row r="2952" spans="2:2" ht="15" x14ac:dyDescent="0.2">
      <c r="B2952" s="183"/>
    </row>
    <row r="2953" spans="2:2" ht="15" x14ac:dyDescent="0.2">
      <c r="B2953" s="183"/>
    </row>
    <row r="2954" spans="2:2" ht="15" x14ac:dyDescent="0.2">
      <c r="B2954" s="183"/>
    </row>
    <row r="2955" spans="2:2" ht="15" x14ac:dyDescent="0.2">
      <c r="B2955" s="183"/>
    </row>
    <row r="2956" spans="2:2" ht="15" x14ac:dyDescent="0.2">
      <c r="B2956" s="183"/>
    </row>
    <row r="2957" spans="2:2" ht="15" x14ac:dyDescent="0.2">
      <c r="B2957" s="183"/>
    </row>
    <row r="2958" spans="2:2" ht="15" x14ac:dyDescent="0.2">
      <c r="B2958" s="183"/>
    </row>
    <row r="2959" spans="2:2" ht="15" x14ac:dyDescent="0.2">
      <c r="B2959" s="183"/>
    </row>
    <row r="2960" spans="2:2" ht="15" x14ac:dyDescent="0.2">
      <c r="B2960" s="183"/>
    </row>
    <row r="2961" spans="2:2" ht="15" x14ac:dyDescent="0.2">
      <c r="B2961" s="183"/>
    </row>
    <row r="2962" spans="2:2" ht="15" x14ac:dyDescent="0.2">
      <c r="B2962" s="183"/>
    </row>
    <row r="2963" spans="2:2" ht="15" x14ac:dyDescent="0.2">
      <c r="B2963" s="183"/>
    </row>
    <row r="2964" spans="2:2" ht="15" x14ac:dyDescent="0.2">
      <c r="B2964" s="183"/>
    </row>
    <row r="2965" spans="2:2" ht="15" x14ac:dyDescent="0.2">
      <c r="B2965" s="183"/>
    </row>
    <row r="2966" spans="2:2" ht="15" x14ac:dyDescent="0.2">
      <c r="B2966" s="183"/>
    </row>
    <row r="2967" spans="2:2" ht="15" x14ac:dyDescent="0.2">
      <c r="B2967" s="183"/>
    </row>
    <row r="2968" spans="2:2" ht="15" x14ac:dyDescent="0.2">
      <c r="B2968" s="183"/>
    </row>
    <row r="2969" spans="2:2" ht="15" x14ac:dyDescent="0.2">
      <c r="B2969" s="183"/>
    </row>
    <row r="2970" spans="2:2" ht="15" x14ac:dyDescent="0.2">
      <c r="B2970" s="183"/>
    </row>
    <row r="2971" spans="2:2" ht="15" x14ac:dyDescent="0.2">
      <c r="B2971" s="183"/>
    </row>
    <row r="2972" spans="2:2" ht="15" x14ac:dyDescent="0.2">
      <c r="B2972" s="183"/>
    </row>
    <row r="2973" spans="2:2" ht="15" x14ac:dyDescent="0.2">
      <c r="B2973" s="183"/>
    </row>
    <row r="2974" spans="2:2" ht="15" x14ac:dyDescent="0.2">
      <c r="B2974" s="183"/>
    </row>
    <row r="2975" spans="2:2" ht="15" x14ac:dyDescent="0.2">
      <c r="B2975" s="183"/>
    </row>
    <row r="2976" spans="2:2" ht="15" x14ac:dyDescent="0.2">
      <c r="B2976" s="183"/>
    </row>
    <row r="2977" spans="2:2" ht="15" x14ac:dyDescent="0.2">
      <c r="B2977" s="183"/>
    </row>
    <row r="2978" spans="2:2" ht="15" x14ac:dyDescent="0.2">
      <c r="B2978" s="183"/>
    </row>
    <row r="2979" spans="2:2" ht="15" x14ac:dyDescent="0.2">
      <c r="B2979" s="183"/>
    </row>
    <row r="2980" spans="2:2" ht="15" x14ac:dyDescent="0.2">
      <c r="B2980" s="183"/>
    </row>
    <row r="2981" spans="2:2" ht="15" x14ac:dyDescent="0.2">
      <c r="B2981" s="183"/>
    </row>
    <row r="2982" spans="2:2" ht="15" x14ac:dyDescent="0.2">
      <c r="B2982" s="183"/>
    </row>
    <row r="2983" spans="2:2" ht="15" x14ac:dyDescent="0.2">
      <c r="B2983" s="183"/>
    </row>
    <row r="2984" spans="2:2" ht="15" x14ac:dyDescent="0.2">
      <c r="B2984" s="183"/>
    </row>
    <row r="2985" spans="2:2" ht="15" x14ac:dyDescent="0.2">
      <c r="B2985" s="183"/>
    </row>
    <row r="2986" spans="2:2" ht="15" x14ac:dyDescent="0.2">
      <c r="B2986" s="183"/>
    </row>
    <row r="2987" spans="2:2" ht="15" x14ac:dyDescent="0.2">
      <c r="B2987" s="183"/>
    </row>
    <row r="2988" spans="2:2" ht="15" x14ac:dyDescent="0.2">
      <c r="B2988" s="183"/>
    </row>
    <row r="2989" spans="2:2" ht="15" x14ac:dyDescent="0.2">
      <c r="B2989" s="183"/>
    </row>
    <row r="2990" spans="2:2" ht="15" x14ac:dyDescent="0.2">
      <c r="B2990" s="183"/>
    </row>
    <row r="2991" spans="2:2" ht="15" x14ac:dyDescent="0.2">
      <c r="B2991" s="183"/>
    </row>
    <row r="2992" spans="2:2" ht="15" x14ac:dyDescent="0.2">
      <c r="B2992" s="183"/>
    </row>
    <row r="2993" spans="2:2" ht="15" x14ac:dyDescent="0.2">
      <c r="B2993" s="183"/>
    </row>
    <row r="2994" spans="2:2" ht="15" x14ac:dyDescent="0.2">
      <c r="B2994" s="183"/>
    </row>
    <row r="2995" spans="2:2" ht="15" x14ac:dyDescent="0.2">
      <c r="B2995" s="183"/>
    </row>
    <row r="2996" spans="2:2" ht="15" x14ac:dyDescent="0.2">
      <c r="B2996" s="183"/>
    </row>
    <row r="2997" spans="2:2" ht="15" x14ac:dyDescent="0.2">
      <c r="B2997" s="183"/>
    </row>
    <row r="2998" spans="2:2" ht="15" x14ac:dyDescent="0.2">
      <c r="B2998" s="183"/>
    </row>
    <row r="2999" spans="2:2" ht="15" x14ac:dyDescent="0.2">
      <c r="B2999" s="183"/>
    </row>
    <row r="3000" spans="2:2" ht="15" x14ac:dyDescent="0.2">
      <c r="B3000" s="183"/>
    </row>
    <row r="3001" spans="2:2" ht="15" x14ac:dyDescent="0.2">
      <c r="B3001" s="183"/>
    </row>
    <row r="3002" spans="2:2" ht="15" x14ac:dyDescent="0.2">
      <c r="B3002" s="183"/>
    </row>
    <row r="3003" spans="2:2" ht="15" x14ac:dyDescent="0.2">
      <c r="B3003" s="183"/>
    </row>
    <row r="3004" spans="2:2" ht="15" x14ac:dyDescent="0.2">
      <c r="B3004" s="183"/>
    </row>
    <row r="3005" spans="2:2" ht="15" x14ac:dyDescent="0.2">
      <c r="B3005" s="183"/>
    </row>
    <row r="3006" spans="2:2" ht="15" x14ac:dyDescent="0.2">
      <c r="B3006" s="183"/>
    </row>
    <row r="3007" spans="2:2" ht="15" x14ac:dyDescent="0.2">
      <c r="B3007" s="183"/>
    </row>
    <row r="3008" spans="2:2" ht="15" x14ac:dyDescent="0.2">
      <c r="B3008" s="183"/>
    </row>
    <row r="3009" spans="2:2" ht="15" x14ac:dyDescent="0.2">
      <c r="B3009" s="183"/>
    </row>
    <row r="3010" spans="2:2" ht="15" x14ac:dyDescent="0.2">
      <c r="B3010" s="183"/>
    </row>
    <row r="3011" spans="2:2" ht="15" x14ac:dyDescent="0.2">
      <c r="B3011" s="183"/>
    </row>
    <row r="3012" spans="2:2" ht="15" x14ac:dyDescent="0.2">
      <c r="B3012" s="183"/>
    </row>
    <row r="3013" spans="2:2" ht="15" x14ac:dyDescent="0.2">
      <c r="B3013" s="183"/>
    </row>
    <row r="3014" spans="2:2" ht="15" x14ac:dyDescent="0.2">
      <c r="B3014" s="183"/>
    </row>
    <row r="3015" spans="2:2" ht="15" x14ac:dyDescent="0.2">
      <c r="B3015" s="183"/>
    </row>
    <row r="3016" spans="2:2" ht="15" x14ac:dyDescent="0.2">
      <c r="B3016" s="183"/>
    </row>
    <row r="3017" spans="2:2" ht="15" x14ac:dyDescent="0.2">
      <c r="B3017" s="183"/>
    </row>
    <row r="3018" spans="2:2" ht="15" x14ac:dyDescent="0.2">
      <c r="B3018" s="183"/>
    </row>
    <row r="3019" spans="2:2" ht="15" x14ac:dyDescent="0.2">
      <c r="B3019" s="183"/>
    </row>
    <row r="3020" spans="2:2" ht="15" x14ac:dyDescent="0.2">
      <c r="B3020" s="183"/>
    </row>
    <row r="3021" spans="2:2" ht="15" x14ac:dyDescent="0.2">
      <c r="B3021" s="183"/>
    </row>
    <row r="3022" spans="2:2" ht="15" x14ac:dyDescent="0.2">
      <c r="B3022" s="183"/>
    </row>
    <row r="3023" spans="2:2" ht="15" x14ac:dyDescent="0.2">
      <c r="B3023" s="183"/>
    </row>
    <row r="3024" spans="2:2" ht="15" x14ac:dyDescent="0.2">
      <c r="B3024" s="183"/>
    </row>
    <row r="3025" spans="2:2" ht="15" x14ac:dyDescent="0.2">
      <c r="B3025" s="183"/>
    </row>
    <row r="3026" spans="2:2" ht="15" x14ac:dyDescent="0.2">
      <c r="B3026" s="183"/>
    </row>
    <row r="3027" spans="2:2" ht="15" x14ac:dyDescent="0.2">
      <c r="B3027" s="183"/>
    </row>
    <row r="3028" spans="2:2" ht="15" x14ac:dyDescent="0.2">
      <c r="B3028" s="183"/>
    </row>
    <row r="3029" spans="2:2" ht="15" x14ac:dyDescent="0.2">
      <c r="B3029" s="183"/>
    </row>
    <row r="3030" spans="2:2" ht="15" x14ac:dyDescent="0.2">
      <c r="B3030" s="183"/>
    </row>
    <row r="3031" spans="2:2" ht="15" x14ac:dyDescent="0.2">
      <c r="B3031" s="183"/>
    </row>
    <row r="3032" spans="2:2" ht="15" x14ac:dyDescent="0.2">
      <c r="B3032" s="183"/>
    </row>
    <row r="3033" spans="2:2" ht="15" x14ac:dyDescent="0.2">
      <c r="B3033" s="183"/>
    </row>
    <row r="3034" spans="2:2" ht="15" x14ac:dyDescent="0.2">
      <c r="B3034" s="183"/>
    </row>
    <row r="3035" spans="2:2" ht="15" x14ac:dyDescent="0.2">
      <c r="B3035" s="183"/>
    </row>
    <row r="3036" spans="2:2" ht="15" x14ac:dyDescent="0.2">
      <c r="B3036" s="183"/>
    </row>
    <row r="3037" spans="2:2" ht="15" x14ac:dyDescent="0.2">
      <c r="B3037" s="183"/>
    </row>
    <row r="3038" spans="2:2" ht="15" x14ac:dyDescent="0.2">
      <c r="B3038" s="183"/>
    </row>
    <row r="3039" spans="2:2" ht="15" x14ac:dyDescent="0.2">
      <c r="B3039" s="183"/>
    </row>
    <row r="3040" spans="2:2" ht="15" x14ac:dyDescent="0.2">
      <c r="B3040" s="183"/>
    </row>
    <row r="3041" spans="2:2" ht="15" x14ac:dyDescent="0.2">
      <c r="B3041" s="183"/>
    </row>
    <row r="3042" spans="2:2" ht="15" x14ac:dyDescent="0.2">
      <c r="B3042" s="183"/>
    </row>
    <row r="3043" spans="2:2" ht="15" x14ac:dyDescent="0.2">
      <c r="B3043" s="183"/>
    </row>
    <row r="3044" spans="2:2" ht="15" x14ac:dyDescent="0.2">
      <c r="B3044" s="183"/>
    </row>
    <row r="3045" spans="2:2" ht="15" x14ac:dyDescent="0.2">
      <c r="B3045" s="183"/>
    </row>
    <row r="3046" spans="2:2" ht="15" x14ac:dyDescent="0.2">
      <c r="B3046" s="183"/>
    </row>
    <row r="3047" spans="2:2" ht="15" x14ac:dyDescent="0.2">
      <c r="B3047" s="183"/>
    </row>
    <row r="3048" spans="2:2" ht="15" x14ac:dyDescent="0.2">
      <c r="B3048" s="183"/>
    </row>
    <row r="3049" spans="2:2" ht="15" x14ac:dyDescent="0.2">
      <c r="B3049" s="183"/>
    </row>
    <row r="3050" spans="2:2" ht="15" x14ac:dyDescent="0.2">
      <c r="B3050" s="183"/>
    </row>
    <row r="3051" spans="2:2" ht="15" x14ac:dyDescent="0.2">
      <c r="B3051" s="183"/>
    </row>
    <row r="3052" spans="2:2" ht="15" x14ac:dyDescent="0.2">
      <c r="B3052" s="183"/>
    </row>
    <row r="3053" spans="2:2" ht="15" x14ac:dyDescent="0.2">
      <c r="B3053" s="183"/>
    </row>
    <row r="3054" spans="2:2" ht="15" x14ac:dyDescent="0.2">
      <c r="B3054" s="183"/>
    </row>
    <row r="3055" spans="2:2" ht="15" x14ac:dyDescent="0.2">
      <c r="B3055" s="183"/>
    </row>
    <row r="3056" spans="2:2" ht="15" x14ac:dyDescent="0.2">
      <c r="B3056" s="183"/>
    </row>
    <row r="3057" spans="2:2" ht="15" x14ac:dyDescent="0.2">
      <c r="B3057" s="183"/>
    </row>
    <row r="3058" spans="2:2" ht="15" x14ac:dyDescent="0.2">
      <c r="B3058" s="183"/>
    </row>
    <row r="3059" spans="2:2" ht="15" x14ac:dyDescent="0.2">
      <c r="B3059" s="183"/>
    </row>
    <row r="3060" spans="2:2" ht="15" x14ac:dyDescent="0.2">
      <c r="B3060" s="183"/>
    </row>
    <row r="3061" spans="2:2" ht="15" x14ac:dyDescent="0.2">
      <c r="B3061" s="183"/>
    </row>
    <row r="3062" spans="2:2" ht="15" x14ac:dyDescent="0.2">
      <c r="B3062" s="183"/>
    </row>
    <row r="3063" spans="2:2" ht="15" x14ac:dyDescent="0.2">
      <c r="B3063" s="183"/>
    </row>
    <row r="3064" spans="2:2" ht="15" x14ac:dyDescent="0.2">
      <c r="B3064" s="183"/>
    </row>
    <row r="3065" spans="2:2" ht="15" x14ac:dyDescent="0.2">
      <c r="B3065" s="183"/>
    </row>
    <row r="3066" spans="2:2" ht="15" x14ac:dyDescent="0.2">
      <c r="B3066" s="183"/>
    </row>
    <row r="3067" spans="2:2" ht="15" x14ac:dyDescent="0.2">
      <c r="B3067" s="183"/>
    </row>
    <row r="3068" spans="2:2" ht="15" x14ac:dyDescent="0.2">
      <c r="B3068" s="183"/>
    </row>
    <row r="3069" spans="2:2" ht="15" x14ac:dyDescent="0.2">
      <c r="B3069" s="183"/>
    </row>
    <row r="3070" spans="2:2" ht="15" x14ac:dyDescent="0.2">
      <c r="B3070" s="183"/>
    </row>
    <row r="3071" spans="2:2" ht="15" x14ac:dyDescent="0.2">
      <c r="B3071" s="183"/>
    </row>
    <row r="3072" spans="2:2" ht="15" x14ac:dyDescent="0.2">
      <c r="B3072" s="183"/>
    </row>
    <row r="3073" spans="2:2" ht="15" x14ac:dyDescent="0.2">
      <c r="B3073" s="183"/>
    </row>
    <row r="3074" spans="2:2" ht="15" x14ac:dyDescent="0.2">
      <c r="B3074" s="183"/>
    </row>
    <row r="3075" spans="2:2" ht="15" x14ac:dyDescent="0.2">
      <c r="B3075" s="183"/>
    </row>
    <row r="3076" spans="2:2" ht="15" x14ac:dyDescent="0.2">
      <c r="B3076" s="183"/>
    </row>
    <row r="3077" spans="2:2" ht="15" x14ac:dyDescent="0.2">
      <c r="B3077" s="183"/>
    </row>
    <row r="3078" spans="2:2" ht="15" x14ac:dyDescent="0.2">
      <c r="B3078" s="183"/>
    </row>
    <row r="3079" spans="2:2" ht="15" x14ac:dyDescent="0.2">
      <c r="B3079" s="183"/>
    </row>
    <row r="3080" spans="2:2" ht="15" x14ac:dyDescent="0.2">
      <c r="B3080" s="183"/>
    </row>
    <row r="3081" spans="2:2" ht="15" x14ac:dyDescent="0.2">
      <c r="B3081" s="183"/>
    </row>
    <row r="3082" spans="2:2" ht="15" x14ac:dyDescent="0.2">
      <c r="B3082" s="183"/>
    </row>
    <row r="3083" spans="2:2" ht="15" x14ac:dyDescent="0.2">
      <c r="B3083" s="183"/>
    </row>
    <row r="3084" spans="2:2" ht="15" x14ac:dyDescent="0.2">
      <c r="B3084" s="183"/>
    </row>
    <row r="3085" spans="2:2" ht="15" x14ac:dyDescent="0.2">
      <c r="B3085" s="183"/>
    </row>
    <row r="3086" spans="2:2" ht="15" x14ac:dyDescent="0.2">
      <c r="B3086" s="183"/>
    </row>
    <row r="3087" spans="2:2" ht="15" x14ac:dyDescent="0.2">
      <c r="B3087" s="183"/>
    </row>
    <row r="3088" spans="2:2" ht="15" x14ac:dyDescent="0.2">
      <c r="B3088" s="183"/>
    </row>
    <row r="3089" spans="2:2" ht="15" x14ac:dyDescent="0.2">
      <c r="B3089" s="183"/>
    </row>
    <row r="3090" spans="2:2" ht="15" x14ac:dyDescent="0.2">
      <c r="B3090" s="183"/>
    </row>
    <row r="3091" spans="2:2" ht="15" x14ac:dyDescent="0.2">
      <c r="B3091" s="183"/>
    </row>
    <row r="3092" spans="2:2" ht="15" x14ac:dyDescent="0.2">
      <c r="B3092" s="183"/>
    </row>
    <row r="3093" spans="2:2" ht="15" x14ac:dyDescent="0.2">
      <c r="B3093" s="183"/>
    </row>
    <row r="3094" spans="2:2" ht="15" x14ac:dyDescent="0.2">
      <c r="B3094" s="183"/>
    </row>
    <row r="3095" spans="2:2" ht="15" x14ac:dyDescent="0.2">
      <c r="B3095" s="183"/>
    </row>
    <row r="3096" spans="2:2" ht="15" x14ac:dyDescent="0.2">
      <c r="B3096" s="183"/>
    </row>
    <row r="3097" spans="2:2" ht="15" x14ac:dyDescent="0.2">
      <c r="B3097" s="183"/>
    </row>
    <row r="3098" spans="2:2" ht="15" x14ac:dyDescent="0.2">
      <c r="B3098" s="183"/>
    </row>
    <row r="3099" spans="2:2" ht="15" x14ac:dyDescent="0.2">
      <c r="B3099" s="183"/>
    </row>
    <row r="3100" spans="2:2" ht="15" x14ac:dyDescent="0.2">
      <c r="B3100" s="183"/>
    </row>
    <row r="3101" spans="2:2" ht="15" x14ac:dyDescent="0.2">
      <c r="B3101" s="183"/>
    </row>
    <row r="3102" spans="2:2" ht="15" x14ac:dyDescent="0.2">
      <c r="B3102" s="183"/>
    </row>
    <row r="3103" spans="2:2" ht="15" x14ac:dyDescent="0.2">
      <c r="B3103" s="183"/>
    </row>
    <row r="3104" spans="2:2" ht="15" x14ac:dyDescent="0.2">
      <c r="B3104" s="183"/>
    </row>
    <row r="3105" spans="2:2" ht="15" x14ac:dyDescent="0.2">
      <c r="B3105" s="183"/>
    </row>
    <row r="3106" spans="2:2" ht="15" x14ac:dyDescent="0.2">
      <c r="B3106" s="183"/>
    </row>
    <row r="3107" spans="2:2" ht="15" x14ac:dyDescent="0.2">
      <c r="B3107" s="183"/>
    </row>
    <row r="3108" spans="2:2" ht="15" x14ac:dyDescent="0.2">
      <c r="B3108" s="183"/>
    </row>
    <row r="3109" spans="2:2" ht="15" x14ac:dyDescent="0.2">
      <c r="B3109" s="183"/>
    </row>
    <row r="3110" spans="2:2" ht="15" x14ac:dyDescent="0.2">
      <c r="B3110" s="183"/>
    </row>
    <row r="3111" spans="2:2" ht="15" x14ac:dyDescent="0.2">
      <c r="B3111" s="183"/>
    </row>
    <row r="3112" spans="2:2" ht="15" x14ac:dyDescent="0.2">
      <c r="B3112" s="183"/>
    </row>
    <row r="3113" spans="2:2" ht="15" x14ac:dyDescent="0.2">
      <c r="B3113" s="183"/>
    </row>
    <row r="3114" spans="2:2" ht="15" x14ac:dyDescent="0.2">
      <c r="B3114" s="183"/>
    </row>
    <row r="3115" spans="2:2" ht="15" x14ac:dyDescent="0.2">
      <c r="B3115" s="183"/>
    </row>
    <row r="3116" spans="2:2" ht="15" x14ac:dyDescent="0.2">
      <c r="B3116" s="183"/>
    </row>
    <row r="3117" spans="2:2" ht="15" x14ac:dyDescent="0.2">
      <c r="B3117" s="183"/>
    </row>
    <row r="3118" spans="2:2" ht="15" x14ac:dyDescent="0.2">
      <c r="B3118" s="183"/>
    </row>
    <row r="3119" spans="2:2" ht="15" x14ac:dyDescent="0.2">
      <c r="B3119" s="183"/>
    </row>
    <row r="3120" spans="2:2" ht="15" x14ac:dyDescent="0.2">
      <c r="B3120" s="183"/>
    </row>
    <row r="3121" spans="2:2" ht="15" x14ac:dyDescent="0.2">
      <c r="B3121" s="183"/>
    </row>
    <row r="3122" spans="2:2" ht="15" x14ac:dyDescent="0.2">
      <c r="B3122" s="183"/>
    </row>
    <row r="3123" spans="2:2" ht="15" x14ac:dyDescent="0.2">
      <c r="B3123" s="183"/>
    </row>
    <row r="3124" spans="2:2" ht="15" x14ac:dyDescent="0.2">
      <c r="B3124" s="183"/>
    </row>
    <row r="3125" spans="2:2" ht="15" x14ac:dyDescent="0.2">
      <c r="B3125" s="183"/>
    </row>
    <row r="3126" spans="2:2" ht="15" x14ac:dyDescent="0.2">
      <c r="B3126" s="183"/>
    </row>
    <row r="3127" spans="2:2" ht="15" x14ac:dyDescent="0.2">
      <c r="B3127" s="183"/>
    </row>
    <row r="3128" spans="2:2" ht="15" x14ac:dyDescent="0.2">
      <c r="B3128" s="183"/>
    </row>
    <row r="3129" spans="2:2" ht="15" x14ac:dyDescent="0.2">
      <c r="B3129" s="183"/>
    </row>
    <row r="3130" spans="2:2" ht="15" x14ac:dyDescent="0.2">
      <c r="B3130" s="183"/>
    </row>
    <row r="3131" spans="2:2" ht="15" x14ac:dyDescent="0.2">
      <c r="B3131" s="183"/>
    </row>
    <row r="3132" spans="2:2" ht="15" x14ac:dyDescent="0.2">
      <c r="B3132" s="183"/>
    </row>
    <row r="3133" spans="2:2" ht="15" x14ac:dyDescent="0.2">
      <c r="B3133" s="183"/>
    </row>
    <row r="3134" spans="2:2" ht="15" x14ac:dyDescent="0.2">
      <c r="B3134" s="183"/>
    </row>
    <row r="3135" spans="2:2" ht="15" x14ac:dyDescent="0.2">
      <c r="B3135" s="183"/>
    </row>
    <row r="3136" spans="2:2" ht="15" x14ac:dyDescent="0.2">
      <c r="B3136" s="183"/>
    </row>
    <row r="3137" spans="2:2" ht="15" x14ac:dyDescent="0.2">
      <c r="B3137" s="183"/>
    </row>
    <row r="3138" spans="2:2" ht="15" x14ac:dyDescent="0.2">
      <c r="B3138" s="183"/>
    </row>
    <row r="3139" spans="2:2" ht="15" x14ac:dyDescent="0.2">
      <c r="B3139" s="183"/>
    </row>
    <row r="3140" spans="2:2" ht="15" x14ac:dyDescent="0.2">
      <c r="B3140" s="183"/>
    </row>
    <row r="3141" spans="2:2" ht="15" x14ac:dyDescent="0.2">
      <c r="B3141" s="183"/>
    </row>
    <row r="3142" spans="2:2" ht="15" x14ac:dyDescent="0.2">
      <c r="B3142" s="183"/>
    </row>
    <row r="3143" spans="2:2" ht="15" x14ac:dyDescent="0.2">
      <c r="B3143" s="183"/>
    </row>
    <row r="3144" spans="2:2" ht="15" x14ac:dyDescent="0.2">
      <c r="B3144" s="183"/>
    </row>
    <row r="3145" spans="2:2" ht="15" x14ac:dyDescent="0.2">
      <c r="B3145" s="183"/>
    </row>
    <row r="3146" spans="2:2" ht="15" x14ac:dyDescent="0.2">
      <c r="B3146" s="183"/>
    </row>
    <row r="3147" spans="2:2" ht="15" x14ac:dyDescent="0.2">
      <c r="B3147" s="183"/>
    </row>
    <row r="3148" spans="2:2" ht="15" x14ac:dyDescent="0.2">
      <c r="B3148" s="183"/>
    </row>
    <row r="3149" spans="2:2" ht="15" x14ac:dyDescent="0.2">
      <c r="B3149" s="183"/>
    </row>
    <row r="3150" spans="2:2" ht="15" x14ac:dyDescent="0.2">
      <c r="B3150" s="183"/>
    </row>
    <row r="3151" spans="2:2" ht="15" x14ac:dyDescent="0.2">
      <c r="B3151" s="183"/>
    </row>
    <row r="3152" spans="2:2" ht="15" x14ac:dyDescent="0.2">
      <c r="B3152" s="183"/>
    </row>
    <row r="3153" spans="2:2" ht="15" x14ac:dyDescent="0.2">
      <c r="B3153" s="183"/>
    </row>
    <row r="3154" spans="2:2" ht="15" x14ac:dyDescent="0.2">
      <c r="B3154" s="183"/>
    </row>
    <row r="3155" spans="2:2" ht="15" x14ac:dyDescent="0.2">
      <c r="B3155" s="183"/>
    </row>
    <row r="3156" spans="2:2" ht="15" x14ac:dyDescent="0.2">
      <c r="B3156" s="183"/>
    </row>
    <row r="3157" spans="2:2" ht="15" x14ac:dyDescent="0.2">
      <c r="B3157" s="183"/>
    </row>
    <row r="3158" spans="2:2" ht="15" x14ac:dyDescent="0.2">
      <c r="B3158" s="183"/>
    </row>
    <row r="3159" spans="2:2" ht="15" x14ac:dyDescent="0.2">
      <c r="B3159" s="183"/>
    </row>
    <row r="3160" spans="2:2" ht="15" x14ac:dyDescent="0.2">
      <c r="B3160" s="183"/>
    </row>
    <row r="3161" spans="2:2" ht="15" x14ac:dyDescent="0.2">
      <c r="B3161" s="183"/>
    </row>
    <row r="3162" spans="2:2" ht="15" x14ac:dyDescent="0.2">
      <c r="B3162" s="183"/>
    </row>
    <row r="3163" spans="2:2" ht="15" x14ac:dyDescent="0.2">
      <c r="B3163" s="183"/>
    </row>
    <row r="3164" spans="2:2" ht="15" x14ac:dyDescent="0.2">
      <c r="B3164" s="183"/>
    </row>
    <row r="3165" spans="2:2" ht="15" x14ac:dyDescent="0.2">
      <c r="B3165" s="183"/>
    </row>
    <row r="3166" spans="2:2" ht="15" x14ac:dyDescent="0.2">
      <c r="B3166" s="183"/>
    </row>
    <row r="3167" spans="2:2" ht="15" x14ac:dyDescent="0.2">
      <c r="B3167" s="183"/>
    </row>
    <row r="3168" spans="2:2" ht="15" x14ac:dyDescent="0.2">
      <c r="B3168" s="183"/>
    </row>
    <row r="3169" spans="2:2" ht="15" x14ac:dyDescent="0.2">
      <c r="B3169" s="183"/>
    </row>
    <row r="3170" spans="2:2" ht="15" x14ac:dyDescent="0.2">
      <c r="B3170" s="183"/>
    </row>
    <row r="3171" spans="2:2" ht="15" x14ac:dyDescent="0.2">
      <c r="B3171" s="183"/>
    </row>
    <row r="3172" spans="2:2" ht="15" x14ac:dyDescent="0.2">
      <c r="B3172" s="183"/>
    </row>
    <row r="3173" spans="2:2" ht="15" x14ac:dyDescent="0.2">
      <c r="B3173" s="183"/>
    </row>
    <row r="3174" spans="2:2" ht="15" x14ac:dyDescent="0.2">
      <c r="B3174" s="183"/>
    </row>
    <row r="3175" spans="2:2" ht="15" x14ac:dyDescent="0.2">
      <c r="B3175" s="183"/>
    </row>
    <row r="3176" spans="2:2" ht="15" x14ac:dyDescent="0.2">
      <c r="B3176" s="183"/>
    </row>
    <row r="3177" spans="2:2" ht="15" x14ac:dyDescent="0.2">
      <c r="B3177" s="183"/>
    </row>
    <row r="3178" spans="2:2" ht="15" x14ac:dyDescent="0.2">
      <c r="B3178" s="183"/>
    </row>
    <row r="3179" spans="2:2" ht="15" x14ac:dyDescent="0.2">
      <c r="B3179" s="183"/>
    </row>
    <row r="3180" spans="2:2" ht="15" x14ac:dyDescent="0.2">
      <c r="B3180" s="183"/>
    </row>
    <row r="3181" spans="2:2" ht="15" x14ac:dyDescent="0.2">
      <c r="B3181" s="183"/>
    </row>
    <row r="3182" spans="2:2" ht="15" x14ac:dyDescent="0.2">
      <c r="B3182" s="183"/>
    </row>
    <row r="3183" spans="2:2" ht="15" x14ac:dyDescent="0.2">
      <c r="B3183" s="183"/>
    </row>
    <row r="3184" spans="2:2" ht="15" x14ac:dyDescent="0.2">
      <c r="B3184" s="183"/>
    </row>
    <row r="3185" spans="2:2" ht="15" x14ac:dyDescent="0.2">
      <c r="B3185" s="183"/>
    </row>
    <row r="3186" spans="2:2" ht="15" x14ac:dyDescent="0.2">
      <c r="B3186" s="183"/>
    </row>
    <row r="3187" spans="2:2" ht="15" x14ac:dyDescent="0.2">
      <c r="B3187" s="183"/>
    </row>
    <row r="3188" spans="2:2" ht="15" x14ac:dyDescent="0.2">
      <c r="B3188" s="183"/>
    </row>
    <row r="3189" spans="2:2" ht="15" x14ac:dyDescent="0.2">
      <c r="B3189" s="183"/>
    </row>
    <row r="3190" spans="2:2" ht="15" x14ac:dyDescent="0.2">
      <c r="B3190" s="183"/>
    </row>
    <row r="3191" spans="2:2" ht="15" x14ac:dyDescent="0.2">
      <c r="B3191" s="183"/>
    </row>
    <row r="3192" spans="2:2" ht="15" x14ac:dyDescent="0.2">
      <c r="B3192" s="183"/>
    </row>
    <row r="3193" spans="2:2" ht="15" x14ac:dyDescent="0.2">
      <c r="B3193" s="183"/>
    </row>
    <row r="3194" spans="2:2" ht="15" x14ac:dyDescent="0.2">
      <c r="B3194" s="183"/>
    </row>
    <row r="3195" spans="2:2" ht="15" x14ac:dyDescent="0.2">
      <c r="B3195" s="183"/>
    </row>
    <row r="3196" spans="2:2" ht="15" x14ac:dyDescent="0.2">
      <c r="B3196" s="183"/>
    </row>
    <row r="3197" spans="2:2" ht="15" x14ac:dyDescent="0.2">
      <c r="B3197" s="183"/>
    </row>
    <row r="3198" spans="2:2" ht="15" x14ac:dyDescent="0.2">
      <c r="B3198" s="183"/>
    </row>
    <row r="3199" spans="2:2" ht="15" x14ac:dyDescent="0.2">
      <c r="B3199" s="183"/>
    </row>
    <row r="3200" spans="2:2" ht="15" x14ac:dyDescent="0.2">
      <c r="B3200" s="183"/>
    </row>
    <row r="3201" spans="2:2" ht="15" x14ac:dyDescent="0.2">
      <c r="B3201" s="183"/>
    </row>
    <row r="3202" spans="2:2" ht="15" x14ac:dyDescent="0.2">
      <c r="B3202" s="183"/>
    </row>
    <row r="3203" spans="2:2" ht="15" x14ac:dyDescent="0.2">
      <c r="B3203" s="183"/>
    </row>
    <row r="3204" spans="2:2" ht="15" x14ac:dyDescent="0.2">
      <c r="B3204" s="183"/>
    </row>
    <row r="3205" spans="2:2" ht="15" x14ac:dyDescent="0.2">
      <c r="B3205" s="183"/>
    </row>
    <row r="3206" spans="2:2" ht="15" x14ac:dyDescent="0.2">
      <c r="B3206" s="183"/>
    </row>
    <row r="3207" spans="2:2" ht="15" x14ac:dyDescent="0.2">
      <c r="B3207" s="183"/>
    </row>
    <row r="3208" spans="2:2" ht="15" x14ac:dyDescent="0.2">
      <c r="B3208" s="183"/>
    </row>
    <row r="3209" spans="2:2" ht="15" x14ac:dyDescent="0.2">
      <c r="B3209" s="183"/>
    </row>
    <row r="3210" spans="2:2" ht="15" x14ac:dyDescent="0.2">
      <c r="B3210" s="183"/>
    </row>
    <row r="3211" spans="2:2" ht="15" x14ac:dyDescent="0.2">
      <c r="B3211" s="183"/>
    </row>
    <row r="3212" spans="2:2" ht="15" x14ac:dyDescent="0.2">
      <c r="B3212" s="183"/>
    </row>
    <row r="3213" spans="2:2" ht="15" x14ac:dyDescent="0.2">
      <c r="B3213" s="183"/>
    </row>
    <row r="3214" spans="2:2" ht="15" x14ac:dyDescent="0.2">
      <c r="B3214" s="183"/>
    </row>
    <row r="3215" spans="2:2" ht="15" x14ac:dyDescent="0.2">
      <c r="B3215" s="183"/>
    </row>
    <row r="3216" spans="2:2" ht="15" x14ac:dyDescent="0.2">
      <c r="B3216" s="183"/>
    </row>
    <row r="3217" spans="2:2" ht="15" x14ac:dyDescent="0.2">
      <c r="B3217" s="183"/>
    </row>
    <row r="3218" spans="2:2" ht="15" x14ac:dyDescent="0.2">
      <c r="B3218" s="183"/>
    </row>
    <row r="3219" spans="2:2" ht="15" x14ac:dyDescent="0.2">
      <c r="B3219" s="183"/>
    </row>
    <row r="3220" spans="2:2" ht="15" x14ac:dyDescent="0.2">
      <c r="B3220" s="183"/>
    </row>
    <row r="3221" spans="2:2" ht="15" x14ac:dyDescent="0.2">
      <c r="B3221" s="183"/>
    </row>
    <row r="3222" spans="2:2" ht="15" x14ac:dyDescent="0.2">
      <c r="B3222" s="183"/>
    </row>
    <row r="3223" spans="2:2" ht="15" x14ac:dyDescent="0.2">
      <c r="B3223" s="183"/>
    </row>
    <row r="3224" spans="2:2" ht="15" x14ac:dyDescent="0.2">
      <c r="B3224" s="183"/>
    </row>
    <row r="3225" spans="2:2" ht="15" x14ac:dyDescent="0.2">
      <c r="B3225" s="183"/>
    </row>
    <row r="3226" spans="2:2" ht="15" x14ac:dyDescent="0.2">
      <c r="B3226" s="183"/>
    </row>
    <row r="3227" spans="2:2" ht="15" x14ac:dyDescent="0.2">
      <c r="B3227" s="183"/>
    </row>
    <row r="3228" spans="2:2" ht="15" x14ac:dyDescent="0.2">
      <c r="B3228" s="183"/>
    </row>
    <row r="3229" spans="2:2" ht="15" x14ac:dyDescent="0.2">
      <c r="B3229" s="183"/>
    </row>
    <row r="3230" spans="2:2" ht="15" x14ac:dyDescent="0.2">
      <c r="B3230" s="183"/>
    </row>
    <row r="3231" spans="2:2" ht="15" x14ac:dyDescent="0.2">
      <c r="B3231" s="183"/>
    </row>
    <row r="3232" spans="2:2" ht="15" x14ac:dyDescent="0.2">
      <c r="B3232" s="183"/>
    </row>
    <row r="3233" spans="2:2" ht="15" x14ac:dyDescent="0.2">
      <c r="B3233" s="183"/>
    </row>
    <row r="3234" spans="2:2" ht="15" x14ac:dyDescent="0.2">
      <c r="B3234" s="183"/>
    </row>
    <row r="3235" spans="2:2" ht="15" x14ac:dyDescent="0.2">
      <c r="B3235" s="183"/>
    </row>
    <row r="3236" spans="2:2" ht="15" x14ac:dyDescent="0.2">
      <c r="B3236" s="183"/>
    </row>
    <row r="3237" spans="2:2" ht="15" x14ac:dyDescent="0.2">
      <c r="B3237" s="183"/>
    </row>
    <row r="3238" spans="2:2" ht="15" x14ac:dyDescent="0.2">
      <c r="B3238" s="183"/>
    </row>
    <row r="3239" spans="2:2" ht="15" x14ac:dyDescent="0.2">
      <c r="B3239" s="183"/>
    </row>
    <row r="3240" spans="2:2" ht="15" x14ac:dyDescent="0.2">
      <c r="B3240" s="183"/>
    </row>
    <row r="3241" spans="2:2" ht="15" x14ac:dyDescent="0.2">
      <c r="B3241" s="183"/>
    </row>
    <row r="3242" spans="2:2" ht="15" x14ac:dyDescent="0.2">
      <c r="B3242" s="183"/>
    </row>
    <row r="3243" spans="2:2" ht="15" x14ac:dyDescent="0.2">
      <c r="B3243" s="183"/>
    </row>
    <row r="3244" spans="2:2" ht="15" x14ac:dyDescent="0.2">
      <c r="B3244" s="183"/>
    </row>
    <row r="3245" spans="2:2" ht="15" x14ac:dyDescent="0.2">
      <c r="B3245" s="183"/>
    </row>
    <row r="3246" spans="2:2" ht="15" x14ac:dyDescent="0.2">
      <c r="B3246" s="183"/>
    </row>
    <row r="3247" spans="2:2" ht="15" x14ac:dyDescent="0.2">
      <c r="B3247" s="183"/>
    </row>
    <row r="3248" spans="2:2" ht="15" x14ac:dyDescent="0.2">
      <c r="B3248" s="183"/>
    </row>
    <row r="3249" spans="2:2" ht="15" x14ac:dyDescent="0.2">
      <c r="B3249" s="183"/>
    </row>
    <row r="3250" spans="2:2" ht="15" x14ac:dyDescent="0.2">
      <c r="B3250" s="183"/>
    </row>
    <row r="3251" spans="2:2" ht="15" x14ac:dyDescent="0.2">
      <c r="B3251" s="183"/>
    </row>
    <row r="3252" spans="2:2" ht="15" x14ac:dyDescent="0.2">
      <c r="B3252" s="183"/>
    </row>
    <row r="3253" spans="2:2" ht="15" x14ac:dyDescent="0.2">
      <c r="B3253" s="183"/>
    </row>
    <row r="3254" spans="2:2" ht="15" x14ac:dyDescent="0.2">
      <c r="B3254" s="183"/>
    </row>
    <row r="3255" spans="2:2" ht="15" x14ac:dyDescent="0.2">
      <c r="B3255" s="183"/>
    </row>
    <row r="3256" spans="2:2" ht="15" x14ac:dyDescent="0.2">
      <c r="B3256" s="183"/>
    </row>
    <row r="3257" spans="2:2" ht="15" x14ac:dyDescent="0.2">
      <c r="B3257" s="183"/>
    </row>
    <row r="3258" spans="2:2" ht="15" x14ac:dyDescent="0.2">
      <c r="B3258" s="183"/>
    </row>
    <row r="3259" spans="2:2" ht="15" x14ac:dyDescent="0.2">
      <c r="B3259" s="183"/>
    </row>
    <row r="3260" spans="2:2" ht="15" x14ac:dyDescent="0.2">
      <c r="B3260" s="183"/>
    </row>
    <row r="3261" spans="2:2" ht="15" x14ac:dyDescent="0.2">
      <c r="B3261" s="183"/>
    </row>
    <row r="3262" spans="2:2" ht="15" x14ac:dyDescent="0.2">
      <c r="B3262" s="183"/>
    </row>
    <row r="3263" spans="2:2" ht="15" x14ac:dyDescent="0.2">
      <c r="B3263" s="183"/>
    </row>
    <row r="3264" spans="2:2" ht="15" x14ac:dyDescent="0.2">
      <c r="B3264" s="183"/>
    </row>
    <row r="3265" spans="2:2" ht="15" x14ac:dyDescent="0.2">
      <c r="B3265" s="183"/>
    </row>
    <row r="3266" spans="2:2" ht="15" x14ac:dyDescent="0.2">
      <c r="B3266" s="183"/>
    </row>
    <row r="3267" spans="2:2" ht="15" x14ac:dyDescent="0.2">
      <c r="B3267" s="183"/>
    </row>
    <row r="3268" spans="2:2" ht="15" x14ac:dyDescent="0.2">
      <c r="B3268" s="183"/>
    </row>
    <row r="3269" spans="2:2" ht="15" x14ac:dyDescent="0.2">
      <c r="B3269" s="183"/>
    </row>
    <row r="3270" spans="2:2" ht="15" x14ac:dyDescent="0.2">
      <c r="B3270" s="183"/>
    </row>
    <row r="3271" spans="2:2" ht="15" x14ac:dyDescent="0.2">
      <c r="B3271" s="183"/>
    </row>
    <row r="3272" spans="2:2" ht="15" x14ac:dyDescent="0.2">
      <c r="B3272" s="183"/>
    </row>
    <row r="3273" spans="2:2" ht="15" x14ac:dyDescent="0.2">
      <c r="B3273" s="183"/>
    </row>
    <row r="3274" spans="2:2" ht="15" x14ac:dyDescent="0.2">
      <c r="B3274" s="183"/>
    </row>
    <row r="3275" spans="2:2" ht="15" x14ac:dyDescent="0.2">
      <c r="B3275" s="183"/>
    </row>
    <row r="3276" spans="2:2" ht="15" x14ac:dyDescent="0.2">
      <c r="B3276" s="183"/>
    </row>
    <row r="3277" spans="2:2" ht="15" x14ac:dyDescent="0.2">
      <c r="B3277" s="183"/>
    </row>
    <row r="3278" spans="2:2" ht="15" x14ac:dyDescent="0.2">
      <c r="B3278" s="183"/>
    </row>
    <row r="3279" spans="2:2" ht="15" x14ac:dyDescent="0.2">
      <c r="B3279" s="183"/>
    </row>
    <row r="3280" spans="2:2" ht="15" x14ac:dyDescent="0.2">
      <c r="B3280" s="183"/>
    </row>
    <row r="3281" spans="2:2" ht="15" x14ac:dyDescent="0.2">
      <c r="B3281" s="183"/>
    </row>
    <row r="3282" spans="2:2" ht="15" x14ac:dyDescent="0.2">
      <c r="B3282" s="183"/>
    </row>
    <row r="3283" spans="2:2" ht="15" x14ac:dyDescent="0.2">
      <c r="B3283" s="183"/>
    </row>
    <row r="3284" spans="2:2" ht="15" x14ac:dyDescent="0.2">
      <c r="B3284" s="183"/>
    </row>
    <row r="3285" spans="2:2" ht="15" x14ac:dyDescent="0.2">
      <c r="B3285" s="183"/>
    </row>
    <row r="3286" spans="2:2" ht="15" x14ac:dyDescent="0.2">
      <c r="B3286" s="183"/>
    </row>
    <row r="3287" spans="2:2" ht="15" x14ac:dyDescent="0.2">
      <c r="B3287" s="183"/>
    </row>
    <row r="3288" spans="2:2" ht="15" x14ac:dyDescent="0.2">
      <c r="B3288" s="183"/>
    </row>
    <row r="3289" spans="2:2" ht="15" x14ac:dyDescent="0.2">
      <c r="B3289" s="183"/>
    </row>
    <row r="3290" spans="2:2" ht="15" x14ac:dyDescent="0.2">
      <c r="B3290" s="183"/>
    </row>
    <row r="3291" spans="2:2" ht="15" x14ac:dyDescent="0.2">
      <c r="B3291" s="183"/>
    </row>
    <row r="3292" spans="2:2" ht="15" x14ac:dyDescent="0.2">
      <c r="B3292" s="183"/>
    </row>
    <row r="3293" spans="2:2" ht="15" x14ac:dyDescent="0.2">
      <c r="B3293" s="183"/>
    </row>
    <row r="3294" spans="2:2" ht="15" x14ac:dyDescent="0.2">
      <c r="B3294" s="183"/>
    </row>
    <row r="3295" spans="2:2" ht="15" x14ac:dyDescent="0.2">
      <c r="B3295" s="183"/>
    </row>
    <row r="3296" spans="2:2" ht="15" x14ac:dyDescent="0.2">
      <c r="B3296" s="183"/>
    </row>
    <row r="3297" spans="2:2" ht="15" x14ac:dyDescent="0.2">
      <c r="B3297" s="183"/>
    </row>
    <row r="3298" spans="2:2" ht="15" x14ac:dyDescent="0.2">
      <c r="B3298" s="183"/>
    </row>
    <row r="3299" spans="2:2" ht="15" x14ac:dyDescent="0.2">
      <c r="B3299" s="183"/>
    </row>
    <row r="3300" spans="2:2" ht="15" x14ac:dyDescent="0.2">
      <c r="B3300" s="183"/>
    </row>
    <row r="3301" spans="2:2" ht="15" x14ac:dyDescent="0.2">
      <c r="B3301" s="183"/>
    </row>
    <row r="3302" spans="2:2" ht="15" x14ac:dyDescent="0.2">
      <c r="B3302" s="183"/>
    </row>
    <row r="3303" spans="2:2" ht="15" x14ac:dyDescent="0.2">
      <c r="B3303" s="183"/>
    </row>
    <row r="3304" spans="2:2" ht="15" x14ac:dyDescent="0.2">
      <c r="B3304" s="183"/>
    </row>
    <row r="3305" spans="2:2" ht="15" x14ac:dyDescent="0.2">
      <c r="B3305" s="183"/>
    </row>
    <row r="3306" spans="2:2" ht="15" x14ac:dyDescent="0.2">
      <c r="B3306" s="183"/>
    </row>
    <row r="3307" spans="2:2" ht="15" x14ac:dyDescent="0.2">
      <c r="B3307" s="183"/>
    </row>
    <row r="3308" spans="2:2" ht="15" x14ac:dyDescent="0.2">
      <c r="B3308" s="183"/>
    </row>
    <row r="3309" spans="2:2" ht="15" x14ac:dyDescent="0.2">
      <c r="B3309" s="183"/>
    </row>
    <row r="3310" spans="2:2" ht="15" x14ac:dyDescent="0.2">
      <c r="B3310" s="183"/>
    </row>
    <row r="3311" spans="2:2" ht="15" x14ac:dyDescent="0.2">
      <c r="B3311" s="183"/>
    </row>
    <row r="3312" spans="2:2" ht="15" x14ac:dyDescent="0.2">
      <c r="B3312" s="183"/>
    </row>
    <row r="3313" spans="2:2" ht="15" x14ac:dyDescent="0.2">
      <c r="B3313" s="183"/>
    </row>
    <row r="3314" spans="2:2" ht="15" x14ac:dyDescent="0.2">
      <c r="B3314" s="183"/>
    </row>
    <row r="3315" spans="2:2" ht="15" x14ac:dyDescent="0.2">
      <c r="B3315" s="183"/>
    </row>
    <row r="3316" spans="2:2" ht="15" x14ac:dyDescent="0.2">
      <c r="B3316" s="183"/>
    </row>
    <row r="3317" spans="2:2" ht="15" x14ac:dyDescent="0.2">
      <c r="B3317" s="183"/>
    </row>
    <row r="3318" spans="2:2" ht="15" x14ac:dyDescent="0.2">
      <c r="B3318" s="183"/>
    </row>
    <row r="3319" spans="2:2" ht="15" x14ac:dyDescent="0.2">
      <c r="B3319" s="183"/>
    </row>
    <row r="3320" spans="2:2" ht="15" x14ac:dyDescent="0.2">
      <c r="B3320" s="183"/>
    </row>
    <row r="3321" spans="2:2" ht="15" x14ac:dyDescent="0.2">
      <c r="B3321" s="183"/>
    </row>
    <row r="3322" spans="2:2" ht="15" x14ac:dyDescent="0.2">
      <c r="B3322" s="183"/>
    </row>
    <row r="3323" spans="2:2" ht="15" x14ac:dyDescent="0.2">
      <c r="B3323" s="183"/>
    </row>
    <row r="3324" spans="2:2" ht="15" x14ac:dyDescent="0.2">
      <c r="B3324" s="183"/>
    </row>
    <row r="3325" spans="2:2" ht="15" x14ac:dyDescent="0.2">
      <c r="B3325" s="183"/>
    </row>
    <row r="3326" spans="2:2" ht="15" x14ac:dyDescent="0.2">
      <c r="B3326" s="183"/>
    </row>
    <row r="3327" spans="2:2" ht="15" x14ac:dyDescent="0.2">
      <c r="B3327" s="183"/>
    </row>
    <row r="3328" spans="2:2" ht="15" x14ac:dyDescent="0.2">
      <c r="B3328" s="183"/>
    </row>
    <row r="3329" spans="2:2" ht="15" x14ac:dyDescent="0.2">
      <c r="B3329" s="183"/>
    </row>
    <row r="3330" spans="2:2" ht="15" x14ac:dyDescent="0.2">
      <c r="B3330" s="183"/>
    </row>
    <row r="3331" spans="2:2" ht="15" x14ac:dyDescent="0.2">
      <c r="B3331" s="183"/>
    </row>
    <row r="3332" spans="2:2" ht="15" x14ac:dyDescent="0.2">
      <c r="B3332" s="183"/>
    </row>
    <row r="3333" spans="2:2" ht="15" x14ac:dyDescent="0.2">
      <c r="B3333" s="183"/>
    </row>
    <row r="3334" spans="2:2" ht="15" x14ac:dyDescent="0.2">
      <c r="B3334" s="183"/>
    </row>
    <row r="3335" spans="2:2" ht="15" x14ac:dyDescent="0.2">
      <c r="B3335" s="183"/>
    </row>
    <row r="3336" spans="2:2" ht="15" x14ac:dyDescent="0.2">
      <c r="B3336" s="183"/>
    </row>
    <row r="3337" spans="2:2" ht="15" x14ac:dyDescent="0.2">
      <c r="B3337" s="183"/>
    </row>
    <row r="3338" spans="2:2" ht="15" x14ac:dyDescent="0.2">
      <c r="B3338" s="183"/>
    </row>
    <row r="3339" spans="2:2" ht="15" x14ac:dyDescent="0.2">
      <c r="B3339" s="183"/>
    </row>
    <row r="3340" spans="2:2" ht="15" x14ac:dyDescent="0.2">
      <c r="B3340" s="183"/>
    </row>
    <row r="3341" spans="2:2" ht="15" x14ac:dyDescent="0.2">
      <c r="B3341" s="183"/>
    </row>
    <row r="3342" spans="2:2" ht="15" x14ac:dyDescent="0.2">
      <c r="B3342" s="183"/>
    </row>
    <row r="3343" spans="2:2" ht="15" x14ac:dyDescent="0.2">
      <c r="B3343" s="183"/>
    </row>
    <row r="3344" spans="2:2" ht="15" x14ac:dyDescent="0.2">
      <c r="B3344" s="183"/>
    </row>
    <row r="3345" spans="2:2" ht="15" x14ac:dyDescent="0.2">
      <c r="B3345" s="183"/>
    </row>
    <row r="3346" spans="2:2" ht="15" x14ac:dyDescent="0.2">
      <c r="B3346" s="183"/>
    </row>
    <row r="3347" spans="2:2" ht="15" x14ac:dyDescent="0.2">
      <c r="B3347" s="183"/>
    </row>
    <row r="3348" spans="2:2" ht="15" x14ac:dyDescent="0.2">
      <c r="B3348" s="183"/>
    </row>
    <row r="3349" spans="2:2" ht="15" x14ac:dyDescent="0.2">
      <c r="B3349" s="183"/>
    </row>
    <row r="3350" spans="2:2" ht="15" x14ac:dyDescent="0.2">
      <c r="B3350" s="183"/>
    </row>
    <row r="3351" spans="2:2" ht="15" x14ac:dyDescent="0.2">
      <c r="B3351" s="183"/>
    </row>
    <row r="3352" spans="2:2" ht="15" x14ac:dyDescent="0.2">
      <c r="B3352" s="183"/>
    </row>
    <row r="3353" spans="2:2" ht="15" x14ac:dyDescent="0.2">
      <c r="B3353" s="183"/>
    </row>
    <row r="3354" spans="2:2" ht="15" x14ac:dyDescent="0.2">
      <c r="B3354" s="183"/>
    </row>
    <row r="3355" spans="2:2" ht="15" x14ac:dyDescent="0.2">
      <c r="B3355" s="183"/>
    </row>
    <row r="3356" spans="2:2" ht="15" x14ac:dyDescent="0.2">
      <c r="B3356" s="183"/>
    </row>
    <row r="3357" spans="2:2" ht="15" x14ac:dyDescent="0.2">
      <c r="B3357" s="183"/>
    </row>
    <row r="3358" spans="2:2" ht="15" x14ac:dyDescent="0.2">
      <c r="B3358" s="183"/>
    </row>
    <row r="3359" spans="2:2" ht="15" x14ac:dyDescent="0.2">
      <c r="B3359" s="183"/>
    </row>
    <row r="3360" spans="2:2" ht="15" x14ac:dyDescent="0.2">
      <c r="B3360" s="183"/>
    </row>
    <row r="3361" spans="2:2" ht="15" x14ac:dyDescent="0.2">
      <c r="B3361" s="183"/>
    </row>
    <row r="3362" spans="2:2" ht="15" x14ac:dyDescent="0.2">
      <c r="B3362" s="183"/>
    </row>
    <row r="3363" spans="2:2" ht="15" x14ac:dyDescent="0.2">
      <c r="B3363" s="183"/>
    </row>
    <row r="3364" spans="2:2" ht="15" x14ac:dyDescent="0.2">
      <c r="B3364" s="183"/>
    </row>
    <row r="3365" spans="2:2" ht="15" x14ac:dyDescent="0.2">
      <c r="B3365" s="183"/>
    </row>
    <row r="3366" spans="2:2" ht="15" x14ac:dyDescent="0.2">
      <c r="B3366" s="183"/>
    </row>
    <row r="3367" spans="2:2" ht="15" x14ac:dyDescent="0.2">
      <c r="B3367" s="183"/>
    </row>
    <row r="3368" spans="2:2" ht="15" x14ac:dyDescent="0.2">
      <c r="B3368" s="183"/>
    </row>
    <row r="3369" spans="2:2" ht="15" x14ac:dyDescent="0.2">
      <c r="B3369" s="183"/>
    </row>
    <row r="3370" spans="2:2" ht="15" x14ac:dyDescent="0.2">
      <c r="B3370" s="183"/>
    </row>
    <row r="3371" spans="2:2" ht="15" x14ac:dyDescent="0.2">
      <c r="B3371" s="183"/>
    </row>
    <row r="3372" spans="2:2" ht="15" x14ac:dyDescent="0.2">
      <c r="B3372" s="183"/>
    </row>
    <row r="3373" spans="2:2" ht="15" x14ac:dyDescent="0.2">
      <c r="B3373" s="183"/>
    </row>
    <row r="3374" spans="2:2" ht="15" x14ac:dyDescent="0.2">
      <c r="B3374" s="183"/>
    </row>
    <row r="3375" spans="2:2" ht="15" x14ac:dyDescent="0.2">
      <c r="B3375" s="183"/>
    </row>
    <row r="3376" spans="2:2" ht="15" x14ac:dyDescent="0.2">
      <c r="B3376" s="183"/>
    </row>
    <row r="3377" spans="2:2" ht="15" x14ac:dyDescent="0.2">
      <c r="B3377" s="183"/>
    </row>
    <row r="3378" spans="2:2" ht="15" x14ac:dyDescent="0.2">
      <c r="B3378" s="183"/>
    </row>
    <row r="3379" spans="2:2" ht="15" x14ac:dyDescent="0.2">
      <c r="B3379" s="183"/>
    </row>
    <row r="3380" spans="2:2" ht="15" x14ac:dyDescent="0.2">
      <c r="B3380" s="183"/>
    </row>
    <row r="3381" spans="2:2" ht="15" x14ac:dyDescent="0.2">
      <c r="B3381" s="183"/>
    </row>
    <row r="3382" spans="2:2" ht="15" x14ac:dyDescent="0.2">
      <c r="B3382" s="183"/>
    </row>
    <row r="3383" spans="2:2" ht="15" x14ac:dyDescent="0.2">
      <c r="B3383" s="183"/>
    </row>
    <row r="3384" spans="2:2" ht="15" x14ac:dyDescent="0.2">
      <c r="B3384" s="183"/>
    </row>
    <row r="3385" spans="2:2" ht="15" x14ac:dyDescent="0.2">
      <c r="B3385" s="183"/>
    </row>
    <row r="3386" spans="2:2" ht="15" x14ac:dyDescent="0.2">
      <c r="B3386" s="183"/>
    </row>
    <row r="3387" spans="2:2" ht="15" x14ac:dyDescent="0.2">
      <c r="B3387" s="183"/>
    </row>
    <row r="3388" spans="2:2" ht="15" x14ac:dyDescent="0.2">
      <c r="B3388" s="183"/>
    </row>
    <row r="3389" spans="2:2" ht="15" x14ac:dyDescent="0.2">
      <c r="B3389" s="183"/>
    </row>
    <row r="3390" spans="2:2" ht="15" x14ac:dyDescent="0.2">
      <c r="B3390" s="183"/>
    </row>
    <row r="3391" spans="2:2" ht="15" x14ac:dyDescent="0.2">
      <c r="B3391" s="183"/>
    </row>
    <row r="3392" spans="2:2" ht="15" x14ac:dyDescent="0.2">
      <c r="B3392" s="183"/>
    </row>
    <row r="3393" spans="2:2" ht="15" x14ac:dyDescent="0.2">
      <c r="B3393" s="183"/>
    </row>
    <row r="3394" spans="2:2" ht="15" x14ac:dyDescent="0.2">
      <c r="B3394" s="183"/>
    </row>
    <row r="3395" spans="2:2" ht="15" x14ac:dyDescent="0.2">
      <c r="B3395" s="183"/>
    </row>
    <row r="3396" spans="2:2" ht="15" x14ac:dyDescent="0.2">
      <c r="B3396" s="183"/>
    </row>
    <row r="3397" spans="2:2" ht="15" x14ac:dyDescent="0.2">
      <c r="B3397" s="183"/>
    </row>
    <row r="3398" spans="2:2" ht="15" x14ac:dyDescent="0.2">
      <c r="B3398" s="183"/>
    </row>
    <row r="3399" spans="2:2" ht="15" x14ac:dyDescent="0.2">
      <c r="B3399" s="183"/>
    </row>
    <row r="3400" spans="2:2" ht="15" x14ac:dyDescent="0.2">
      <c r="B3400" s="183"/>
    </row>
    <row r="3401" spans="2:2" ht="15" x14ac:dyDescent="0.2">
      <c r="B3401" s="183"/>
    </row>
    <row r="3402" spans="2:2" ht="15" x14ac:dyDescent="0.2">
      <c r="B3402" s="183"/>
    </row>
    <row r="3403" spans="2:2" ht="15" x14ac:dyDescent="0.2">
      <c r="B3403" s="183"/>
    </row>
    <row r="3404" spans="2:2" ht="15" x14ac:dyDescent="0.2">
      <c r="B3404" s="183"/>
    </row>
    <row r="3405" spans="2:2" ht="15" x14ac:dyDescent="0.2">
      <c r="B3405" s="183"/>
    </row>
    <row r="3406" spans="2:2" ht="15" x14ac:dyDescent="0.2">
      <c r="B3406" s="183"/>
    </row>
    <row r="3407" spans="2:2" ht="15" x14ac:dyDescent="0.2">
      <c r="B3407" s="183"/>
    </row>
    <row r="3408" spans="2:2" ht="15" x14ac:dyDescent="0.2">
      <c r="B3408" s="183"/>
    </row>
    <row r="3409" spans="2:2" ht="15" x14ac:dyDescent="0.2">
      <c r="B3409" s="183"/>
    </row>
    <row r="3410" spans="2:2" ht="15" x14ac:dyDescent="0.2">
      <c r="B3410" s="183"/>
    </row>
    <row r="3411" spans="2:2" ht="15" x14ac:dyDescent="0.2">
      <c r="B3411" s="183"/>
    </row>
    <row r="3412" spans="2:2" ht="15" x14ac:dyDescent="0.2">
      <c r="B3412" s="183"/>
    </row>
    <row r="3413" spans="2:2" ht="15" x14ac:dyDescent="0.2">
      <c r="B3413" s="183"/>
    </row>
    <row r="3414" spans="2:2" ht="15" x14ac:dyDescent="0.2">
      <c r="B3414" s="183"/>
    </row>
    <row r="3415" spans="2:2" ht="15" x14ac:dyDescent="0.2">
      <c r="B3415" s="183"/>
    </row>
    <row r="3416" spans="2:2" ht="15" x14ac:dyDescent="0.2">
      <c r="B3416" s="183"/>
    </row>
    <row r="3417" spans="2:2" ht="15" x14ac:dyDescent="0.2">
      <c r="B3417" s="183"/>
    </row>
    <row r="3418" spans="2:2" ht="15" x14ac:dyDescent="0.2">
      <c r="B3418" s="183"/>
    </row>
    <row r="3419" spans="2:2" ht="15" x14ac:dyDescent="0.2">
      <c r="B3419" s="183"/>
    </row>
    <row r="3420" spans="2:2" ht="15" x14ac:dyDescent="0.2">
      <c r="B3420" s="183"/>
    </row>
    <row r="3421" spans="2:2" ht="15" x14ac:dyDescent="0.2">
      <c r="B3421" s="183"/>
    </row>
    <row r="3422" spans="2:2" ht="15" x14ac:dyDescent="0.2">
      <c r="B3422" s="183"/>
    </row>
    <row r="3423" spans="2:2" ht="15" x14ac:dyDescent="0.2">
      <c r="B3423" s="183"/>
    </row>
    <row r="3424" spans="2:2" ht="15" x14ac:dyDescent="0.2">
      <c r="B3424" s="183"/>
    </row>
    <row r="3425" spans="2:2" ht="15" x14ac:dyDescent="0.2">
      <c r="B3425" s="183"/>
    </row>
    <row r="3426" spans="2:2" ht="15" x14ac:dyDescent="0.2">
      <c r="B3426" s="183"/>
    </row>
    <row r="3427" spans="2:2" ht="15" x14ac:dyDescent="0.2">
      <c r="B3427" s="183"/>
    </row>
    <row r="3428" spans="2:2" ht="15" x14ac:dyDescent="0.2">
      <c r="B3428" s="183"/>
    </row>
    <row r="3429" spans="2:2" ht="15" x14ac:dyDescent="0.2">
      <c r="B3429" s="183"/>
    </row>
    <row r="3430" spans="2:2" ht="15" x14ac:dyDescent="0.2">
      <c r="B3430" s="183"/>
    </row>
    <row r="3431" spans="2:2" ht="15" x14ac:dyDescent="0.2">
      <c r="B3431" s="183"/>
    </row>
    <row r="3432" spans="2:2" ht="15" x14ac:dyDescent="0.2">
      <c r="B3432" s="183"/>
    </row>
    <row r="3433" spans="2:2" ht="15" x14ac:dyDescent="0.2">
      <c r="B3433" s="183"/>
    </row>
    <row r="3434" spans="2:2" ht="15" x14ac:dyDescent="0.2">
      <c r="B3434" s="183"/>
    </row>
    <row r="3435" spans="2:2" ht="15" x14ac:dyDescent="0.2">
      <c r="B3435" s="183"/>
    </row>
    <row r="3436" spans="2:2" ht="15" x14ac:dyDescent="0.2">
      <c r="B3436" s="183"/>
    </row>
    <row r="3437" spans="2:2" ht="15" x14ac:dyDescent="0.2">
      <c r="B3437" s="183"/>
    </row>
    <row r="3438" spans="2:2" ht="15" x14ac:dyDescent="0.2">
      <c r="B3438" s="183"/>
    </row>
    <row r="3439" spans="2:2" ht="15" x14ac:dyDescent="0.2">
      <c r="B3439" s="183"/>
    </row>
    <row r="3440" spans="2:2" ht="15" x14ac:dyDescent="0.2">
      <c r="B3440" s="183"/>
    </row>
    <row r="3441" spans="2:2" ht="15" x14ac:dyDescent="0.2">
      <c r="B3441" s="183"/>
    </row>
    <row r="3442" spans="2:2" ht="15" x14ac:dyDescent="0.2">
      <c r="B3442" s="183"/>
    </row>
    <row r="3443" spans="2:2" ht="15" x14ac:dyDescent="0.2">
      <c r="B3443" s="183"/>
    </row>
    <row r="3444" spans="2:2" ht="15" x14ac:dyDescent="0.2">
      <c r="B3444" s="183"/>
    </row>
    <row r="3445" spans="2:2" ht="15" x14ac:dyDescent="0.2">
      <c r="B3445" s="183"/>
    </row>
    <row r="3446" spans="2:2" ht="15" x14ac:dyDescent="0.2">
      <c r="B3446" s="183"/>
    </row>
    <row r="3447" spans="2:2" ht="15" x14ac:dyDescent="0.2">
      <c r="B3447" s="183"/>
    </row>
    <row r="3448" spans="2:2" ht="15" x14ac:dyDescent="0.2">
      <c r="B3448" s="183"/>
    </row>
    <row r="3449" spans="2:2" ht="15" x14ac:dyDescent="0.2">
      <c r="B3449" s="183"/>
    </row>
    <row r="3450" spans="2:2" ht="15" x14ac:dyDescent="0.2">
      <c r="B3450" s="183"/>
    </row>
    <row r="3451" spans="2:2" ht="15" x14ac:dyDescent="0.2">
      <c r="B3451" s="183"/>
    </row>
    <row r="3452" spans="2:2" ht="15" x14ac:dyDescent="0.2">
      <c r="B3452" s="183"/>
    </row>
    <row r="3453" spans="2:2" ht="15" x14ac:dyDescent="0.2">
      <c r="B3453" s="183"/>
    </row>
    <row r="3454" spans="2:2" ht="15" x14ac:dyDescent="0.2">
      <c r="B3454" s="183"/>
    </row>
    <row r="3455" spans="2:2" ht="15" x14ac:dyDescent="0.2">
      <c r="B3455" s="183"/>
    </row>
    <row r="3456" spans="2:2" ht="15" x14ac:dyDescent="0.2">
      <c r="B3456" s="183"/>
    </row>
    <row r="3457" spans="2:2" ht="15" x14ac:dyDescent="0.2">
      <c r="B3457" s="183"/>
    </row>
    <row r="3458" spans="2:2" ht="15" x14ac:dyDescent="0.2">
      <c r="B3458" s="183"/>
    </row>
    <row r="3459" spans="2:2" ht="15" x14ac:dyDescent="0.2">
      <c r="B3459" s="183"/>
    </row>
    <row r="3460" spans="2:2" ht="15" x14ac:dyDescent="0.2">
      <c r="B3460" s="183"/>
    </row>
    <row r="3461" spans="2:2" ht="15" x14ac:dyDescent="0.2">
      <c r="B3461" s="183"/>
    </row>
    <row r="3462" spans="2:2" ht="15" x14ac:dyDescent="0.2">
      <c r="B3462" s="183"/>
    </row>
    <row r="3463" spans="2:2" ht="15" x14ac:dyDescent="0.2">
      <c r="B3463" s="183"/>
    </row>
    <row r="3464" spans="2:2" ht="15" x14ac:dyDescent="0.2">
      <c r="B3464" s="183"/>
    </row>
    <row r="3465" spans="2:2" ht="15" x14ac:dyDescent="0.2">
      <c r="B3465" s="183"/>
    </row>
    <row r="3466" spans="2:2" ht="15" x14ac:dyDescent="0.2">
      <c r="B3466" s="183"/>
    </row>
    <row r="3467" spans="2:2" ht="15" x14ac:dyDescent="0.2">
      <c r="B3467" s="183"/>
    </row>
    <row r="3468" spans="2:2" ht="15" x14ac:dyDescent="0.2">
      <c r="B3468" s="183"/>
    </row>
    <row r="3469" spans="2:2" ht="15" x14ac:dyDescent="0.2">
      <c r="B3469" s="183"/>
    </row>
    <row r="3470" spans="2:2" ht="15" x14ac:dyDescent="0.2">
      <c r="B3470" s="183"/>
    </row>
    <row r="3471" spans="2:2" ht="15" x14ac:dyDescent="0.2">
      <c r="B3471" s="183"/>
    </row>
    <row r="3472" spans="2:2" ht="15" x14ac:dyDescent="0.2">
      <c r="B3472" s="183"/>
    </row>
    <row r="3473" spans="2:2" ht="15" x14ac:dyDescent="0.2">
      <c r="B3473" s="183"/>
    </row>
    <row r="3474" spans="2:2" ht="15" x14ac:dyDescent="0.2">
      <c r="B3474" s="183"/>
    </row>
    <row r="3475" spans="2:2" ht="15" x14ac:dyDescent="0.2">
      <c r="B3475" s="183"/>
    </row>
    <row r="3476" spans="2:2" ht="15" x14ac:dyDescent="0.2">
      <c r="B3476" s="183"/>
    </row>
    <row r="3477" spans="2:2" ht="15" x14ac:dyDescent="0.2">
      <c r="B3477" s="183"/>
    </row>
    <row r="3478" spans="2:2" ht="15" x14ac:dyDescent="0.2">
      <c r="B3478" s="183"/>
    </row>
    <row r="3479" spans="2:2" ht="15" x14ac:dyDescent="0.2">
      <c r="B3479" s="183"/>
    </row>
    <row r="3480" spans="2:2" ht="15" x14ac:dyDescent="0.2">
      <c r="B3480" s="183"/>
    </row>
    <row r="3481" spans="2:2" ht="15" x14ac:dyDescent="0.2">
      <c r="B3481" s="183"/>
    </row>
    <row r="3482" spans="2:2" ht="15" x14ac:dyDescent="0.2">
      <c r="B3482" s="183"/>
    </row>
    <row r="3483" spans="2:2" ht="15" x14ac:dyDescent="0.2">
      <c r="B3483" s="183"/>
    </row>
    <row r="3484" spans="2:2" ht="15" x14ac:dyDescent="0.2">
      <c r="B3484" s="183"/>
    </row>
    <row r="3485" spans="2:2" ht="15" x14ac:dyDescent="0.2">
      <c r="B3485" s="183"/>
    </row>
    <row r="3486" spans="2:2" ht="15" x14ac:dyDescent="0.2">
      <c r="B3486" s="183"/>
    </row>
    <row r="3487" spans="2:2" ht="15" x14ac:dyDescent="0.2">
      <c r="B3487" s="183"/>
    </row>
    <row r="3488" spans="2:2" ht="15" x14ac:dyDescent="0.2">
      <c r="B3488" s="183"/>
    </row>
    <row r="3489" spans="2:2" ht="15" x14ac:dyDescent="0.2">
      <c r="B3489" s="183"/>
    </row>
    <row r="3490" spans="2:2" ht="15" x14ac:dyDescent="0.2">
      <c r="B3490" s="183"/>
    </row>
    <row r="3491" spans="2:2" ht="15" x14ac:dyDescent="0.2">
      <c r="B3491" s="183"/>
    </row>
    <row r="3492" spans="2:2" ht="15" x14ac:dyDescent="0.2">
      <c r="B3492" s="183"/>
    </row>
    <row r="3493" spans="2:2" ht="15" x14ac:dyDescent="0.2">
      <c r="B3493" s="183"/>
    </row>
    <row r="3494" spans="2:2" ht="15" x14ac:dyDescent="0.2">
      <c r="B3494" s="183"/>
    </row>
    <row r="3495" spans="2:2" ht="15" x14ac:dyDescent="0.2">
      <c r="B3495" s="183"/>
    </row>
    <row r="3496" spans="2:2" ht="15" x14ac:dyDescent="0.2">
      <c r="B3496" s="183"/>
    </row>
    <row r="3497" spans="2:2" ht="15" x14ac:dyDescent="0.2">
      <c r="B3497" s="183"/>
    </row>
    <row r="3498" spans="2:2" ht="15" x14ac:dyDescent="0.2">
      <c r="B3498" s="183"/>
    </row>
    <row r="3499" spans="2:2" ht="15" x14ac:dyDescent="0.2">
      <c r="B3499" s="183"/>
    </row>
    <row r="3500" spans="2:2" ht="15" x14ac:dyDescent="0.2">
      <c r="B3500" s="183"/>
    </row>
    <row r="3501" spans="2:2" ht="15" x14ac:dyDescent="0.2">
      <c r="B3501" s="183"/>
    </row>
    <row r="3502" spans="2:2" ht="15" x14ac:dyDescent="0.2">
      <c r="B3502" s="183"/>
    </row>
    <row r="3503" spans="2:2" ht="15" x14ac:dyDescent="0.2">
      <c r="B3503" s="183"/>
    </row>
    <row r="3504" spans="2:2" ht="15" x14ac:dyDescent="0.2">
      <c r="B3504" s="183"/>
    </row>
    <row r="3505" spans="2:2" ht="15" x14ac:dyDescent="0.2">
      <c r="B3505" s="183"/>
    </row>
    <row r="3506" spans="2:2" ht="15" x14ac:dyDescent="0.2">
      <c r="B3506" s="183"/>
    </row>
    <row r="3507" spans="2:2" ht="15" x14ac:dyDescent="0.2">
      <c r="B3507" s="183"/>
    </row>
    <row r="3508" spans="2:2" ht="15" x14ac:dyDescent="0.2">
      <c r="B3508" s="183"/>
    </row>
    <row r="3509" spans="2:2" ht="15" x14ac:dyDescent="0.2">
      <c r="B3509" s="183"/>
    </row>
    <row r="3510" spans="2:2" ht="15" x14ac:dyDescent="0.2">
      <c r="B3510" s="183"/>
    </row>
    <row r="3511" spans="2:2" ht="15" x14ac:dyDescent="0.2">
      <c r="B3511" s="183"/>
    </row>
    <row r="3512" spans="2:2" ht="15" x14ac:dyDescent="0.2">
      <c r="B3512" s="183"/>
    </row>
    <row r="3513" spans="2:2" ht="15" x14ac:dyDescent="0.2">
      <c r="B3513" s="183"/>
    </row>
    <row r="3514" spans="2:2" ht="15" x14ac:dyDescent="0.2">
      <c r="B3514" s="183"/>
    </row>
    <row r="3515" spans="2:2" ht="15" x14ac:dyDescent="0.2">
      <c r="B3515" s="183"/>
    </row>
    <row r="3516" spans="2:2" ht="15" x14ac:dyDescent="0.2">
      <c r="B3516" s="183"/>
    </row>
    <row r="3517" spans="2:2" ht="15" x14ac:dyDescent="0.2">
      <c r="B3517" s="183"/>
    </row>
    <row r="3518" spans="2:2" ht="15" x14ac:dyDescent="0.2">
      <c r="B3518" s="183"/>
    </row>
    <row r="3519" spans="2:2" ht="15" x14ac:dyDescent="0.2">
      <c r="B3519" s="183"/>
    </row>
    <row r="3520" spans="2:2" ht="15" x14ac:dyDescent="0.2">
      <c r="B3520" s="183"/>
    </row>
    <row r="3521" spans="2:2" ht="15" x14ac:dyDescent="0.2">
      <c r="B3521" s="183"/>
    </row>
    <row r="3522" spans="2:2" ht="15" x14ac:dyDescent="0.2">
      <c r="B3522" s="183"/>
    </row>
    <row r="3523" spans="2:2" ht="15" x14ac:dyDescent="0.2">
      <c r="B3523" s="183"/>
    </row>
    <row r="3524" spans="2:2" ht="15" x14ac:dyDescent="0.2">
      <c r="B3524" s="183"/>
    </row>
    <row r="3525" spans="2:2" ht="15" x14ac:dyDescent="0.2">
      <c r="B3525" s="183"/>
    </row>
    <row r="3526" spans="2:2" ht="15" x14ac:dyDescent="0.2">
      <c r="B3526" s="183"/>
    </row>
    <row r="3527" spans="2:2" ht="15" x14ac:dyDescent="0.2">
      <c r="B3527" s="183"/>
    </row>
    <row r="3528" spans="2:2" ht="15" x14ac:dyDescent="0.2">
      <c r="B3528" s="183"/>
    </row>
    <row r="3529" spans="2:2" ht="15" x14ac:dyDescent="0.2">
      <c r="B3529" s="183"/>
    </row>
    <row r="3530" spans="2:2" ht="15" x14ac:dyDescent="0.2">
      <c r="B3530" s="183"/>
    </row>
    <row r="3531" spans="2:2" ht="15" x14ac:dyDescent="0.2">
      <c r="B3531" s="183"/>
    </row>
    <row r="3532" spans="2:2" ht="15" x14ac:dyDescent="0.2">
      <c r="B3532" s="183"/>
    </row>
    <row r="3533" spans="2:2" ht="15" x14ac:dyDescent="0.2">
      <c r="B3533" s="183"/>
    </row>
    <row r="3534" spans="2:2" ht="15" x14ac:dyDescent="0.2">
      <c r="B3534" s="183"/>
    </row>
    <row r="3535" spans="2:2" ht="15" x14ac:dyDescent="0.2">
      <c r="B3535" s="183"/>
    </row>
    <row r="3536" spans="2:2" ht="15" x14ac:dyDescent="0.2">
      <c r="B3536" s="183"/>
    </row>
    <row r="3537" spans="2:2" ht="15" x14ac:dyDescent="0.2">
      <c r="B3537" s="183"/>
    </row>
    <row r="3538" spans="2:2" ht="15" x14ac:dyDescent="0.2">
      <c r="B3538" s="183"/>
    </row>
    <row r="3539" spans="2:2" ht="15" x14ac:dyDescent="0.2">
      <c r="B3539" s="183"/>
    </row>
    <row r="3540" spans="2:2" ht="15" x14ac:dyDescent="0.2">
      <c r="B3540" s="183"/>
    </row>
    <row r="3541" spans="2:2" ht="15" x14ac:dyDescent="0.2">
      <c r="B3541" s="183"/>
    </row>
    <row r="3542" spans="2:2" ht="15" x14ac:dyDescent="0.2">
      <c r="B3542" s="183"/>
    </row>
    <row r="3543" spans="2:2" ht="15" x14ac:dyDescent="0.2">
      <c r="B3543" s="183"/>
    </row>
    <row r="3544" spans="2:2" ht="15" x14ac:dyDescent="0.2">
      <c r="B3544" s="183"/>
    </row>
    <row r="3545" spans="2:2" ht="15" x14ac:dyDescent="0.2">
      <c r="B3545" s="183"/>
    </row>
    <row r="3546" spans="2:2" ht="15" x14ac:dyDescent="0.2">
      <c r="B3546" s="183"/>
    </row>
    <row r="3547" spans="2:2" ht="15" x14ac:dyDescent="0.2">
      <c r="B3547" s="183"/>
    </row>
    <row r="3548" spans="2:2" ht="15" x14ac:dyDescent="0.2">
      <c r="B3548" s="183"/>
    </row>
    <row r="3549" spans="2:2" ht="15" x14ac:dyDescent="0.2">
      <c r="B3549" s="183"/>
    </row>
    <row r="3550" spans="2:2" ht="15" x14ac:dyDescent="0.2">
      <c r="B3550" s="183"/>
    </row>
    <row r="3551" spans="2:2" ht="15" x14ac:dyDescent="0.2">
      <c r="B3551" s="183"/>
    </row>
    <row r="3552" spans="2:2" ht="15" x14ac:dyDescent="0.2">
      <c r="B3552" s="183"/>
    </row>
    <row r="3553" spans="2:2" ht="15" x14ac:dyDescent="0.2">
      <c r="B3553" s="183"/>
    </row>
    <row r="3554" spans="2:2" ht="15" x14ac:dyDescent="0.2">
      <c r="B3554" s="183"/>
    </row>
    <row r="3555" spans="2:2" ht="15" x14ac:dyDescent="0.2">
      <c r="B3555" s="183"/>
    </row>
    <row r="3556" spans="2:2" ht="15" x14ac:dyDescent="0.2">
      <c r="B3556" s="183"/>
    </row>
    <row r="3557" spans="2:2" ht="15" x14ac:dyDescent="0.2">
      <c r="B3557" s="183"/>
    </row>
    <row r="3558" spans="2:2" ht="15" x14ac:dyDescent="0.2">
      <c r="B3558" s="183"/>
    </row>
    <row r="3559" spans="2:2" ht="15" x14ac:dyDescent="0.2">
      <c r="B3559" s="183"/>
    </row>
    <row r="3560" spans="2:2" ht="15" x14ac:dyDescent="0.2">
      <c r="B3560" s="183"/>
    </row>
    <row r="3561" spans="2:2" ht="15" x14ac:dyDescent="0.2">
      <c r="B3561" s="183"/>
    </row>
    <row r="3562" spans="2:2" ht="15" x14ac:dyDescent="0.2">
      <c r="B3562" s="183"/>
    </row>
    <row r="3563" spans="2:2" ht="15" x14ac:dyDescent="0.2">
      <c r="B3563" s="183"/>
    </row>
    <row r="3564" spans="2:2" ht="15" x14ac:dyDescent="0.2">
      <c r="B3564" s="183"/>
    </row>
    <row r="3565" spans="2:2" ht="15" x14ac:dyDescent="0.2">
      <c r="B3565" s="183"/>
    </row>
    <row r="3566" spans="2:2" ht="15" x14ac:dyDescent="0.2">
      <c r="B3566" s="183"/>
    </row>
    <row r="3567" spans="2:2" ht="15" x14ac:dyDescent="0.2">
      <c r="B3567" s="183"/>
    </row>
    <row r="3568" spans="2:2" ht="15" x14ac:dyDescent="0.2">
      <c r="B3568" s="183"/>
    </row>
    <row r="3569" spans="2:2" ht="15" x14ac:dyDescent="0.2">
      <c r="B3569" s="183"/>
    </row>
    <row r="3570" spans="2:2" ht="15" x14ac:dyDescent="0.2">
      <c r="B3570" s="183"/>
    </row>
    <row r="3571" spans="2:2" ht="15" x14ac:dyDescent="0.2">
      <c r="B3571" s="183"/>
    </row>
    <row r="3572" spans="2:2" ht="15" x14ac:dyDescent="0.2">
      <c r="B3572" s="183"/>
    </row>
    <row r="3573" spans="2:2" ht="15" x14ac:dyDescent="0.2">
      <c r="B3573" s="183"/>
    </row>
    <row r="3574" spans="2:2" ht="15" x14ac:dyDescent="0.2">
      <c r="B3574" s="183"/>
    </row>
    <row r="3575" spans="2:2" ht="15" x14ac:dyDescent="0.2">
      <c r="B3575" s="183"/>
    </row>
    <row r="3576" spans="2:2" ht="15" x14ac:dyDescent="0.2">
      <c r="B3576" s="183"/>
    </row>
    <row r="3577" spans="2:2" ht="15" x14ac:dyDescent="0.2">
      <c r="B3577" s="183"/>
    </row>
    <row r="3578" spans="2:2" ht="15" x14ac:dyDescent="0.2">
      <c r="B3578" s="183"/>
    </row>
    <row r="3579" spans="2:2" ht="15" x14ac:dyDescent="0.2">
      <c r="B3579" s="183"/>
    </row>
    <row r="3580" spans="2:2" ht="15" x14ac:dyDescent="0.2">
      <c r="B3580" s="183"/>
    </row>
    <row r="3581" spans="2:2" ht="15" x14ac:dyDescent="0.2">
      <c r="B3581" s="183"/>
    </row>
    <row r="3582" spans="2:2" ht="15" x14ac:dyDescent="0.2">
      <c r="B3582" s="183"/>
    </row>
    <row r="3583" spans="2:2" ht="15" x14ac:dyDescent="0.2">
      <c r="B3583" s="183"/>
    </row>
    <row r="3584" spans="2:2" ht="15" x14ac:dyDescent="0.2">
      <c r="B3584" s="183"/>
    </row>
    <row r="3585" spans="2:2" ht="15" x14ac:dyDescent="0.2">
      <c r="B3585" s="183"/>
    </row>
    <row r="3586" spans="2:2" ht="15" x14ac:dyDescent="0.2">
      <c r="B3586" s="183"/>
    </row>
    <row r="3587" spans="2:2" ht="15" x14ac:dyDescent="0.2">
      <c r="B3587" s="183"/>
    </row>
    <row r="3588" spans="2:2" ht="15" x14ac:dyDescent="0.2">
      <c r="B3588" s="183"/>
    </row>
    <row r="3589" spans="2:2" ht="15" x14ac:dyDescent="0.2">
      <c r="B3589" s="183"/>
    </row>
    <row r="3590" spans="2:2" ht="15" x14ac:dyDescent="0.2">
      <c r="B3590" s="183"/>
    </row>
    <row r="3591" spans="2:2" ht="15" x14ac:dyDescent="0.2">
      <c r="B3591" s="183"/>
    </row>
    <row r="3592" spans="2:2" ht="15" x14ac:dyDescent="0.2">
      <c r="B3592" s="183"/>
    </row>
    <row r="3593" spans="2:2" ht="15" x14ac:dyDescent="0.2">
      <c r="B3593" s="183"/>
    </row>
    <row r="3594" spans="2:2" ht="15" x14ac:dyDescent="0.2">
      <c r="B3594" s="183"/>
    </row>
    <row r="3595" spans="2:2" ht="15" x14ac:dyDescent="0.2">
      <c r="B3595" s="183"/>
    </row>
    <row r="3596" spans="2:2" ht="15" x14ac:dyDescent="0.2">
      <c r="B3596" s="183"/>
    </row>
    <row r="3597" spans="2:2" ht="15" x14ac:dyDescent="0.2">
      <c r="B3597" s="183"/>
    </row>
    <row r="3598" spans="2:2" ht="15" x14ac:dyDescent="0.2">
      <c r="B3598" s="183"/>
    </row>
    <row r="3599" spans="2:2" ht="15" x14ac:dyDescent="0.2">
      <c r="B3599" s="183"/>
    </row>
    <row r="3600" spans="2:2" ht="15" x14ac:dyDescent="0.2">
      <c r="B3600" s="183"/>
    </row>
    <row r="3601" spans="2:2" ht="15" x14ac:dyDescent="0.2">
      <c r="B3601" s="183"/>
    </row>
    <row r="3602" spans="2:2" ht="15" x14ac:dyDescent="0.2">
      <c r="B3602" s="183"/>
    </row>
    <row r="3603" spans="2:2" ht="15" x14ac:dyDescent="0.2">
      <c r="B3603" s="183"/>
    </row>
    <row r="3604" spans="2:2" ht="15" x14ac:dyDescent="0.2">
      <c r="B3604" s="183"/>
    </row>
    <row r="3605" spans="2:2" ht="15" x14ac:dyDescent="0.2">
      <c r="B3605" s="183"/>
    </row>
    <row r="3606" spans="2:2" ht="15" x14ac:dyDescent="0.2">
      <c r="B3606" s="183"/>
    </row>
    <row r="3607" spans="2:2" ht="15" x14ac:dyDescent="0.2">
      <c r="B3607" s="183"/>
    </row>
    <row r="3608" spans="2:2" ht="15" x14ac:dyDescent="0.2">
      <c r="B3608" s="183"/>
    </row>
    <row r="3609" spans="2:2" ht="15" x14ac:dyDescent="0.2">
      <c r="B3609" s="183"/>
    </row>
    <row r="3610" spans="2:2" ht="15" x14ac:dyDescent="0.2">
      <c r="B3610" s="183"/>
    </row>
    <row r="3611" spans="2:2" ht="15" x14ac:dyDescent="0.2">
      <c r="B3611" s="183"/>
    </row>
    <row r="3612" spans="2:2" ht="15" x14ac:dyDescent="0.2">
      <c r="B3612" s="183"/>
    </row>
    <row r="3613" spans="2:2" ht="15" x14ac:dyDescent="0.2">
      <c r="B3613" s="183"/>
    </row>
    <row r="3614" spans="2:2" ht="15" x14ac:dyDescent="0.2">
      <c r="B3614" s="183"/>
    </row>
    <row r="3615" spans="2:2" ht="15" x14ac:dyDescent="0.2">
      <c r="B3615" s="183"/>
    </row>
    <row r="3616" spans="2:2" ht="15" x14ac:dyDescent="0.2">
      <c r="B3616" s="183"/>
    </row>
    <row r="3617" spans="2:2" ht="15" x14ac:dyDescent="0.2">
      <c r="B3617" s="183"/>
    </row>
    <row r="3618" spans="2:2" ht="15" x14ac:dyDescent="0.2">
      <c r="B3618" s="183"/>
    </row>
    <row r="3619" spans="2:2" ht="15" x14ac:dyDescent="0.2">
      <c r="B3619" s="183"/>
    </row>
    <row r="3620" spans="2:2" ht="15" x14ac:dyDescent="0.2">
      <c r="B3620" s="183"/>
    </row>
    <row r="3621" spans="2:2" ht="15" x14ac:dyDescent="0.2">
      <c r="B3621" s="183"/>
    </row>
    <row r="3622" spans="2:2" ht="15" x14ac:dyDescent="0.2">
      <c r="B3622" s="183"/>
    </row>
    <row r="3623" spans="2:2" ht="15" x14ac:dyDescent="0.2">
      <c r="B3623" s="183"/>
    </row>
    <row r="3624" spans="2:2" ht="15" x14ac:dyDescent="0.2">
      <c r="B3624" s="183"/>
    </row>
    <row r="3625" spans="2:2" ht="15" x14ac:dyDescent="0.2">
      <c r="B3625" s="183"/>
    </row>
    <row r="3626" spans="2:2" ht="15" x14ac:dyDescent="0.2">
      <c r="B3626" s="183"/>
    </row>
    <row r="3627" spans="2:2" ht="15" x14ac:dyDescent="0.2">
      <c r="B3627" s="183"/>
    </row>
    <row r="3628" spans="2:2" ht="15" x14ac:dyDescent="0.2">
      <c r="B3628" s="183"/>
    </row>
    <row r="3629" spans="2:2" ht="15" x14ac:dyDescent="0.2">
      <c r="B3629" s="183"/>
    </row>
    <row r="3630" spans="2:2" ht="15" x14ac:dyDescent="0.2">
      <c r="B3630" s="183"/>
    </row>
    <row r="3631" spans="2:2" ht="15" x14ac:dyDescent="0.2">
      <c r="B3631" s="183"/>
    </row>
    <row r="3632" spans="2:2" ht="15" x14ac:dyDescent="0.2">
      <c r="B3632" s="183"/>
    </row>
    <row r="3633" spans="2:2" ht="15" x14ac:dyDescent="0.2">
      <c r="B3633" s="183"/>
    </row>
    <row r="3634" spans="2:2" ht="15" x14ac:dyDescent="0.2">
      <c r="B3634" s="183"/>
    </row>
    <row r="3635" spans="2:2" ht="15" x14ac:dyDescent="0.2">
      <c r="B3635" s="183"/>
    </row>
    <row r="3636" spans="2:2" ht="15" x14ac:dyDescent="0.2">
      <c r="B3636" s="183"/>
    </row>
    <row r="3637" spans="2:2" ht="15" x14ac:dyDescent="0.2">
      <c r="B3637" s="183"/>
    </row>
    <row r="3638" spans="2:2" ht="15" x14ac:dyDescent="0.2">
      <c r="B3638" s="183"/>
    </row>
    <row r="3639" spans="2:2" ht="15" x14ac:dyDescent="0.2">
      <c r="B3639" s="183"/>
    </row>
    <row r="3640" spans="2:2" ht="15" x14ac:dyDescent="0.2">
      <c r="B3640" s="183"/>
    </row>
    <row r="3641" spans="2:2" ht="15" x14ac:dyDescent="0.2">
      <c r="B3641" s="183"/>
    </row>
    <row r="3642" spans="2:2" ht="15" x14ac:dyDescent="0.2">
      <c r="B3642" s="183"/>
    </row>
    <row r="3643" spans="2:2" ht="15" x14ac:dyDescent="0.2">
      <c r="B3643" s="183"/>
    </row>
    <row r="3644" spans="2:2" ht="15" x14ac:dyDescent="0.2">
      <c r="B3644" s="183"/>
    </row>
    <row r="3645" spans="2:2" ht="15" x14ac:dyDescent="0.2">
      <c r="B3645" s="183"/>
    </row>
    <row r="3646" spans="2:2" ht="15" x14ac:dyDescent="0.2">
      <c r="B3646" s="183"/>
    </row>
    <row r="3647" spans="2:2" ht="15" x14ac:dyDescent="0.2">
      <c r="B3647" s="183"/>
    </row>
    <row r="3648" spans="2:2" ht="15" x14ac:dyDescent="0.2">
      <c r="B3648" s="183"/>
    </row>
    <row r="3649" spans="2:2" ht="15" x14ac:dyDescent="0.2">
      <c r="B3649" s="183"/>
    </row>
    <row r="3650" spans="2:2" ht="15" x14ac:dyDescent="0.2">
      <c r="B3650" s="183"/>
    </row>
    <row r="3651" spans="2:2" ht="15" x14ac:dyDescent="0.2">
      <c r="B3651" s="183"/>
    </row>
    <row r="3652" spans="2:2" ht="15" x14ac:dyDescent="0.2">
      <c r="B3652" s="183"/>
    </row>
    <row r="3653" spans="2:2" ht="15" x14ac:dyDescent="0.2">
      <c r="B3653" s="183"/>
    </row>
    <row r="3654" spans="2:2" ht="15" x14ac:dyDescent="0.2">
      <c r="B3654" s="183"/>
    </row>
    <row r="3655" spans="2:2" ht="15" x14ac:dyDescent="0.2">
      <c r="B3655" s="183"/>
    </row>
    <row r="3656" spans="2:2" ht="15" x14ac:dyDescent="0.2">
      <c r="B3656" s="183"/>
    </row>
    <row r="3657" spans="2:2" ht="15" x14ac:dyDescent="0.2">
      <c r="B3657" s="183"/>
    </row>
    <row r="3658" spans="2:2" ht="15" x14ac:dyDescent="0.2">
      <c r="B3658" s="183"/>
    </row>
    <row r="3659" spans="2:2" ht="15" x14ac:dyDescent="0.2">
      <c r="B3659" s="183"/>
    </row>
    <row r="3660" spans="2:2" ht="15" x14ac:dyDescent="0.2">
      <c r="B3660" s="183"/>
    </row>
    <row r="3661" spans="2:2" ht="15" x14ac:dyDescent="0.2">
      <c r="B3661" s="183"/>
    </row>
    <row r="3662" spans="2:2" ht="15" x14ac:dyDescent="0.2">
      <c r="B3662" s="183"/>
    </row>
    <row r="3663" spans="2:2" ht="15" x14ac:dyDescent="0.2">
      <c r="B3663" s="183"/>
    </row>
    <row r="3664" spans="2:2" ht="15" x14ac:dyDescent="0.2">
      <c r="B3664" s="183"/>
    </row>
    <row r="3665" spans="2:2" ht="15" x14ac:dyDescent="0.2">
      <c r="B3665" s="183"/>
    </row>
    <row r="3666" spans="2:2" ht="15" x14ac:dyDescent="0.2">
      <c r="B3666" s="183"/>
    </row>
    <row r="3667" spans="2:2" ht="15" x14ac:dyDescent="0.2">
      <c r="B3667" s="183"/>
    </row>
    <row r="3668" spans="2:2" ht="15" x14ac:dyDescent="0.2">
      <c r="B3668" s="183"/>
    </row>
    <row r="3669" spans="2:2" ht="15" x14ac:dyDescent="0.2">
      <c r="B3669" s="183"/>
    </row>
    <row r="3670" spans="2:2" ht="15" x14ac:dyDescent="0.2">
      <c r="B3670" s="183"/>
    </row>
    <row r="3671" spans="2:2" ht="15" x14ac:dyDescent="0.2">
      <c r="B3671" s="183"/>
    </row>
    <row r="3672" spans="2:2" ht="15" x14ac:dyDescent="0.2">
      <c r="B3672" s="183"/>
    </row>
    <row r="3673" spans="2:2" ht="15" x14ac:dyDescent="0.2">
      <c r="B3673" s="183"/>
    </row>
    <row r="3674" spans="2:2" ht="15" x14ac:dyDescent="0.2">
      <c r="B3674" s="183"/>
    </row>
    <row r="3675" spans="2:2" ht="15" x14ac:dyDescent="0.2">
      <c r="B3675" s="183"/>
    </row>
    <row r="3676" spans="2:2" ht="15" x14ac:dyDescent="0.2">
      <c r="B3676" s="183"/>
    </row>
    <row r="3677" spans="2:2" ht="15" x14ac:dyDescent="0.2">
      <c r="B3677" s="183"/>
    </row>
    <row r="3678" spans="2:2" ht="15" x14ac:dyDescent="0.2">
      <c r="B3678" s="183"/>
    </row>
    <row r="3679" spans="2:2" ht="15" x14ac:dyDescent="0.2">
      <c r="B3679" s="183"/>
    </row>
    <row r="3680" spans="2:2" ht="15" x14ac:dyDescent="0.2">
      <c r="B3680" s="183"/>
    </row>
    <row r="3681" spans="2:2" ht="15" x14ac:dyDescent="0.2">
      <c r="B3681" s="183"/>
    </row>
    <row r="3682" spans="2:2" ht="15" x14ac:dyDescent="0.2">
      <c r="B3682" s="183"/>
    </row>
    <row r="3683" spans="2:2" ht="15" x14ac:dyDescent="0.2">
      <c r="B3683" s="183"/>
    </row>
    <row r="3684" spans="2:2" ht="15" x14ac:dyDescent="0.2">
      <c r="B3684" s="183"/>
    </row>
    <row r="3685" spans="2:2" ht="15" x14ac:dyDescent="0.2">
      <c r="B3685" s="183"/>
    </row>
    <row r="3686" spans="2:2" ht="15" x14ac:dyDescent="0.2">
      <c r="B3686" s="183"/>
    </row>
    <row r="3687" spans="2:2" ht="15" x14ac:dyDescent="0.2">
      <c r="B3687" s="183"/>
    </row>
    <row r="3688" spans="2:2" ht="15" x14ac:dyDescent="0.2">
      <c r="B3688" s="183"/>
    </row>
    <row r="3689" spans="2:2" ht="15" x14ac:dyDescent="0.2">
      <c r="B3689" s="183"/>
    </row>
    <row r="3690" spans="2:2" ht="15" x14ac:dyDescent="0.2">
      <c r="B3690" s="183"/>
    </row>
    <row r="3691" spans="2:2" ht="15" x14ac:dyDescent="0.2">
      <c r="B3691" s="183"/>
    </row>
    <row r="3692" spans="2:2" ht="15" x14ac:dyDescent="0.2">
      <c r="B3692" s="183"/>
    </row>
    <row r="3693" spans="2:2" ht="15" x14ac:dyDescent="0.2">
      <c r="B3693" s="183"/>
    </row>
    <row r="3694" spans="2:2" ht="15" x14ac:dyDescent="0.2">
      <c r="B3694" s="183"/>
    </row>
    <row r="3695" spans="2:2" ht="15" x14ac:dyDescent="0.2">
      <c r="B3695" s="183"/>
    </row>
    <row r="3696" spans="2:2" ht="15" x14ac:dyDescent="0.2">
      <c r="B3696" s="183"/>
    </row>
    <row r="3697" spans="2:2" ht="15" x14ac:dyDescent="0.2">
      <c r="B3697" s="183"/>
    </row>
    <row r="3698" spans="2:2" ht="15" x14ac:dyDescent="0.2">
      <c r="B3698" s="183"/>
    </row>
    <row r="3699" spans="2:2" ht="15" x14ac:dyDescent="0.2">
      <c r="B3699" s="183"/>
    </row>
    <row r="3700" spans="2:2" ht="15" x14ac:dyDescent="0.2">
      <c r="B3700" s="183"/>
    </row>
    <row r="3701" spans="2:2" ht="15" x14ac:dyDescent="0.2">
      <c r="B3701" s="183"/>
    </row>
    <row r="3702" spans="2:2" ht="15" x14ac:dyDescent="0.2">
      <c r="B3702" s="183"/>
    </row>
    <row r="3703" spans="2:2" ht="15" x14ac:dyDescent="0.2">
      <c r="B3703" s="183"/>
    </row>
    <row r="3704" spans="2:2" ht="15" x14ac:dyDescent="0.2">
      <c r="B3704" s="183"/>
    </row>
    <row r="3705" spans="2:2" ht="15" x14ac:dyDescent="0.2">
      <c r="B3705" s="183"/>
    </row>
    <row r="3706" spans="2:2" ht="15" x14ac:dyDescent="0.2">
      <c r="B3706" s="183"/>
    </row>
    <row r="3707" spans="2:2" ht="15" x14ac:dyDescent="0.2">
      <c r="B3707" s="183"/>
    </row>
    <row r="3708" spans="2:2" ht="15" x14ac:dyDescent="0.2">
      <c r="B3708" s="183"/>
    </row>
    <row r="3709" spans="2:2" ht="15" x14ac:dyDescent="0.2">
      <c r="B3709" s="183"/>
    </row>
    <row r="3710" spans="2:2" ht="15" x14ac:dyDescent="0.2">
      <c r="B3710" s="183"/>
    </row>
    <row r="3711" spans="2:2" ht="15" x14ac:dyDescent="0.2">
      <c r="B3711" s="183"/>
    </row>
    <row r="3712" spans="2:2" ht="15" x14ac:dyDescent="0.2">
      <c r="B3712" s="183"/>
    </row>
    <row r="3713" spans="2:2" ht="15" x14ac:dyDescent="0.2">
      <c r="B3713" s="183"/>
    </row>
    <row r="3714" spans="2:2" ht="15" x14ac:dyDescent="0.2">
      <c r="B3714" s="183"/>
    </row>
    <row r="3715" spans="2:2" ht="15" x14ac:dyDescent="0.2">
      <c r="B3715" s="183"/>
    </row>
    <row r="3716" spans="2:2" ht="15" x14ac:dyDescent="0.2">
      <c r="B3716" s="183"/>
    </row>
    <row r="3717" spans="2:2" ht="15" x14ac:dyDescent="0.2">
      <c r="B3717" s="183"/>
    </row>
    <row r="3718" spans="2:2" ht="15" x14ac:dyDescent="0.2">
      <c r="B3718" s="183"/>
    </row>
    <row r="3719" spans="2:2" ht="15" x14ac:dyDescent="0.2">
      <c r="B3719" s="183"/>
    </row>
    <row r="3720" spans="2:2" ht="15" x14ac:dyDescent="0.2">
      <c r="B3720" s="183"/>
    </row>
    <row r="3721" spans="2:2" ht="15" x14ac:dyDescent="0.2">
      <c r="B3721" s="183"/>
    </row>
    <row r="3722" spans="2:2" ht="15" x14ac:dyDescent="0.2">
      <c r="B3722" s="183"/>
    </row>
    <row r="3723" spans="2:2" ht="15" x14ac:dyDescent="0.2">
      <c r="B3723" s="183"/>
    </row>
    <row r="3724" spans="2:2" ht="15" x14ac:dyDescent="0.2">
      <c r="B3724" s="183"/>
    </row>
    <row r="3725" spans="2:2" ht="15" x14ac:dyDescent="0.2">
      <c r="B3725" s="183"/>
    </row>
    <row r="3726" spans="2:2" ht="15" x14ac:dyDescent="0.2">
      <c r="B3726" s="183"/>
    </row>
    <row r="3727" spans="2:2" ht="15" x14ac:dyDescent="0.2">
      <c r="B3727" s="183"/>
    </row>
    <row r="3728" spans="2:2" ht="15" x14ac:dyDescent="0.2">
      <c r="B3728" s="183"/>
    </row>
    <row r="3729" spans="2:2" ht="15" x14ac:dyDescent="0.2">
      <c r="B3729" s="183"/>
    </row>
    <row r="3730" spans="2:2" ht="15" x14ac:dyDescent="0.2">
      <c r="B3730" s="183"/>
    </row>
    <row r="3731" spans="2:2" ht="15" x14ac:dyDescent="0.2">
      <c r="B3731" s="183"/>
    </row>
    <row r="3732" spans="2:2" ht="15" x14ac:dyDescent="0.2">
      <c r="B3732" s="183"/>
    </row>
    <row r="3733" spans="2:2" ht="15" x14ac:dyDescent="0.2">
      <c r="B3733" s="183"/>
    </row>
    <row r="3734" spans="2:2" ht="15" x14ac:dyDescent="0.2">
      <c r="B3734" s="183"/>
    </row>
    <row r="3735" spans="2:2" ht="15" x14ac:dyDescent="0.2">
      <c r="B3735" s="183"/>
    </row>
    <row r="3736" spans="2:2" ht="15" x14ac:dyDescent="0.2">
      <c r="B3736" s="183"/>
    </row>
    <row r="3737" spans="2:2" ht="15" x14ac:dyDescent="0.2">
      <c r="B3737" s="183"/>
    </row>
    <row r="3738" spans="2:2" ht="15" x14ac:dyDescent="0.2">
      <c r="B3738" s="183"/>
    </row>
    <row r="3739" spans="2:2" ht="15" x14ac:dyDescent="0.2">
      <c r="B3739" s="183"/>
    </row>
    <row r="3740" spans="2:2" ht="15" x14ac:dyDescent="0.2">
      <c r="B3740" s="183"/>
    </row>
    <row r="3741" spans="2:2" ht="15" x14ac:dyDescent="0.2">
      <c r="B3741" s="183"/>
    </row>
    <row r="3742" spans="2:2" ht="15" x14ac:dyDescent="0.2">
      <c r="B3742" s="183"/>
    </row>
    <row r="3743" spans="2:2" ht="15" x14ac:dyDescent="0.2">
      <c r="B3743" s="183"/>
    </row>
    <row r="3744" spans="2:2" ht="15" x14ac:dyDescent="0.2">
      <c r="B3744" s="183"/>
    </row>
    <row r="3745" spans="2:2" ht="15" x14ac:dyDescent="0.2">
      <c r="B3745" s="183"/>
    </row>
    <row r="3746" spans="2:2" ht="15" x14ac:dyDescent="0.2">
      <c r="B3746" s="183"/>
    </row>
    <row r="3747" spans="2:2" ht="15" x14ac:dyDescent="0.2">
      <c r="B3747" s="183"/>
    </row>
    <row r="3748" spans="2:2" ht="15" x14ac:dyDescent="0.2">
      <c r="B3748" s="183"/>
    </row>
    <row r="3749" spans="2:2" ht="15" x14ac:dyDescent="0.2">
      <c r="B3749" s="183"/>
    </row>
    <row r="3750" spans="2:2" ht="15" x14ac:dyDescent="0.2">
      <c r="B3750" s="183"/>
    </row>
    <row r="3751" spans="2:2" ht="15" x14ac:dyDescent="0.2">
      <c r="B3751" s="183"/>
    </row>
    <row r="3752" spans="2:2" ht="15" x14ac:dyDescent="0.2">
      <c r="B3752" s="183"/>
    </row>
    <row r="3753" spans="2:2" ht="15" x14ac:dyDescent="0.2">
      <c r="B3753" s="183"/>
    </row>
    <row r="3754" spans="2:2" ht="15" x14ac:dyDescent="0.2">
      <c r="B3754" s="183"/>
    </row>
    <row r="3755" spans="2:2" ht="15" x14ac:dyDescent="0.2">
      <c r="B3755" s="183"/>
    </row>
    <row r="3756" spans="2:2" ht="15" x14ac:dyDescent="0.2">
      <c r="B3756" s="183"/>
    </row>
    <row r="3757" spans="2:2" ht="15" x14ac:dyDescent="0.2">
      <c r="B3757" s="183"/>
    </row>
    <row r="3758" spans="2:2" ht="15" x14ac:dyDescent="0.2">
      <c r="B3758" s="183"/>
    </row>
    <row r="3759" spans="2:2" ht="15" x14ac:dyDescent="0.2">
      <c r="B3759" s="183"/>
    </row>
    <row r="3760" spans="2:2" ht="15" x14ac:dyDescent="0.2">
      <c r="B3760" s="183"/>
    </row>
    <row r="3761" spans="2:2" ht="15" x14ac:dyDescent="0.2">
      <c r="B3761" s="183"/>
    </row>
    <row r="3762" spans="2:2" ht="15" x14ac:dyDescent="0.2">
      <c r="B3762" s="183"/>
    </row>
    <row r="3763" spans="2:2" ht="15" x14ac:dyDescent="0.2">
      <c r="B3763" s="183"/>
    </row>
    <row r="3764" spans="2:2" ht="15" x14ac:dyDescent="0.2">
      <c r="B3764" s="183"/>
    </row>
    <row r="3765" spans="2:2" ht="15" x14ac:dyDescent="0.2">
      <c r="B3765" s="183"/>
    </row>
    <row r="3766" spans="2:2" ht="15" x14ac:dyDescent="0.2">
      <c r="B3766" s="183"/>
    </row>
    <row r="3767" spans="2:2" ht="15" x14ac:dyDescent="0.2">
      <c r="B3767" s="183"/>
    </row>
    <row r="3768" spans="2:2" ht="15" x14ac:dyDescent="0.2">
      <c r="B3768" s="183"/>
    </row>
    <row r="3769" spans="2:2" ht="15" x14ac:dyDescent="0.2">
      <c r="B3769" s="183"/>
    </row>
    <row r="3770" spans="2:2" ht="15" x14ac:dyDescent="0.2">
      <c r="B3770" s="183"/>
    </row>
    <row r="3771" spans="2:2" ht="15" x14ac:dyDescent="0.2">
      <c r="B3771" s="183"/>
    </row>
    <row r="3772" spans="2:2" ht="15" x14ac:dyDescent="0.2">
      <c r="B3772" s="183"/>
    </row>
    <row r="3773" spans="2:2" ht="15" x14ac:dyDescent="0.2">
      <c r="B3773" s="183"/>
    </row>
    <row r="3774" spans="2:2" ht="15" x14ac:dyDescent="0.2">
      <c r="B3774" s="183"/>
    </row>
    <row r="3775" spans="2:2" ht="15" x14ac:dyDescent="0.2">
      <c r="B3775" s="183"/>
    </row>
    <row r="3776" spans="2:2" ht="15" x14ac:dyDescent="0.2">
      <c r="B3776" s="183"/>
    </row>
    <row r="3777" spans="2:2" ht="15" x14ac:dyDescent="0.2">
      <c r="B3777" s="183"/>
    </row>
    <row r="3778" spans="2:2" ht="15" x14ac:dyDescent="0.2">
      <c r="B3778" s="183"/>
    </row>
    <row r="3779" spans="2:2" ht="15" x14ac:dyDescent="0.2">
      <c r="B3779" s="183"/>
    </row>
    <row r="3780" spans="2:2" ht="15" x14ac:dyDescent="0.2">
      <c r="B3780" s="183"/>
    </row>
    <row r="3781" spans="2:2" ht="15" x14ac:dyDescent="0.2">
      <c r="B3781" s="183"/>
    </row>
    <row r="3782" spans="2:2" ht="15" x14ac:dyDescent="0.2">
      <c r="B3782" s="183"/>
    </row>
    <row r="3783" spans="2:2" ht="15" x14ac:dyDescent="0.2">
      <c r="B3783" s="183"/>
    </row>
    <row r="3784" spans="2:2" ht="15" x14ac:dyDescent="0.2">
      <c r="B3784" s="183"/>
    </row>
    <row r="3785" spans="2:2" ht="15" x14ac:dyDescent="0.2">
      <c r="B3785" s="183"/>
    </row>
    <row r="3786" spans="2:2" ht="15" x14ac:dyDescent="0.2">
      <c r="B3786" s="183"/>
    </row>
    <row r="3787" spans="2:2" ht="15" x14ac:dyDescent="0.2">
      <c r="B3787" s="183"/>
    </row>
    <row r="3788" spans="2:2" ht="15" x14ac:dyDescent="0.2">
      <c r="B3788" s="183"/>
    </row>
    <row r="3789" spans="2:2" ht="15" x14ac:dyDescent="0.2">
      <c r="B3789" s="183"/>
    </row>
    <row r="3790" spans="2:2" ht="15" x14ac:dyDescent="0.2">
      <c r="B3790" s="183"/>
    </row>
    <row r="3791" spans="2:2" ht="15" x14ac:dyDescent="0.2">
      <c r="B3791" s="183"/>
    </row>
    <row r="3792" spans="2:2" ht="15" x14ac:dyDescent="0.2">
      <c r="B3792" s="183"/>
    </row>
    <row r="3793" spans="2:2" ht="15" x14ac:dyDescent="0.2">
      <c r="B3793" s="183"/>
    </row>
    <row r="3794" spans="2:2" ht="15" x14ac:dyDescent="0.2">
      <c r="B3794" s="183"/>
    </row>
    <row r="3795" spans="2:2" ht="15" x14ac:dyDescent="0.2">
      <c r="B3795" s="183"/>
    </row>
    <row r="3796" spans="2:2" ht="15" x14ac:dyDescent="0.2">
      <c r="B3796" s="183"/>
    </row>
    <row r="3797" spans="2:2" ht="15" x14ac:dyDescent="0.2">
      <c r="B3797" s="183"/>
    </row>
    <row r="3798" spans="2:2" ht="15" x14ac:dyDescent="0.2">
      <c r="B3798" s="183"/>
    </row>
    <row r="3799" spans="2:2" ht="15" x14ac:dyDescent="0.2">
      <c r="B3799" s="183"/>
    </row>
    <row r="3800" spans="2:2" ht="15" x14ac:dyDescent="0.2">
      <c r="B3800" s="183"/>
    </row>
    <row r="3801" spans="2:2" ht="15" x14ac:dyDescent="0.2">
      <c r="B3801" s="183"/>
    </row>
    <row r="3802" spans="2:2" ht="15" x14ac:dyDescent="0.2">
      <c r="B3802" s="183"/>
    </row>
    <row r="3803" spans="2:2" ht="15" x14ac:dyDescent="0.2">
      <c r="B3803" s="183"/>
    </row>
    <row r="3804" spans="2:2" ht="15" x14ac:dyDescent="0.2">
      <c r="B3804" s="183"/>
    </row>
    <row r="3805" spans="2:2" ht="15" x14ac:dyDescent="0.2">
      <c r="B3805" s="183"/>
    </row>
    <row r="3806" spans="2:2" ht="15" x14ac:dyDescent="0.2">
      <c r="B3806" s="183"/>
    </row>
    <row r="3807" spans="2:2" ht="15" x14ac:dyDescent="0.2">
      <c r="B3807" s="183"/>
    </row>
    <row r="3808" spans="2:2" ht="15" x14ac:dyDescent="0.2">
      <c r="B3808" s="183"/>
    </row>
    <row r="3809" spans="2:2" ht="15" x14ac:dyDescent="0.2">
      <c r="B3809" s="183"/>
    </row>
    <row r="3810" spans="2:2" ht="15" x14ac:dyDescent="0.2">
      <c r="B3810" s="183"/>
    </row>
    <row r="3811" spans="2:2" ht="15" x14ac:dyDescent="0.2">
      <c r="B3811" s="183"/>
    </row>
    <row r="3812" spans="2:2" ht="15" x14ac:dyDescent="0.2">
      <c r="B3812" s="183"/>
    </row>
    <row r="3813" spans="2:2" ht="15" x14ac:dyDescent="0.2">
      <c r="B3813" s="183"/>
    </row>
    <row r="3814" spans="2:2" ht="15" x14ac:dyDescent="0.2">
      <c r="B3814" s="183"/>
    </row>
    <row r="3815" spans="2:2" ht="15" x14ac:dyDescent="0.2">
      <c r="B3815" s="183"/>
    </row>
    <row r="3816" spans="2:2" ht="15" x14ac:dyDescent="0.2">
      <c r="B3816" s="183"/>
    </row>
    <row r="3817" spans="2:2" ht="15" x14ac:dyDescent="0.2">
      <c r="B3817" s="183"/>
    </row>
    <row r="3818" spans="2:2" ht="15" x14ac:dyDescent="0.2">
      <c r="B3818" s="183"/>
    </row>
    <row r="3819" spans="2:2" ht="15" x14ac:dyDescent="0.2">
      <c r="B3819" s="183"/>
    </row>
    <row r="3820" spans="2:2" ht="15" x14ac:dyDescent="0.2">
      <c r="B3820" s="183"/>
    </row>
    <row r="3821" spans="2:2" ht="15" x14ac:dyDescent="0.2">
      <c r="B3821" s="183"/>
    </row>
    <row r="3822" spans="2:2" ht="15" x14ac:dyDescent="0.2">
      <c r="B3822" s="183"/>
    </row>
    <row r="3823" spans="2:2" ht="15" x14ac:dyDescent="0.2">
      <c r="B3823" s="183"/>
    </row>
    <row r="3824" spans="2:2" ht="15" x14ac:dyDescent="0.2">
      <c r="B3824" s="183"/>
    </row>
    <row r="3825" spans="2:2" ht="15" x14ac:dyDescent="0.2">
      <c r="B3825" s="183"/>
    </row>
    <row r="3826" spans="2:2" ht="15" x14ac:dyDescent="0.2">
      <c r="B3826" s="183"/>
    </row>
    <row r="3827" spans="2:2" ht="15" x14ac:dyDescent="0.2">
      <c r="B3827" s="183"/>
    </row>
    <row r="3828" spans="2:2" ht="15" x14ac:dyDescent="0.2">
      <c r="B3828" s="183"/>
    </row>
    <row r="3829" spans="2:2" ht="15" x14ac:dyDescent="0.2">
      <c r="B3829" s="183"/>
    </row>
    <row r="3830" spans="2:2" ht="15" x14ac:dyDescent="0.2">
      <c r="B3830" s="183"/>
    </row>
    <row r="3831" spans="2:2" ht="15" x14ac:dyDescent="0.2">
      <c r="B3831" s="183"/>
    </row>
    <row r="3832" spans="2:2" ht="15" x14ac:dyDescent="0.2">
      <c r="B3832" s="183"/>
    </row>
    <row r="3833" spans="2:2" ht="15" x14ac:dyDescent="0.2">
      <c r="B3833" s="183"/>
    </row>
    <row r="3834" spans="2:2" ht="15" x14ac:dyDescent="0.2">
      <c r="B3834" s="183"/>
    </row>
    <row r="3835" spans="2:2" ht="15" x14ac:dyDescent="0.2">
      <c r="B3835" s="183"/>
    </row>
    <row r="3836" spans="2:2" ht="15" x14ac:dyDescent="0.2">
      <c r="B3836" s="183"/>
    </row>
    <row r="3837" spans="2:2" ht="15" x14ac:dyDescent="0.2">
      <c r="B3837" s="183"/>
    </row>
    <row r="3838" spans="2:2" ht="15" x14ac:dyDescent="0.2">
      <c r="B3838" s="183"/>
    </row>
    <row r="3839" spans="2:2" ht="15" x14ac:dyDescent="0.2">
      <c r="B3839" s="183"/>
    </row>
    <row r="3840" spans="2:2" ht="15" x14ac:dyDescent="0.2">
      <c r="B3840" s="183"/>
    </row>
    <row r="3841" spans="2:2" ht="15" x14ac:dyDescent="0.2">
      <c r="B3841" s="183"/>
    </row>
    <row r="3842" spans="2:2" ht="15" x14ac:dyDescent="0.2">
      <c r="B3842" s="183"/>
    </row>
    <row r="3843" spans="2:2" ht="15" x14ac:dyDescent="0.2">
      <c r="B3843" s="183"/>
    </row>
    <row r="3844" spans="2:2" ht="15" x14ac:dyDescent="0.2">
      <c r="B3844" s="183"/>
    </row>
    <row r="3845" spans="2:2" ht="15" x14ac:dyDescent="0.2">
      <c r="B3845" s="183"/>
    </row>
    <row r="3846" spans="2:2" ht="15" x14ac:dyDescent="0.2">
      <c r="B3846" s="183"/>
    </row>
    <row r="3847" spans="2:2" ht="15" x14ac:dyDescent="0.2">
      <c r="B3847" s="183"/>
    </row>
    <row r="3848" spans="2:2" ht="15" x14ac:dyDescent="0.2">
      <c r="B3848" s="183"/>
    </row>
    <row r="3849" spans="2:2" ht="15" x14ac:dyDescent="0.2">
      <c r="B3849" s="183"/>
    </row>
    <row r="3850" spans="2:2" ht="15" x14ac:dyDescent="0.2">
      <c r="B3850" s="183"/>
    </row>
    <row r="3851" spans="2:2" ht="15" x14ac:dyDescent="0.2">
      <c r="B3851" s="183"/>
    </row>
    <row r="3852" spans="2:2" ht="15" x14ac:dyDescent="0.2">
      <c r="B3852" s="183"/>
    </row>
    <row r="3853" spans="2:2" ht="15" x14ac:dyDescent="0.2">
      <c r="B3853" s="183"/>
    </row>
    <row r="3854" spans="2:2" ht="15" x14ac:dyDescent="0.2">
      <c r="B3854" s="183"/>
    </row>
    <row r="3855" spans="2:2" ht="15" x14ac:dyDescent="0.2">
      <c r="B3855" s="183"/>
    </row>
    <row r="3856" spans="2:2" ht="15" x14ac:dyDescent="0.2">
      <c r="B3856" s="183"/>
    </row>
    <row r="3857" spans="2:2" ht="15" x14ac:dyDescent="0.2">
      <c r="B3857" s="183"/>
    </row>
    <row r="3858" spans="2:2" ht="15" x14ac:dyDescent="0.2">
      <c r="B3858" s="183"/>
    </row>
    <row r="3859" spans="2:2" ht="15" x14ac:dyDescent="0.2">
      <c r="B3859" s="183"/>
    </row>
    <row r="3860" spans="2:2" ht="15" x14ac:dyDescent="0.2">
      <c r="B3860" s="183"/>
    </row>
    <row r="3861" spans="2:2" ht="15" x14ac:dyDescent="0.2">
      <c r="B3861" s="183"/>
    </row>
    <row r="3862" spans="2:2" ht="15" x14ac:dyDescent="0.2">
      <c r="B3862" s="183"/>
    </row>
    <row r="3863" spans="2:2" ht="15" x14ac:dyDescent="0.2">
      <c r="B3863" s="183"/>
    </row>
    <row r="3864" spans="2:2" ht="15" x14ac:dyDescent="0.2">
      <c r="B3864" s="183"/>
    </row>
    <row r="3865" spans="2:2" ht="15" x14ac:dyDescent="0.2">
      <c r="B3865" s="183"/>
    </row>
    <row r="3866" spans="2:2" ht="15" x14ac:dyDescent="0.2">
      <c r="B3866" s="183"/>
    </row>
    <row r="3867" spans="2:2" ht="15" x14ac:dyDescent="0.2">
      <c r="B3867" s="183"/>
    </row>
    <row r="3868" spans="2:2" ht="15" x14ac:dyDescent="0.2">
      <c r="B3868" s="183"/>
    </row>
    <row r="3869" spans="2:2" ht="15" x14ac:dyDescent="0.2">
      <c r="B3869" s="183"/>
    </row>
    <row r="3870" spans="2:2" ht="15" x14ac:dyDescent="0.2">
      <c r="B3870" s="183"/>
    </row>
    <row r="3871" spans="2:2" ht="15" x14ac:dyDescent="0.2">
      <c r="B3871" s="183"/>
    </row>
    <row r="3872" spans="2:2" ht="15" x14ac:dyDescent="0.2">
      <c r="B3872" s="183"/>
    </row>
    <row r="3873" spans="2:2" ht="15" x14ac:dyDescent="0.2">
      <c r="B3873" s="183"/>
    </row>
    <row r="3874" spans="2:2" ht="15" x14ac:dyDescent="0.2">
      <c r="B3874" s="183"/>
    </row>
    <row r="3875" spans="2:2" ht="15" x14ac:dyDescent="0.2">
      <c r="B3875" s="183"/>
    </row>
    <row r="3876" spans="2:2" ht="15" x14ac:dyDescent="0.2">
      <c r="B3876" s="183"/>
    </row>
    <row r="3877" spans="2:2" ht="15" x14ac:dyDescent="0.2">
      <c r="B3877" s="183"/>
    </row>
    <row r="3878" spans="2:2" ht="15" x14ac:dyDescent="0.2">
      <c r="B3878" s="183"/>
    </row>
    <row r="3879" spans="2:2" ht="15" x14ac:dyDescent="0.2">
      <c r="B3879" s="183"/>
    </row>
    <row r="3880" spans="2:2" ht="15" x14ac:dyDescent="0.2">
      <c r="B3880" s="183"/>
    </row>
    <row r="3881" spans="2:2" ht="15" x14ac:dyDescent="0.2">
      <c r="B3881" s="183"/>
    </row>
    <row r="3882" spans="2:2" ht="15" x14ac:dyDescent="0.2">
      <c r="B3882" s="183"/>
    </row>
    <row r="3883" spans="2:2" ht="15" x14ac:dyDescent="0.2">
      <c r="B3883" s="183"/>
    </row>
    <row r="3884" spans="2:2" ht="15" x14ac:dyDescent="0.2">
      <c r="B3884" s="183"/>
    </row>
    <row r="3885" spans="2:2" ht="15" x14ac:dyDescent="0.2">
      <c r="B3885" s="183"/>
    </row>
    <row r="3886" spans="2:2" ht="15" x14ac:dyDescent="0.2">
      <c r="B3886" s="183"/>
    </row>
    <row r="3887" spans="2:2" ht="15" x14ac:dyDescent="0.2">
      <c r="B3887" s="183"/>
    </row>
    <row r="3888" spans="2:2" ht="15" x14ac:dyDescent="0.2">
      <c r="B3888" s="183"/>
    </row>
    <row r="3889" spans="2:2" ht="15" x14ac:dyDescent="0.2">
      <c r="B3889" s="183"/>
    </row>
    <row r="3890" spans="2:2" ht="15" x14ac:dyDescent="0.2">
      <c r="B3890" s="183"/>
    </row>
    <row r="3891" spans="2:2" ht="15" x14ac:dyDescent="0.2">
      <c r="B3891" s="183"/>
    </row>
    <row r="3892" spans="2:2" ht="15" x14ac:dyDescent="0.2">
      <c r="B3892" s="183"/>
    </row>
    <row r="3893" spans="2:2" ht="15" x14ac:dyDescent="0.2">
      <c r="B3893" s="183"/>
    </row>
    <row r="3894" spans="2:2" ht="15" x14ac:dyDescent="0.2">
      <c r="B3894" s="183"/>
    </row>
    <row r="3895" spans="2:2" ht="15" x14ac:dyDescent="0.2">
      <c r="B3895" s="183"/>
    </row>
    <row r="3896" spans="2:2" ht="15" x14ac:dyDescent="0.2">
      <c r="B3896" s="183"/>
    </row>
    <row r="3897" spans="2:2" ht="15" x14ac:dyDescent="0.2">
      <c r="B3897" s="183"/>
    </row>
    <row r="3898" spans="2:2" ht="15" x14ac:dyDescent="0.2">
      <c r="B3898" s="183"/>
    </row>
    <row r="3899" spans="2:2" ht="15" x14ac:dyDescent="0.2">
      <c r="B3899" s="183"/>
    </row>
    <row r="3900" spans="2:2" ht="15" x14ac:dyDescent="0.2">
      <c r="B3900" s="183"/>
    </row>
    <row r="3901" spans="2:2" ht="15" x14ac:dyDescent="0.2">
      <c r="B3901" s="183"/>
    </row>
    <row r="3902" spans="2:2" ht="15" x14ac:dyDescent="0.2">
      <c r="B3902" s="183"/>
    </row>
    <row r="3903" spans="2:2" ht="15" x14ac:dyDescent="0.2">
      <c r="B3903" s="183"/>
    </row>
    <row r="3904" spans="2:2" ht="15" x14ac:dyDescent="0.2">
      <c r="B3904" s="183"/>
    </row>
    <row r="3905" spans="2:2" ht="15" x14ac:dyDescent="0.2">
      <c r="B3905" s="183"/>
    </row>
    <row r="3906" spans="2:2" ht="15" x14ac:dyDescent="0.2">
      <c r="B3906" s="183"/>
    </row>
    <row r="3907" spans="2:2" ht="15" x14ac:dyDescent="0.2">
      <c r="B3907" s="183"/>
    </row>
    <row r="3908" spans="2:2" ht="15" x14ac:dyDescent="0.2">
      <c r="B3908" s="183"/>
    </row>
    <row r="3909" spans="2:2" ht="15" x14ac:dyDescent="0.2">
      <c r="B3909" s="183"/>
    </row>
    <row r="3910" spans="2:2" ht="15" x14ac:dyDescent="0.2">
      <c r="B3910" s="183"/>
    </row>
    <row r="3911" spans="2:2" ht="15" x14ac:dyDescent="0.2">
      <c r="B3911" s="183"/>
    </row>
    <row r="3912" spans="2:2" ht="15" x14ac:dyDescent="0.2">
      <c r="B3912" s="183"/>
    </row>
    <row r="3913" spans="2:2" ht="15" x14ac:dyDescent="0.2">
      <c r="B3913" s="183"/>
    </row>
    <row r="3914" spans="2:2" ht="15" x14ac:dyDescent="0.2">
      <c r="B3914" s="183"/>
    </row>
    <row r="3915" spans="2:2" ht="15" x14ac:dyDescent="0.2">
      <c r="B3915" s="183"/>
    </row>
    <row r="3916" spans="2:2" ht="15" x14ac:dyDescent="0.2">
      <c r="B3916" s="183"/>
    </row>
    <row r="3917" spans="2:2" ht="15" x14ac:dyDescent="0.2">
      <c r="B3917" s="183"/>
    </row>
    <row r="3918" spans="2:2" ht="15" x14ac:dyDescent="0.2">
      <c r="B3918" s="183"/>
    </row>
    <row r="3919" spans="2:2" ht="15" x14ac:dyDescent="0.2">
      <c r="B3919" s="183"/>
    </row>
    <row r="3920" spans="2:2" ht="15" x14ac:dyDescent="0.2">
      <c r="B3920" s="183"/>
    </row>
    <row r="3921" spans="2:2" ht="15" x14ac:dyDescent="0.2">
      <c r="B3921" s="183"/>
    </row>
    <row r="3922" spans="2:2" ht="15" x14ac:dyDescent="0.2">
      <c r="B3922" s="183"/>
    </row>
    <row r="3923" spans="2:2" ht="15" x14ac:dyDescent="0.2">
      <c r="B3923" s="183"/>
    </row>
    <row r="3924" spans="2:2" ht="15" x14ac:dyDescent="0.2">
      <c r="B3924" s="183"/>
    </row>
    <row r="3925" spans="2:2" ht="15" x14ac:dyDescent="0.2">
      <c r="B3925" s="183"/>
    </row>
    <row r="3926" spans="2:2" ht="15" x14ac:dyDescent="0.2">
      <c r="B3926" s="183"/>
    </row>
    <row r="3927" spans="2:2" ht="15" x14ac:dyDescent="0.2">
      <c r="B3927" s="183"/>
    </row>
    <row r="3928" spans="2:2" ht="15" x14ac:dyDescent="0.2">
      <c r="B3928" s="183"/>
    </row>
    <row r="3929" spans="2:2" ht="15" x14ac:dyDescent="0.2">
      <c r="B3929" s="183"/>
    </row>
    <row r="3930" spans="2:2" ht="15" x14ac:dyDescent="0.2">
      <c r="B3930" s="183"/>
    </row>
    <row r="3931" spans="2:2" ht="15" x14ac:dyDescent="0.2">
      <c r="B3931" s="183"/>
    </row>
    <row r="3932" spans="2:2" ht="15" x14ac:dyDescent="0.2">
      <c r="B3932" s="183"/>
    </row>
    <row r="3933" spans="2:2" ht="15" x14ac:dyDescent="0.2">
      <c r="B3933" s="183"/>
    </row>
    <row r="3934" spans="2:2" ht="15" x14ac:dyDescent="0.2">
      <c r="B3934" s="183"/>
    </row>
    <row r="3935" spans="2:2" ht="15" x14ac:dyDescent="0.2">
      <c r="B3935" s="183"/>
    </row>
    <row r="3936" spans="2:2" ht="15" x14ac:dyDescent="0.2">
      <c r="B3936" s="183"/>
    </row>
    <row r="3937" spans="2:2" ht="15" x14ac:dyDescent="0.2">
      <c r="B3937" s="183"/>
    </row>
    <row r="3938" spans="2:2" ht="15" x14ac:dyDescent="0.2">
      <c r="B3938" s="183"/>
    </row>
    <row r="3939" spans="2:2" ht="15" x14ac:dyDescent="0.2">
      <c r="B3939" s="183"/>
    </row>
    <row r="3940" spans="2:2" ht="15" x14ac:dyDescent="0.2">
      <c r="B3940" s="183"/>
    </row>
    <row r="3941" spans="2:2" ht="15" x14ac:dyDescent="0.2">
      <c r="B3941" s="183"/>
    </row>
    <row r="3942" spans="2:2" ht="15" x14ac:dyDescent="0.2">
      <c r="B3942" s="183"/>
    </row>
    <row r="3943" spans="2:2" ht="15" x14ac:dyDescent="0.2">
      <c r="B3943" s="183"/>
    </row>
    <row r="3944" spans="2:2" ht="15" x14ac:dyDescent="0.2">
      <c r="B3944" s="183"/>
    </row>
    <row r="3945" spans="2:2" ht="15" x14ac:dyDescent="0.2">
      <c r="B3945" s="183"/>
    </row>
    <row r="3946" spans="2:2" ht="15" x14ac:dyDescent="0.2">
      <c r="B3946" s="183"/>
    </row>
    <row r="3947" spans="2:2" ht="15" x14ac:dyDescent="0.2">
      <c r="B3947" s="183"/>
    </row>
    <row r="3948" spans="2:2" ht="15" x14ac:dyDescent="0.2">
      <c r="B3948" s="183"/>
    </row>
    <row r="3949" spans="2:2" ht="15" x14ac:dyDescent="0.2">
      <c r="B3949" s="183"/>
    </row>
    <row r="3950" spans="2:2" ht="15" x14ac:dyDescent="0.2">
      <c r="B3950" s="183"/>
    </row>
    <row r="3951" spans="2:2" ht="15" x14ac:dyDescent="0.2">
      <c r="B3951" s="183"/>
    </row>
    <row r="3952" spans="2:2" ht="15" x14ac:dyDescent="0.2">
      <c r="B3952" s="183"/>
    </row>
    <row r="3953" spans="2:2" ht="15" x14ac:dyDescent="0.2">
      <c r="B3953" s="183"/>
    </row>
    <row r="3954" spans="2:2" ht="15" x14ac:dyDescent="0.2">
      <c r="B3954" s="183"/>
    </row>
    <row r="3955" spans="2:2" ht="15" x14ac:dyDescent="0.2">
      <c r="B3955" s="183"/>
    </row>
    <row r="3956" spans="2:2" ht="15" x14ac:dyDescent="0.2">
      <c r="B3956" s="183"/>
    </row>
    <row r="3957" spans="2:2" ht="15" x14ac:dyDescent="0.2">
      <c r="B3957" s="183"/>
    </row>
    <row r="3958" spans="2:2" ht="15" x14ac:dyDescent="0.2">
      <c r="B3958" s="183"/>
    </row>
    <row r="3959" spans="2:2" ht="15" x14ac:dyDescent="0.2">
      <c r="B3959" s="183"/>
    </row>
    <row r="3960" spans="2:2" ht="15" x14ac:dyDescent="0.2">
      <c r="B3960" s="183"/>
    </row>
    <row r="3961" spans="2:2" ht="15" x14ac:dyDescent="0.2">
      <c r="B3961" s="183"/>
    </row>
    <row r="3962" spans="2:2" ht="15" x14ac:dyDescent="0.2">
      <c r="B3962" s="183"/>
    </row>
    <row r="3963" spans="2:2" ht="15" x14ac:dyDescent="0.2">
      <c r="B3963" s="183"/>
    </row>
    <row r="3964" spans="2:2" ht="15" x14ac:dyDescent="0.2">
      <c r="B3964" s="183"/>
    </row>
    <row r="3965" spans="2:2" ht="15" x14ac:dyDescent="0.2">
      <c r="B3965" s="183"/>
    </row>
    <row r="3966" spans="2:2" ht="15" x14ac:dyDescent="0.2">
      <c r="B3966" s="183"/>
    </row>
    <row r="3967" spans="2:2" ht="15" x14ac:dyDescent="0.2">
      <c r="B3967" s="183"/>
    </row>
    <row r="3968" spans="2:2" ht="15" x14ac:dyDescent="0.2">
      <c r="B3968" s="183"/>
    </row>
    <row r="3969" spans="2:2" ht="15" x14ac:dyDescent="0.2">
      <c r="B3969" s="183"/>
    </row>
    <row r="3970" spans="2:2" ht="15" x14ac:dyDescent="0.2">
      <c r="B3970" s="183"/>
    </row>
    <row r="3971" spans="2:2" ht="15" x14ac:dyDescent="0.2">
      <c r="B3971" s="183"/>
    </row>
    <row r="3972" spans="2:2" ht="15" x14ac:dyDescent="0.2">
      <c r="B3972" s="183"/>
    </row>
    <row r="3973" spans="2:2" ht="15" x14ac:dyDescent="0.2">
      <c r="B3973" s="183"/>
    </row>
    <row r="3974" spans="2:2" ht="15" x14ac:dyDescent="0.2">
      <c r="B3974" s="183"/>
    </row>
    <row r="3975" spans="2:2" ht="15" x14ac:dyDescent="0.2">
      <c r="B3975" s="183"/>
    </row>
    <row r="3976" spans="2:2" ht="15" x14ac:dyDescent="0.2">
      <c r="B3976" s="183"/>
    </row>
    <row r="3977" spans="2:2" ht="15" x14ac:dyDescent="0.2">
      <c r="B3977" s="183"/>
    </row>
    <row r="3978" spans="2:2" ht="15" x14ac:dyDescent="0.2">
      <c r="B3978" s="183"/>
    </row>
    <row r="3979" spans="2:2" ht="15" x14ac:dyDescent="0.2">
      <c r="B3979" s="183"/>
    </row>
    <row r="3980" spans="2:2" ht="15" x14ac:dyDescent="0.2">
      <c r="B3980" s="183"/>
    </row>
    <row r="3981" spans="2:2" ht="15" x14ac:dyDescent="0.2">
      <c r="B3981" s="183"/>
    </row>
    <row r="3982" spans="2:2" ht="15" x14ac:dyDescent="0.2">
      <c r="B3982" s="183"/>
    </row>
    <row r="3983" spans="2:2" ht="15" x14ac:dyDescent="0.2">
      <c r="B3983" s="183"/>
    </row>
    <row r="3984" spans="2:2" ht="15" x14ac:dyDescent="0.2">
      <c r="B3984" s="183"/>
    </row>
    <row r="3985" spans="2:2" ht="15" x14ac:dyDescent="0.2">
      <c r="B3985" s="183"/>
    </row>
    <row r="3986" spans="2:2" ht="15" x14ac:dyDescent="0.2">
      <c r="B3986" s="183"/>
    </row>
    <row r="3987" spans="2:2" ht="15" x14ac:dyDescent="0.2">
      <c r="B3987" s="183"/>
    </row>
    <row r="3988" spans="2:2" ht="15" x14ac:dyDescent="0.2">
      <c r="B3988" s="183"/>
    </row>
    <row r="3989" spans="2:2" ht="15" x14ac:dyDescent="0.2">
      <c r="B3989" s="183"/>
    </row>
    <row r="3990" spans="2:2" ht="15" x14ac:dyDescent="0.2">
      <c r="B3990" s="183"/>
    </row>
    <row r="3991" spans="2:2" ht="15" x14ac:dyDescent="0.2">
      <c r="B3991" s="183"/>
    </row>
    <row r="3992" spans="2:2" ht="15" x14ac:dyDescent="0.2">
      <c r="B3992" s="183"/>
    </row>
    <row r="3993" spans="2:2" ht="15" x14ac:dyDescent="0.2">
      <c r="B3993" s="183"/>
    </row>
    <row r="3994" spans="2:2" ht="15" x14ac:dyDescent="0.2">
      <c r="B3994" s="183"/>
    </row>
    <row r="3995" spans="2:2" ht="15" x14ac:dyDescent="0.2">
      <c r="B3995" s="183"/>
    </row>
    <row r="3996" spans="2:2" ht="15" x14ac:dyDescent="0.2">
      <c r="B3996" s="183"/>
    </row>
    <row r="3997" spans="2:2" ht="15" x14ac:dyDescent="0.2">
      <c r="B3997" s="183"/>
    </row>
    <row r="3998" spans="2:2" ht="15" x14ac:dyDescent="0.2">
      <c r="B3998" s="183"/>
    </row>
    <row r="3999" spans="2:2" ht="15" x14ac:dyDescent="0.2">
      <c r="B3999" s="183"/>
    </row>
    <row r="4000" spans="2:2" ht="15" x14ac:dyDescent="0.2">
      <c r="B4000" s="183"/>
    </row>
    <row r="4001" spans="2:2" ht="15" x14ac:dyDescent="0.2">
      <c r="B4001" s="183"/>
    </row>
    <row r="4002" spans="2:2" ht="15" x14ac:dyDescent="0.2">
      <c r="B4002" s="183"/>
    </row>
    <row r="4003" spans="2:2" ht="15" x14ac:dyDescent="0.2">
      <c r="B4003" s="183"/>
    </row>
    <row r="4004" spans="2:2" ht="15" x14ac:dyDescent="0.2">
      <c r="B4004" s="183"/>
    </row>
    <row r="4005" spans="2:2" ht="15" x14ac:dyDescent="0.2">
      <c r="B4005" s="183"/>
    </row>
    <row r="4006" spans="2:2" ht="15" x14ac:dyDescent="0.2">
      <c r="B4006" s="183"/>
    </row>
    <row r="4007" spans="2:2" ht="15" x14ac:dyDescent="0.2">
      <c r="B4007" s="183"/>
    </row>
    <row r="4008" spans="2:2" ht="15" x14ac:dyDescent="0.2">
      <c r="B4008" s="183"/>
    </row>
    <row r="4009" spans="2:2" ht="15" x14ac:dyDescent="0.2">
      <c r="B4009" s="183"/>
    </row>
    <row r="4010" spans="2:2" ht="15" x14ac:dyDescent="0.2">
      <c r="B4010" s="183"/>
    </row>
    <row r="4011" spans="2:2" ht="15" x14ac:dyDescent="0.2">
      <c r="B4011" s="183"/>
    </row>
    <row r="4012" spans="2:2" ht="15" x14ac:dyDescent="0.2">
      <c r="B4012" s="183"/>
    </row>
    <row r="4013" spans="2:2" ht="15" x14ac:dyDescent="0.2">
      <c r="B4013" s="183"/>
    </row>
    <row r="4014" spans="2:2" ht="15" x14ac:dyDescent="0.2">
      <c r="B4014" s="183"/>
    </row>
    <row r="4015" spans="2:2" ht="15" x14ac:dyDescent="0.2">
      <c r="B4015" s="183"/>
    </row>
    <row r="4016" spans="2:2" ht="15" x14ac:dyDescent="0.2">
      <c r="B4016" s="183"/>
    </row>
    <row r="4017" spans="2:2" ht="15" x14ac:dyDescent="0.2">
      <c r="B4017" s="183"/>
    </row>
    <row r="4018" spans="2:2" ht="15" x14ac:dyDescent="0.2">
      <c r="B4018" s="183"/>
    </row>
    <row r="4019" spans="2:2" ht="15" x14ac:dyDescent="0.2">
      <c r="B4019" s="183"/>
    </row>
    <row r="4020" spans="2:2" ht="15" x14ac:dyDescent="0.2">
      <c r="B4020" s="183"/>
    </row>
    <row r="4021" spans="2:2" ht="15" x14ac:dyDescent="0.2">
      <c r="B4021" s="183"/>
    </row>
    <row r="4022" spans="2:2" ht="15" x14ac:dyDescent="0.2">
      <c r="B4022" s="183"/>
    </row>
    <row r="4023" spans="2:2" ht="15" x14ac:dyDescent="0.2">
      <c r="B4023" s="183"/>
    </row>
    <row r="4024" spans="2:2" ht="15" x14ac:dyDescent="0.2">
      <c r="B4024" s="183"/>
    </row>
    <row r="4025" spans="2:2" ht="15" x14ac:dyDescent="0.2">
      <c r="B4025" s="183"/>
    </row>
    <row r="4026" spans="2:2" ht="15" x14ac:dyDescent="0.2">
      <c r="B4026" s="183"/>
    </row>
    <row r="4027" spans="2:2" ht="15" x14ac:dyDescent="0.2">
      <c r="B4027" s="183"/>
    </row>
    <row r="4028" spans="2:2" ht="15" x14ac:dyDescent="0.2">
      <c r="B4028" s="183"/>
    </row>
    <row r="4029" spans="2:2" ht="15" x14ac:dyDescent="0.2">
      <c r="B4029" s="183"/>
    </row>
    <row r="4030" spans="2:2" ht="15" x14ac:dyDescent="0.2">
      <c r="B4030" s="183"/>
    </row>
    <row r="4031" spans="2:2" ht="15" x14ac:dyDescent="0.2">
      <c r="B4031" s="183"/>
    </row>
    <row r="4032" spans="2:2" ht="15" x14ac:dyDescent="0.2">
      <c r="B4032" s="183"/>
    </row>
    <row r="4033" spans="2:2" ht="15" x14ac:dyDescent="0.2">
      <c r="B4033" s="183"/>
    </row>
    <row r="4034" spans="2:2" ht="15" x14ac:dyDescent="0.2">
      <c r="B4034" s="183"/>
    </row>
    <row r="4035" spans="2:2" ht="15" x14ac:dyDescent="0.2">
      <c r="B4035" s="183"/>
    </row>
    <row r="4036" spans="2:2" ht="15" x14ac:dyDescent="0.2">
      <c r="B4036" s="183"/>
    </row>
    <row r="4037" spans="2:2" ht="15" x14ac:dyDescent="0.2">
      <c r="B4037" s="183"/>
    </row>
    <row r="4038" spans="2:2" ht="15" x14ac:dyDescent="0.2">
      <c r="B4038" s="183"/>
    </row>
    <row r="4039" spans="2:2" ht="15" x14ac:dyDescent="0.2">
      <c r="B4039" s="183"/>
    </row>
    <row r="4040" spans="2:2" ht="15" x14ac:dyDescent="0.2">
      <c r="B4040" s="183"/>
    </row>
    <row r="4041" spans="2:2" ht="15" x14ac:dyDescent="0.2">
      <c r="B4041" s="183"/>
    </row>
    <row r="4042" spans="2:2" ht="15" x14ac:dyDescent="0.2">
      <c r="B4042" s="183"/>
    </row>
    <row r="4043" spans="2:2" ht="15" x14ac:dyDescent="0.2">
      <c r="B4043" s="183"/>
    </row>
    <row r="4044" spans="2:2" ht="15" x14ac:dyDescent="0.2">
      <c r="B4044" s="183"/>
    </row>
    <row r="4045" spans="2:2" ht="15" x14ac:dyDescent="0.2">
      <c r="B4045" s="183"/>
    </row>
    <row r="4046" spans="2:2" ht="15" x14ac:dyDescent="0.2">
      <c r="B4046" s="183"/>
    </row>
    <row r="4047" spans="2:2" ht="15" x14ac:dyDescent="0.2">
      <c r="B4047" s="183"/>
    </row>
    <row r="4048" spans="2:2" ht="15" x14ac:dyDescent="0.2">
      <c r="B4048" s="183"/>
    </row>
    <row r="4049" spans="2:2" ht="15" x14ac:dyDescent="0.2">
      <c r="B4049" s="183"/>
    </row>
    <row r="4050" spans="2:2" ht="15" x14ac:dyDescent="0.2">
      <c r="B4050" s="183"/>
    </row>
    <row r="4051" spans="2:2" ht="15" x14ac:dyDescent="0.2">
      <c r="B4051" s="183"/>
    </row>
    <row r="4052" spans="2:2" ht="15" x14ac:dyDescent="0.2">
      <c r="B4052" s="183"/>
    </row>
    <row r="4053" spans="2:2" ht="15" x14ac:dyDescent="0.2">
      <c r="B4053" s="183"/>
    </row>
    <row r="4054" spans="2:2" ht="15" x14ac:dyDescent="0.2">
      <c r="B4054" s="183"/>
    </row>
    <row r="4055" spans="2:2" ht="15" x14ac:dyDescent="0.2">
      <c r="B4055" s="183"/>
    </row>
    <row r="4056" spans="2:2" ht="15" x14ac:dyDescent="0.2">
      <c r="B4056" s="183"/>
    </row>
    <row r="4057" spans="2:2" ht="15" x14ac:dyDescent="0.2">
      <c r="B4057" s="183"/>
    </row>
    <row r="4058" spans="2:2" ht="15" x14ac:dyDescent="0.2">
      <c r="B4058" s="183"/>
    </row>
    <row r="4059" spans="2:2" ht="15" x14ac:dyDescent="0.2">
      <c r="B4059" s="183"/>
    </row>
    <row r="4060" spans="2:2" ht="15" x14ac:dyDescent="0.2">
      <c r="B4060" s="183"/>
    </row>
    <row r="4061" spans="2:2" ht="15" x14ac:dyDescent="0.2">
      <c r="B4061" s="183"/>
    </row>
    <row r="4062" spans="2:2" ht="15" x14ac:dyDescent="0.2">
      <c r="B4062" s="183"/>
    </row>
    <row r="4063" spans="2:2" ht="15" x14ac:dyDescent="0.2">
      <c r="B4063" s="183"/>
    </row>
    <row r="4064" spans="2:2" ht="15" x14ac:dyDescent="0.2">
      <c r="B4064" s="183"/>
    </row>
    <row r="4065" spans="2:2" ht="15" x14ac:dyDescent="0.2">
      <c r="B4065" s="183"/>
    </row>
    <row r="4066" spans="2:2" ht="15" x14ac:dyDescent="0.2">
      <c r="B4066" s="183"/>
    </row>
    <row r="4067" spans="2:2" ht="15" x14ac:dyDescent="0.2">
      <c r="B4067" s="183"/>
    </row>
    <row r="4068" spans="2:2" ht="15" x14ac:dyDescent="0.2">
      <c r="B4068" s="183"/>
    </row>
    <row r="4069" spans="2:2" ht="15" x14ac:dyDescent="0.2">
      <c r="B4069" s="183"/>
    </row>
    <row r="4070" spans="2:2" ht="15" x14ac:dyDescent="0.2">
      <c r="B4070" s="183"/>
    </row>
    <row r="4071" spans="2:2" ht="15" x14ac:dyDescent="0.2">
      <c r="B4071" s="183"/>
    </row>
    <row r="4072" spans="2:2" ht="15" x14ac:dyDescent="0.2">
      <c r="B4072" s="183"/>
    </row>
    <row r="4073" spans="2:2" ht="15" x14ac:dyDescent="0.2">
      <c r="B4073" s="183"/>
    </row>
    <row r="4074" spans="2:2" ht="15" x14ac:dyDescent="0.2">
      <c r="B4074" s="183"/>
    </row>
    <row r="4075" spans="2:2" ht="15" x14ac:dyDescent="0.2">
      <c r="B4075" s="183"/>
    </row>
    <row r="4076" spans="2:2" ht="15" x14ac:dyDescent="0.2">
      <c r="B4076" s="183"/>
    </row>
    <row r="4077" spans="2:2" ht="15" x14ac:dyDescent="0.2">
      <c r="B4077" s="183"/>
    </row>
    <row r="4078" spans="2:2" ht="15" x14ac:dyDescent="0.2">
      <c r="B4078" s="183"/>
    </row>
    <row r="4079" spans="2:2" ht="15" x14ac:dyDescent="0.2">
      <c r="B4079" s="183"/>
    </row>
    <row r="4080" spans="2:2" ht="15" x14ac:dyDescent="0.2">
      <c r="B4080" s="183"/>
    </row>
    <row r="4081" spans="2:2" ht="15" x14ac:dyDescent="0.2">
      <c r="B4081" s="183"/>
    </row>
    <row r="4082" spans="2:2" ht="15" x14ac:dyDescent="0.2">
      <c r="B4082" s="183"/>
    </row>
    <row r="4083" spans="2:2" ht="15" x14ac:dyDescent="0.2">
      <c r="B4083" s="183"/>
    </row>
    <row r="4084" spans="2:2" ht="15" x14ac:dyDescent="0.2">
      <c r="B4084" s="183"/>
    </row>
    <row r="4085" spans="2:2" ht="15" x14ac:dyDescent="0.2">
      <c r="B4085" s="183"/>
    </row>
    <row r="4086" spans="2:2" ht="15" x14ac:dyDescent="0.2">
      <c r="B4086" s="183"/>
    </row>
    <row r="4087" spans="2:2" ht="15" x14ac:dyDescent="0.2">
      <c r="B4087" s="183"/>
    </row>
    <row r="4088" spans="2:2" ht="15" x14ac:dyDescent="0.2">
      <c r="B4088" s="183"/>
    </row>
    <row r="4089" spans="2:2" ht="15" x14ac:dyDescent="0.2">
      <c r="B4089" s="183"/>
    </row>
    <row r="4090" spans="2:2" ht="15" x14ac:dyDescent="0.2">
      <c r="B4090" s="183"/>
    </row>
    <row r="4091" spans="2:2" ht="15" x14ac:dyDescent="0.2">
      <c r="B4091" s="183"/>
    </row>
    <row r="4092" spans="2:2" ht="15" x14ac:dyDescent="0.2">
      <c r="B4092" s="183"/>
    </row>
    <row r="4093" spans="2:2" ht="15" x14ac:dyDescent="0.2">
      <c r="B4093" s="183"/>
    </row>
    <row r="4094" spans="2:2" ht="15" x14ac:dyDescent="0.2">
      <c r="B4094" s="183"/>
    </row>
    <row r="4095" spans="2:2" ht="15" x14ac:dyDescent="0.2">
      <c r="B4095" s="183"/>
    </row>
    <row r="4096" spans="2:2" ht="15" x14ac:dyDescent="0.2">
      <c r="B4096" s="183"/>
    </row>
    <row r="4097" spans="2:2" ht="15" x14ac:dyDescent="0.2">
      <c r="B4097" s="183"/>
    </row>
    <row r="4098" spans="2:2" ht="15" x14ac:dyDescent="0.2">
      <c r="B4098" s="183"/>
    </row>
    <row r="4099" spans="2:2" ht="15" x14ac:dyDescent="0.2">
      <c r="B4099" s="183"/>
    </row>
    <row r="4100" spans="2:2" ht="15" x14ac:dyDescent="0.2">
      <c r="B4100" s="183"/>
    </row>
    <row r="4101" spans="2:2" ht="15" x14ac:dyDescent="0.2">
      <c r="B4101" s="183"/>
    </row>
    <row r="4102" spans="2:2" ht="15" x14ac:dyDescent="0.2">
      <c r="B4102" s="183"/>
    </row>
    <row r="4103" spans="2:2" ht="15" x14ac:dyDescent="0.2">
      <c r="B4103" s="183"/>
    </row>
    <row r="4104" spans="2:2" ht="15" x14ac:dyDescent="0.2">
      <c r="B4104" s="183"/>
    </row>
    <row r="4105" spans="2:2" ht="15" x14ac:dyDescent="0.2">
      <c r="B4105" s="183"/>
    </row>
    <row r="4106" spans="2:2" ht="15" x14ac:dyDescent="0.2">
      <c r="B4106" s="183"/>
    </row>
    <row r="4107" spans="2:2" ht="15" x14ac:dyDescent="0.2">
      <c r="B4107" s="183"/>
    </row>
    <row r="4108" spans="2:2" ht="15" x14ac:dyDescent="0.2">
      <c r="B4108" s="183"/>
    </row>
    <row r="4109" spans="2:2" ht="15" x14ac:dyDescent="0.2">
      <c r="B4109" s="183"/>
    </row>
    <row r="4110" spans="2:2" ht="15" x14ac:dyDescent="0.2">
      <c r="B4110" s="183"/>
    </row>
    <row r="4111" spans="2:2" ht="15" x14ac:dyDescent="0.2">
      <c r="B4111" s="183"/>
    </row>
    <row r="4112" spans="2:2" ht="15" x14ac:dyDescent="0.2">
      <c r="B4112" s="183"/>
    </row>
    <row r="4113" spans="2:2" ht="15" x14ac:dyDescent="0.2">
      <c r="B4113" s="183"/>
    </row>
    <row r="4114" spans="2:2" ht="15" x14ac:dyDescent="0.2">
      <c r="B4114" s="183"/>
    </row>
    <row r="4115" spans="2:2" ht="15" x14ac:dyDescent="0.2">
      <c r="B4115" s="183"/>
    </row>
    <row r="4116" spans="2:2" ht="15" x14ac:dyDescent="0.2">
      <c r="B4116" s="183"/>
    </row>
    <row r="4117" spans="2:2" ht="15" x14ac:dyDescent="0.2">
      <c r="B4117" s="183"/>
    </row>
    <row r="4118" spans="2:2" ht="15" x14ac:dyDescent="0.2">
      <c r="B4118" s="183"/>
    </row>
    <row r="4119" spans="2:2" ht="15" x14ac:dyDescent="0.2">
      <c r="B4119" s="183"/>
    </row>
    <row r="4120" spans="2:2" ht="15" x14ac:dyDescent="0.2">
      <c r="B4120" s="183"/>
    </row>
    <row r="4121" spans="2:2" ht="15" x14ac:dyDescent="0.2">
      <c r="B4121" s="183"/>
    </row>
    <row r="4122" spans="2:2" ht="15" x14ac:dyDescent="0.2">
      <c r="B4122" s="183"/>
    </row>
    <row r="4123" spans="2:2" ht="15" x14ac:dyDescent="0.2">
      <c r="B4123" s="183"/>
    </row>
    <row r="4124" spans="2:2" ht="15" x14ac:dyDescent="0.2">
      <c r="B4124" s="183"/>
    </row>
    <row r="4125" spans="2:2" ht="15" x14ac:dyDescent="0.2">
      <c r="B4125" s="183"/>
    </row>
    <row r="4126" spans="2:2" ht="15" x14ac:dyDescent="0.2">
      <c r="B4126" s="183"/>
    </row>
    <row r="4127" spans="2:2" ht="15" x14ac:dyDescent="0.2">
      <c r="B4127" s="183"/>
    </row>
    <row r="4128" spans="2:2" ht="15" x14ac:dyDescent="0.2">
      <c r="B4128" s="183"/>
    </row>
    <row r="4129" spans="2:2" ht="15" x14ac:dyDescent="0.2">
      <c r="B4129" s="183"/>
    </row>
    <row r="4130" spans="2:2" ht="15" x14ac:dyDescent="0.2">
      <c r="B4130" s="183"/>
    </row>
    <row r="4131" spans="2:2" ht="15" x14ac:dyDescent="0.2">
      <c r="B4131" s="183"/>
    </row>
    <row r="4132" spans="2:2" ht="15" x14ac:dyDescent="0.2">
      <c r="B4132" s="183"/>
    </row>
    <row r="4133" spans="2:2" ht="15" x14ac:dyDescent="0.2">
      <c r="B4133" s="183"/>
    </row>
    <row r="4134" spans="2:2" ht="15" x14ac:dyDescent="0.2">
      <c r="B4134" s="183"/>
    </row>
    <row r="4135" spans="2:2" ht="15" x14ac:dyDescent="0.2">
      <c r="B4135" s="183"/>
    </row>
    <row r="4136" spans="2:2" ht="15" x14ac:dyDescent="0.2">
      <c r="B4136" s="183"/>
    </row>
    <row r="4137" spans="2:2" ht="15" x14ac:dyDescent="0.2">
      <c r="B4137" s="183"/>
    </row>
    <row r="4138" spans="2:2" ht="15" x14ac:dyDescent="0.2">
      <c r="B4138" s="183"/>
    </row>
    <row r="4139" spans="2:2" ht="15" x14ac:dyDescent="0.2">
      <c r="B4139" s="183"/>
    </row>
    <row r="4140" spans="2:2" ht="15" x14ac:dyDescent="0.2">
      <c r="B4140" s="183"/>
    </row>
    <row r="4141" spans="2:2" ht="15" x14ac:dyDescent="0.2">
      <c r="B4141" s="183"/>
    </row>
    <row r="4142" spans="2:2" ht="15" x14ac:dyDescent="0.2">
      <c r="B4142" s="183"/>
    </row>
    <row r="4143" spans="2:2" ht="15" x14ac:dyDescent="0.2">
      <c r="B4143" s="183"/>
    </row>
    <row r="4144" spans="2:2" ht="15" x14ac:dyDescent="0.2">
      <c r="B4144" s="183"/>
    </row>
    <row r="4145" spans="2:2" ht="15" x14ac:dyDescent="0.2">
      <c r="B4145" s="183"/>
    </row>
    <row r="4146" spans="2:2" ht="15" x14ac:dyDescent="0.2">
      <c r="B4146" s="183"/>
    </row>
    <row r="4147" spans="2:2" ht="15" x14ac:dyDescent="0.2">
      <c r="B4147" s="183"/>
    </row>
    <row r="4148" spans="2:2" ht="15" x14ac:dyDescent="0.2">
      <c r="B4148" s="183"/>
    </row>
    <row r="4149" spans="2:2" ht="15" x14ac:dyDescent="0.2">
      <c r="B4149" s="183"/>
    </row>
    <row r="4150" spans="2:2" ht="15" x14ac:dyDescent="0.2">
      <c r="B4150" s="183"/>
    </row>
    <row r="4151" spans="2:2" ht="15" x14ac:dyDescent="0.2">
      <c r="B4151" s="183"/>
    </row>
    <row r="4152" spans="2:2" ht="15" x14ac:dyDescent="0.2">
      <c r="B4152" s="183"/>
    </row>
    <row r="4153" spans="2:2" ht="15" x14ac:dyDescent="0.2">
      <c r="B4153" s="183"/>
    </row>
    <row r="4154" spans="2:2" ht="15" x14ac:dyDescent="0.2">
      <c r="B4154" s="183"/>
    </row>
    <row r="4155" spans="2:2" ht="15" x14ac:dyDescent="0.2">
      <c r="B4155" s="183"/>
    </row>
    <row r="4156" spans="2:2" ht="15" x14ac:dyDescent="0.2">
      <c r="B4156" s="183"/>
    </row>
    <row r="4157" spans="2:2" ht="15" x14ac:dyDescent="0.2">
      <c r="B4157" s="183"/>
    </row>
    <row r="4158" spans="2:2" ht="15" x14ac:dyDescent="0.2">
      <c r="B4158" s="183"/>
    </row>
    <row r="4159" spans="2:2" ht="15" x14ac:dyDescent="0.2">
      <c r="B4159" s="183"/>
    </row>
    <row r="4160" spans="2:2" ht="15" x14ac:dyDescent="0.2">
      <c r="B4160" s="183"/>
    </row>
    <row r="4161" spans="2:2" ht="15" x14ac:dyDescent="0.2">
      <c r="B4161" s="183"/>
    </row>
    <row r="4162" spans="2:2" ht="15" x14ac:dyDescent="0.2">
      <c r="B4162" s="183"/>
    </row>
    <row r="4163" spans="2:2" ht="15" x14ac:dyDescent="0.2">
      <c r="B4163" s="183"/>
    </row>
    <row r="4164" spans="2:2" ht="15" x14ac:dyDescent="0.2">
      <c r="B4164" s="183"/>
    </row>
    <row r="4165" spans="2:2" ht="15" x14ac:dyDescent="0.2">
      <c r="B4165" s="183"/>
    </row>
    <row r="4166" spans="2:2" ht="15" x14ac:dyDescent="0.2">
      <c r="B4166" s="183"/>
    </row>
    <row r="4167" spans="2:2" ht="15" x14ac:dyDescent="0.2">
      <c r="B4167" s="183"/>
    </row>
    <row r="4168" spans="2:2" ht="15" x14ac:dyDescent="0.2">
      <c r="B4168" s="183"/>
    </row>
    <row r="4169" spans="2:2" ht="15" x14ac:dyDescent="0.2">
      <c r="B4169" s="183"/>
    </row>
    <row r="4170" spans="2:2" ht="15" x14ac:dyDescent="0.2">
      <c r="B4170" s="183"/>
    </row>
    <row r="4171" spans="2:2" ht="15" x14ac:dyDescent="0.2">
      <c r="B4171" s="183"/>
    </row>
    <row r="4172" spans="2:2" ht="15" x14ac:dyDescent="0.2">
      <c r="B4172" s="183"/>
    </row>
    <row r="4173" spans="2:2" ht="15" x14ac:dyDescent="0.2">
      <c r="B4173" s="183"/>
    </row>
    <row r="4174" spans="2:2" ht="15" x14ac:dyDescent="0.2">
      <c r="B4174" s="183"/>
    </row>
    <row r="4175" spans="2:2" ht="15" x14ac:dyDescent="0.2">
      <c r="B4175" s="183"/>
    </row>
    <row r="4176" spans="2:2" ht="15" x14ac:dyDescent="0.2">
      <c r="B4176" s="183"/>
    </row>
    <row r="4177" spans="2:2" ht="15" x14ac:dyDescent="0.2">
      <c r="B4177" s="183"/>
    </row>
    <row r="4178" spans="2:2" ht="15" x14ac:dyDescent="0.2">
      <c r="B4178" s="183"/>
    </row>
    <row r="4179" spans="2:2" ht="15" x14ac:dyDescent="0.2">
      <c r="B4179" s="183"/>
    </row>
    <row r="4180" spans="2:2" ht="15" x14ac:dyDescent="0.2">
      <c r="B4180" s="183"/>
    </row>
    <row r="4181" spans="2:2" ht="15" x14ac:dyDescent="0.2">
      <c r="B4181" s="183"/>
    </row>
    <row r="4182" spans="2:2" ht="15" x14ac:dyDescent="0.2">
      <c r="B4182" s="183"/>
    </row>
    <row r="4183" spans="2:2" ht="15" x14ac:dyDescent="0.2">
      <c r="B4183" s="183"/>
    </row>
    <row r="4184" spans="2:2" ht="15" x14ac:dyDescent="0.2">
      <c r="B4184" s="183"/>
    </row>
    <row r="4185" spans="2:2" ht="15" x14ac:dyDescent="0.2">
      <c r="B4185" s="183"/>
    </row>
    <row r="4186" spans="2:2" ht="15" x14ac:dyDescent="0.2">
      <c r="B4186" s="183"/>
    </row>
    <row r="4187" spans="2:2" ht="15" x14ac:dyDescent="0.2">
      <c r="B4187" s="183"/>
    </row>
    <row r="4188" spans="2:2" ht="15" x14ac:dyDescent="0.2">
      <c r="B4188" s="183"/>
    </row>
    <row r="4189" spans="2:2" ht="15" x14ac:dyDescent="0.2">
      <c r="B4189" s="183"/>
    </row>
    <row r="4190" spans="2:2" ht="15" x14ac:dyDescent="0.2">
      <c r="B4190" s="183"/>
    </row>
    <row r="4191" spans="2:2" ht="15" x14ac:dyDescent="0.2">
      <c r="B4191" s="183"/>
    </row>
    <row r="4192" spans="2:2" ht="15" x14ac:dyDescent="0.2">
      <c r="B4192" s="183"/>
    </row>
    <row r="4193" spans="2:2" ht="15" x14ac:dyDescent="0.2">
      <c r="B4193" s="183"/>
    </row>
    <row r="4194" spans="2:2" ht="15" x14ac:dyDescent="0.2">
      <c r="B4194" s="183"/>
    </row>
    <row r="4195" spans="2:2" ht="15" x14ac:dyDescent="0.2">
      <c r="B4195" s="183"/>
    </row>
    <row r="4196" spans="2:2" ht="15" x14ac:dyDescent="0.2">
      <c r="B4196" s="183"/>
    </row>
    <row r="4197" spans="2:2" ht="15" x14ac:dyDescent="0.2">
      <c r="B4197" s="183"/>
    </row>
    <row r="4198" spans="2:2" ht="15" x14ac:dyDescent="0.2">
      <c r="B4198" s="183"/>
    </row>
    <row r="4199" spans="2:2" ht="15" x14ac:dyDescent="0.2">
      <c r="B4199" s="183"/>
    </row>
    <row r="4200" spans="2:2" ht="15" x14ac:dyDescent="0.2">
      <c r="B4200" s="183"/>
    </row>
    <row r="4201" spans="2:2" ht="15" x14ac:dyDescent="0.2">
      <c r="B4201" s="183"/>
    </row>
    <row r="4202" spans="2:2" ht="15" x14ac:dyDescent="0.2">
      <c r="B4202" s="183"/>
    </row>
    <row r="4203" spans="2:2" ht="15" x14ac:dyDescent="0.2">
      <c r="B4203" s="183"/>
    </row>
    <row r="4204" spans="2:2" ht="15" x14ac:dyDescent="0.2">
      <c r="B4204" s="183"/>
    </row>
    <row r="4205" spans="2:2" ht="15" x14ac:dyDescent="0.2">
      <c r="B4205" s="183"/>
    </row>
    <row r="4206" spans="2:2" ht="15" x14ac:dyDescent="0.2">
      <c r="B4206" s="183"/>
    </row>
    <row r="4207" spans="2:2" ht="15" x14ac:dyDescent="0.2">
      <c r="B4207" s="183"/>
    </row>
    <row r="4208" spans="2:2" ht="15" x14ac:dyDescent="0.2">
      <c r="B4208" s="183"/>
    </row>
    <row r="4209" spans="2:2" ht="15" x14ac:dyDescent="0.2">
      <c r="B4209" s="183"/>
    </row>
    <row r="4210" spans="2:2" ht="15" x14ac:dyDescent="0.2">
      <c r="B4210" s="183"/>
    </row>
    <row r="4211" spans="2:2" ht="15" x14ac:dyDescent="0.2">
      <c r="B4211" s="183"/>
    </row>
    <row r="4212" spans="2:2" ht="15" x14ac:dyDescent="0.2">
      <c r="B4212" s="183"/>
    </row>
    <row r="4213" spans="2:2" ht="15" x14ac:dyDescent="0.2">
      <c r="B4213" s="183"/>
    </row>
    <row r="4214" spans="2:2" ht="15" x14ac:dyDescent="0.2">
      <c r="B4214" s="183"/>
    </row>
    <row r="4215" spans="2:2" ht="15" x14ac:dyDescent="0.2">
      <c r="B4215" s="183"/>
    </row>
    <row r="4216" spans="2:2" ht="15" x14ac:dyDescent="0.2">
      <c r="B4216" s="183"/>
    </row>
    <row r="4217" spans="2:2" ht="15" x14ac:dyDescent="0.2">
      <c r="B4217" s="183"/>
    </row>
    <row r="4218" spans="2:2" ht="15" x14ac:dyDescent="0.2">
      <c r="B4218" s="183"/>
    </row>
    <row r="4219" spans="2:2" ht="15" x14ac:dyDescent="0.2">
      <c r="B4219" s="183"/>
    </row>
    <row r="4220" spans="2:2" ht="15" x14ac:dyDescent="0.2">
      <c r="B4220" s="183"/>
    </row>
    <row r="4221" spans="2:2" ht="15" x14ac:dyDescent="0.2">
      <c r="B4221" s="183"/>
    </row>
    <row r="4222" spans="2:2" ht="15" x14ac:dyDescent="0.2">
      <c r="B4222" s="183"/>
    </row>
    <row r="4223" spans="2:2" ht="15" x14ac:dyDescent="0.2">
      <c r="B4223" s="183"/>
    </row>
    <row r="4224" spans="2:2" ht="15" x14ac:dyDescent="0.2">
      <c r="B4224" s="183"/>
    </row>
    <row r="4225" spans="2:2" ht="15" x14ac:dyDescent="0.2">
      <c r="B4225" s="183"/>
    </row>
    <row r="4226" spans="2:2" ht="15" x14ac:dyDescent="0.2">
      <c r="B4226" s="183"/>
    </row>
    <row r="4227" spans="2:2" ht="15" x14ac:dyDescent="0.2">
      <c r="B4227" s="183"/>
    </row>
    <row r="4228" spans="2:2" ht="15" x14ac:dyDescent="0.2">
      <c r="B4228" s="183"/>
    </row>
    <row r="4229" spans="2:2" ht="15" x14ac:dyDescent="0.2">
      <c r="B4229" s="183"/>
    </row>
    <row r="4230" spans="2:2" ht="15" x14ac:dyDescent="0.2">
      <c r="B4230" s="183"/>
    </row>
    <row r="4231" spans="2:2" ht="15" x14ac:dyDescent="0.2">
      <c r="B4231" s="183"/>
    </row>
    <row r="4232" spans="2:2" ht="15" x14ac:dyDescent="0.2">
      <c r="B4232" s="183"/>
    </row>
    <row r="4233" spans="2:2" ht="15" x14ac:dyDescent="0.2">
      <c r="B4233" s="183"/>
    </row>
    <row r="4234" spans="2:2" ht="15" x14ac:dyDescent="0.2">
      <c r="B4234" s="183"/>
    </row>
    <row r="4235" spans="2:2" ht="15" x14ac:dyDescent="0.2">
      <c r="B4235" s="183"/>
    </row>
    <row r="4236" spans="2:2" ht="15" x14ac:dyDescent="0.2">
      <c r="B4236" s="183"/>
    </row>
    <row r="4237" spans="2:2" ht="15" x14ac:dyDescent="0.2">
      <c r="B4237" s="183"/>
    </row>
    <row r="4238" spans="2:2" ht="15" x14ac:dyDescent="0.2">
      <c r="B4238" s="183"/>
    </row>
    <row r="4239" spans="2:2" ht="15" x14ac:dyDescent="0.2">
      <c r="B4239" s="183"/>
    </row>
    <row r="4240" spans="2:2" ht="15" x14ac:dyDescent="0.2">
      <c r="B4240" s="183"/>
    </row>
    <row r="4241" spans="2:2" ht="15" x14ac:dyDescent="0.2">
      <c r="B4241" s="183"/>
    </row>
    <row r="4242" spans="2:2" ht="15" x14ac:dyDescent="0.2">
      <c r="B4242" s="183"/>
    </row>
    <row r="4243" spans="2:2" ht="15" x14ac:dyDescent="0.2">
      <c r="B4243" s="183"/>
    </row>
    <row r="4244" spans="2:2" ht="15" x14ac:dyDescent="0.2">
      <c r="B4244" s="183"/>
    </row>
    <row r="4245" spans="2:2" ht="15" x14ac:dyDescent="0.2">
      <c r="B4245" s="183"/>
    </row>
    <row r="4246" spans="2:2" ht="15" x14ac:dyDescent="0.2">
      <c r="B4246" s="183"/>
    </row>
    <row r="4247" spans="2:2" ht="15" x14ac:dyDescent="0.2">
      <c r="B4247" s="183"/>
    </row>
    <row r="4248" spans="2:2" ht="15" x14ac:dyDescent="0.2">
      <c r="B4248" s="183"/>
    </row>
    <row r="4249" spans="2:2" ht="15" x14ac:dyDescent="0.2">
      <c r="B4249" s="183"/>
    </row>
    <row r="4250" spans="2:2" ht="15" x14ac:dyDescent="0.2">
      <c r="B4250" s="183"/>
    </row>
    <row r="4251" spans="2:2" ht="15" x14ac:dyDescent="0.2">
      <c r="B4251" s="183"/>
    </row>
    <row r="4252" spans="2:2" ht="15" x14ac:dyDescent="0.2">
      <c r="B4252" s="183"/>
    </row>
    <row r="4253" spans="2:2" ht="15" x14ac:dyDescent="0.2">
      <c r="B4253" s="183"/>
    </row>
    <row r="4254" spans="2:2" ht="15" x14ac:dyDescent="0.2">
      <c r="B4254" s="183"/>
    </row>
    <row r="4255" spans="2:2" ht="15" x14ac:dyDescent="0.2">
      <c r="B4255" s="183"/>
    </row>
    <row r="4256" spans="2:2" ht="15" x14ac:dyDescent="0.2">
      <c r="B4256" s="183"/>
    </row>
    <row r="4257" spans="2:2" ht="15" x14ac:dyDescent="0.2">
      <c r="B4257" s="183"/>
    </row>
    <row r="4258" spans="2:2" ht="15" x14ac:dyDescent="0.2">
      <c r="B4258" s="183"/>
    </row>
    <row r="4259" spans="2:2" ht="15" x14ac:dyDescent="0.2">
      <c r="B4259" s="183"/>
    </row>
    <row r="4260" spans="2:2" ht="15" x14ac:dyDescent="0.2">
      <c r="B4260" s="183"/>
    </row>
    <row r="4261" spans="2:2" ht="15" x14ac:dyDescent="0.2">
      <c r="B4261" s="183"/>
    </row>
    <row r="4262" spans="2:2" ht="15" x14ac:dyDescent="0.2">
      <c r="B4262" s="183"/>
    </row>
    <row r="4263" spans="2:2" ht="15" x14ac:dyDescent="0.2">
      <c r="B4263" s="183"/>
    </row>
    <row r="4264" spans="2:2" ht="15" x14ac:dyDescent="0.2">
      <c r="B4264" s="183"/>
    </row>
    <row r="4265" spans="2:2" ht="15" x14ac:dyDescent="0.2">
      <c r="B4265" s="183"/>
    </row>
    <row r="4266" spans="2:2" ht="15" x14ac:dyDescent="0.2">
      <c r="B4266" s="183"/>
    </row>
    <row r="4267" spans="2:2" ht="15" x14ac:dyDescent="0.2">
      <c r="B4267" s="183"/>
    </row>
    <row r="4268" spans="2:2" ht="15" x14ac:dyDescent="0.2">
      <c r="B4268" s="183"/>
    </row>
    <row r="4269" spans="2:2" ht="15" x14ac:dyDescent="0.2">
      <c r="B4269" s="183"/>
    </row>
    <row r="4270" spans="2:2" ht="15" x14ac:dyDescent="0.2">
      <c r="B4270" s="183"/>
    </row>
    <row r="4271" spans="2:2" ht="15" x14ac:dyDescent="0.2">
      <c r="B4271" s="183"/>
    </row>
    <row r="4272" spans="2:2" ht="15" x14ac:dyDescent="0.2">
      <c r="B4272" s="183"/>
    </row>
    <row r="4273" spans="2:2" ht="15" x14ac:dyDescent="0.2">
      <c r="B4273" s="183"/>
    </row>
    <row r="4274" spans="2:2" ht="15" x14ac:dyDescent="0.2">
      <c r="B4274" s="183"/>
    </row>
    <row r="4275" spans="2:2" ht="15" x14ac:dyDescent="0.2">
      <c r="B4275" s="183"/>
    </row>
    <row r="4276" spans="2:2" ht="15" x14ac:dyDescent="0.2">
      <c r="B4276" s="183"/>
    </row>
    <row r="4277" spans="2:2" ht="15" x14ac:dyDescent="0.2">
      <c r="B4277" s="183"/>
    </row>
    <row r="4278" spans="2:2" ht="15" x14ac:dyDescent="0.2">
      <c r="B4278" s="183"/>
    </row>
    <row r="4279" spans="2:2" ht="15" x14ac:dyDescent="0.2">
      <c r="B4279" s="183"/>
    </row>
    <row r="4280" spans="2:2" ht="15" x14ac:dyDescent="0.2">
      <c r="B4280" s="183"/>
    </row>
    <row r="4281" spans="2:2" ht="15" x14ac:dyDescent="0.2">
      <c r="B4281" s="183"/>
    </row>
    <row r="4282" spans="2:2" ht="15" x14ac:dyDescent="0.2">
      <c r="B4282" s="183"/>
    </row>
    <row r="4283" spans="2:2" ht="15" x14ac:dyDescent="0.2">
      <c r="B4283" s="183"/>
    </row>
    <row r="4284" spans="2:2" ht="15" x14ac:dyDescent="0.2">
      <c r="B4284" s="183"/>
    </row>
    <row r="4285" spans="2:2" ht="15" x14ac:dyDescent="0.2">
      <c r="B4285" s="183"/>
    </row>
    <row r="4286" spans="2:2" ht="15" x14ac:dyDescent="0.2">
      <c r="B4286" s="183"/>
    </row>
    <row r="4287" spans="2:2" ht="15" x14ac:dyDescent="0.2">
      <c r="B4287" s="183"/>
    </row>
    <row r="4288" spans="2:2" ht="15" x14ac:dyDescent="0.2">
      <c r="B4288" s="183"/>
    </row>
    <row r="4289" spans="2:2" ht="15" x14ac:dyDescent="0.2">
      <c r="B4289" s="183"/>
    </row>
    <row r="4290" spans="2:2" ht="15" x14ac:dyDescent="0.2">
      <c r="B4290" s="183"/>
    </row>
    <row r="4291" spans="2:2" ht="15" x14ac:dyDescent="0.2">
      <c r="B4291" s="183"/>
    </row>
    <row r="4292" spans="2:2" ht="15" x14ac:dyDescent="0.2">
      <c r="B4292" s="183"/>
    </row>
    <row r="4293" spans="2:2" ht="15" x14ac:dyDescent="0.2">
      <c r="B4293" s="183"/>
    </row>
    <row r="4294" spans="2:2" ht="15" x14ac:dyDescent="0.2">
      <c r="B4294" s="183"/>
    </row>
    <row r="4295" spans="2:2" ht="15" x14ac:dyDescent="0.2">
      <c r="B4295" s="183"/>
    </row>
    <row r="4296" spans="2:2" ht="15" x14ac:dyDescent="0.2">
      <c r="B4296" s="183"/>
    </row>
    <row r="4297" spans="2:2" ht="15" x14ac:dyDescent="0.2">
      <c r="B4297" s="183"/>
    </row>
    <row r="4298" spans="2:2" ht="15" x14ac:dyDescent="0.2">
      <c r="B4298" s="183"/>
    </row>
    <row r="4299" spans="2:2" ht="15" x14ac:dyDescent="0.2">
      <c r="B4299" s="183"/>
    </row>
    <row r="4300" spans="2:2" ht="15" x14ac:dyDescent="0.2">
      <c r="B4300" s="183"/>
    </row>
    <row r="4301" spans="2:2" ht="15" x14ac:dyDescent="0.2">
      <c r="B4301" s="183"/>
    </row>
    <row r="4302" spans="2:2" ht="15" x14ac:dyDescent="0.2">
      <c r="B4302" s="183"/>
    </row>
    <row r="4303" spans="2:2" ht="15" x14ac:dyDescent="0.2">
      <c r="B4303" s="183"/>
    </row>
    <row r="4304" spans="2:2" ht="15" x14ac:dyDescent="0.2">
      <c r="B4304" s="183"/>
    </row>
    <row r="4305" spans="2:2" ht="15" x14ac:dyDescent="0.2">
      <c r="B4305" s="183"/>
    </row>
    <row r="4306" spans="2:2" ht="15" x14ac:dyDescent="0.2">
      <c r="B4306" s="183"/>
    </row>
    <row r="4307" spans="2:2" ht="15" x14ac:dyDescent="0.2">
      <c r="B4307" s="183"/>
    </row>
    <row r="4308" spans="2:2" ht="15" x14ac:dyDescent="0.2">
      <c r="B4308" s="183"/>
    </row>
    <row r="4309" spans="2:2" ht="15" x14ac:dyDescent="0.2">
      <c r="B4309" s="183"/>
    </row>
    <row r="4310" spans="2:2" ht="15" x14ac:dyDescent="0.2">
      <c r="B4310" s="183"/>
    </row>
    <row r="4311" spans="2:2" ht="15" x14ac:dyDescent="0.2">
      <c r="B4311" s="183"/>
    </row>
    <row r="4312" spans="2:2" ht="15" x14ac:dyDescent="0.2">
      <c r="B4312" s="183"/>
    </row>
    <row r="4313" spans="2:2" ht="15" x14ac:dyDescent="0.2">
      <c r="B4313" s="183"/>
    </row>
    <row r="4314" spans="2:2" ht="15" x14ac:dyDescent="0.2">
      <c r="B4314" s="183"/>
    </row>
    <row r="4315" spans="2:2" ht="15" x14ac:dyDescent="0.2">
      <c r="B4315" s="183"/>
    </row>
    <row r="4316" spans="2:2" ht="15" x14ac:dyDescent="0.2">
      <c r="B4316" s="183"/>
    </row>
    <row r="4317" spans="2:2" ht="15" x14ac:dyDescent="0.2">
      <c r="B4317" s="183"/>
    </row>
    <row r="4318" spans="2:2" ht="15" x14ac:dyDescent="0.2">
      <c r="B4318" s="183"/>
    </row>
    <row r="4319" spans="2:2" ht="15" x14ac:dyDescent="0.2">
      <c r="B4319" s="183"/>
    </row>
    <row r="4320" spans="2:2" ht="15" x14ac:dyDescent="0.2">
      <c r="B4320" s="183"/>
    </row>
    <row r="4321" spans="2:2" ht="15" x14ac:dyDescent="0.2">
      <c r="B4321" s="183"/>
    </row>
    <row r="4322" spans="2:2" ht="15" x14ac:dyDescent="0.2">
      <c r="B4322" s="183"/>
    </row>
    <row r="4323" spans="2:2" ht="15" x14ac:dyDescent="0.2">
      <c r="B4323" s="183"/>
    </row>
    <row r="4324" spans="2:2" ht="15" x14ac:dyDescent="0.2">
      <c r="B4324" s="183"/>
    </row>
    <row r="4325" spans="2:2" ht="15" x14ac:dyDescent="0.2">
      <c r="B4325" s="183"/>
    </row>
    <row r="4326" spans="2:2" ht="15" x14ac:dyDescent="0.2">
      <c r="B4326" s="183"/>
    </row>
    <row r="4327" spans="2:2" ht="15" x14ac:dyDescent="0.2">
      <c r="B4327" s="183"/>
    </row>
    <row r="4328" spans="2:2" ht="15" x14ac:dyDescent="0.2">
      <c r="B4328" s="183"/>
    </row>
    <row r="4329" spans="2:2" ht="15" x14ac:dyDescent="0.2">
      <c r="B4329" s="183"/>
    </row>
    <row r="4330" spans="2:2" ht="15" x14ac:dyDescent="0.2">
      <c r="B4330" s="183"/>
    </row>
    <row r="4331" spans="2:2" ht="15" x14ac:dyDescent="0.2">
      <c r="B4331" s="183"/>
    </row>
    <row r="4332" spans="2:2" ht="15" x14ac:dyDescent="0.2">
      <c r="B4332" s="183"/>
    </row>
    <row r="4333" spans="2:2" ht="15" x14ac:dyDescent="0.2">
      <c r="B4333" s="183"/>
    </row>
    <row r="4334" spans="2:2" ht="15" x14ac:dyDescent="0.2">
      <c r="B4334" s="183"/>
    </row>
    <row r="4335" spans="2:2" ht="15" x14ac:dyDescent="0.2">
      <c r="B4335" s="183"/>
    </row>
    <row r="4336" spans="2:2" ht="15" x14ac:dyDescent="0.2">
      <c r="B4336" s="183"/>
    </row>
    <row r="4337" spans="2:2" ht="15" x14ac:dyDescent="0.2">
      <c r="B4337" s="183"/>
    </row>
    <row r="4338" spans="2:2" ht="15" x14ac:dyDescent="0.2">
      <c r="B4338" s="183"/>
    </row>
    <row r="4339" spans="2:2" ht="15" x14ac:dyDescent="0.2">
      <c r="B4339" s="183"/>
    </row>
    <row r="4340" spans="2:2" ht="15" x14ac:dyDescent="0.2">
      <c r="B4340" s="183"/>
    </row>
    <row r="4341" spans="2:2" ht="15" x14ac:dyDescent="0.2">
      <c r="B4341" s="183"/>
    </row>
    <row r="4342" spans="2:2" ht="15" x14ac:dyDescent="0.2">
      <c r="B4342" s="183"/>
    </row>
    <row r="4343" spans="2:2" ht="15" x14ac:dyDescent="0.2">
      <c r="B4343" s="183"/>
    </row>
    <row r="4344" spans="2:2" ht="15" x14ac:dyDescent="0.2">
      <c r="B4344" s="183"/>
    </row>
    <row r="4345" spans="2:2" ht="15" x14ac:dyDescent="0.2">
      <c r="B4345" s="183"/>
    </row>
    <row r="4346" spans="2:2" ht="15" x14ac:dyDescent="0.2">
      <c r="B4346" s="183"/>
    </row>
    <row r="4347" spans="2:2" ht="15" x14ac:dyDescent="0.2">
      <c r="B4347" s="183"/>
    </row>
    <row r="4348" spans="2:2" ht="15" x14ac:dyDescent="0.2">
      <c r="B4348" s="183"/>
    </row>
    <row r="4349" spans="2:2" ht="15" x14ac:dyDescent="0.2">
      <c r="B4349" s="183"/>
    </row>
    <row r="4350" spans="2:2" ht="15" x14ac:dyDescent="0.2">
      <c r="B4350" s="183"/>
    </row>
    <row r="4351" spans="2:2" ht="15" x14ac:dyDescent="0.2">
      <c r="B4351" s="183"/>
    </row>
    <row r="4352" spans="2:2" ht="15" x14ac:dyDescent="0.2">
      <c r="B4352" s="183"/>
    </row>
    <row r="4353" spans="2:2" ht="15" x14ac:dyDescent="0.2">
      <c r="B4353" s="183"/>
    </row>
    <row r="4354" spans="2:2" ht="15" x14ac:dyDescent="0.2">
      <c r="B4354" s="183"/>
    </row>
    <row r="4355" spans="2:2" ht="15" x14ac:dyDescent="0.2">
      <c r="B4355" s="183"/>
    </row>
    <row r="4356" spans="2:2" ht="15" x14ac:dyDescent="0.2">
      <c r="B4356" s="183"/>
    </row>
    <row r="4357" spans="2:2" ht="15" x14ac:dyDescent="0.2">
      <c r="B4357" s="183"/>
    </row>
    <row r="4358" spans="2:2" ht="15" x14ac:dyDescent="0.2">
      <c r="B4358" s="183"/>
    </row>
    <row r="4359" spans="2:2" ht="15" x14ac:dyDescent="0.2">
      <c r="B4359" s="183"/>
    </row>
    <row r="4360" spans="2:2" ht="15" x14ac:dyDescent="0.2">
      <c r="B4360" s="183"/>
    </row>
    <row r="4361" spans="2:2" ht="15" x14ac:dyDescent="0.2">
      <c r="B4361" s="183"/>
    </row>
    <row r="4362" spans="2:2" ht="15" x14ac:dyDescent="0.2">
      <c r="B4362" s="183"/>
    </row>
    <row r="4363" spans="2:2" ht="15" x14ac:dyDescent="0.2">
      <c r="B4363" s="183"/>
    </row>
    <row r="4364" spans="2:2" ht="15" x14ac:dyDescent="0.2">
      <c r="B4364" s="183"/>
    </row>
    <row r="4365" spans="2:2" ht="15" x14ac:dyDescent="0.2">
      <c r="B4365" s="183"/>
    </row>
    <row r="4366" spans="2:2" ht="15" x14ac:dyDescent="0.2">
      <c r="B4366" s="183"/>
    </row>
    <row r="4367" spans="2:2" ht="15" x14ac:dyDescent="0.2">
      <c r="B4367" s="183"/>
    </row>
    <row r="4368" spans="2:2" ht="15" x14ac:dyDescent="0.2">
      <c r="B4368" s="183"/>
    </row>
    <row r="4369" spans="2:2" ht="15" x14ac:dyDescent="0.2">
      <c r="B4369" s="183"/>
    </row>
    <row r="4370" spans="2:2" ht="15" x14ac:dyDescent="0.2">
      <c r="B4370" s="183"/>
    </row>
    <row r="4371" spans="2:2" ht="15" x14ac:dyDescent="0.2">
      <c r="B4371" s="183"/>
    </row>
    <row r="4372" spans="2:2" ht="15" x14ac:dyDescent="0.2">
      <c r="B4372" s="183"/>
    </row>
    <row r="4373" spans="2:2" ht="15" x14ac:dyDescent="0.2">
      <c r="B4373" s="183"/>
    </row>
    <row r="4374" spans="2:2" ht="15" x14ac:dyDescent="0.2">
      <c r="B4374" s="183"/>
    </row>
    <row r="4375" spans="2:2" ht="15" x14ac:dyDescent="0.2">
      <c r="B4375" s="183"/>
    </row>
    <row r="4376" spans="2:2" ht="15" x14ac:dyDescent="0.2">
      <c r="B4376" s="183"/>
    </row>
    <row r="4377" spans="2:2" ht="15" x14ac:dyDescent="0.2">
      <c r="B4377" s="183"/>
    </row>
    <row r="4378" spans="2:2" ht="15" x14ac:dyDescent="0.2">
      <c r="B4378" s="183"/>
    </row>
    <row r="4379" spans="2:2" ht="15" x14ac:dyDescent="0.2">
      <c r="B4379" s="183"/>
    </row>
    <row r="4380" spans="2:2" ht="15" x14ac:dyDescent="0.2">
      <c r="B4380" s="183"/>
    </row>
    <row r="4381" spans="2:2" ht="15" x14ac:dyDescent="0.2">
      <c r="B4381" s="183"/>
    </row>
    <row r="4382" spans="2:2" ht="15" x14ac:dyDescent="0.2">
      <c r="B4382" s="183"/>
    </row>
    <row r="4383" spans="2:2" ht="15" x14ac:dyDescent="0.2">
      <c r="B4383" s="183"/>
    </row>
    <row r="4384" spans="2:2" ht="15" x14ac:dyDescent="0.2">
      <c r="B4384" s="183"/>
    </row>
    <row r="4385" spans="2:2" ht="15" x14ac:dyDescent="0.2">
      <c r="B4385" s="183"/>
    </row>
    <row r="4386" spans="2:2" ht="15" x14ac:dyDescent="0.2">
      <c r="B4386" s="183"/>
    </row>
    <row r="4387" spans="2:2" ht="15" x14ac:dyDescent="0.2">
      <c r="B4387" s="183"/>
    </row>
    <row r="4388" spans="2:2" ht="15" x14ac:dyDescent="0.2">
      <c r="B4388" s="183"/>
    </row>
    <row r="4389" spans="2:2" ht="15" x14ac:dyDescent="0.2">
      <c r="B4389" s="183"/>
    </row>
    <row r="4390" spans="2:2" ht="15" x14ac:dyDescent="0.2">
      <c r="B4390" s="183"/>
    </row>
    <row r="4391" spans="2:2" ht="15" x14ac:dyDescent="0.2">
      <c r="B4391" s="183"/>
    </row>
    <row r="4392" spans="2:2" ht="15" x14ac:dyDescent="0.2">
      <c r="B4392" s="183"/>
    </row>
    <row r="4393" spans="2:2" ht="15" x14ac:dyDescent="0.2">
      <c r="B4393" s="183"/>
    </row>
    <row r="4394" spans="2:2" ht="15" x14ac:dyDescent="0.2">
      <c r="B4394" s="183"/>
    </row>
    <row r="4395" spans="2:2" ht="15" x14ac:dyDescent="0.2">
      <c r="B4395" s="183"/>
    </row>
    <row r="4396" spans="2:2" ht="15" x14ac:dyDescent="0.2">
      <c r="B4396" s="183"/>
    </row>
    <row r="4397" spans="2:2" ht="15" x14ac:dyDescent="0.2">
      <c r="B4397" s="183"/>
    </row>
    <row r="4398" spans="2:2" ht="15" x14ac:dyDescent="0.2">
      <c r="B4398" s="183"/>
    </row>
    <row r="4399" spans="2:2" ht="15" x14ac:dyDescent="0.2">
      <c r="B4399" s="183"/>
    </row>
    <row r="4400" spans="2:2" ht="15" x14ac:dyDescent="0.2">
      <c r="B4400" s="183"/>
    </row>
    <row r="4401" spans="2:2" ht="15" x14ac:dyDescent="0.2">
      <c r="B4401" s="183"/>
    </row>
    <row r="4402" spans="2:2" ht="15" x14ac:dyDescent="0.2">
      <c r="B4402" s="183"/>
    </row>
    <row r="4403" spans="2:2" ht="15" x14ac:dyDescent="0.2">
      <c r="B4403" s="183"/>
    </row>
    <row r="4404" spans="2:2" ht="15" x14ac:dyDescent="0.2">
      <c r="B4404" s="183"/>
    </row>
    <row r="4405" spans="2:2" ht="15" x14ac:dyDescent="0.2">
      <c r="B4405" s="183"/>
    </row>
    <row r="4406" spans="2:2" ht="15" x14ac:dyDescent="0.2">
      <c r="B4406" s="183"/>
    </row>
    <row r="4407" spans="2:2" ht="15" x14ac:dyDescent="0.2">
      <c r="B4407" s="183"/>
    </row>
    <row r="4408" spans="2:2" ht="15" x14ac:dyDescent="0.2">
      <c r="B4408" s="183"/>
    </row>
    <row r="4409" spans="2:2" ht="15" x14ac:dyDescent="0.2">
      <c r="B4409" s="183"/>
    </row>
    <row r="4410" spans="2:2" ht="15" x14ac:dyDescent="0.2">
      <c r="B4410" s="183"/>
    </row>
    <row r="4411" spans="2:2" ht="15" x14ac:dyDescent="0.2">
      <c r="B4411" s="183"/>
    </row>
    <row r="4412" spans="2:2" ht="15" x14ac:dyDescent="0.2">
      <c r="B4412" s="183"/>
    </row>
    <row r="4413" spans="2:2" ht="15" x14ac:dyDescent="0.2">
      <c r="B4413" s="183"/>
    </row>
    <row r="4414" spans="2:2" ht="15" x14ac:dyDescent="0.2">
      <c r="B4414" s="183"/>
    </row>
    <row r="4415" spans="2:2" ht="15" x14ac:dyDescent="0.2">
      <c r="B4415" s="183"/>
    </row>
    <row r="4416" spans="2:2" ht="15" x14ac:dyDescent="0.2">
      <c r="B4416" s="183"/>
    </row>
    <row r="4417" spans="2:2" ht="15" x14ac:dyDescent="0.2">
      <c r="B4417" s="183"/>
    </row>
    <row r="4418" spans="2:2" ht="15" x14ac:dyDescent="0.2">
      <c r="B4418" s="183"/>
    </row>
    <row r="4419" spans="2:2" ht="15" x14ac:dyDescent="0.2">
      <c r="B4419" s="183"/>
    </row>
    <row r="4420" spans="2:2" ht="15" x14ac:dyDescent="0.2">
      <c r="B4420" s="183"/>
    </row>
    <row r="4421" spans="2:2" ht="15" x14ac:dyDescent="0.2">
      <c r="B4421" s="183"/>
    </row>
    <row r="4422" spans="2:2" ht="15" x14ac:dyDescent="0.2">
      <c r="B4422" s="183"/>
    </row>
    <row r="4423" spans="2:2" ht="15" x14ac:dyDescent="0.2">
      <c r="B4423" s="183"/>
    </row>
    <row r="4424" spans="2:2" ht="15" x14ac:dyDescent="0.2">
      <c r="B4424" s="183"/>
    </row>
    <row r="4425" spans="2:2" ht="15" x14ac:dyDescent="0.2">
      <c r="B4425" s="183"/>
    </row>
    <row r="4426" spans="2:2" ht="15" x14ac:dyDescent="0.2">
      <c r="B4426" s="183"/>
    </row>
    <row r="4427" spans="2:2" ht="15" x14ac:dyDescent="0.2">
      <c r="B4427" s="183"/>
    </row>
    <row r="4428" spans="2:2" ht="15" x14ac:dyDescent="0.2">
      <c r="B4428" s="183"/>
    </row>
    <row r="4429" spans="2:2" ht="15" x14ac:dyDescent="0.2">
      <c r="B4429" s="183"/>
    </row>
    <row r="4430" spans="2:2" ht="15" x14ac:dyDescent="0.2">
      <c r="B4430" s="183"/>
    </row>
    <row r="4431" spans="2:2" ht="15" x14ac:dyDescent="0.2">
      <c r="B4431" s="183"/>
    </row>
    <row r="4432" spans="2:2" ht="15" x14ac:dyDescent="0.2">
      <c r="B4432" s="183"/>
    </row>
    <row r="4433" spans="2:2" ht="15" x14ac:dyDescent="0.2">
      <c r="B4433" s="183"/>
    </row>
    <row r="4434" spans="2:2" ht="15" x14ac:dyDescent="0.2">
      <c r="B4434" s="183"/>
    </row>
    <row r="4435" spans="2:2" ht="15" x14ac:dyDescent="0.2">
      <c r="B4435" s="183"/>
    </row>
    <row r="4436" spans="2:2" ht="15" x14ac:dyDescent="0.2">
      <c r="B4436" s="183"/>
    </row>
    <row r="4437" spans="2:2" ht="15" x14ac:dyDescent="0.2">
      <c r="B4437" s="183"/>
    </row>
    <row r="4438" spans="2:2" ht="15" x14ac:dyDescent="0.2">
      <c r="B4438" s="183"/>
    </row>
    <row r="4439" spans="2:2" ht="15" x14ac:dyDescent="0.2">
      <c r="B4439" s="183"/>
    </row>
    <row r="4440" spans="2:2" ht="15" x14ac:dyDescent="0.2">
      <c r="B4440" s="183"/>
    </row>
    <row r="4441" spans="2:2" ht="15" x14ac:dyDescent="0.2">
      <c r="B4441" s="183"/>
    </row>
    <row r="4442" spans="2:2" ht="15" x14ac:dyDescent="0.2">
      <c r="B4442" s="183"/>
    </row>
    <row r="4443" spans="2:2" ht="15" x14ac:dyDescent="0.2">
      <c r="B4443" s="183"/>
    </row>
    <row r="4444" spans="2:2" ht="15" x14ac:dyDescent="0.2">
      <c r="B4444" s="183"/>
    </row>
    <row r="4445" spans="2:2" ht="15" x14ac:dyDescent="0.2">
      <c r="B4445" s="183"/>
    </row>
    <row r="4446" spans="2:2" ht="15" x14ac:dyDescent="0.2">
      <c r="B4446" s="183"/>
    </row>
    <row r="4447" spans="2:2" ht="15" x14ac:dyDescent="0.2">
      <c r="B4447" s="183"/>
    </row>
    <row r="4448" spans="2:2" ht="15" x14ac:dyDescent="0.2">
      <c r="B4448" s="183"/>
    </row>
    <row r="4449" spans="2:2" ht="15" x14ac:dyDescent="0.2">
      <c r="B4449" s="183"/>
    </row>
    <row r="4450" spans="2:2" ht="15" x14ac:dyDescent="0.2">
      <c r="B4450" s="183"/>
    </row>
    <row r="4451" spans="2:2" ht="15" x14ac:dyDescent="0.2">
      <c r="B4451" s="183"/>
    </row>
    <row r="4452" spans="2:2" ht="15" x14ac:dyDescent="0.2">
      <c r="B4452" s="183"/>
    </row>
    <row r="4453" spans="2:2" ht="15" x14ac:dyDescent="0.2">
      <c r="B4453" s="183"/>
    </row>
    <row r="4454" spans="2:2" ht="15" x14ac:dyDescent="0.2">
      <c r="B4454" s="183"/>
    </row>
    <row r="4455" spans="2:2" ht="15" x14ac:dyDescent="0.2">
      <c r="B4455" s="183"/>
    </row>
    <row r="4456" spans="2:2" ht="15" x14ac:dyDescent="0.2">
      <c r="B4456" s="183"/>
    </row>
    <row r="4457" spans="2:2" ht="15" x14ac:dyDescent="0.2">
      <c r="B4457" s="183"/>
    </row>
    <row r="4458" spans="2:2" ht="15" x14ac:dyDescent="0.2">
      <c r="B4458" s="183"/>
    </row>
    <row r="4459" spans="2:2" ht="15" x14ac:dyDescent="0.2">
      <c r="B4459" s="183"/>
    </row>
    <row r="4460" spans="2:2" ht="15" x14ac:dyDescent="0.2">
      <c r="B4460" s="183"/>
    </row>
    <row r="4461" spans="2:2" ht="15" x14ac:dyDescent="0.2">
      <c r="B4461" s="183"/>
    </row>
    <row r="4462" spans="2:2" ht="15" x14ac:dyDescent="0.2">
      <c r="B4462" s="183"/>
    </row>
    <row r="4463" spans="2:2" ht="15" x14ac:dyDescent="0.2">
      <c r="B4463" s="183"/>
    </row>
    <row r="4464" spans="2:2" ht="15" x14ac:dyDescent="0.2">
      <c r="B4464" s="183"/>
    </row>
    <row r="4465" spans="2:2" ht="15" x14ac:dyDescent="0.2">
      <c r="B4465" s="183"/>
    </row>
    <row r="4466" spans="2:2" ht="15" x14ac:dyDescent="0.2">
      <c r="B4466" s="183"/>
    </row>
    <row r="4467" spans="2:2" ht="15" x14ac:dyDescent="0.2">
      <c r="B4467" s="183"/>
    </row>
    <row r="4468" spans="2:2" ht="15" x14ac:dyDescent="0.2">
      <c r="B4468" s="183"/>
    </row>
    <row r="4469" spans="2:2" ht="15" x14ac:dyDescent="0.2">
      <c r="B4469" s="183"/>
    </row>
    <row r="4470" spans="2:2" ht="15" x14ac:dyDescent="0.2">
      <c r="B4470" s="183"/>
    </row>
    <row r="4471" spans="2:2" ht="15" x14ac:dyDescent="0.2">
      <c r="B4471" s="183"/>
    </row>
    <row r="4472" spans="2:2" ht="15" x14ac:dyDescent="0.2">
      <c r="B4472" s="183"/>
    </row>
    <row r="4473" spans="2:2" ht="15" x14ac:dyDescent="0.2">
      <c r="B4473" s="183"/>
    </row>
    <row r="4474" spans="2:2" ht="15" x14ac:dyDescent="0.2">
      <c r="B4474" s="183"/>
    </row>
    <row r="4475" spans="2:2" ht="15" x14ac:dyDescent="0.2">
      <c r="B4475" s="183"/>
    </row>
    <row r="4476" spans="2:2" ht="15" x14ac:dyDescent="0.2">
      <c r="B4476" s="183"/>
    </row>
    <row r="4477" spans="2:2" ht="15" x14ac:dyDescent="0.2">
      <c r="B4477" s="183"/>
    </row>
    <row r="4478" spans="2:2" ht="15" x14ac:dyDescent="0.2">
      <c r="B4478" s="183"/>
    </row>
    <row r="4479" spans="2:2" ht="15" x14ac:dyDescent="0.2">
      <c r="B4479" s="183"/>
    </row>
    <row r="4480" spans="2:2" ht="15" x14ac:dyDescent="0.2">
      <c r="B4480" s="183"/>
    </row>
    <row r="4481" spans="2:2" ht="15" x14ac:dyDescent="0.2">
      <c r="B4481" s="183"/>
    </row>
    <row r="4482" spans="2:2" ht="15" x14ac:dyDescent="0.2">
      <c r="B4482" s="183"/>
    </row>
    <row r="4483" spans="2:2" ht="15" x14ac:dyDescent="0.2">
      <c r="B4483" s="183"/>
    </row>
    <row r="4484" spans="2:2" ht="15" x14ac:dyDescent="0.2">
      <c r="B4484" s="183"/>
    </row>
    <row r="4485" spans="2:2" ht="15" x14ac:dyDescent="0.2">
      <c r="B4485" s="183"/>
    </row>
    <row r="4486" spans="2:2" ht="15" x14ac:dyDescent="0.2">
      <c r="B4486" s="183"/>
    </row>
    <row r="4487" spans="2:2" ht="15" x14ac:dyDescent="0.2">
      <c r="B4487" s="183"/>
    </row>
    <row r="4488" spans="2:2" ht="15" x14ac:dyDescent="0.2">
      <c r="B4488" s="183"/>
    </row>
    <row r="4489" spans="2:2" ht="15" x14ac:dyDescent="0.2">
      <c r="B4489" s="183"/>
    </row>
    <row r="4490" spans="2:2" ht="15" x14ac:dyDescent="0.2">
      <c r="B4490" s="183"/>
    </row>
    <row r="4491" spans="2:2" ht="15" x14ac:dyDescent="0.2">
      <c r="B4491" s="183"/>
    </row>
    <row r="4492" spans="2:2" ht="15" x14ac:dyDescent="0.2">
      <c r="B4492" s="183"/>
    </row>
    <row r="4493" spans="2:2" ht="15" x14ac:dyDescent="0.2">
      <c r="B4493" s="183"/>
    </row>
    <row r="4494" spans="2:2" ht="15" x14ac:dyDescent="0.2">
      <c r="B4494" s="183"/>
    </row>
    <row r="4495" spans="2:2" ht="15" x14ac:dyDescent="0.2">
      <c r="B4495" s="183"/>
    </row>
    <row r="4496" spans="2:2" ht="15" x14ac:dyDescent="0.2">
      <c r="B4496" s="183"/>
    </row>
    <row r="4497" spans="2:2" ht="15" x14ac:dyDescent="0.2">
      <c r="B4497" s="183"/>
    </row>
    <row r="4498" spans="2:2" ht="15" x14ac:dyDescent="0.2">
      <c r="B4498" s="183"/>
    </row>
    <row r="4499" spans="2:2" ht="15" x14ac:dyDescent="0.2">
      <c r="B4499" s="183"/>
    </row>
    <row r="4500" spans="2:2" ht="15" x14ac:dyDescent="0.2">
      <c r="B4500" s="183"/>
    </row>
    <row r="4501" spans="2:2" ht="15" x14ac:dyDescent="0.2">
      <c r="B4501" s="183"/>
    </row>
    <row r="4502" spans="2:2" ht="15" x14ac:dyDescent="0.2">
      <c r="B4502" s="183"/>
    </row>
    <row r="4503" spans="2:2" ht="15" x14ac:dyDescent="0.2">
      <c r="B4503" s="183"/>
    </row>
    <row r="4504" spans="2:2" ht="15" x14ac:dyDescent="0.2">
      <c r="B4504" s="183"/>
    </row>
    <row r="4505" spans="2:2" ht="15" x14ac:dyDescent="0.2">
      <c r="B4505" s="183"/>
    </row>
    <row r="4506" spans="2:2" ht="15" x14ac:dyDescent="0.2">
      <c r="B4506" s="183"/>
    </row>
    <row r="4507" spans="2:2" ht="15" x14ac:dyDescent="0.2">
      <c r="B4507" s="183"/>
    </row>
    <row r="4508" spans="2:2" ht="15" x14ac:dyDescent="0.2">
      <c r="B4508" s="183"/>
    </row>
    <row r="4509" spans="2:2" ht="15" x14ac:dyDescent="0.2">
      <c r="B4509" s="183"/>
    </row>
    <row r="4510" spans="2:2" ht="15" x14ac:dyDescent="0.2">
      <c r="B4510" s="183"/>
    </row>
    <row r="4511" spans="2:2" ht="15" x14ac:dyDescent="0.2">
      <c r="B4511" s="183"/>
    </row>
    <row r="4512" spans="2:2" ht="15" x14ac:dyDescent="0.2">
      <c r="B4512" s="183"/>
    </row>
    <row r="4513" spans="2:2" ht="15" x14ac:dyDescent="0.2">
      <c r="B4513" s="183"/>
    </row>
    <row r="4514" spans="2:2" ht="15" x14ac:dyDescent="0.2">
      <c r="B4514" s="183"/>
    </row>
    <row r="4515" spans="2:2" ht="15" x14ac:dyDescent="0.2">
      <c r="B4515" s="183"/>
    </row>
    <row r="4516" spans="2:2" ht="15" x14ac:dyDescent="0.2">
      <c r="B4516" s="183"/>
    </row>
    <row r="4517" spans="2:2" ht="15" x14ac:dyDescent="0.2">
      <c r="B4517" s="183"/>
    </row>
    <row r="4518" spans="2:2" ht="15" x14ac:dyDescent="0.2">
      <c r="B4518" s="183"/>
    </row>
    <row r="4519" spans="2:2" ht="15" x14ac:dyDescent="0.2">
      <c r="B4519" s="183"/>
    </row>
    <row r="4520" spans="2:2" ht="15" x14ac:dyDescent="0.2">
      <c r="B4520" s="183"/>
    </row>
    <row r="4521" spans="2:2" ht="15" x14ac:dyDescent="0.2">
      <c r="B4521" s="183"/>
    </row>
    <row r="4522" spans="2:2" ht="15" x14ac:dyDescent="0.2">
      <c r="B4522" s="183"/>
    </row>
    <row r="4523" spans="2:2" ht="15" x14ac:dyDescent="0.2">
      <c r="B4523" s="183"/>
    </row>
    <row r="4524" spans="2:2" ht="15" x14ac:dyDescent="0.2">
      <c r="B4524" s="183"/>
    </row>
    <row r="4525" spans="2:2" ht="15" x14ac:dyDescent="0.2">
      <c r="B4525" s="183"/>
    </row>
    <row r="4526" spans="2:2" ht="15" x14ac:dyDescent="0.2">
      <c r="B4526" s="183"/>
    </row>
    <row r="4527" spans="2:2" ht="15" x14ac:dyDescent="0.2">
      <c r="B4527" s="183"/>
    </row>
    <row r="4528" spans="2:2" ht="15" x14ac:dyDescent="0.2">
      <c r="B4528" s="183"/>
    </row>
    <row r="4529" spans="2:2" ht="15" x14ac:dyDescent="0.2">
      <c r="B4529" s="183"/>
    </row>
    <row r="4530" spans="2:2" ht="15" x14ac:dyDescent="0.2">
      <c r="B4530" s="183"/>
    </row>
    <row r="4531" spans="2:2" ht="15" x14ac:dyDescent="0.2">
      <c r="B4531" s="183"/>
    </row>
    <row r="4532" spans="2:2" ht="15" x14ac:dyDescent="0.2">
      <c r="B4532" s="183"/>
    </row>
    <row r="4533" spans="2:2" ht="15" x14ac:dyDescent="0.2">
      <c r="B4533" s="183"/>
    </row>
    <row r="4534" spans="2:2" ht="15" x14ac:dyDescent="0.2">
      <c r="B4534" s="183"/>
    </row>
    <row r="4535" spans="2:2" ht="15" x14ac:dyDescent="0.2">
      <c r="B4535" s="183"/>
    </row>
    <row r="4536" spans="2:2" ht="15" x14ac:dyDescent="0.2">
      <c r="B4536" s="183"/>
    </row>
    <row r="4537" spans="2:2" ht="15" x14ac:dyDescent="0.2">
      <c r="B4537" s="183"/>
    </row>
    <row r="4538" spans="2:2" ht="15" x14ac:dyDescent="0.2">
      <c r="B4538" s="183"/>
    </row>
    <row r="4539" spans="2:2" ht="15" x14ac:dyDescent="0.2">
      <c r="B4539" s="183"/>
    </row>
    <row r="4540" spans="2:2" ht="15" x14ac:dyDescent="0.2">
      <c r="B4540" s="183"/>
    </row>
    <row r="4541" spans="2:2" ht="15" x14ac:dyDescent="0.2">
      <c r="B4541" s="183"/>
    </row>
    <row r="4542" spans="2:2" ht="15" x14ac:dyDescent="0.2">
      <c r="B4542" s="183"/>
    </row>
    <row r="4543" spans="2:2" ht="15" x14ac:dyDescent="0.2">
      <c r="B4543" s="183"/>
    </row>
    <row r="4544" spans="2:2" ht="15" x14ac:dyDescent="0.2">
      <c r="B4544" s="183"/>
    </row>
    <row r="4545" spans="2:2" ht="15" x14ac:dyDescent="0.2">
      <c r="B4545" s="183"/>
    </row>
    <row r="4546" spans="2:2" ht="15" x14ac:dyDescent="0.2">
      <c r="B4546" s="183"/>
    </row>
    <row r="4547" spans="2:2" ht="15" x14ac:dyDescent="0.2">
      <c r="B4547" s="183"/>
    </row>
    <row r="4548" spans="2:2" ht="15" x14ac:dyDescent="0.2">
      <c r="B4548" s="183"/>
    </row>
    <row r="4549" spans="2:2" ht="15" x14ac:dyDescent="0.2">
      <c r="B4549" s="183"/>
    </row>
    <row r="4550" spans="2:2" ht="15" x14ac:dyDescent="0.2">
      <c r="B4550" s="183"/>
    </row>
    <row r="4551" spans="2:2" ht="15" x14ac:dyDescent="0.2">
      <c r="B4551" s="183"/>
    </row>
    <row r="4552" spans="2:2" ht="15" x14ac:dyDescent="0.2">
      <c r="B4552" s="183"/>
    </row>
    <row r="4553" spans="2:2" ht="15" x14ac:dyDescent="0.2">
      <c r="B4553" s="183"/>
    </row>
    <row r="4554" spans="2:2" ht="15" x14ac:dyDescent="0.2">
      <c r="B4554" s="183"/>
    </row>
    <row r="4555" spans="2:2" ht="15" x14ac:dyDescent="0.2">
      <c r="B4555" s="183"/>
    </row>
    <row r="4556" spans="2:2" ht="15" x14ac:dyDescent="0.2">
      <c r="B4556" s="183"/>
    </row>
    <row r="4557" spans="2:2" ht="15" x14ac:dyDescent="0.2">
      <c r="B4557" s="183"/>
    </row>
    <row r="4558" spans="2:2" ht="15" x14ac:dyDescent="0.2">
      <c r="B4558" s="183"/>
    </row>
    <row r="4559" spans="2:2" ht="15" x14ac:dyDescent="0.2">
      <c r="B4559" s="183"/>
    </row>
    <row r="4560" spans="2:2" ht="15" x14ac:dyDescent="0.2">
      <c r="B4560" s="183"/>
    </row>
    <row r="4561" spans="2:2" ht="15" x14ac:dyDescent="0.2">
      <c r="B4561" s="183"/>
    </row>
    <row r="4562" spans="2:2" ht="15" x14ac:dyDescent="0.2">
      <c r="B4562" s="183"/>
    </row>
    <row r="4563" spans="2:2" ht="15" x14ac:dyDescent="0.2">
      <c r="B4563" s="183"/>
    </row>
    <row r="4564" spans="2:2" ht="15" x14ac:dyDescent="0.2">
      <c r="B4564" s="183"/>
    </row>
    <row r="4565" spans="2:2" ht="15" x14ac:dyDescent="0.2">
      <c r="B4565" s="183"/>
    </row>
    <row r="4566" spans="2:2" ht="15" x14ac:dyDescent="0.2">
      <c r="B4566" s="183"/>
    </row>
    <row r="4567" spans="2:2" ht="15" x14ac:dyDescent="0.2">
      <c r="B4567" s="183"/>
    </row>
    <row r="4568" spans="2:2" ht="15" x14ac:dyDescent="0.2">
      <c r="B4568" s="183"/>
    </row>
    <row r="4569" spans="2:2" ht="15" x14ac:dyDescent="0.2">
      <c r="B4569" s="183"/>
    </row>
    <row r="4570" spans="2:2" ht="15" x14ac:dyDescent="0.2">
      <c r="B4570" s="183"/>
    </row>
    <row r="4571" spans="2:2" ht="15" x14ac:dyDescent="0.2">
      <c r="B4571" s="183"/>
    </row>
    <row r="4572" spans="2:2" ht="15" x14ac:dyDescent="0.2">
      <c r="B4572" s="183"/>
    </row>
    <row r="4573" spans="2:2" ht="15" x14ac:dyDescent="0.2">
      <c r="B4573" s="183"/>
    </row>
    <row r="4574" spans="2:2" ht="15" x14ac:dyDescent="0.2">
      <c r="B4574" s="183"/>
    </row>
    <row r="4575" spans="2:2" ht="15" x14ac:dyDescent="0.2">
      <c r="B4575" s="183"/>
    </row>
    <row r="4576" spans="2:2" ht="15" x14ac:dyDescent="0.2">
      <c r="B4576" s="183"/>
    </row>
    <row r="4577" spans="2:2" ht="15" x14ac:dyDescent="0.2">
      <c r="B4577" s="183"/>
    </row>
    <row r="4578" spans="2:2" ht="15" x14ac:dyDescent="0.2">
      <c r="B4578" s="183"/>
    </row>
    <row r="4579" spans="2:2" ht="15" x14ac:dyDescent="0.2">
      <c r="B4579" s="183"/>
    </row>
    <row r="4580" spans="2:2" ht="15" x14ac:dyDescent="0.2">
      <c r="B4580" s="183"/>
    </row>
    <row r="4581" spans="2:2" ht="15" x14ac:dyDescent="0.2">
      <c r="B4581" s="183"/>
    </row>
    <row r="4582" spans="2:2" ht="15" x14ac:dyDescent="0.2">
      <c r="B4582" s="183"/>
    </row>
    <row r="4583" spans="2:2" ht="15" x14ac:dyDescent="0.2">
      <c r="B4583" s="183"/>
    </row>
    <row r="4584" spans="2:2" ht="15" x14ac:dyDescent="0.2">
      <c r="B4584" s="183"/>
    </row>
    <row r="4585" spans="2:2" ht="15" x14ac:dyDescent="0.2">
      <c r="B4585" s="183"/>
    </row>
    <row r="4586" spans="2:2" ht="15" x14ac:dyDescent="0.2">
      <c r="B4586" s="183"/>
    </row>
    <row r="4587" spans="2:2" ht="15" x14ac:dyDescent="0.2">
      <c r="B4587" s="183"/>
    </row>
    <row r="4588" spans="2:2" ht="15" x14ac:dyDescent="0.2">
      <c r="B4588" s="183"/>
    </row>
    <row r="4589" spans="2:2" ht="15" x14ac:dyDescent="0.2">
      <c r="B4589" s="183"/>
    </row>
    <row r="4590" spans="2:2" ht="15" x14ac:dyDescent="0.2">
      <c r="B4590" s="183"/>
    </row>
    <row r="4591" spans="2:2" ht="15" x14ac:dyDescent="0.2">
      <c r="B4591" s="183"/>
    </row>
    <row r="4592" spans="2:2" ht="15" x14ac:dyDescent="0.2">
      <c r="B4592" s="183"/>
    </row>
    <row r="4593" spans="2:2" ht="15" x14ac:dyDescent="0.2">
      <c r="B4593" s="183"/>
    </row>
    <row r="4594" spans="2:2" ht="15" x14ac:dyDescent="0.2">
      <c r="B4594" s="183"/>
    </row>
    <row r="4595" spans="2:2" ht="15" x14ac:dyDescent="0.2">
      <c r="B4595" s="183"/>
    </row>
    <row r="4596" spans="2:2" ht="15" x14ac:dyDescent="0.2">
      <c r="B4596" s="183"/>
    </row>
    <row r="4597" spans="2:2" ht="15" x14ac:dyDescent="0.2">
      <c r="B4597" s="183"/>
    </row>
    <row r="4598" spans="2:2" ht="15" x14ac:dyDescent="0.2">
      <c r="B4598" s="183"/>
    </row>
    <row r="4599" spans="2:2" ht="15" x14ac:dyDescent="0.2">
      <c r="B4599" s="183"/>
    </row>
    <row r="4600" spans="2:2" ht="15" x14ac:dyDescent="0.2">
      <c r="B4600" s="183"/>
    </row>
    <row r="4601" spans="2:2" ht="15" x14ac:dyDescent="0.2">
      <c r="B4601" s="183"/>
    </row>
    <row r="4602" spans="2:2" ht="15" x14ac:dyDescent="0.2">
      <c r="B4602" s="183"/>
    </row>
    <row r="4603" spans="2:2" ht="15" x14ac:dyDescent="0.2">
      <c r="B4603" s="183"/>
    </row>
    <row r="4604" spans="2:2" ht="15" x14ac:dyDescent="0.2">
      <c r="B4604" s="183"/>
    </row>
    <row r="4605" spans="2:2" ht="15" x14ac:dyDescent="0.2">
      <c r="B4605" s="183"/>
    </row>
    <row r="4606" spans="2:2" ht="15" x14ac:dyDescent="0.2">
      <c r="B4606" s="183"/>
    </row>
    <row r="4607" spans="2:2" ht="15" x14ac:dyDescent="0.2">
      <c r="B4607" s="183"/>
    </row>
    <row r="4608" spans="2:2" ht="15" x14ac:dyDescent="0.2">
      <c r="B4608" s="183"/>
    </row>
    <row r="4609" spans="2:2" ht="15" x14ac:dyDescent="0.2">
      <c r="B4609" s="183"/>
    </row>
    <row r="4610" spans="2:2" ht="15" x14ac:dyDescent="0.2">
      <c r="B4610" s="183"/>
    </row>
    <row r="4611" spans="2:2" ht="15" x14ac:dyDescent="0.2">
      <c r="B4611" s="183"/>
    </row>
    <row r="4612" spans="2:2" ht="15" x14ac:dyDescent="0.2">
      <c r="B4612" s="183"/>
    </row>
    <row r="4613" spans="2:2" ht="15" x14ac:dyDescent="0.2">
      <c r="B4613" s="183"/>
    </row>
    <row r="4614" spans="2:2" ht="15" x14ac:dyDescent="0.2">
      <c r="B4614" s="183"/>
    </row>
    <row r="4615" spans="2:2" ht="15" x14ac:dyDescent="0.2">
      <c r="B4615" s="183"/>
    </row>
    <row r="4616" spans="2:2" ht="15" x14ac:dyDescent="0.2">
      <c r="B4616" s="183"/>
    </row>
    <row r="4617" spans="2:2" ht="15" x14ac:dyDescent="0.2">
      <c r="B4617" s="183"/>
    </row>
    <row r="4618" spans="2:2" ht="15" x14ac:dyDescent="0.2">
      <c r="B4618" s="183"/>
    </row>
    <row r="4619" spans="2:2" ht="15" x14ac:dyDescent="0.2">
      <c r="B4619" s="183"/>
    </row>
    <row r="4620" spans="2:2" ht="15" x14ac:dyDescent="0.2">
      <c r="B4620" s="183"/>
    </row>
    <row r="4621" spans="2:2" ht="15" x14ac:dyDescent="0.2">
      <c r="B4621" s="183"/>
    </row>
    <row r="4622" spans="2:2" ht="15" x14ac:dyDescent="0.2">
      <c r="B4622" s="183"/>
    </row>
    <row r="4623" spans="2:2" ht="15" x14ac:dyDescent="0.2">
      <c r="B4623" s="183"/>
    </row>
    <row r="4624" spans="2:2" ht="15" x14ac:dyDescent="0.2">
      <c r="B4624" s="183"/>
    </row>
    <row r="4625" spans="2:2" ht="15" x14ac:dyDescent="0.2">
      <c r="B4625" s="183"/>
    </row>
    <row r="4626" spans="2:2" ht="15" x14ac:dyDescent="0.2">
      <c r="B4626" s="183"/>
    </row>
    <row r="4627" spans="2:2" ht="15" x14ac:dyDescent="0.2">
      <c r="B4627" s="183"/>
    </row>
    <row r="4628" spans="2:2" ht="15" x14ac:dyDescent="0.2">
      <c r="B4628" s="183"/>
    </row>
    <row r="4629" spans="2:2" ht="15" x14ac:dyDescent="0.2">
      <c r="B4629" s="183"/>
    </row>
    <row r="4630" spans="2:2" ht="15" x14ac:dyDescent="0.2">
      <c r="B4630" s="183"/>
    </row>
    <row r="4631" spans="2:2" ht="15" x14ac:dyDescent="0.2">
      <c r="B4631" s="183"/>
    </row>
    <row r="4632" spans="2:2" ht="15" x14ac:dyDescent="0.2">
      <c r="B4632" s="183"/>
    </row>
    <row r="4633" spans="2:2" ht="15" x14ac:dyDescent="0.2">
      <c r="B4633" s="183"/>
    </row>
    <row r="4634" spans="2:2" ht="15" x14ac:dyDescent="0.2">
      <c r="B4634" s="183"/>
    </row>
    <row r="4635" spans="2:2" ht="15" x14ac:dyDescent="0.2">
      <c r="B4635" s="183"/>
    </row>
    <row r="4636" spans="2:2" ht="15" x14ac:dyDescent="0.2">
      <c r="B4636" s="183"/>
    </row>
    <row r="4637" spans="2:2" ht="15" x14ac:dyDescent="0.2">
      <c r="B4637" s="183"/>
    </row>
    <row r="4638" spans="2:2" ht="15" x14ac:dyDescent="0.2">
      <c r="B4638" s="183"/>
    </row>
    <row r="4639" spans="2:2" ht="15" x14ac:dyDescent="0.2">
      <c r="B4639" s="183"/>
    </row>
    <row r="4640" spans="2:2" ht="15" x14ac:dyDescent="0.2">
      <c r="B4640" s="183"/>
    </row>
    <row r="4641" spans="2:2" ht="15" x14ac:dyDescent="0.2">
      <c r="B4641" s="183"/>
    </row>
    <row r="4642" spans="2:2" ht="15" x14ac:dyDescent="0.2">
      <c r="B4642" s="183"/>
    </row>
    <row r="4643" spans="2:2" ht="15" x14ac:dyDescent="0.2">
      <c r="B4643" s="183"/>
    </row>
    <row r="4644" spans="2:2" ht="15" x14ac:dyDescent="0.2">
      <c r="B4644" s="183"/>
    </row>
    <row r="4645" spans="2:2" ht="15" x14ac:dyDescent="0.2">
      <c r="B4645" s="183"/>
    </row>
    <row r="4646" spans="2:2" ht="15" x14ac:dyDescent="0.2">
      <c r="B4646" s="183"/>
    </row>
    <row r="4647" spans="2:2" ht="15" x14ac:dyDescent="0.2">
      <c r="B4647" s="183"/>
    </row>
    <row r="4648" spans="2:2" ht="15" x14ac:dyDescent="0.2">
      <c r="B4648" s="183"/>
    </row>
    <row r="4649" spans="2:2" ht="15" x14ac:dyDescent="0.2">
      <c r="B4649" s="183"/>
    </row>
    <row r="4650" spans="2:2" ht="15" x14ac:dyDescent="0.2">
      <c r="B4650" s="183"/>
    </row>
    <row r="4651" spans="2:2" ht="15" x14ac:dyDescent="0.2">
      <c r="B4651" s="183"/>
    </row>
    <row r="4652" spans="2:2" ht="15" x14ac:dyDescent="0.2">
      <c r="B4652" s="183"/>
    </row>
    <row r="4653" spans="2:2" ht="15" x14ac:dyDescent="0.2">
      <c r="B4653" s="183"/>
    </row>
    <row r="4654" spans="2:2" ht="15" x14ac:dyDescent="0.2">
      <c r="B4654" s="183"/>
    </row>
    <row r="4655" spans="2:2" ht="15" x14ac:dyDescent="0.2">
      <c r="B4655" s="183"/>
    </row>
    <row r="4656" spans="2:2" ht="15" x14ac:dyDescent="0.2">
      <c r="B4656" s="183"/>
    </row>
    <row r="4657" spans="2:2" ht="15" x14ac:dyDescent="0.2">
      <c r="B4657" s="183"/>
    </row>
    <row r="4658" spans="2:2" ht="15" x14ac:dyDescent="0.2">
      <c r="B4658" s="183"/>
    </row>
    <row r="4659" spans="2:2" ht="15" x14ac:dyDescent="0.2">
      <c r="B4659" s="183"/>
    </row>
    <row r="4660" spans="2:2" ht="15" x14ac:dyDescent="0.2">
      <c r="B4660" s="183"/>
    </row>
    <row r="4661" spans="2:2" ht="15" x14ac:dyDescent="0.2">
      <c r="B4661" s="183"/>
    </row>
    <row r="4662" spans="2:2" ht="15" x14ac:dyDescent="0.2">
      <c r="B4662" s="183"/>
    </row>
    <row r="4663" spans="2:2" ht="15" x14ac:dyDescent="0.2">
      <c r="B4663" s="183"/>
    </row>
    <row r="4664" spans="2:2" ht="15" x14ac:dyDescent="0.2">
      <c r="B4664" s="183"/>
    </row>
    <row r="4665" spans="2:2" ht="15" x14ac:dyDescent="0.2">
      <c r="B4665" s="183"/>
    </row>
    <row r="4666" spans="2:2" ht="15" x14ac:dyDescent="0.2">
      <c r="B4666" s="183"/>
    </row>
    <row r="4667" spans="2:2" ht="15" x14ac:dyDescent="0.2">
      <c r="B4667" s="183"/>
    </row>
    <row r="4668" spans="2:2" ht="15" x14ac:dyDescent="0.2">
      <c r="B4668" s="183"/>
    </row>
    <row r="4669" spans="2:2" ht="15" x14ac:dyDescent="0.2">
      <c r="B4669" s="183"/>
    </row>
    <row r="4670" spans="2:2" ht="15" x14ac:dyDescent="0.2">
      <c r="B4670" s="183"/>
    </row>
    <row r="4671" spans="2:2" ht="15" x14ac:dyDescent="0.2">
      <c r="B4671" s="183"/>
    </row>
    <row r="4672" spans="2:2" ht="15" x14ac:dyDescent="0.2">
      <c r="B4672" s="183"/>
    </row>
    <row r="4673" spans="2:2" ht="15" x14ac:dyDescent="0.2">
      <c r="B4673" s="183"/>
    </row>
    <row r="4674" spans="2:2" ht="15" x14ac:dyDescent="0.2">
      <c r="B4674" s="183"/>
    </row>
    <row r="4675" spans="2:2" ht="15" x14ac:dyDescent="0.2">
      <c r="B4675" s="183"/>
    </row>
    <row r="4676" spans="2:2" ht="15" x14ac:dyDescent="0.2">
      <c r="B4676" s="183"/>
    </row>
    <row r="4677" spans="2:2" ht="15" x14ac:dyDescent="0.2">
      <c r="B4677" s="183"/>
    </row>
    <row r="4678" spans="2:2" ht="15" x14ac:dyDescent="0.2">
      <c r="B4678" s="183"/>
    </row>
    <row r="4679" spans="2:2" ht="15" x14ac:dyDescent="0.2">
      <c r="B4679" s="183"/>
    </row>
    <row r="4680" spans="2:2" ht="15" x14ac:dyDescent="0.2">
      <c r="B4680" s="183"/>
    </row>
    <row r="4681" spans="2:2" ht="15" x14ac:dyDescent="0.2">
      <c r="B4681" s="183"/>
    </row>
    <row r="4682" spans="2:2" ht="15" x14ac:dyDescent="0.2">
      <c r="B4682" s="183"/>
    </row>
    <row r="4683" spans="2:2" ht="15" x14ac:dyDescent="0.2">
      <c r="B4683" s="183"/>
    </row>
    <row r="4684" spans="2:2" ht="15" x14ac:dyDescent="0.2">
      <c r="B4684" s="183"/>
    </row>
    <row r="4685" spans="2:2" ht="15" x14ac:dyDescent="0.2">
      <c r="B4685" s="183"/>
    </row>
    <row r="4686" spans="2:2" ht="15" x14ac:dyDescent="0.2">
      <c r="B4686" s="183"/>
    </row>
    <row r="4687" spans="2:2" ht="15" x14ac:dyDescent="0.2">
      <c r="B4687" s="183"/>
    </row>
    <row r="4688" spans="2:2" ht="15" x14ac:dyDescent="0.2">
      <c r="B4688" s="183"/>
    </row>
    <row r="4689" spans="2:2" ht="15" x14ac:dyDescent="0.2">
      <c r="B4689" s="183"/>
    </row>
    <row r="4690" spans="2:2" ht="15" x14ac:dyDescent="0.2">
      <c r="B4690" s="183"/>
    </row>
    <row r="4691" spans="2:2" ht="15" x14ac:dyDescent="0.2">
      <c r="B4691" s="183"/>
    </row>
    <row r="4692" spans="2:2" ht="15" x14ac:dyDescent="0.2">
      <c r="B4692" s="183"/>
    </row>
    <row r="4693" spans="2:2" ht="15" x14ac:dyDescent="0.2">
      <c r="B4693" s="183"/>
    </row>
    <row r="4694" spans="2:2" ht="15" x14ac:dyDescent="0.2">
      <c r="B4694" s="183"/>
    </row>
    <row r="4695" spans="2:2" ht="15" x14ac:dyDescent="0.2">
      <c r="B4695" s="183"/>
    </row>
    <row r="4696" spans="2:2" ht="15" x14ac:dyDescent="0.2">
      <c r="B4696" s="183"/>
    </row>
    <row r="4697" spans="2:2" ht="15" x14ac:dyDescent="0.2">
      <c r="B4697" s="183"/>
    </row>
    <row r="4698" spans="2:2" ht="15" x14ac:dyDescent="0.2">
      <c r="B4698" s="183"/>
    </row>
    <row r="4699" spans="2:2" ht="15" x14ac:dyDescent="0.2">
      <c r="B4699" s="183"/>
    </row>
    <row r="4700" spans="2:2" ht="15" x14ac:dyDescent="0.2">
      <c r="B4700" s="183"/>
    </row>
    <row r="4701" spans="2:2" ht="15" x14ac:dyDescent="0.2">
      <c r="B4701" s="183"/>
    </row>
    <row r="4702" spans="2:2" ht="15" x14ac:dyDescent="0.2">
      <c r="B4702" s="183"/>
    </row>
    <row r="4703" spans="2:2" ht="15" x14ac:dyDescent="0.2">
      <c r="B4703" s="183"/>
    </row>
    <row r="4704" spans="2:2" ht="15" x14ac:dyDescent="0.2">
      <c r="B4704" s="183"/>
    </row>
    <row r="4705" spans="2:2" ht="15" x14ac:dyDescent="0.2">
      <c r="B4705" s="183"/>
    </row>
    <row r="4706" spans="2:2" ht="15" x14ac:dyDescent="0.2">
      <c r="B4706" s="183"/>
    </row>
    <row r="4707" spans="2:2" ht="15" x14ac:dyDescent="0.2">
      <c r="B4707" s="183"/>
    </row>
    <row r="4708" spans="2:2" ht="15" x14ac:dyDescent="0.2">
      <c r="B4708" s="183"/>
    </row>
    <row r="4709" spans="2:2" ht="15" x14ac:dyDescent="0.2">
      <c r="B4709" s="183"/>
    </row>
    <row r="4710" spans="2:2" ht="15" x14ac:dyDescent="0.2">
      <c r="B4710" s="183"/>
    </row>
    <row r="4711" spans="2:2" ht="15" x14ac:dyDescent="0.2">
      <c r="B4711" s="183"/>
    </row>
    <row r="4712" spans="2:2" ht="15" x14ac:dyDescent="0.2">
      <c r="B4712" s="183"/>
    </row>
    <row r="4713" spans="2:2" ht="15" x14ac:dyDescent="0.2">
      <c r="B4713" s="183"/>
    </row>
    <row r="4714" spans="2:2" ht="15" x14ac:dyDescent="0.2">
      <c r="B4714" s="183"/>
    </row>
    <row r="4715" spans="2:2" ht="15" x14ac:dyDescent="0.2">
      <c r="B4715" s="183"/>
    </row>
    <row r="4716" spans="2:2" ht="15" x14ac:dyDescent="0.2">
      <c r="B4716" s="183"/>
    </row>
    <row r="4717" spans="2:2" ht="15" x14ac:dyDescent="0.2">
      <c r="B4717" s="183"/>
    </row>
    <row r="4718" spans="2:2" ht="15" x14ac:dyDescent="0.2">
      <c r="B4718" s="183"/>
    </row>
    <row r="4719" spans="2:2" ht="15" x14ac:dyDescent="0.2">
      <c r="B4719" s="183"/>
    </row>
    <row r="4720" spans="2:2" ht="15" x14ac:dyDescent="0.2">
      <c r="B4720" s="183"/>
    </row>
    <row r="4721" spans="2:2" ht="15" x14ac:dyDescent="0.2">
      <c r="B4721" s="183"/>
    </row>
    <row r="4722" spans="2:2" ht="15" x14ac:dyDescent="0.2">
      <c r="B4722" s="183"/>
    </row>
    <row r="4723" spans="2:2" ht="15" x14ac:dyDescent="0.2">
      <c r="B4723" s="183"/>
    </row>
    <row r="4724" spans="2:2" ht="15" x14ac:dyDescent="0.2">
      <c r="B4724" s="183"/>
    </row>
    <row r="4725" spans="2:2" ht="15" x14ac:dyDescent="0.2">
      <c r="B4725" s="183"/>
    </row>
    <row r="4726" spans="2:2" ht="15" x14ac:dyDescent="0.2">
      <c r="B4726" s="183"/>
    </row>
    <row r="4727" spans="2:2" ht="15" x14ac:dyDescent="0.2">
      <c r="B4727" s="183"/>
    </row>
    <row r="4728" spans="2:2" ht="15" x14ac:dyDescent="0.2">
      <c r="B4728" s="183"/>
    </row>
    <row r="4729" spans="2:2" ht="15" x14ac:dyDescent="0.2">
      <c r="B4729" s="183"/>
    </row>
    <row r="4730" spans="2:2" ht="15" x14ac:dyDescent="0.2">
      <c r="B4730" s="183"/>
    </row>
    <row r="4731" spans="2:2" ht="15" x14ac:dyDescent="0.2">
      <c r="B4731" s="183"/>
    </row>
    <row r="4732" spans="2:2" ht="15" x14ac:dyDescent="0.2">
      <c r="B4732" s="183"/>
    </row>
    <row r="4733" spans="2:2" ht="15" x14ac:dyDescent="0.2">
      <c r="B4733" s="183"/>
    </row>
    <row r="4734" spans="2:2" ht="15" x14ac:dyDescent="0.2">
      <c r="B4734" s="183"/>
    </row>
    <row r="4735" spans="2:2" ht="15" x14ac:dyDescent="0.2">
      <c r="B4735" s="183"/>
    </row>
    <row r="4736" spans="2:2" ht="15" x14ac:dyDescent="0.2">
      <c r="B4736" s="183"/>
    </row>
    <row r="4737" spans="2:2" ht="15" x14ac:dyDescent="0.2">
      <c r="B4737" s="183"/>
    </row>
    <row r="4738" spans="2:2" ht="15" x14ac:dyDescent="0.2">
      <c r="B4738" s="183"/>
    </row>
    <row r="4739" spans="2:2" ht="15" x14ac:dyDescent="0.2">
      <c r="B4739" s="183"/>
    </row>
    <row r="4740" spans="2:2" ht="15" x14ac:dyDescent="0.2">
      <c r="B4740" s="183"/>
    </row>
    <row r="4741" spans="2:2" ht="15" x14ac:dyDescent="0.2">
      <c r="B4741" s="183"/>
    </row>
    <row r="4742" spans="2:2" ht="15" x14ac:dyDescent="0.2">
      <c r="B4742" s="183"/>
    </row>
    <row r="4743" spans="2:2" ht="15" x14ac:dyDescent="0.2">
      <c r="B4743" s="183"/>
    </row>
    <row r="4744" spans="2:2" ht="15" x14ac:dyDescent="0.2">
      <c r="B4744" s="183"/>
    </row>
    <row r="4745" spans="2:2" ht="15" x14ac:dyDescent="0.2">
      <c r="B4745" s="183"/>
    </row>
    <row r="4746" spans="2:2" ht="15" x14ac:dyDescent="0.2">
      <c r="B4746" s="183"/>
    </row>
    <row r="4747" spans="2:2" ht="15" x14ac:dyDescent="0.2">
      <c r="B4747" s="183"/>
    </row>
    <row r="4748" spans="2:2" ht="15" x14ac:dyDescent="0.2">
      <c r="B4748" s="183"/>
    </row>
    <row r="4749" spans="2:2" ht="15" x14ac:dyDescent="0.2">
      <c r="B4749" s="183"/>
    </row>
    <row r="4750" spans="2:2" ht="15" x14ac:dyDescent="0.2">
      <c r="B4750" s="183"/>
    </row>
    <row r="4751" spans="2:2" ht="15" x14ac:dyDescent="0.2">
      <c r="B4751" s="183"/>
    </row>
    <row r="4752" spans="2:2" ht="15" x14ac:dyDescent="0.2">
      <c r="B4752" s="183"/>
    </row>
    <row r="4753" spans="2:2" ht="15" x14ac:dyDescent="0.2">
      <c r="B4753" s="183"/>
    </row>
    <row r="4754" spans="2:2" ht="15" x14ac:dyDescent="0.2">
      <c r="B4754" s="183"/>
    </row>
    <row r="4755" spans="2:2" ht="15" x14ac:dyDescent="0.2">
      <c r="B4755" s="183"/>
    </row>
    <row r="4756" spans="2:2" ht="15" x14ac:dyDescent="0.2">
      <c r="B4756" s="183"/>
    </row>
    <row r="4757" spans="2:2" ht="15" x14ac:dyDescent="0.2">
      <c r="B4757" s="183"/>
    </row>
    <row r="4758" spans="2:2" ht="15" x14ac:dyDescent="0.2">
      <c r="B4758" s="183"/>
    </row>
    <row r="4759" spans="2:2" ht="15" x14ac:dyDescent="0.2">
      <c r="B4759" s="183"/>
    </row>
    <row r="4760" spans="2:2" ht="15" x14ac:dyDescent="0.2">
      <c r="B4760" s="183"/>
    </row>
    <row r="4761" spans="2:2" ht="15" x14ac:dyDescent="0.2">
      <c r="B4761" s="183"/>
    </row>
    <row r="4762" spans="2:2" ht="15" x14ac:dyDescent="0.2">
      <c r="B4762" s="183"/>
    </row>
    <row r="4763" spans="2:2" ht="15" x14ac:dyDescent="0.2">
      <c r="B4763" s="183"/>
    </row>
    <row r="4764" spans="2:2" ht="15" x14ac:dyDescent="0.2">
      <c r="B4764" s="183"/>
    </row>
    <row r="4765" spans="2:2" ht="15" x14ac:dyDescent="0.2">
      <c r="B4765" s="183"/>
    </row>
    <row r="4766" spans="2:2" ht="15" x14ac:dyDescent="0.2">
      <c r="B4766" s="183"/>
    </row>
    <row r="4767" spans="2:2" ht="15" x14ac:dyDescent="0.2">
      <c r="B4767" s="183"/>
    </row>
    <row r="4768" spans="2:2" ht="15" x14ac:dyDescent="0.2">
      <c r="B4768" s="183"/>
    </row>
    <row r="4769" spans="2:2" ht="15" x14ac:dyDescent="0.2">
      <c r="B4769" s="183"/>
    </row>
    <row r="4770" spans="2:2" ht="15" x14ac:dyDescent="0.2">
      <c r="B4770" s="183"/>
    </row>
    <row r="4771" spans="2:2" ht="15" x14ac:dyDescent="0.2">
      <c r="B4771" s="183"/>
    </row>
    <row r="4772" spans="2:2" ht="15" x14ac:dyDescent="0.2">
      <c r="B4772" s="183"/>
    </row>
    <row r="4773" spans="2:2" ht="15" x14ac:dyDescent="0.2">
      <c r="B4773" s="183"/>
    </row>
    <row r="4774" spans="2:2" ht="15" x14ac:dyDescent="0.2">
      <c r="B4774" s="183"/>
    </row>
    <row r="4775" spans="2:2" ht="15" x14ac:dyDescent="0.2">
      <c r="B4775" s="183"/>
    </row>
    <row r="4776" spans="2:2" ht="15" x14ac:dyDescent="0.2">
      <c r="B4776" s="183"/>
    </row>
    <row r="4777" spans="2:2" ht="15" x14ac:dyDescent="0.2">
      <c r="B4777" s="183"/>
    </row>
    <row r="4778" spans="2:2" ht="15" x14ac:dyDescent="0.2">
      <c r="B4778" s="183"/>
    </row>
    <row r="4779" spans="2:2" ht="15" x14ac:dyDescent="0.2">
      <c r="B4779" s="183"/>
    </row>
    <row r="4780" spans="2:2" ht="15" x14ac:dyDescent="0.2">
      <c r="B4780" s="183"/>
    </row>
    <row r="4781" spans="2:2" ht="15" x14ac:dyDescent="0.2">
      <c r="B4781" s="183"/>
    </row>
    <row r="4782" spans="2:2" ht="15" x14ac:dyDescent="0.2">
      <c r="B4782" s="183"/>
    </row>
    <row r="4783" spans="2:2" ht="15" x14ac:dyDescent="0.2">
      <c r="B4783" s="183"/>
    </row>
    <row r="4784" spans="2:2" ht="15" x14ac:dyDescent="0.2">
      <c r="B4784" s="183"/>
    </row>
    <row r="4785" spans="2:2" ht="15" x14ac:dyDescent="0.2">
      <c r="B4785" s="183"/>
    </row>
    <row r="4786" spans="2:2" ht="15" x14ac:dyDescent="0.2">
      <c r="B4786" s="183"/>
    </row>
    <row r="4787" spans="2:2" ht="15" x14ac:dyDescent="0.2">
      <c r="B4787" s="183"/>
    </row>
    <row r="4788" spans="2:2" ht="15" x14ac:dyDescent="0.2">
      <c r="B4788" s="183"/>
    </row>
    <row r="4789" spans="2:2" ht="15" x14ac:dyDescent="0.2">
      <c r="B4789" s="183"/>
    </row>
    <row r="4790" spans="2:2" ht="15" x14ac:dyDescent="0.2">
      <c r="B4790" s="183"/>
    </row>
    <row r="4791" spans="2:2" ht="15" x14ac:dyDescent="0.2">
      <c r="B4791" s="183"/>
    </row>
    <row r="4792" spans="2:2" ht="15" x14ac:dyDescent="0.2">
      <c r="B4792" s="183"/>
    </row>
    <row r="4793" spans="2:2" ht="15" x14ac:dyDescent="0.2">
      <c r="B4793" s="183"/>
    </row>
    <row r="4794" spans="2:2" ht="15" x14ac:dyDescent="0.2">
      <c r="B4794" s="183"/>
    </row>
    <row r="4795" spans="2:2" ht="15" x14ac:dyDescent="0.2">
      <c r="B4795" s="183"/>
    </row>
    <row r="4796" spans="2:2" ht="15" x14ac:dyDescent="0.2">
      <c r="B4796" s="183"/>
    </row>
    <row r="4797" spans="2:2" ht="15" x14ac:dyDescent="0.2">
      <c r="B4797" s="183"/>
    </row>
    <row r="4798" spans="2:2" ht="15" x14ac:dyDescent="0.2">
      <c r="B4798" s="183"/>
    </row>
    <row r="4799" spans="2:2" ht="15" x14ac:dyDescent="0.2">
      <c r="B4799" s="183"/>
    </row>
    <row r="4800" spans="2:2" ht="15" x14ac:dyDescent="0.2">
      <c r="B4800" s="183"/>
    </row>
    <row r="4801" spans="2:2" ht="15" x14ac:dyDescent="0.2">
      <c r="B4801" s="183"/>
    </row>
    <row r="4802" spans="2:2" ht="15" x14ac:dyDescent="0.2">
      <c r="B4802" s="183"/>
    </row>
    <row r="4803" spans="2:2" ht="15" x14ac:dyDescent="0.2">
      <c r="B4803" s="183"/>
    </row>
    <row r="4804" spans="2:2" ht="15" x14ac:dyDescent="0.2">
      <c r="B4804" s="183"/>
    </row>
    <row r="4805" spans="2:2" ht="15" x14ac:dyDescent="0.2">
      <c r="B4805" s="183"/>
    </row>
    <row r="4806" spans="2:2" ht="15" x14ac:dyDescent="0.2">
      <c r="B4806" s="183"/>
    </row>
    <row r="4807" spans="2:2" ht="15" x14ac:dyDescent="0.2">
      <c r="B4807" s="183"/>
    </row>
    <row r="4808" spans="2:2" ht="15" x14ac:dyDescent="0.2">
      <c r="B4808" s="183"/>
    </row>
    <row r="4809" spans="2:2" ht="15" x14ac:dyDescent="0.2">
      <c r="B4809" s="183"/>
    </row>
    <row r="4810" spans="2:2" ht="15" x14ac:dyDescent="0.2">
      <c r="B4810" s="183"/>
    </row>
    <row r="4811" spans="2:2" ht="15" x14ac:dyDescent="0.2">
      <c r="B4811" s="183"/>
    </row>
    <row r="4812" spans="2:2" ht="15" x14ac:dyDescent="0.2">
      <c r="B4812" s="183"/>
    </row>
    <row r="4813" spans="2:2" ht="15" x14ac:dyDescent="0.2">
      <c r="B4813" s="183"/>
    </row>
    <row r="4814" spans="2:2" ht="15" x14ac:dyDescent="0.2">
      <c r="B4814" s="183"/>
    </row>
    <row r="4815" spans="2:2" ht="15" x14ac:dyDescent="0.2">
      <c r="B4815" s="183"/>
    </row>
    <row r="4816" spans="2:2" ht="15" x14ac:dyDescent="0.2">
      <c r="B4816" s="183"/>
    </row>
    <row r="4817" spans="2:2" ht="15" x14ac:dyDescent="0.2">
      <c r="B4817" s="183"/>
    </row>
    <row r="4818" spans="2:2" ht="15" x14ac:dyDescent="0.2">
      <c r="B4818" s="183"/>
    </row>
    <row r="4819" spans="2:2" ht="15" x14ac:dyDescent="0.2">
      <c r="B4819" s="183"/>
    </row>
    <row r="4820" spans="2:2" ht="15" x14ac:dyDescent="0.2">
      <c r="B4820" s="183"/>
    </row>
    <row r="4821" spans="2:2" ht="15" x14ac:dyDescent="0.2">
      <c r="B4821" s="183"/>
    </row>
    <row r="4822" spans="2:2" ht="15" x14ac:dyDescent="0.2">
      <c r="B4822" s="183"/>
    </row>
    <row r="4823" spans="2:2" ht="15" x14ac:dyDescent="0.2">
      <c r="B4823" s="183"/>
    </row>
    <row r="4824" spans="2:2" ht="15" x14ac:dyDescent="0.2">
      <c r="B4824" s="183"/>
    </row>
    <row r="4825" spans="2:2" ht="15" x14ac:dyDescent="0.2">
      <c r="B4825" s="183"/>
    </row>
    <row r="4826" spans="2:2" ht="15" x14ac:dyDescent="0.2">
      <c r="B4826" s="183"/>
    </row>
    <row r="4827" spans="2:2" ht="15" x14ac:dyDescent="0.2">
      <c r="B4827" s="183"/>
    </row>
    <row r="4828" spans="2:2" ht="15" x14ac:dyDescent="0.2">
      <c r="B4828" s="183"/>
    </row>
    <row r="4829" spans="2:2" ht="15" x14ac:dyDescent="0.2">
      <c r="B4829" s="183"/>
    </row>
    <row r="4830" spans="2:2" ht="15" x14ac:dyDescent="0.2">
      <c r="B4830" s="183"/>
    </row>
    <row r="4831" spans="2:2" ht="15" x14ac:dyDescent="0.2">
      <c r="B4831" s="183"/>
    </row>
    <row r="4832" spans="2:2" ht="15" x14ac:dyDescent="0.2">
      <c r="B4832" s="183"/>
    </row>
    <row r="4833" spans="2:2" ht="15" x14ac:dyDescent="0.2">
      <c r="B4833" s="183"/>
    </row>
    <row r="4834" spans="2:2" ht="15" x14ac:dyDescent="0.2">
      <c r="B4834" s="183"/>
    </row>
    <row r="4835" spans="2:2" ht="15" x14ac:dyDescent="0.2">
      <c r="B4835" s="183"/>
    </row>
    <row r="4836" spans="2:2" ht="15" x14ac:dyDescent="0.2">
      <c r="B4836" s="183"/>
    </row>
    <row r="4837" spans="2:2" ht="15" x14ac:dyDescent="0.2">
      <c r="B4837" s="183"/>
    </row>
    <row r="4838" spans="2:2" ht="15" x14ac:dyDescent="0.2">
      <c r="B4838" s="183"/>
    </row>
    <row r="4839" spans="2:2" ht="15" x14ac:dyDescent="0.2">
      <c r="B4839" s="183"/>
    </row>
    <row r="4840" spans="2:2" ht="15" x14ac:dyDescent="0.2">
      <c r="B4840" s="183"/>
    </row>
    <row r="4841" spans="2:2" ht="15" x14ac:dyDescent="0.2">
      <c r="B4841" s="183"/>
    </row>
    <row r="4842" spans="2:2" ht="15" x14ac:dyDescent="0.2">
      <c r="B4842" s="183"/>
    </row>
    <row r="4843" spans="2:2" ht="15" x14ac:dyDescent="0.2">
      <c r="B4843" s="183"/>
    </row>
    <row r="4844" spans="2:2" ht="15" x14ac:dyDescent="0.2">
      <c r="B4844" s="183"/>
    </row>
    <row r="4845" spans="2:2" ht="15" x14ac:dyDescent="0.2">
      <c r="B4845" s="183"/>
    </row>
    <row r="4846" spans="2:2" ht="15" x14ac:dyDescent="0.2">
      <c r="B4846" s="183"/>
    </row>
    <row r="4847" spans="2:2" ht="15" x14ac:dyDescent="0.2">
      <c r="B4847" s="183"/>
    </row>
    <row r="4848" spans="2:2" ht="15" x14ac:dyDescent="0.2">
      <c r="B4848" s="183"/>
    </row>
    <row r="4849" spans="2:2" ht="15" x14ac:dyDescent="0.2">
      <c r="B4849" s="183"/>
    </row>
    <row r="4850" spans="2:2" ht="15" x14ac:dyDescent="0.2">
      <c r="B4850" s="183"/>
    </row>
    <row r="4851" spans="2:2" ht="15" x14ac:dyDescent="0.2">
      <c r="B4851" s="183"/>
    </row>
    <row r="4852" spans="2:2" ht="15" x14ac:dyDescent="0.2">
      <c r="B4852" s="183"/>
    </row>
    <row r="4853" spans="2:2" ht="15" x14ac:dyDescent="0.2">
      <c r="B4853" s="183"/>
    </row>
    <row r="4854" spans="2:2" ht="15" x14ac:dyDescent="0.2">
      <c r="B4854" s="183"/>
    </row>
    <row r="4855" spans="2:2" ht="15" x14ac:dyDescent="0.2">
      <c r="B4855" s="183"/>
    </row>
    <row r="4856" spans="2:2" ht="15" x14ac:dyDescent="0.2">
      <c r="B4856" s="183"/>
    </row>
    <row r="4857" spans="2:2" ht="15" x14ac:dyDescent="0.2">
      <c r="B4857" s="183"/>
    </row>
    <row r="4858" spans="2:2" ht="15" x14ac:dyDescent="0.2">
      <c r="B4858" s="183"/>
    </row>
    <row r="4859" spans="2:2" ht="15" x14ac:dyDescent="0.2">
      <c r="B4859" s="183"/>
    </row>
    <row r="4860" spans="2:2" ht="15" x14ac:dyDescent="0.2">
      <c r="B4860" s="183"/>
    </row>
    <row r="4861" spans="2:2" ht="15" x14ac:dyDescent="0.2">
      <c r="B4861" s="183"/>
    </row>
    <row r="4862" spans="2:2" ht="15" x14ac:dyDescent="0.2">
      <c r="B4862" s="183"/>
    </row>
    <row r="4863" spans="2:2" ht="15" x14ac:dyDescent="0.2">
      <c r="B4863" s="183"/>
    </row>
    <row r="4864" spans="2:2" ht="15" x14ac:dyDescent="0.2">
      <c r="B4864" s="183"/>
    </row>
    <row r="4865" spans="2:2" ht="15" x14ac:dyDescent="0.2">
      <c r="B4865" s="183"/>
    </row>
    <row r="4866" spans="2:2" ht="15" x14ac:dyDescent="0.2">
      <c r="B4866" s="183"/>
    </row>
    <row r="4867" spans="2:2" ht="15" x14ac:dyDescent="0.2">
      <c r="B4867" s="183"/>
    </row>
    <row r="4868" spans="2:2" ht="15" x14ac:dyDescent="0.2">
      <c r="B4868" s="183"/>
    </row>
    <row r="4869" spans="2:2" ht="15" x14ac:dyDescent="0.2">
      <c r="B4869" s="183"/>
    </row>
    <row r="4870" spans="2:2" ht="15" x14ac:dyDescent="0.2">
      <c r="B4870" s="183"/>
    </row>
    <row r="4871" spans="2:2" ht="15" x14ac:dyDescent="0.2">
      <c r="B4871" s="183"/>
    </row>
    <row r="4872" spans="2:2" ht="15" x14ac:dyDescent="0.2">
      <c r="B4872" s="183"/>
    </row>
    <row r="4873" spans="2:2" ht="15" x14ac:dyDescent="0.2">
      <c r="B4873" s="183"/>
    </row>
    <row r="4874" spans="2:2" ht="15" x14ac:dyDescent="0.2">
      <c r="B4874" s="183"/>
    </row>
    <row r="4875" spans="2:2" ht="15" x14ac:dyDescent="0.2">
      <c r="B4875" s="183"/>
    </row>
    <row r="4876" spans="2:2" ht="15" x14ac:dyDescent="0.2">
      <c r="B4876" s="183"/>
    </row>
    <row r="4877" spans="2:2" ht="15" x14ac:dyDescent="0.2">
      <c r="B4877" s="183"/>
    </row>
    <row r="4878" spans="2:2" ht="15" x14ac:dyDescent="0.2">
      <c r="B4878" s="183"/>
    </row>
    <row r="4879" spans="2:2" ht="15" x14ac:dyDescent="0.2">
      <c r="B4879" s="183"/>
    </row>
    <row r="4880" spans="2:2" ht="15" x14ac:dyDescent="0.2">
      <c r="B4880" s="183"/>
    </row>
    <row r="4881" spans="2:2" ht="15" x14ac:dyDescent="0.2">
      <c r="B4881" s="183"/>
    </row>
    <row r="4882" spans="2:2" ht="15" x14ac:dyDescent="0.2">
      <c r="B4882" s="183"/>
    </row>
    <row r="4883" spans="2:2" ht="15" x14ac:dyDescent="0.2">
      <c r="B4883" s="183"/>
    </row>
    <row r="4884" spans="2:2" ht="15" x14ac:dyDescent="0.2">
      <c r="B4884" s="183"/>
    </row>
    <row r="4885" spans="2:2" ht="15" x14ac:dyDescent="0.2">
      <c r="B4885" s="183"/>
    </row>
    <row r="4886" spans="2:2" ht="15" x14ac:dyDescent="0.2">
      <c r="B4886" s="183"/>
    </row>
    <row r="4887" spans="2:2" ht="15" x14ac:dyDescent="0.2">
      <c r="B4887" s="183"/>
    </row>
    <row r="4888" spans="2:2" ht="15" x14ac:dyDescent="0.2">
      <c r="B4888" s="183"/>
    </row>
    <row r="4889" spans="2:2" ht="15" x14ac:dyDescent="0.2">
      <c r="B4889" s="183"/>
    </row>
    <row r="4890" spans="2:2" ht="15" x14ac:dyDescent="0.2">
      <c r="B4890" s="183"/>
    </row>
    <row r="4891" spans="2:2" ht="15" x14ac:dyDescent="0.2">
      <c r="B4891" s="183"/>
    </row>
    <row r="4892" spans="2:2" ht="15" x14ac:dyDescent="0.2">
      <c r="B4892" s="183"/>
    </row>
    <row r="4893" spans="2:2" ht="15" x14ac:dyDescent="0.2">
      <c r="B4893" s="183"/>
    </row>
    <row r="4894" spans="2:2" ht="15" x14ac:dyDescent="0.2">
      <c r="B4894" s="183"/>
    </row>
    <row r="4895" spans="2:2" ht="15" x14ac:dyDescent="0.2">
      <c r="B4895" s="183"/>
    </row>
    <row r="4896" spans="2:2" ht="15" x14ac:dyDescent="0.2">
      <c r="B4896" s="183"/>
    </row>
    <row r="4897" spans="2:2" ht="15" x14ac:dyDescent="0.2">
      <c r="B4897" s="183"/>
    </row>
    <row r="4898" spans="2:2" ht="15" x14ac:dyDescent="0.2">
      <c r="B4898" s="183"/>
    </row>
    <row r="4899" spans="2:2" ht="15" x14ac:dyDescent="0.2">
      <c r="B4899" s="183"/>
    </row>
    <row r="4900" spans="2:2" ht="15" x14ac:dyDescent="0.2">
      <c r="B4900" s="183"/>
    </row>
    <row r="4901" spans="2:2" ht="15" x14ac:dyDescent="0.2">
      <c r="B4901" s="183"/>
    </row>
    <row r="4902" spans="2:2" ht="15" x14ac:dyDescent="0.2">
      <c r="B4902" s="183"/>
    </row>
    <row r="4903" spans="2:2" ht="15" x14ac:dyDescent="0.2">
      <c r="B4903" s="183"/>
    </row>
    <row r="4904" spans="2:2" ht="15" x14ac:dyDescent="0.2">
      <c r="B4904" s="183"/>
    </row>
    <row r="4905" spans="2:2" ht="15" x14ac:dyDescent="0.2">
      <c r="B4905" s="183"/>
    </row>
    <row r="4906" spans="2:2" ht="15" x14ac:dyDescent="0.2">
      <c r="B4906" s="183"/>
    </row>
    <row r="4907" spans="2:2" ht="15" x14ac:dyDescent="0.2">
      <c r="B4907" s="183"/>
    </row>
    <row r="4908" spans="2:2" ht="15" x14ac:dyDescent="0.2">
      <c r="B4908" s="183"/>
    </row>
    <row r="4909" spans="2:2" ht="15" x14ac:dyDescent="0.2">
      <c r="B4909" s="183"/>
    </row>
    <row r="4910" spans="2:2" ht="15" x14ac:dyDescent="0.2">
      <c r="B4910" s="183"/>
    </row>
    <row r="4911" spans="2:2" ht="15" x14ac:dyDescent="0.2">
      <c r="B4911" s="183"/>
    </row>
    <row r="4912" spans="2:2" ht="15" x14ac:dyDescent="0.2">
      <c r="B4912" s="183"/>
    </row>
    <row r="4913" spans="2:2" ht="15" x14ac:dyDescent="0.2">
      <c r="B4913" s="183"/>
    </row>
    <row r="4914" spans="2:2" ht="15" x14ac:dyDescent="0.2">
      <c r="B4914" s="183"/>
    </row>
    <row r="4915" spans="2:2" ht="15" x14ac:dyDescent="0.2">
      <c r="B4915" s="183"/>
    </row>
    <row r="4916" spans="2:2" ht="15" x14ac:dyDescent="0.2">
      <c r="B4916" s="183"/>
    </row>
    <row r="4917" spans="2:2" ht="15" x14ac:dyDescent="0.2">
      <c r="B4917" s="183"/>
    </row>
    <row r="4918" spans="2:2" ht="15" x14ac:dyDescent="0.2">
      <c r="B4918" s="183"/>
    </row>
    <row r="4919" spans="2:2" ht="15" x14ac:dyDescent="0.2">
      <c r="B4919" s="183"/>
    </row>
    <row r="4920" spans="2:2" ht="15" x14ac:dyDescent="0.2">
      <c r="B4920" s="183"/>
    </row>
    <row r="4921" spans="2:2" ht="15" x14ac:dyDescent="0.2">
      <c r="B4921" s="183"/>
    </row>
    <row r="4922" spans="2:2" ht="15" x14ac:dyDescent="0.2">
      <c r="B4922" s="183"/>
    </row>
    <row r="4923" spans="2:2" ht="15" x14ac:dyDescent="0.2">
      <c r="B4923" s="183"/>
    </row>
    <row r="4924" spans="2:2" ht="15" x14ac:dyDescent="0.2">
      <c r="B4924" s="183"/>
    </row>
    <row r="4925" spans="2:2" ht="15" x14ac:dyDescent="0.2">
      <c r="B4925" s="183"/>
    </row>
    <row r="4926" spans="2:2" ht="15" x14ac:dyDescent="0.2">
      <c r="B4926" s="183"/>
    </row>
    <row r="4927" spans="2:2" ht="15" x14ac:dyDescent="0.2">
      <c r="B4927" s="183"/>
    </row>
    <row r="4928" spans="2:2" ht="15" x14ac:dyDescent="0.2">
      <c r="B4928" s="183"/>
    </row>
    <row r="4929" spans="2:2" ht="15" x14ac:dyDescent="0.2">
      <c r="B4929" s="183"/>
    </row>
    <row r="4930" spans="2:2" ht="15" x14ac:dyDescent="0.2">
      <c r="B4930" s="183"/>
    </row>
    <row r="4931" spans="2:2" ht="15" x14ac:dyDescent="0.2">
      <c r="B4931" s="183"/>
    </row>
    <row r="4932" spans="2:2" ht="15" x14ac:dyDescent="0.2">
      <c r="B4932" s="183"/>
    </row>
    <row r="4933" spans="2:2" ht="15" x14ac:dyDescent="0.2">
      <c r="B4933" s="183"/>
    </row>
    <row r="4934" spans="2:2" ht="15" x14ac:dyDescent="0.2">
      <c r="B4934" s="183"/>
    </row>
    <row r="4935" spans="2:2" ht="15" x14ac:dyDescent="0.2">
      <c r="B4935" s="183"/>
    </row>
    <row r="4936" spans="2:2" ht="15" x14ac:dyDescent="0.2">
      <c r="B4936" s="183"/>
    </row>
    <row r="4937" spans="2:2" ht="15" x14ac:dyDescent="0.2">
      <c r="B4937" s="183"/>
    </row>
    <row r="4938" spans="2:2" ht="15" x14ac:dyDescent="0.2">
      <c r="B4938" s="183"/>
    </row>
    <row r="4939" spans="2:2" ht="15" x14ac:dyDescent="0.2">
      <c r="B4939" s="183"/>
    </row>
    <row r="4940" spans="2:2" ht="15" x14ac:dyDescent="0.2">
      <c r="B4940" s="183"/>
    </row>
    <row r="4941" spans="2:2" ht="15" x14ac:dyDescent="0.2">
      <c r="B4941" s="183"/>
    </row>
    <row r="4942" spans="2:2" ht="15" x14ac:dyDescent="0.2">
      <c r="B4942" s="183"/>
    </row>
    <row r="4943" spans="2:2" ht="15" x14ac:dyDescent="0.2">
      <c r="B4943" s="183"/>
    </row>
    <row r="4944" spans="2:2" ht="15" x14ac:dyDescent="0.2">
      <c r="B4944" s="183"/>
    </row>
    <row r="4945" spans="2:2" ht="15" x14ac:dyDescent="0.2">
      <c r="B4945" s="183"/>
    </row>
    <row r="4946" spans="2:2" ht="15" x14ac:dyDescent="0.2">
      <c r="B4946" s="183"/>
    </row>
    <row r="4947" spans="2:2" ht="15" x14ac:dyDescent="0.2">
      <c r="B4947" s="183"/>
    </row>
    <row r="4948" spans="2:2" ht="15" x14ac:dyDescent="0.2">
      <c r="B4948" s="183"/>
    </row>
    <row r="4949" spans="2:2" ht="15" x14ac:dyDescent="0.2">
      <c r="B4949" s="183"/>
    </row>
    <row r="4950" spans="2:2" ht="15" x14ac:dyDescent="0.2">
      <c r="B4950" s="183"/>
    </row>
    <row r="4951" spans="2:2" ht="15" x14ac:dyDescent="0.2">
      <c r="B4951" s="183"/>
    </row>
    <row r="4952" spans="2:2" ht="15" x14ac:dyDescent="0.2">
      <c r="B4952" s="183"/>
    </row>
    <row r="4953" spans="2:2" ht="15" x14ac:dyDescent="0.2">
      <c r="B4953" s="183"/>
    </row>
    <row r="4954" spans="2:2" ht="15" x14ac:dyDescent="0.2">
      <c r="B4954" s="183"/>
    </row>
    <row r="4955" spans="2:2" ht="15" x14ac:dyDescent="0.2">
      <c r="B4955" s="183"/>
    </row>
    <row r="4956" spans="2:2" ht="15" x14ac:dyDescent="0.2">
      <c r="B4956" s="183"/>
    </row>
    <row r="4957" spans="2:2" ht="15" x14ac:dyDescent="0.2">
      <c r="B4957" s="183"/>
    </row>
    <row r="4958" spans="2:2" ht="15" x14ac:dyDescent="0.2">
      <c r="B4958" s="183"/>
    </row>
    <row r="4959" spans="2:2" ht="15" x14ac:dyDescent="0.2">
      <c r="B4959" s="183"/>
    </row>
    <row r="4960" spans="2:2" ht="15" x14ac:dyDescent="0.2">
      <c r="B4960" s="183"/>
    </row>
    <row r="4961" spans="2:2" ht="15" x14ac:dyDescent="0.2">
      <c r="B4961" s="183"/>
    </row>
    <row r="4962" spans="2:2" ht="15" x14ac:dyDescent="0.2">
      <c r="B4962" s="183"/>
    </row>
    <row r="4963" spans="2:2" ht="15" x14ac:dyDescent="0.2">
      <c r="B4963" s="183"/>
    </row>
    <row r="4964" spans="2:2" ht="15" x14ac:dyDescent="0.2">
      <c r="B4964" s="183"/>
    </row>
    <row r="4965" spans="2:2" ht="15" x14ac:dyDescent="0.2">
      <c r="B4965" s="183"/>
    </row>
    <row r="4966" spans="2:2" ht="15" x14ac:dyDescent="0.2">
      <c r="B4966" s="183"/>
    </row>
    <row r="4967" spans="2:2" ht="15" x14ac:dyDescent="0.2">
      <c r="B4967" s="183"/>
    </row>
    <row r="4968" spans="2:2" ht="15" x14ac:dyDescent="0.2">
      <c r="B4968" s="183"/>
    </row>
    <row r="4969" spans="2:2" ht="15" x14ac:dyDescent="0.2">
      <c r="B4969" s="183"/>
    </row>
    <row r="4970" spans="2:2" ht="15" x14ac:dyDescent="0.2">
      <c r="B4970" s="183"/>
    </row>
    <row r="4971" spans="2:2" ht="15" x14ac:dyDescent="0.2">
      <c r="B4971" s="183"/>
    </row>
    <row r="4972" spans="2:2" ht="15" x14ac:dyDescent="0.2">
      <c r="B4972" s="183"/>
    </row>
    <row r="4973" spans="2:2" ht="15" x14ac:dyDescent="0.2">
      <c r="B4973" s="183"/>
    </row>
    <row r="4974" spans="2:2" ht="15" x14ac:dyDescent="0.2">
      <c r="B4974" s="183"/>
    </row>
    <row r="4975" spans="2:2" ht="15" x14ac:dyDescent="0.2">
      <c r="B4975" s="183"/>
    </row>
    <row r="4976" spans="2:2" ht="15" x14ac:dyDescent="0.2">
      <c r="B4976" s="183"/>
    </row>
    <row r="4977" spans="2:2" ht="15" x14ac:dyDescent="0.2">
      <c r="B4977" s="183"/>
    </row>
    <row r="4978" spans="2:2" ht="15" x14ac:dyDescent="0.2">
      <c r="B4978" s="183"/>
    </row>
    <row r="4979" spans="2:2" ht="15" x14ac:dyDescent="0.2">
      <c r="B4979" s="183"/>
    </row>
    <row r="4980" spans="2:2" ht="15" x14ac:dyDescent="0.2">
      <c r="B4980" s="183"/>
    </row>
    <row r="4981" spans="2:2" ht="15" x14ac:dyDescent="0.2">
      <c r="B4981" s="183"/>
    </row>
    <row r="4982" spans="2:2" ht="15" x14ac:dyDescent="0.2">
      <c r="B4982" s="183"/>
    </row>
    <row r="4983" spans="2:2" ht="15" x14ac:dyDescent="0.2">
      <c r="B4983" s="183"/>
    </row>
    <row r="4984" spans="2:2" ht="15" x14ac:dyDescent="0.2">
      <c r="B4984" s="183"/>
    </row>
    <row r="4985" spans="2:2" ht="15" x14ac:dyDescent="0.2">
      <c r="B4985" s="183"/>
    </row>
    <row r="4986" spans="2:2" ht="15" x14ac:dyDescent="0.2">
      <c r="B4986" s="183"/>
    </row>
    <row r="4987" spans="2:2" ht="15" x14ac:dyDescent="0.2">
      <c r="B4987" s="183"/>
    </row>
    <row r="4988" spans="2:2" ht="15" x14ac:dyDescent="0.2">
      <c r="B4988" s="183"/>
    </row>
    <row r="4989" spans="2:2" ht="15" x14ac:dyDescent="0.2">
      <c r="B4989" s="183"/>
    </row>
    <row r="4990" spans="2:2" ht="15" x14ac:dyDescent="0.2">
      <c r="B4990" s="183"/>
    </row>
    <row r="4991" spans="2:2" ht="15" x14ac:dyDescent="0.2">
      <c r="B4991" s="183"/>
    </row>
    <row r="4992" spans="2:2" ht="15" x14ac:dyDescent="0.2">
      <c r="B4992" s="183"/>
    </row>
    <row r="4993" spans="2:2" ht="15" x14ac:dyDescent="0.2">
      <c r="B4993" s="183"/>
    </row>
    <row r="4994" spans="2:2" ht="15" x14ac:dyDescent="0.2">
      <c r="B4994" s="183"/>
    </row>
    <row r="4995" spans="2:2" ht="15" x14ac:dyDescent="0.2">
      <c r="B4995" s="183"/>
    </row>
    <row r="4996" spans="2:2" ht="15" x14ac:dyDescent="0.2">
      <c r="B4996" s="183"/>
    </row>
    <row r="4997" spans="2:2" ht="15" x14ac:dyDescent="0.2">
      <c r="B4997" s="183"/>
    </row>
    <row r="4998" spans="2:2" ht="15" x14ac:dyDescent="0.2">
      <c r="B4998" s="183"/>
    </row>
    <row r="4999" spans="2:2" ht="15" x14ac:dyDescent="0.2">
      <c r="B4999" s="183"/>
    </row>
    <row r="5000" spans="2:2" ht="15" x14ac:dyDescent="0.2">
      <c r="B5000" s="183"/>
    </row>
    <row r="5001" spans="2:2" ht="15" x14ac:dyDescent="0.2">
      <c r="B5001" s="183"/>
    </row>
    <row r="5002" spans="2:2" ht="15" x14ac:dyDescent="0.2">
      <c r="B5002" s="183"/>
    </row>
    <row r="5003" spans="2:2" ht="15" x14ac:dyDescent="0.2">
      <c r="B5003" s="183"/>
    </row>
    <row r="5004" spans="2:2" ht="15" x14ac:dyDescent="0.2">
      <c r="B5004" s="183"/>
    </row>
    <row r="5005" spans="2:2" ht="15" x14ac:dyDescent="0.2">
      <c r="B5005" s="183"/>
    </row>
    <row r="5006" spans="2:2" ht="15" x14ac:dyDescent="0.2">
      <c r="B5006" s="183"/>
    </row>
    <row r="5007" spans="2:2" ht="15" x14ac:dyDescent="0.2">
      <c r="B5007" s="183"/>
    </row>
    <row r="5008" spans="2:2" ht="15" x14ac:dyDescent="0.2">
      <c r="B5008" s="183"/>
    </row>
    <row r="5009" spans="2:2" ht="15" x14ac:dyDescent="0.2">
      <c r="B5009" s="183"/>
    </row>
    <row r="5010" spans="2:2" ht="15" x14ac:dyDescent="0.2">
      <c r="B5010" s="183"/>
    </row>
    <row r="5011" spans="2:2" ht="15" x14ac:dyDescent="0.2">
      <c r="B5011" s="183"/>
    </row>
    <row r="5012" spans="2:2" ht="15" x14ac:dyDescent="0.2">
      <c r="B5012" s="183"/>
    </row>
    <row r="5013" spans="2:2" ht="15" x14ac:dyDescent="0.2">
      <c r="B5013" s="183"/>
    </row>
    <row r="5014" spans="2:2" ht="15" x14ac:dyDescent="0.2">
      <c r="B5014" s="183"/>
    </row>
    <row r="5015" spans="2:2" ht="15" x14ac:dyDescent="0.2">
      <c r="B5015" s="183"/>
    </row>
    <row r="5016" spans="2:2" ht="15" x14ac:dyDescent="0.2">
      <c r="B5016" s="183"/>
    </row>
    <row r="5017" spans="2:2" ht="15" x14ac:dyDescent="0.2">
      <c r="B5017" s="183"/>
    </row>
    <row r="5018" spans="2:2" ht="15" x14ac:dyDescent="0.2">
      <c r="B5018" s="183"/>
    </row>
    <row r="5019" spans="2:2" ht="15" x14ac:dyDescent="0.2">
      <c r="B5019" s="183"/>
    </row>
    <row r="5020" spans="2:2" ht="15" x14ac:dyDescent="0.2">
      <c r="B5020" s="183"/>
    </row>
    <row r="5021" spans="2:2" ht="15" x14ac:dyDescent="0.2">
      <c r="B5021" s="183"/>
    </row>
    <row r="5022" spans="2:2" ht="15" x14ac:dyDescent="0.2">
      <c r="B5022" s="183"/>
    </row>
    <row r="5023" spans="2:2" ht="15" x14ac:dyDescent="0.2">
      <c r="B5023" s="183"/>
    </row>
    <row r="5024" spans="2:2" ht="15" x14ac:dyDescent="0.2">
      <c r="B5024" s="183"/>
    </row>
    <row r="5025" spans="2:2" ht="15" x14ac:dyDescent="0.2">
      <c r="B5025" s="183"/>
    </row>
    <row r="5026" spans="2:2" ht="15" x14ac:dyDescent="0.2">
      <c r="B5026" s="183"/>
    </row>
    <row r="5027" spans="2:2" ht="15" x14ac:dyDescent="0.2">
      <c r="B5027" s="183"/>
    </row>
    <row r="5028" spans="2:2" ht="15" x14ac:dyDescent="0.2">
      <c r="B5028" s="183"/>
    </row>
    <row r="5029" spans="2:2" ht="15" x14ac:dyDescent="0.2">
      <c r="B5029" s="183"/>
    </row>
    <row r="5030" spans="2:2" ht="15" x14ac:dyDescent="0.2">
      <c r="B5030" s="183"/>
    </row>
    <row r="5031" spans="2:2" ht="15" x14ac:dyDescent="0.2">
      <c r="B5031" s="183"/>
    </row>
    <row r="5032" spans="2:2" ht="15" x14ac:dyDescent="0.2">
      <c r="B5032" s="183"/>
    </row>
    <row r="5033" spans="2:2" ht="15" x14ac:dyDescent="0.2">
      <c r="B5033" s="183"/>
    </row>
    <row r="5034" spans="2:2" ht="15" x14ac:dyDescent="0.2">
      <c r="B5034" s="183"/>
    </row>
    <row r="5035" spans="2:2" ht="15" x14ac:dyDescent="0.2">
      <c r="B5035" s="183"/>
    </row>
    <row r="5036" spans="2:2" ht="15" x14ac:dyDescent="0.2">
      <c r="B5036" s="183"/>
    </row>
    <row r="5037" spans="2:2" ht="15" x14ac:dyDescent="0.2">
      <c r="B5037" s="183"/>
    </row>
    <row r="5038" spans="2:2" ht="15" x14ac:dyDescent="0.2">
      <c r="B5038" s="183"/>
    </row>
    <row r="5039" spans="2:2" ht="15" x14ac:dyDescent="0.2">
      <c r="B5039" s="183"/>
    </row>
    <row r="5040" spans="2:2" ht="15" x14ac:dyDescent="0.2">
      <c r="B5040" s="183"/>
    </row>
    <row r="5041" spans="2:2" ht="15" x14ac:dyDescent="0.2">
      <c r="B5041" s="183"/>
    </row>
    <row r="5042" spans="2:2" ht="15" x14ac:dyDescent="0.2">
      <c r="B5042" s="183"/>
    </row>
    <row r="5043" spans="2:2" ht="15" x14ac:dyDescent="0.2">
      <c r="B5043" s="183"/>
    </row>
    <row r="5044" spans="2:2" ht="15" x14ac:dyDescent="0.2">
      <c r="B5044" s="183"/>
    </row>
    <row r="5045" spans="2:2" ht="15" x14ac:dyDescent="0.2">
      <c r="B5045" s="183"/>
    </row>
    <row r="5046" spans="2:2" ht="15" x14ac:dyDescent="0.2">
      <c r="B5046" s="183"/>
    </row>
    <row r="5047" spans="2:2" ht="15" x14ac:dyDescent="0.2">
      <c r="B5047" s="183"/>
    </row>
    <row r="5048" spans="2:2" ht="15" x14ac:dyDescent="0.2">
      <c r="B5048" s="183"/>
    </row>
    <row r="5049" spans="2:2" ht="15" x14ac:dyDescent="0.2">
      <c r="B5049" s="183"/>
    </row>
    <row r="5050" spans="2:2" ht="15" x14ac:dyDescent="0.2">
      <c r="B5050" s="183"/>
    </row>
    <row r="5051" spans="2:2" ht="15" x14ac:dyDescent="0.2">
      <c r="B5051" s="183"/>
    </row>
    <row r="5052" spans="2:2" ht="15" x14ac:dyDescent="0.2">
      <c r="B5052" s="183"/>
    </row>
    <row r="5053" spans="2:2" ht="15" x14ac:dyDescent="0.2">
      <c r="B5053" s="183"/>
    </row>
    <row r="5054" spans="2:2" ht="15" x14ac:dyDescent="0.2">
      <c r="B5054" s="183"/>
    </row>
    <row r="5055" spans="2:2" ht="15" x14ac:dyDescent="0.2">
      <c r="B5055" s="183"/>
    </row>
    <row r="5056" spans="2:2" ht="15" x14ac:dyDescent="0.2">
      <c r="B5056" s="183"/>
    </row>
    <row r="5057" spans="2:2" ht="15" x14ac:dyDescent="0.2">
      <c r="B5057" s="183"/>
    </row>
    <row r="5058" spans="2:2" ht="15" x14ac:dyDescent="0.2">
      <c r="B5058" s="183"/>
    </row>
    <row r="5059" spans="2:2" ht="15" x14ac:dyDescent="0.2">
      <c r="B5059" s="183"/>
    </row>
    <row r="5060" spans="2:2" ht="15" x14ac:dyDescent="0.2">
      <c r="B5060" s="183"/>
    </row>
    <row r="5061" spans="2:2" ht="15" x14ac:dyDescent="0.2">
      <c r="B5061" s="183"/>
    </row>
    <row r="5062" spans="2:2" ht="15" x14ac:dyDescent="0.2">
      <c r="B5062" s="183"/>
    </row>
    <row r="5063" spans="2:2" ht="15" x14ac:dyDescent="0.2">
      <c r="B5063" s="183"/>
    </row>
    <row r="5064" spans="2:2" ht="15" x14ac:dyDescent="0.2">
      <c r="B5064" s="183"/>
    </row>
    <row r="5065" spans="2:2" ht="15" x14ac:dyDescent="0.2">
      <c r="B5065" s="183"/>
    </row>
    <row r="5066" spans="2:2" ht="15" x14ac:dyDescent="0.2">
      <c r="B5066" s="183"/>
    </row>
    <row r="5067" spans="2:2" ht="15" x14ac:dyDescent="0.2">
      <c r="B5067" s="183"/>
    </row>
    <row r="5068" spans="2:2" ht="15" x14ac:dyDescent="0.2">
      <c r="B5068" s="183"/>
    </row>
    <row r="5069" spans="2:2" ht="15" x14ac:dyDescent="0.2">
      <c r="B5069" s="183"/>
    </row>
    <row r="5070" spans="2:2" ht="15" x14ac:dyDescent="0.2">
      <c r="B5070" s="183"/>
    </row>
    <row r="5071" spans="2:2" ht="15" x14ac:dyDescent="0.2">
      <c r="B5071" s="183"/>
    </row>
    <row r="5072" spans="2:2" ht="15" x14ac:dyDescent="0.2">
      <c r="B5072" s="183"/>
    </row>
    <row r="5073" spans="2:2" ht="15" x14ac:dyDescent="0.2">
      <c r="B5073" s="183"/>
    </row>
    <row r="5074" spans="2:2" ht="15" x14ac:dyDescent="0.2">
      <c r="B5074" s="183"/>
    </row>
    <row r="5075" spans="2:2" ht="15" x14ac:dyDescent="0.2">
      <c r="B5075" s="183"/>
    </row>
    <row r="5076" spans="2:2" ht="15" x14ac:dyDescent="0.2">
      <c r="B5076" s="183"/>
    </row>
    <row r="5077" spans="2:2" ht="15" x14ac:dyDescent="0.2">
      <c r="B5077" s="183"/>
    </row>
    <row r="5078" spans="2:2" ht="15" x14ac:dyDescent="0.2">
      <c r="B5078" s="183"/>
    </row>
    <row r="5079" spans="2:2" ht="15" x14ac:dyDescent="0.2">
      <c r="B5079" s="183"/>
    </row>
    <row r="5080" spans="2:2" ht="15" x14ac:dyDescent="0.2">
      <c r="B5080" s="183"/>
    </row>
    <row r="5081" spans="2:2" ht="15" x14ac:dyDescent="0.2">
      <c r="B5081" s="183"/>
    </row>
    <row r="5082" spans="2:2" ht="15" x14ac:dyDescent="0.2">
      <c r="B5082" s="183"/>
    </row>
    <row r="5083" spans="2:2" ht="15" x14ac:dyDescent="0.2">
      <c r="B5083" s="183"/>
    </row>
    <row r="5084" spans="2:2" ht="15" x14ac:dyDescent="0.2">
      <c r="B5084" s="183"/>
    </row>
    <row r="5085" spans="2:2" ht="15" x14ac:dyDescent="0.2">
      <c r="B5085" s="183"/>
    </row>
    <row r="5086" spans="2:2" ht="15" x14ac:dyDescent="0.2">
      <c r="B5086" s="183"/>
    </row>
    <row r="5087" spans="2:2" ht="15" x14ac:dyDescent="0.2">
      <c r="B5087" s="183"/>
    </row>
    <row r="5088" spans="2:2" ht="15" x14ac:dyDescent="0.2">
      <c r="B5088" s="183"/>
    </row>
    <row r="5089" spans="2:2" ht="15" x14ac:dyDescent="0.2">
      <c r="B5089" s="183"/>
    </row>
    <row r="5090" spans="2:2" ht="15" x14ac:dyDescent="0.2">
      <c r="B5090" s="183"/>
    </row>
    <row r="5091" spans="2:2" ht="15" x14ac:dyDescent="0.2">
      <c r="B5091" s="183"/>
    </row>
    <row r="5092" spans="2:2" ht="15" x14ac:dyDescent="0.2">
      <c r="B5092" s="183"/>
    </row>
    <row r="5093" spans="2:2" ht="15" x14ac:dyDescent="0.2">
      <c r="B5093" s="183"/>
    </row>
    <row r="5094" spans="2:2" ht="15" x14ac:dyDescent="0.2">
      <c r="B5094" s="183"/>
    </row>
    <row r="5095" spans="2:2" ht="15" x14ac:dyDescent="0.2">
      <c r="B5095" s="183"/>
    </row>
    <row r="5096" spans="2:2" ht="15" x14ac:dyDescent="0.2">
      <c r="B5096" s="183"/>
    </row>
    <row r="5097" spans="2:2" ht="15" x14ac:dyDescent="0.2">
      <c r="B5097" s="183"/>
    </row>
    <row r="5098" spans="2:2" ht="15" x14ac:dyDescent="0.2">
      <c r="B5098" s="183"/>
    </row>
    <row r="5099" spans="2:2" ht="15" x14ac:dyDescent="0.2">
      <c r="B5099" s="183"/>
    </row>
    <row r="5100" spans="2:2" ht="15" x14ac:dyDescent="0.2">
      <c r="B5100" s="183"/>
    </row>
    <row r="5101" spans="2:2" ht="15" x14ac:dyDescent="0.2">
      <c r="B5101" s="183"/>
    </row>
    <row r="5102" spans="2:2" ht="15" x14ac:dyDescent="0.2">
      <c r="B5102" s="183"/>
    </row>
    <row r="5103" spans="2:2" ht="15" x14ac:dyDescent="0.2">
      <c r="B5103" s="183"/>
    </row>
    <row r="5104" spans="2:2" ht="15" x14ac:dyDescent="0.2">
      <c r="B5104" s="183"/>
    </row>
    <row r="5105" spans="2:2" ht="15" x14ac:dyDescent="0.2">
      <c r="B5105" s="183"/>
    </row>
    <row r="5106" spans="2:2" ht="15" x14ac:dyDescent="0.2">
      <c r="B5106" s="183"/>
    </row>
    <row r="5107" spans="2:2" ht="15" x14ac:dyDescent="0.2">
      <c r="B5107" s="183"/>
    </row>
    <row r="5108" spans="2:2" ht="15" x14ac:dyDescent="0.2">
      <c r="B5108" s="183"/>
    </row>
    <row r="5109" spans="2:2" ht="15" x14ac:dyDescent="0.2">
      <c r="B5109" s="183"/>
    </row>
    <row r="5110" spans="2:2" ht="15" x14ac:dyDescent="0.2">
      <c r="B5110" s="183"/>
    </row>
    <row r="5111" spans="2:2" ht="15" x14ac:dyDescent="0.2">
      <c r="B5111" s="183"/>
    </row>
    <row r="5112" spans="2:2" ht="15" x14ac:dyDescent="0.2">
      <c r="B5112" s="183"/>
    </row>
    <row r="5113" spans="2:2" ht="15" x14ac:dyDescent="0.2">
      <c r="B5113" s="183"/>
    </row>
    <row r="5114" spans="2:2" ht="15" x14ac:dyDescent="0.2">
      <c r="B5114" s="183"/>
    </row>
    <row r="5115" spans="2:2" ht="15" x14ac:dyDescent="0.2">
      <c r="B5115" s="183"/>
    </row>
    <row r="5116" spans="2:2" ht="15" x14ac:dyDescent="0.2">
      <c r="B5116" s="183"/>
    </row>
    <row r="5117" spans="2:2" ht="15" x14ac:dyDescent="0.2">
      <c r="B5117" s="183"/>
    </row>
    <row r="5118" spans="2:2" ht="15" x14ac:dyDescent="0.2">
      <c r="B5118" s="183"/>
    </row>
    <row r="5119" spans="2:2" ht="15" x14ac:dyDescent="0.2">
      <c r="B5119" s="183"/>
    </row>
    <row r="5120" spans="2:2" ht="15" x14ac:dyDescent="0.2">
      <c r="B5120" s="183"/>
    </row>
    <row r="5121" spans="2:2" ht="15" x14ac:dyDescent="0.2">
      <c r="B5121" s="183"/>
    </row>
    <row r="5122" spans="2:2" ht="15" x14ac:dyDescent="0.2">
      <c r="B5122" s="183"/>
    </row>
    <row r="5123" spans="2:2" ht="15" x14ac:dyDescent="0.2">
      <c r="B5123" s="183"/>
    </row>
    <row r="5124" spans="2:2" ht="15" x14ac:dyDescent="0.2">
      <c r="B5124" s="183"/>
    </row>
    <row r="5125" spans="2:2" ht="15" x14ac:dyDescent="0.2">
      <c r="B5125" s="183"/>
    </row>
    <row r="5126" spans="2:2" ht="15" x14ac:dyDescent="0.2">
      <c r="B5126" s="183"/>
    </row>
    <row r="5127" spans="2:2" ht="15" x14ac:dyDescent="0.2">
      <c r="B5127" s="183"/>
    </row>
    <row r="5128" spans="2:2" ht="15" x14ac:dyDescent="0.2">
      <c r="B5128" s="183"/>
    </row>
    <row r="5129" spans="2:2" ht="15" x14ac:dyDescent="0.2">
      <c r="B5129" s="183"/>
    </row>
    <row r="5130" spans="2:2" ht="15" x14ac:dyDescent="0.2">
      <c r="B5130" s="183"/>
    </row>
    <row r="5131" spans="2:2" ht="15" x14ac:dyDescent="0.2">
      <c r="B5131" s="183"/>
    </row>
    <row r="5132" spans="2:2" ht="15" x14ac:dyDescent="0.2">
      <c r="B5132" s="183"/>
    </row>
    <row r="5133" spans="2:2" ht="15" x14ac:dyDescent="0.2">
      <c r="B5133" s="183"/>
    </row>
    <row r="5134" spans="2:2" ht="15" x14ac:dyDescent="0.2">
      <c r="B5134" s="183"/>
    </row>
    <row r="5135" spans="2:2" ht="15" x14ac:dyDescent="0.2">
      <c r="B5135" s="183"/>
    </row>
    <row r="5136" spans="2:2" ht="15" x14ac:dyDescent="0.2">
      <c r="B5136" s="183"/>
    </row>
    <row r="5137" spans="2:2" ht="15" x14ac:dyDescent="0.2">
      <c r="B5137" s="183"/>
    </row>
    <row r="5138" spans="2:2" ht="15" x14ac:dyDescent="0.2">
      <c r="B5138" s="183"/>
    </row>
    <row r="5139" spans="2:2" ht="15" x14ac:dyDescent="0.2">
      <c r="B5139" s="183"/>
    </row>
    <row r="5140" spans="2:2" ht="15" x14ac:dyDescent="0.2">
      <c r="B5140" s="183"/>
    </row>
    <row r="5141" spans="2:2" ht="15" x14ac:dyDescent="0.2">
      <c r="B5141" s="183"/>
    </row>
    <row r="5142" spans="2:2" ht="15" x14ac:dyDescent="0.2">
      <c r="B5142" s="183"/>
    </row>
    <row r="5143" spans="2:2" ht="15" x14ac:dyDescent="0.2">
      <c r="B5143" s="183"/>
    </row>
    <row r="5144" spans="2:2" ht="15" x14ac:dyDescent="0.2">
      <c r="B5144" s="183"/>
    </row>
    <row r="5145" spans="2:2" ht="15" x14ac:dyDescent="0.2">
      <c r="B5145" s="183"/>
    </row>
    <row r="5146" spans="2:2" ht="15" x14ac:dyDescent="0.2">
      <c r="B5146" s="183"/>
    </row>
    <row r="5147" spans="2:2" ht="15" x14ac:dyDescent="0.2">
      <c r="B5147" s="183"/>
    </row>
    <row r="5148" spans="2:2" ht="15" x14ac:dyDescent="0.2">
      <c r="B5148" s="183"/>
    </row>
    <row r="5149" spans="2:2" ht="15" x14ac:dyDescent="0.2">
      <c r="B5149" s="183"/>
    </row>
    <row r="5150" spans="2:2" ht="15" x14ac:dyDescent="0.2">
      <c r="B5150" s="183"/>
    </row>
    <row r="5151" spans="2:2" ht="15" x14ac:dyDescent="0.2">
      <c r="B5151" s="183"/>
    </row>
    <row r="5152" spans="2:2" ht="15" x14ac:dyDescent="0.2">
      <c r="B5152" s="183"/>
    </row>
    <row r="5153" spans="2:2" ht="15" x14ac:dyDescent="0.2">
      <c r="B5153" s="183"/>
    </row>
    <row r="5154" spans="2:2" ht="15" x14ac:dyDescent="0.2">
      <c r="B5154" s="183"/>
    </row>
    <row r="5155" spans="2:2" ht="15" x14ac:dyDescent="0.2">
      <c r="B5155" s="183"/>
    </row>
    <row r="5156" spans="2:2" ht="15" x14ac:dyDescent="0.2">
      <c r="B5156" s="183"/>
    </row>
    <row r="5157" spans="2:2" ht="15" x14ac:dyDescent="0.2">
      <c r="B5157" s="183"/>
    </row>
    <row r="5158" spans="2:2" ht="15" x14ac:dyDescent="0.2">
      <c r="B5158" s="183"/>
    </row>
    <row r="5159" spans="2:2" ht="15" x14ac:dyDescent="0.2">
      <c r="B5159" s="183"/>
    </row>
    <row r="5160" spans="2:2" ht="15" x14ac:dyDescent="0.2">
      <c r="B5160" s="183"/>
    </row>
    <row r="5161" spans="2:2" ht="15" x14ac:dyDescent="0.2">
      <c r="B5161" s="183"/>
    </row>
    <row r="5162" spans="2:2" ht="15" x14ac:dyDescent="0.2">
      <c r="B5162" s="183"/>
    </row>
    <row r="5163" spans="2:2" ht="15" x14ac:dyDescent="0.2">
      <c r="B5163" s="183"/>
    </row>
    <row r="5164" spans="2:2" ht="15" x14ac:dyDescent="0.2">
      <c r="B5164" s="183"/>
    </row>
    <row r="5165" spans="2:2" ht="15" x14ac:dyDescent="0.2">
      <c r="B5165" s="183"/>
    </row>
    <row r="5166" spans="2:2" ht="15" x14ac:dyDescent="0.2">
      <c r="B5166" s="183"/>
    </row>
    <row r="5167" spans="2:2" ht="15" x14ac:dyDescent="0.2">
      <c r="B5167" s="183"/>
    </row>
    <row r="5168" spans="2:2" ht="15" x14ac:dyDescent="0.2">
      <c r="B5168" s="183"/>
    </row>
    <row r="5169" spans="2:2" ht="15" x14ac:dyDescent="0.2">
      <c r="B5169" s="183"/>
    </row>
    <row r="5170" spans="2:2" ht="15" x14ac:dyDescent="0.2">
      <c r="B5170" s="183"/>
    </row>
    <row r="5171" spans="2:2" ht="15" x14ac:dyDescent="0.2">
      <c r="B5171" s="183"/>
    </row>
    <row r="5172" spans="2:2" ht="15" x14ac:dyDescent="0.2">
      <c r="B5172" s="183"/>
    </row>
    <row r="5173" spans="2:2" ht="15" x14ac:dyDescent="0.2">
      <c r="B5173" s="183"/>
    </row>
    <row r="5174" spans="2:2" ht="15" x14ac:dyDescent="0.2">
      <c r="B5174" s="183"/>
    </row>
    <row r="5175" spans="2:2" ht="15" x14ac:dyDescent="0.2">
      <c r="B5175" s="183"/>
    </row>
    <row r="5176" spans="2:2" ht="15" x14ac:dyDescent="0.2">
      <c r="B5176" s="183"/>
    </row>
    <row r="5177" spans="2:2" ht="15" x14ac:dyDescent="0.2">
      <c r="B5177" s="183"/>
    </row>
    <row r="5178" spans="2:2" ht="15" x14ac:dyDescent="0.2">
      <c r="B5178" s="183"/>
    </row>
    <row r="5179" spans="2:2" ht="15" x14ac:dyDescent="0.2">
      <c r="B5179" s="183"/>
    </row>
    <row r="5180" spans="2:2" ht="15" x14ac:dyDescent="0.2">
      <c r="B5180" s="183"/>
    </row>
    <row r="5181" spans="2:2" ht="15" x14ac:dyDescent="0.2">
      <c r="B5181" s="183"/>
    </row>
    <row r="5182" spans="2:2" ht="15" x14ac:dyDescent="0.2">
      <c r="B5182" s="183"/>
    </row>
    <row r="5183" spans="2:2" ht="15" x14ac:dyDescent="0.2">
      <c r="B5183" s="183"/>
    </row>
    <row r="5184" spans="2:2" ht="15" x14ac:dyDescent="0.2">
      <c r="B5184" s="183"/>
    </row>
    <row r="5185" spans="2:2" ht="15" x14ac:dyDescent="0.2">
      <c r="B5185" s="183"/>
    </row>
    <row r="5186" spans="2:2" ht="15" x14ac:dyDescent="0.2">
      <c r="B5186" s="183"/>
    </row>
    <row r="5187" spans="2:2" ht="15" x14ac:dyDescent="0.2">
      <c r="B5187" s="183"/>
    </row>
    <row r="5188" spans="2:2" ht="15" x14ac:dyDescent="0.2">
      <c r="B5188" s="183"/>
    </row>
    <row r="5189" spans="2:2" ht="15" x14ac:dyDescent="0.2">
      <c r="B5189" s="183"/>
    </row>
    <row r="5190" spans="2:2" ht="15" x14ac:dyDescent="0.2">
      <c r="B5190" s="183"/>
    </row>
    <row r="5191" spans="2:2" ht="15" x14ac:dyDescent="0.2">
      <c r="B5191" s="183"/>
    </row>
    <row r="5192" spans="2:2" ht="15" x14ac:dyDescent="0.2">
      <c r="B5192" s="183"/>
    </row>
    <row r="5193" spans="2:2" ht="15" x14ac:dyDescent="0.2">
      <c r="B5193" s="183"/>
    </row>
    <row r="5194" spans="2:2" ht="15" x14ac:dyDescent="0.2">
      <c r="B5194" s="183"/>
    </row>
    <row r="5195" spans="2:2" ht="15" x14ac:dyDescent="0.2">
      <c r="B5195" s="183"/>
    </row>
    <row r="5196" spans="2:2" ht="15" x14ac:dyDescent="0.2">
      <c r="B5196" s="183"/>
    </row>
    <row r="5197" spans="2:2" ht="15" x14ac:dyDescent="0.2">
      <c r="B5197" s="183"/>
    </row>
    <row r="5198" spans="2:2" ht="15" x14ac:dyDescent="0.2">
      <c r="B5198" s="183"/>
    </row>
    <row r="5199" spans="2:2" ht="15" x14ac:dyDescent="0.2">
      <c r="B5199" s="183"/>
    </row>
    <row r="5200" spans="2:2" ht="15" x14ac:dyDescent="0.2">
      <c r="B5200" s="183"/>
    </row>
    <row r="5201" spans="2:2" ht="15" x14ac:dyDescent="0.2">
      <c r="B5201" s="183"/>
    </row>
    <row r="5202" spans="2:2" ht="15" x14ac:dyDescent="0.2">
      <c r="B5202" s="183"/>
    </row>
    <row r="5203" spans="2:2" ht="15" x14ac:dyDescent="0.2">
      <c r="B5203" s="183"/>
    </row>
    <row r="5204" spans="2:2" ht="15" x14ac:dyDescent="0.2">
      <c r="B5204" s="183"/>
    </row>
    <row r="5205" spans="2:2" ht="15" x14ac:dyDescent="0.2">
      <c r="B5205" s="183"/>
    </row>
    <row r="5206" spans="2:2" ht="15" x14ac:dyDescent="0.2">
      <c r="B5206" s="183"/>
    </row>
    <row r="5207" spans="2:2" ht="15" x14ac:dyDescent="0.2">
      <c r="B5207" s="183"/>
    </row>
    <row r="5208" spans="2:2" ht="15" x14ac:dyDescent="0.2">
      <c r="B5208" s="183"/>
    </row>
    <row r="5209" spans="2:2" ht="15" x14ac:dyDescent="0.2">
      <c r="B5209" s="183"/>
    </row>
    <row r="5210" spans="2:2" ht="15" x14ac:dyDescent="0.2">
      <c r="B5210" s="183"/>
    </row>
    <row r="5211" spans="2:2" ht="15" x14ac:dyDescent="0.2">
      <c r="B5211" s="183"/>
    </row>
    <row r="5212" spans="2:2" ht="15" x14ac:dyDescent="0.2">
      <c r="B5212" s="183"/>
    </row>
    <row r="5213" spans="2:2" ht="15" x14ac:dyDescent="0.2">
      <c r="B5213" s="183"/>
    </row>
    <row r="5214" spans="2:2" ht="15" x14ac:dyDescent="0.2">
      <c r="B5214" s="183"/>
    </row>
    <row r="5215" spans="2:2" ht="15" x14ac:dyDescent="0.2">
      <c r="B5215" s="183"/>
    </row>
    <row r="5216" spans="2:2" ht="15" x14ac:dyDescent="0.2">
      <c r="B5216" s="183"/>
    </row>
    <row r="5217" spans="2:2" ht="15" x14ac:dyDescent="0.2">
      <c r="B5217" s="183"/>
    </row>
    <row r="5218" spans="2:2" ht="15" x14ac:dyDescent="0.2">
      <c r="B5218" s="183"/>
    </row>
    <row r="5219" spans="2:2" ht="15" x14ac:dyDescent="0.2">
      <c r="B5219" s="183"/>
    </row>
    <row r="5220" spans="2:2" ht="15" x14ac:dyDescent="0.2">
      <c r="B5220" s="183"/>
    </row>
    <row r="5221" spans="2:2" ht="15" x14ac:dyDescent="0.2">
      <c r="B5221" s="183"/>
    </row>
    <row r="5222" spans="2:2" ht="15" x14ac:dyDescent="0.2">
      <c r="B5222" s="183"/>
    </row>
    <row r="5223" spans="2:2" ht="15" x14ac:dyDescent="0.2">
      <c r="B5223" s="183"/>
    </row>
    <row r="5224" spans="2:2" ht="15" x14ac:dyDescent="0.2">
      <c r="B5224" s="183"/>
    </row>
    <row r="5225" spans="2:2" ht="15" x14ac:dyDescent="0.2">
      <c r="B5225" s="183"/>
    </row>
    <row r="5226" spans="2:2" ht="15" x14ac:dyDescent="0.2">
      <c r="B5226" s="183"/>
    </row>
    <row r="5227" spans="2:2" ht="15" x14ac:dyDescent="0.2">
      <c r="B5227" s="183"/>
    </row>
    <row r="5228" spans="2:2" ht="15" x14ac:dyDescent="0.2">
      <c r="B5228" s="183"/>
    </row>
    <row r="5229" spans="2:2" ht="15" x14ac:dyDescent="0.2">
      <c r="B5229" s="183"/>
    </row>
    <row r="5230" spans="2:2" ht="15" x14ac:dyDescent="0.2">
      <c r="B5230" s="183"/>
    </row>
    <row r="5231" spans="2:2" ht="15" x14ac:dyDescent="0.2">
      <c r="B5231" s="183"/>
    </row>
    <row r="5232" spans="2:2" ht="15" x14ac:dyDescent="0.2">
      <c r="B5232" s="183"/>
    </row>
    <row r="5233" spans="2:2" ht="15" x14ac:dyDescent="0.2">
      <c r="B5233" s="183"/>
    </row>
    <row r="5234" spans="2:2" ht="15" x14ac:dyDescent="0.2">
      <c r="B5234" s="183"/>
    </row>
    <row r="5235" spans="2:2" ht="15" x14ac:dyDescent="0.2">
      <c r="B5235" s="183"/>
    </row>
    <row r="5236" spans="2:2" ht="15" x14ac:dyDescent="0.2">
      <c r="B5236" s="183"/>
    </row>
    <row r="5237" spans="2:2" ht="15" x14ac:dyDescent="0.2">
      <c r="B5237" s="183"/>
    </row>
    <row r="5238" spans="2:2" ht="15" x14ac:dyDescent="0.2">
      <c r="B5238" s="183"/>
    </row>
    <row r="5239" spans="2:2" ht="15" x14ac:dyDescent="0.2">
      <c r="B5239" s="183"/>
    </row>
    <row r="5240" spans="2:2" ht="15" x14ac:dyDescent="0.2">
      <c r="B5240" s="183"/>
    </row>
    <row r="5241" spans="2:2" ht="15" x14ac:dyDescent="0.2">
      <c r="B5241" s="183"/>
    </row>
    <row r="5242" spans="2:2" ht="15" x14ac:dyDescent="0.2">
      <c r="B5242" s="183"/>
    </row>
    <row r="5243" spans="2:2" ht="15" x14ac:dyDescent="0.2">
      <c r="B5243" s="183"/>
    </row>
    <row r="5244" spans="2:2" ht="15" x14ac:dyDescent="0.2">
      <c r="B5244" s="183"/>
    </row>
    <row r="5245" spans="2:2" ht="15" x14ac:dyDescent="0.2">
      <c r="B5245" s="183"/>
    </row>
    <row r="5246" spans="2:2" ht="15" x14ac:dyDescent="0.2">
      <c r="B5246" s="183"/>
    </row>
    <row r="5247" spans="2:2" ht="15" x14ac:dyDescent="0.2">
      <c r="B5247" s="183"/>
    </row>
    <row r="5248" spans="2:2" ht="15" x14ac:dyDescent="0.2">
      <c r="B5248" s="183"/>
    </row>
    <row r="5249" spans="2:2" ht="15" x14ac:dyDescent="0.2">
      <c r="B5249" s="183"/>
    </row>
    <row r="5250" spans="2:2" ht="15" x14ac:dyDescent="0.2">
      <c r="B5250" s="183"/>
    </row>
    <row r="5251" spans="2:2" ht="15" x14ac:dyDescent="0.2">
      <c r="B5251" s="183"/>
    </row>
    <row r="5252" spans="2:2" ht="15" x14ac:dyDescent="0.2">
      <c r="B5252" s="183"/>
    </row>
    <row r="5253" spans="2:2" ht="15" x14ac:dyDescent="0.2">
      <c r="B5253" s="183"/>
    </row>
    <row r="5254" spans="2:2" ht="15" x14ac:dyDescent="0.2">
      <c r="B5254" s="183"/>
    </row>
    <row r="5255" spans="2:2" ht="15" x14ac:dyDescent="0.2">
      <c r="B5255" s="183"/>
    </row>
    <row r="5256" spans="2:2" ht="15" x14ac:dyDescent="0.2">
      <c r="B5256" s="183"/>
    </row>
    <row r="5257" spans="2:2" ht="15" x14ac:dyDescent="0.2">
      <c r="B5257" s="183"/>
    </row>
    <row r="5258" spans="2:2" ht="15" x14ac:dyDescent="0.2">
      <c r="B5258" s="183"/>
    </row>
    <row r="5259" spans="2:2" ht="15" x14ac:dyDescent="0.2">
      <c r="B5259" s="183"/>
    </row>
    <row r="5260" spans="2:2" ht="15" x14ac:dyDescent="0.2">
      <c r="B5260" s="183"/>
    </row>
    <row r="5261" spans="2:2" ht="15" x14ac:dyDescent="0.2">
      <c r="B5261" s="183"/>
    </row>
    <row r="5262" spans="2:2" ht="15" x14ac:dyDescent="0.2">
      <c r="B5262" s="183"/>
    </row>
    <row r="5263" spans="2:2" ht="15" x14ac:dyDescent="0.2">
      <c r="B5263" s="183"/>
    </row>
    <row r="5264" spans="2:2" ht="15" x14ac:dyDescent="0.2">
      <c r="B5264" s="183"/>
    </row>
    <row r="5265" spans="2:2" ht="15" x14ac:dyDescent="0.2">
      <c r="B5265" s="183"/>
    </row>
    <row r="5266" spans="2:2" ht="15" x14ac:dyDescent="0.2">
      <c r="B5266" s="183"/>
    </row>
    <row r="5267" spans="2:2" ht="15" x14ac:dyDescent="0.2">
      <c r="B5267" s="183"/>
    </row>
    <row r="5268" spans="2:2" ht="15" x14ac:dyDescent="0.2">
      <c r="B5268" s="183"/>
    </row>
    <row r="5269" spans="2:2" ht="15" x14ac:dyDescent="0.2">
      <c r="B5269" s="183"/>
    </row>
    <row r="5270" spans="2:2" ht="15" x14ac:dyDescent="0.2">
      <c r="B5270" s="183"/>
    </row>
    <row r="5271" spans="2:2" ht="15" x14ac:dyDescent="0.2">
      <c r="B5271" s="183"/>
    </row>
    <row r="5272" spans="2:2" ht="15" x14ac:dyDescent="0.2">
      <c r="B5272" s="183"/>
    </row>
    <row r="5273" spans="2:2" ht="15" x14ac:dyDescent="0.2">
      <c r="B5273" s="183"/>
    </row>
    <row r="5274" spans="2:2" ht="15" x14ac:dyDescent="0.2">
      <c r="B5274" s="183"/>
    </row>
    <row r="5275" spans="2:2" ht="15" x14ac:dyDescent="0.2">
      <c r="B5275" s="183"/>
    </row>
    <row r="5276" spans="2:2" ht="15" x14ac:dyDescent="0.2">
      <c r="B5276" s="183"/>
    </row>
    <row r="5277" spans="2:2" ht="15" x14ac:dyDescent="0.2">
      <c r="B5277" s="183"/>
    </row>
    <row r="5278" spans="2:2" ht="15" x14ac:dyDescent="0.2">
      <c r="B5278" s="183"/>
    </row>
    <row r="5279" spans="2:2" ht="15" x14ac:dyDescent="0.2">
      <c r="B5279" s="183"/>
    </row>
    <row r="5280" spans="2:2" ht="15" x14ac:dyDescent="0.2">
      <c r="B5280" s="183"/>
    </row>
    <row r="5281" spans="2:2" ht="15" x14ac:dyDescent="0.2">
      <c r="B5281" s="183"/>
    </row>
    <row r="5282" spans="2:2" ht="15" x14ac:dyDescent="0.2">
      <c r="B5282" s="183"/>
    </row>
    <row r="5283" spans="2:2" ht="15" x14ac:dyDescent="0.2">
      <c r="B5283" s="183"/>
    </row>
    <row r="5284" spans="2:2" ht="15" x14ac:dyDescent="0.2">
      <c r="B5284" s="183"/>
    </row>
    <row r="5285" spans="2:2" ht="15" x14ac:dyDescent="0.2">
      <c r="B5285" s="183"/>
    </row>
    <row r="5286" spans="2:2" ht="15" x14ac:dyDescent="0.2">
      <c r="B5286" s="183"/>
    </row>
    <row r="5287" spans="2:2" ht="15" x14ac:dyDescent="0.2">
      <c r="B5287" s="183"/>
    </row>
    <row r="5288" spans="2:2" ht="15" x14ac:dyDescent="0.2">
      <c r="B5288" s="183"/>
    </row>
    <row r="5289" spans="2:2" ht="15" x14ac:dyDescent="0.2">
      <c r="B5289" s="183"/>
    </row>
    <row r="5290" spans="2:2" ht="15" x14ac:dyDescent="0.2">
      <c r="B5290" s="183"/>
    </row>
    <row r="5291" spans="2:2" ht="15" x14ac:dyDescent="0.2">
      <c r="B5291" s="183"/>
    </row>
    <row r="5292" spans="2:2" ht="15" x14ac:dyDescent="0.2">
      <c r="B5292" s="183"/>
    </row>
    <row r="5293" spans="2:2" ht="15" x14ac:dyDescent="0.2">
      <c r="B5293" s="183"/>
    </row>
    <row r="5294" spans="2:2" ht="15" x14ac:dyDescent="0.2">
      <c r="B5294" s="183"/>
    </row>
    <row r="5295" spans="2:2" ht="15" x14ac:dyDescent="0.2">
      <c r="B5295" s="183"/>
    </row>
    <row r="5296" spans="2:2" ht="15" x14ac:dyDescent="0.2">
      <c r="B5296" s="183"/>
    </row>
    <row r="5297" spans="2:2" ht="15" x14ac:dyDescent="0.2">
      <c r="B5297" s="183"/>
    </row>
    <row r="5298" spans="2:2" ht="15" x14ac:dyDescent="0.2">
      <c r="B5298" s="183"/>
    </row>
    <row r="5299" spans="2:2" ht="15" x14ac:dyDescent="0.2">
      <c r="B5299" s="183"/>
    </row>
    <row r="5300" spans="2:2" ht="15" x14ac:dyDescent="0.2">
      <c r="B5300" s="183"/>
    </row>
    <row r="5301" spans="2:2" ht="15" x14ac:dyDescent="0.2">
      <c r="B5301" s="183"/>
    </row>
    <row r="5302" spans="2:2" ht="15" x14ac:dyDescent="0.2">
      <c r="B5302" s="183"/>
    </row>
    <row r="5303" spans="2:2" ht="15" x14ac:dyDescent="0.2">
      <c r="B5303" s="183"/>
    </row>
    <row r="5304" spans="2:2" ht="15" x14ac:dyDescent="0.2">
      <c r="B5304" s="183"/>
    </row>
    <row r="5305" spans="2:2" ht="15" x14ac:dyDescent="0.2">
      <c r="B5305" s="183"/>
    </row>
    <row r="5306" spans="2:2" ht="15" x14ac:dyDescent="0.2">
      <c r="B5306" s="183"/>
    </row>
    <row r="5307" spans="2:2" ht="15" x14ac:dyDescent="0.2">
      <c r="B5307" s="183"/>
    </row>
    <row r="5308" spans="2:2" ht="15" x14ac:dyDescent="0.2">
      <c r="B5308" s="183"/>
    </row>
    <row r="5309" spans="2:2" ht="15" x14ac:dyDescent="0.2">
      <c r="B5309" s="183"/>
    </row>
    <row r="5310" spans="2:2" ht="15" x14ac:dyDescent="0.2">
      <c r="B5310" s="183"/>
    </row>
    <row r="5311" spans="2:2" ht="15" x14ac:dyDescent="0.2">
      <c r="B5311" s="183"/>
    </row>
    <row r="5312" spans="2:2" ht="15" x14ac:dyDescent="0.2">
      <c r="B5312" s="183"/>
    </row>
    <row r="5313" spans="2:2" ht="15" x14ac:dyDescent="0.2">
      <c r="B5313" s="183"/>
    </row>
    <row r="5314" spans="2:2" ht="15" x14ac:dyDescent="0.2">
      <c r="B5314" s="183"/>
    </row>
    <row r="5315" spans="2:2" ht="15" x14ac:dyDescent="0.2">
      <c r="B5315" s="183"/>
    </row>
    <row r="5316" spans="2:2" ht="15" x14ac:dyDescent="0.2">
      <c r="B5316" s="183"/>
    </row>
    <row r="5317" spans="2:2" ht="15" x14ac:dyDescent="0.2">
      <c r="B5317" s="183"/>
    </row>
    <row r="5318" spans="2:2" ht="15" x14ac:dyDescent="0.2">
      <c r="B5318" s="183"/>
    </row>
    <row r="5319" spans="2:2" ht="15" x14ac:dyDescent="0.2">
      <c r="B5319" s="183"/>
    </row>
    <row r="5320" spans="2:2" ht="15" x14ac:dyDescent="0.2">
      <c r="B5320" s="183"/>
    </row>
    <row r="5321" spans="2:2" ht="15" x14ac:dyDescent="0.2">
      <c r="B5321" s="183"/>
    </row>
    <row r="5322" spans="2:2" ht="15" x14ac:dyDescent="0.2">
      <c r="B5322" s="183"/>
    </row>
    <row r="5323" spans="2:2" ht="15" x14ac:dyDescent="0.2">
      <c r="B5323" s="183"/>
    </row>
    <row r="5324" spans="2:2" ht="15" x14ac:dyDescent="0.2">
      <c r="B5324" s="183"/>
    </row>
    <row r="5325" spans="2:2" ht="15" x14ac:dyDescent="0.2">
      <c r="B5325" s="183"/>
    </row>
    <row r="5326" spans="2:2" ht="15" x14ac:dyDescent="0.2">
      <c r="B5326" s="183"/>
    </row>
    <row r="5327" spans="2:2" ht="15" x14ac:dyDescent="0.2">
      <c r="B5327" s="183"/>
    </row>
    <row r="5328" spans="2:2" ht="15" x14ac:dyDescent="0.2">
      <c r="B5328" s="183"/>
    </row>
    <row r="5329" spans="2:2" ht="15" x14ac:dyDescent="0.2">
      <c r="B5329" s="183"/>
    </row>
    <row r="5330" spans="2:2" ht="15" x14ac:dyDescent="0.2">
      <c r="B5330" s="183"/>
    </row>
    <row r="5331" spans="2:2" ht="15" x14ac:dyDescent="0.2">
      <c r="B5331" s="183"/>
    </row>
    <row r="5332" spans="2:2" ht="15" x14ac:dyDescent="0.2">
      <c r="B5332" s="183"/>
    </row>
    <row r="5333" spans="2:2" ht="15" x14ac:dyDescent="0.2">
      <c r="B5333" s="183"/>
    </row>
    <row r="5334" spans="2:2" ht="15" x14ac:dyDescent="0.2">
      <c r="B5334" s="183"/>
    </row>
    <row r="5335" spans="2:2" ht="15" x14ac:dyDescent="0.2">
      <c r="B5335" s="183"/>
    </row>
    <row r="5336" spans="2:2" ht="15" x14ac:dyDescent="0.2">
      <c r="B5336" s="183"/>
    </row>
    <row r="5337" spans="2:2" ht="15" x14ac:dyDescent="0.2">
      <c r="B5337" s="183"/>
    </row>
    <row r="5338" spans="2:2" ht="15" x14ac:dyDescent="0.2">
      <c r="B5338" s="183"/>
    </row>
    <row r="5339" spans="2:2" ht="15" x14ac:dyDescent="0.2">
      <c r="B5339" s="183"/>
    </row>
    <row r="5340" spans="2:2" ht="15" x14ac:dyDescent="0.2">
      <c r="B5340" s="183"/>
    </row>
    <row r="5341" spans="2:2" ht="15" x14ac:dyDescent="0.2">
      <c r="B5341" s="183"/>
    </row>
    <row r="5342" spans="2:2" ht="15" x14ac:dyDescent="0.2">
      <c r="B5342" s="183"/>
    </row>
    <row r="5343" spans="2:2" ht="15" x14ac:dyDescent="0.2">
      <c r="B5343" s="183"/>
    </row>
    <row r="5344" spans="2:2" ht="15" x14ac:dyDescent="0.2">
      <c r="B5344" s="183"/>
    </row>
    <row r="5345" spans="2:2" ht="15" x14ac:dyDescent="0.2">
      <c r="B5345" s="183"/>
    </row>
    <row r="5346" spans="2:2" ht="15" x14ac:dyDescent="0.2">
      <c r="B5346" s="183"/>
    </row>
    <row r="5347" spans="2:2" ht="15" x14ac:dyDescent="0.2">
      <c r="B5347" s="183"/>
    </row>
    <row r="5348" spans="2:2" ht="15" x14ac:dyDescent="0.2">
      <c r="B5348" s="183"/>
    </row>
    <row r="5349" spans="2:2" ht="15" x14ac:dyDescent="0.2">
      <c r="B5349" s="183"/>
    </row>
    <row r="5350" spans="2:2" ht="15" x14ac:dyDescent="0.2">
      <c r="B5350" s="183"/>
    </row>
    <row r="5351" spans="2:2" ht="15" x14ac:dyDescent="0.2">
      <c r="B5351" s="183"/>
    </row>
    <row r="5352" spans="2:2" ht="15" x14ac:dyDescent="0.2">
      <c r="B5352" s="183"/>
    </row>
    <row r="5353" spans="2:2" ht="15" x14ac:dyDescent="0.2">
      <c r="B5353" s="183"/>
    </row>
    <row r="5354" spans="2:2" ht="15" x14ac:dyDescent="0.2">
      <c r="B5354" s="183"/>
    </row>
    <row r="5355" spans="2:2" ht="15" x14ac:dyDescent="0.2">
      <c r="B5355" s="183"/>
    </row>
    <row r="5356" spans="2:2" ht="15" x14ac:dyDescent="0.2">
      <c r="B5356" s="183"/>
    </row>
    <row r="5357" spans="2:2" ht="15" x14ac:dyDescent="0.2">
      <c r="B5357" s="183"/>
    </row>
    <row r="5358" spans="2:2" ht="15" x14ac:dyDescent="0.2">
      <c r="B5358" s="183"/>
    </row>
    <row r="5359" spans="2:2" ht="15" x14ac:dyDescent="0.2">
      <c r="B5359" s="183"/>
    </row>
    <row r="5360" spans="2:2" ht="15" x14ac:dyDescent="0.2">
      <c r="B5360" s="183"/>
    </row>
    <row r="5361" spans="2:2" ht="15" x14ac:dyDescent="0.2">
      <c r="B5361" s="183"/>
    </row>
    <row r="5362" spans="2:2" ht="15" x14ac:dyDescent="0.2">
      <c r="B5362" s="183"/>
    </row>
    <row r="5363" spans="2:2" ht="15" x14ac:dyDescent="0.2">
      <c r="B5363" s="183"/>
    </row>
    <row r="5364" spans="2:2" ht="15" x14ac:dyDescent="0.2">
      <c r="B5364" s="183"/>
    </row>
    <row r="5365" spans="2:2" ht="15" x14ac:dyDescent="0.2">
      <c r="B5365" s="183"/>
    </row>
    <row r="5366" spans="2:2" ht="15" x14ac:dyDescent="0.2">
      <c r="B5366" s="183"/>
    </row>
    <row r="5367" spans="2:2" ht="15" x14ac:dyDescent="0.2">
      <c r="B5367" s="183"/>
    </row>
    <row r="5368" spans="2:2" ht="15" x14ac:dyDescent="0.2">
      <c r="B5368" s="183"/>
    </row>
    <row r="5369" spans="2:2" ht="15" x14ac:dyDescent="0.2">
      <c r="B5369" s="183"/>
    </row>
    <row r="5370" spans="2:2" ht="15" x14ac:dyDescent="0.2">
      <c r="B5370" s="183"/>
    </row>
    <row r="5371" spans="2:2" ht="15" x14ac:dyDescent="0.2">
      <c r="B5371" s="183"/>
    </row>
    <row r="5372" spans="2:2" ht="15" x14ac:dyDescent="0.2">
      <c r="B5372" s="183"/>
    </row>
    <row r="5373" spans="2:2" ht="15" x14ac:dyDescent="0.2">
      <c r="B5373" s="183"/>
    </row>
    <row r="5374" spans="2:2" ht="15" x14ac:dyDescent="0.2">
      <c r="B5374" s="183"/>
    </row>
    <row r="5375" spans="2:2" ht="15" x14ac:dyDescent="0.2">
      <c r="B5375" s="183"/>
    </row>
    <row r="5376" spans="2:2" ht="15" x14ac:dyDescent="0.2">
      <c r="B5376" s="183"/>
    </row>
    <row r="5377" spans="2:2" ht="15" x14ac:dyDescent="0.2">
      <c r="B5377" s="183"/>
    </row>
    <row r="5378" spans="2:2" ht="15" x14ac:dyDescent="0.2">
      <c r="B5378" s="183"/>
    </row>
    <row r="5379" spans="2:2" ht="15" x14ac:dyDescent="0.2">
      <c r="B5379" s="183"/>
    </row>
    <row r="5380" spans="2:2" ht="15" x14ac:dyDescent="0.2">
      <c r="B5380" s="183"/>
    </row>
    <row r="5381" spans="2:2" ht="15" x14ac:dyDescent="0.2">
      <c r="B5381" s="183"/>
    </row>
    <row r="5382" spans="2:2" ht="15" x14ac:dyDescent="0.2">
      <c r="B5382" s="183"/>
    </row>
    <row r="5383" spans="2:2" ht="15" x14ac:dyDescent="0.2">
      <c r="B5383" s="183"/>
    </row>
    <row r="5384" spans="2:2" ht="15" x14ac:dyDescent="0.2">
      <c r="B5384" s="183"/>
    </row>
    <row r="5385" spans="2:2" ht="15" x14ac:dyDescent="0.2">
      <c r="B5385" s="183"/>
    </row>
    <row r="5386" spans="2:2" ht="15" x14ac:dyDescent="0.2">
      <c r="B5386" s="183"/>
    </row>
    <row r="5387" spans="2:2" ht="15" x14ac:dyDescent="0.2">
      <c r="B5387" s="183"/>
    </row>
    <row r="5388" spans="2:2" ht="15" x14ac:dyDescent="0.2">
      <c r="B5388" s="183"/>
    </row>
    <row r="5389" spans="2:2" ht="15" x14ac:dyDescent="0.2">
      <c r="B5389" s="183"/>
    </row>
    <row r="5390" spans="2:2" ht="15" x14ac:dyDescent="0.2">
      <c r="B5390" s="183"/>
    </row>
    <row r="5391" spans="2:2" ht="15" x14ac:dyDescent="0.2">
      <c r="B5391" s="183"/>
    </row>
    <row r="5392" spans="2:2" ht="15" x14ac:dyDescent="0.2">
      <c r="B5392" s="183"/>
    </row>
    <row r="5393" spans="2:2" ht="15" x14ac:dyDescent="0.2">
      <c r="B5393" s="183"/>
    </row>
    <row r="5394" spans="2:2" ht="15" x14ac:dyDescent="0.2">
      <c r="B5394" s="183"/>
    </row>
    <row r="5395" spans="2:2" ht="15" x14ac:dyDescent="0.2">
      <c r="B5395" s="183"/>
    </row>
    <row r="5396" spans="2:2" ht="15" x14ac:dyDescent="0.2">
      <c r="B5396" s="183"/>
    </row>
    <row r="5397" spans="2:2" ht="15" x14ac:dyDescent="0.2">
      <c r="B5397" s="183"/>
    </row>
    <row r="5398" spans="2:2" ht="15" x14ac:dyDescent="0.2">
      <c r="B5398" s="183"/>
    </row>
    <row r="5399" spans="2:2" ht="15" x14ac:dyDescent="0.2">
      <c r="B5399" s="183"/>
    </row>
    <row r="5400" spans="2:2" ht="15" x14ac:dyDescent="0.2">
      <c r="B5400" s="183"/>
    </row>
    <row r="5401" spans="2:2" ht="15" x14ac:dyDescent="0.2">
      <c r="B5401" s="183"/>
    </row>
    <row r="5402" spans="2:2" ht="15" x14ac:dyDescent="0.2">
      <c r="B5402" s="183"/>
    </row>
    <row r="5403" spans="2:2" ht="15" x14ac:dyDescent="0.2">
      <c r="B5403" s="183"/>
    </row>
    <row r="5404" spans="2:2" ht="15" x14ac:dyDescent="0.2">
      <c r="B5404" s="183"/>
    </row>
    <row r="5405" spans="2:2" ht="15" x14ac:dyDescent="0.2">
      <c r="B5405" s="183"/>
    </row>
    <row r="5406" spans="2:2" ht="15" x14ac:dyDescent="0.2">
      <c r="B5406" s="183"/>
    </row>
    <row r="5407" spans="2:2" ht="15" x14ac:dyDescent="0.2">
      <c r="B5407" s="183"/>
    </row>
    <row r="5408" spans="2:2" ht="15" x14ac:dyDescent="0.2">
      <c r="B5408" s="183"/>
    </row>
    <row r="5409" spans="2:2" ht="15" x14ac:dyDescent="0.2">
      <c r="B5409" s="183"/>
    </row>
    <row r="5410" spans="2:2" ht="15" x14ac:dyDescent="0.2">
      <c r="B5410" s="183"/>
    </row>
    <row r="5411" spans="2:2" ht="15" x14ac:dyDescent="0.2">
      <c r="B5411" s="183"/>
    </row>
    <row r="5412" spans="2:2" ht="15" x14ac:dyDescent="0.2">
      <c r="B5412" s="183"/>
    </row>
    <row r="5413" spans="2:2" ht="15" x14ac:dyDescent="0.2">
      <c r="B5413" s="183"/>
    </row>
    <row r="5414" spans="2:2" ht="15" x14ac:dyDescent="0.2">
      <c r="B5414" s="183"/>
    </row>
    <row r="5415" spans="2:2" ht="15" x14ac:dyDescent="0.2">
      <c r="B5415" s="183"/>
    </row>
    <row r="5416" spans="2:2" ht="15" x14ac:dyDescent="0.2">
      <c r="B5416" s="183"/>
    </row>
    <row r="5417" spans="2:2" ht="15" x14ac:dyDescent="0.2">
      <c r="B5417" s="183"/>
    </row>
    <row r="5418" spans="2:2" ht="15" x14ac:dyDescent="0.2">
      <c r="B5418" s="183"/>
    </row>
    <row r="5419" spans="2:2" ht="15" x14ac:dyDescent="0.2">
      <c r="B5419" s="183"/>
    </row>
    <row r="5420" spans="2:2" ht="15" x14ac:dyDescent="0.2">
      <c r="B5420" s="183"/>
    </row>
    <row r="5421" spans="2:2" ht="15" x14ac:dyDescent="0.2">
      <c r="B5421" s="183"/>
    </row>
    <row r="5422" spans="2:2" ht="15" x14ac:dyDescent="0.2">
      <c r="B5422" s="183"/>
    </row>
    <row r="5423" spans="2:2" ht="15" x14ac:dyDescent="0.2">
      <c r="B5423" s="183"/>
    </row>
    <row r="5424" spans="2:2" ht="15" x14ac:dyDescent="0.2">
      <c r="B5424" s="183"/>
    </row>
    <row r="5425" spans="2:2" ht="15" x14ac:dyDescent="0.2">
      <c r="B5425" s="183"/>
    </row>
    <row r="5426" spans="2:2" ht="15" x14ac:dyDescent="0.2">
      <c r="B5426" s="183"/>
    </row>
    <row r="5427" spans="2:2" ht="15" x14ac:dyDescent="0.2">
      <c r="B5427" s="183"/>
    </row>
    <row r="5428" spans="2:2" ht="15" x14ac:dyDescent="0.2">
      <c r="B5428" s="183"/>
    </row>
    <row r="5429" spans="2:2" ht="15" x14ac:dyDescent="0.2">
      <c r="B5429" s="183"/>
    </row>
    <row r="5430" spans="2:2" ht="15" x14ac:dyDescent="0.2">
      <c r="B5430" s="183"/>
    </row>
    <row r="5431" spans="2:2" ht="15" x14ac:dyDescent="0.2">
      <c r="B5431" s="183"/>
    </row>
    <row r="5432" spans="2:2" ht="15" x14ac:dyDescent="0.2">
      <c r="B5432" s="183"/>
    </row>
    <row r="5433" spans="2:2" ht="15" x14ac:dyDescent="0.2">
      <c r="B5433" s="183"/>
    </row>
    <row r="5434" spans="2:2" ht="15" x14ac:dyDescent="0.2">
      <c r="B5434" s="183"/>
    </row>
    <row r="5435" spans="2:2" ht="15" x14ac:dyDescent="0.2">
      <c r="B5435" s="183"/>
    </row>
    <row r="5436" spans="2:2" ht="15" x14ac:dyDescent="0.2">
      <c r="B5436" s="183"/>
    </row>
    <row r="5437" spans="2:2" ht="15" x14ac:dyDescent="0.2">
      <c r="B5437" s="183"/>
    </row>
    <row r="5438" spans="2:2" ht="15" x14ac:dyDescent="0.2">
      <c r="B5438" s="183"/>
    </row>
    <row r="5439" spans="2:2" ht="15" x14ac:dyDescent="0.2">
      <c r="B5439" s="183"/>
    </row>
    <row r="5440" spans="2:2" ht="15" x14ac:dyDescent="0.2">
      <c r="B5440" s="183"/>
    </row>
    <row r="5441" spans="2:2" ht="15" x14ac:dyDescent="0.2">
      <c r="B5441" s="183"/>
    </row>
    <row r="5442" spans="2:2" ht="15" x14ac:dyDescent="0.2">
      <c r="B5442" s="183"/>
    </row>
    <row r="5443" spans="2:2" ht="15" x14ac:dyDescent="0.2">
      <c r="B5443" s="183"/>
    </row>
    <row r="5444" spans="2:2" ht="15" x14ac:dyDescent="0.2">
      <c r="B5444" s="183"/>
    </row>
    <row r="5445" spans="2:2" ht="15" x14ac:dyDescent="0.2">
      <c r="B5445" s="183"/>
    </row>
    <row r="5446" spans="2:2" ht="15" x14ac:dyDescent="0.2">
      <c r="B5446" s="183"/>
    </row>
    <row r="5447" spans="2:2" ht="15" x14ac:dyDescent="0.2">
      <c r="B5447" s="183"/>
    </row>
    <row r="5448" spans="2:2" ht="15" x14ac:dyDescent="0.2">
      <c r="B5448" s="183"/>
    </row>
    <row r="5449" spans="2:2" ht="15" x14ac:dyDescent="0.2">
      <c r="B5449" s="183"/>
    </row>
    <row r="5450" spans="2:2" ht="15" x14ac:dyDescent="0.2">
      <c r="B5450" s="183"/>
    </row>
    <row r="5451" spans="2:2" ht="15" x14ac:dyDescent="0.2">
      <c r="B5451" s="183"/>
    </row>
    <row r="5452" spans="2:2" ht="15" x14ac:dyDescent="0.2">
      <c r="B5452" s="183"/>
    </row>
    <row r="5453" spans="2:2" ht="15" x14ac:dyDescent="0.2">
      <c r="B5453" s="183"/>
    </row>
    <row r="5454" spans="2:2" ht="15" x14ac:dyDescent="0.2">
      <c r="B5454" s="183"/>
    </row>
    <row r="5455" spans="2:2" ht="15" x14ac:dyDescent="0.2">
      <c r="B5455" s="183"/>
    </row>
    <row r="5456" spans="2:2" ht="15" x14ac:dyDescent="0.2">
      <c r="B5456" s="183"/>
    </row>
    <row r="5457" spans="2:2" ht="15" x14ac:dyDescent="0.2">
      <c r="B5457" s="183"/>
    </row>
    <row r="5458" spans="2:2" ht="15" x14ac:dyDescent="0.2">
      <c r="B5458" s="183"/>
    </row>
    <row r="5459" spans="2:2" ht="15" x14ac:dyDescent="0.2">
      <c r="B5459" s="183"/>
    </row>
    <row r="5460" spans="2:2" ht="15" x14ac:dyDescent="0.2">
      <c r="B5460" s="183"/>
    </row>
    <row r="5461" spans="2:2" ht="15" x14ac:dyDescent="0.2">
      <c r="B5461" s="183"/>
    </row>
    <row r="5462" spans="2:2" ht="15" x14ac:dyDescent="0.2">
      <c r="B5462" s="183"/>
    </row>
    <row r="5463" spans="2:2" ht="15" x14ac:dyDescent="0.2">
      <c r="B5463" s="183"/>
    </row>
    <row r="5464" spans="2:2" ht="15" x14ac:dyDescent="0.2">
      <c r="B5464" s="183"/>
    </row>
    <row r="5465" spans="2:2" ht="15" x14ac:dyDescent="0.2">
      <c r="B5465" s="183"/>
    </row>
    <row r="5466" spans="2:2" ht="15" x14ac:dyDescent="0.2">
      <c r="B5466" s="183"/>
    </row>
    <row r="5467" spans="2:2" ht="15" x14ac:dyDescent="0.2">
      <c r="B5467" s="183"/>
    </row>
    <row r="5468" spans="2:2" ht="15" x14ac:dyDescent="0.2">
      <c r="B5468" s="183"/>
    </row>
    <row r="5469" spans="2:2" ht="15" x14ac:dyDescent="0.2">
      <c r="B5469" s="183"/>
    </row>
    <row r="5470" spans="2:2" ht="15" x14ac:dyDescent="0.2">
      <c r="B5470" s="183"/>
    </row>
    <row r="5471" spans="2:2" ht="15" x14ac:dyDescent="0.2">
      <c r="B5471" s="183"/>
    </row>
    <row r="5472" spans="2:2" ht="15" x14ac:dyDescent="0.2">
      <c r="B5472" s="183"/>
    </row>
    <row r="5473" spans="2:2" ht="15" x14ac:dyDescent="0.2">
      <c r="B5473" s="183"/>
    </row>
    <row r="5474" spans="2:2" ht="15" x14ac:dyDescent="0.2">
      <c r="B5474" s="183"/>
    </row>
    <row r="5475" spans="2:2" ht="15" x14ac:dyDescent="0.2">
      <c r="B5475" s="183"/>
    </row>
    <row r="5476" spans="2:2" ht="15" x14ac:dyDescent="0.2">
      <c r="B5476" s="183"/>
    </row>
    <row r="5477" spans="2:2" ht="15" x14ac:dyDescent="0.2">
      <c r="B5477" s="183"/>
    </row>
    <row r="5478" spans="2:2" ht="15" x14ac:dyDescent="0.2">
      <c r="B5478" s="183"/>
    </row>
    <row r="5479" spans="2:2" ht="15" x14ac:dyDescent="0.2">
      <c r="B5479" s="183"/>
    </row>
    <row r="5480" spans="2:2" ht="15" x14ac:dyDescent="0.2">
      <c r="B5480" s="183"/>
    </row>
    <row r="5481" spans="2:2" ht="15" x14ac:dyDescent="0.2">
      <c r="B5481" s="183"/>
    </row>
    <row r="5482" spans="2:2" ht="15" x14ac:dyDescent="0.2">
      <c r="B5482" s="183"/>
    </row>
    <row r="5483" spans="2:2" ht="15" x14ac:dyDescent="0.2">
      <c r="B5483" s="183"/>
    </row>
    <row r="5484" spans="2:2" ht="15" x14ac:dyDescent="0.2">
      <c r="B5484" s="183"/>
    </row>
    <row r="5485" spans="2:2" ht="15" x14ac:dyDescent="0.2">
      <c r="B5485" s="183"/>
    </row>
    <row r="5486" spans="2:2" ht="15" x14ac:dyDescent="0.2">
      <c r="B5486" s="183"/>
    </row>
    <row r="5487" spans="2:2" ht="15" x14ac:dyDescent="0.2">
      <c r="B5487" s="183"/>
    </row>
    <row r="5488" spans="2:2" ht="15" x14ac:dyDescent="0.2">
      <c r="B5488" s="183"/>
    </row>
    <row r="5489" spans="2:2" ht="15" x14ac:dyDescent="0.2">
      <c r="B5489" s="183"/>
    </row>
    <row r="5490" spans="2:2" ht="15" x14ac:dyDescent="0.2">
      <c r="B5490" s="183"/>
    </row>
    <row r="5491" spans="2:2" ht="15" x14ac:dyDescent="0.2">
      <c r="B5491" s="183"/>
    </row>
    <row r="5492" spans="2:2" ht="15" x14ac:dyDescent="0.2">
      <c r="B5492" s="183"/>
    </row>
    <row r="5493" spans="2:2" ht="15" x14ac:dyDescent="0.2">
      <c r="B5493" s="183"/>
    </row>
    <row r="5494" spans="2:2" ht="15" x14ac:dyDescent="0.2">
      <c r="B5494" s="183"/>
    </row>
    <row r="5495" spans="2:2" ht="15" x14ac:dyDescent="0.2">
      <c r="B5495" s="183"/>
    </row>
    <row r="5496" spans="2:2" ht="15" x14ac:dyDescent="0.2">
      <c r="B5496" s="183"/>
    </row>
    <row r="5497" spans="2:2" ht="15" x14ac:dyDescent="0.2">
      <c r="B5497" s="183"/>
    </row>
    <row r="5498" spans="2:2" ht="15" x14ac:dyDescent="0.2">
      <c r="B5498" s="183"/>
    </row>
    <row r="5499" spans="2:2" ht="15" x14ac:dyDescent="0.2">
      <c r="B5499" s="183"/>
    </row>
    <row r="5500" spans="2:2" ht="15" x14ac:dyDescent="0.2">
      <c r="B5500" s="183"/>
    </row>
    <row r="5501" spans="2:2" ht="15" x14ac:dyDescent="0.2">
      <c r="B5501" s="183"/>
    </row>
    <row r="5502" spans="2:2" ht="15" x14ac:dyDescent="0.2">
      <c r="B5502" s="183"/>
    </row>
    <row r="5503" spans="2:2" ht="15" x14ac:dyDescent="0.2">
      <c r="B5503" s="183"/>
    </row>
    <row r="5504" spans="2:2" ht="15" x14ac:dyDescent="0.2">
      <c r="B5504" s="183"/>
    </row>
    <row r="5505" spans="2:2" ht="15" x14ac:dyDescent="0.2">
      <c r="B5505" s="183"/>
    </row>
    <row r="5506" spans="2:2" ht="15" x14ac:dyDescent="0.2">
      <c r="B5506" s="183"/>
    </row>
    <row r="5507" spans="2:2" ht="15" x14ac:dyDescent="0.2">
      <c r="B5507" s="183"/>
    </row>
    <row r="5508" spans="2:2" ht="15" x14ac:dyDescent="0.2">
      <c r="B5508" s="183"/>
    </row>
    <row r="5509" spans="2:2" ht="15" x14ac:dyDescent="0.2">
      <c r="B5509" s="183"/>
    </row>
    <row r="5510" spans="2:2" ht="15" x14ac:dyDescent="0.2">
      <c r="B5510" s="183"/>
    </row>
    <row r="5511" spans="2:2" ht="15" x14ac:dyDescent="0.2">
      <c r="B5511" s="183"/>
    </row>
    <row r="5512" spans="2:2" ht="15" x14ac:dyDescent="0.2">
      <c r="B5512" s="183"/>
    </row>
    <row r="5513" spans="2:2" ht="15" x14ac:dyDescent="0.2">
      <c r="B5513" s="183"/>
    </row>
    <row r="5514" spans="2:2" ht="15" x14ac:dyDescent="0.2">
      <c r="B5514" s="183"/>
    </row>
    <row r="5515" spans="2:2" ht="15" x14ac:dyDescent="0.2">
      <c r="B5515" s="183"/>
    </row>
    <row r="5516" spans="2:2" ht="15" x14ac:dyDescent="0.2">
      <c r="B5516" s="183"/>
    </row>
    <row r="5517" spans="2:2" ht="15" x14ac:dyDescent="0.2">
      <c r="B5517" s="183"/>
    </row>
    <row r="5518" spans="2:2" ht="15" x14ac:dyDescent="0.2">
      <c r="B5518" s="183"/>
    </row>
    <row r="5519" spans="2:2" ht="15" x14ac:dyDescent="0.2">
      <c r="B5519" s="183"/>
    </row>
    <row r="5520" spans="2:2" ht="15" x14ac:dyDescent="0.2">
      <c r="B5520" s="183"/>
    </row>
    <row r="5521" spans="2:2" ht="15" x14ac:dyDescent="0.2">
      <c r="B5521" s="183"/>
    </row>
    <row r="5522" spans="2:2" ht="15" x14ac:dyDescent="0.2">
      <c r="B5522" s="183"/>
    </row>
    <row r="5523" spans="2:2" ht="15" x14ac:dyDescent="0.2">
      <c r="B5523" s="183"/>
    </row>
    <row r="5524" spans="2:2" ht="15" x14ac:dyDescent="0.2">
      <c r="B5524" s="183"/>
    </row>
    <row r="5525" spans="2:2" ht="15" x14ac:dyDescent="0.2">
      <c r="B5525" s="183"/>
    </row>
    <row r="5526" spans="2:2" ht="15" x14ac:dyDescent="0.2">
      <c r="B5526" s="183"/>
    </row>
    <row r="5527" spans="2:2" ht="15" x14ac:dyDescent="0.2">
      <c r="B5527" s="183"/>
    </row>
    <row r="5528" spans="2:2" ht="15" x14ac:dyDescent="0.2">
      <c r="B5528" s="183"/>
    </row>
    <row r="5529" spans="2:2" ht="15" x14ac:dyDescent="0.2">
      <c r="B5529" s="183"/>
    </row>
    <row r="5530" spans="2:2" ht="15" x14ac:dyDescent="0.2">
      <c r="B5530" s="183"/>
    </row>
    <row r="5531" spans="2:2" ht="15" x14ac:dyDescent="0.2">
      <c r="B5531" s="183"/>
    </row>
    <row r="5532" spans="2:2" ht="15" x14ac:dyDescent="0.2">
      <c r="B5532" s="183"/>
    </row>
    <row r="5533" spans="2:2" ht="15" x14ac:dyDescent="0.2">
      <c r="B5533" s="183"/>
    </row>
    <row r="5534" spans="2:2" ht="15" x14ac:dyDescent="0.2">
      <c r="B5534" s="183"/>
    </row>
    <row r="5535" spans="2:2" ht="15" x14ac:dyDescent="0.2">
      <c r="B5535" s="183"/>
    </row>
    <row r="5536" spans="2:2" ht="15" x14ac:dyDescent="0.2">
      <c r="B5536" s="183"/>
    </row>
    <row r="5537" spans="2:2" ht="15" x14ac:dyDescent="0.2">
      <c r="B5537" s="183"/>
    </row>
    <row r="5538" spans="2:2" ht="15" x14ac:dyDescent="0.2">
      <c r="B5538" s="183"/>
    </row>
    <row r="5539" spans="2:2" ht="15" x14ac:dyDescent="0.2">
      <c r="B5539" s="183"/>
    </row>
    <row r="5540" spans="2:2" ht="15" x14ac:dyDescent="0.2">
      <c r="B5540" s="183"/>
    </row>
    <row r="5541" spans="2:2" ht="15" x14ac:dyDescent="0.2">
      <c r="B5541" s="183"/>
    </row>
    <row r="5542" spans="2:2" ht="15" x14ac:dyDescent="0.2">
      <c r="B5542" s="183"/>
    </row>
    <row r="5543" spans="2:2" ht="15" x14ac:dyDescent="0.2">
      <c r="B5543" s="183"/>
    </row>
    <row r="5544" spans="2:2" ht="15" x14ac:dyDescent="0.2">
      <c r="B5544" s="183"/>
    </row>
    <row r="5545" spans="2:2" ht="15" x14ac:dyDescent="0.2">
      <c r="B5545" s="183"/>
    </row>
    <row r="5546" spans="2:2" ht="15" x14ac:dyDescent="0.2">
      <c r="B5546" s="183"/>
    </row>
    <row r="5547" spans="2:2" ht="15" x14ac:dyDescent="0.2">
      <c r="B5547" s="183"/>
    </row>
    <row r="5548" spans="2:2" ht="15" x14ac:dyDescent="0.2">
      <c r="B5548" s="183"/>
    </row>
    <row r="5549" spans="2:2" ht="15" x14ac:dyDescent="0.2">
      <c r="B5549" s="183"/>
    </row>
    <row r="5550" spans="2:2" ht="15" x14ac:dyDescent="0.2">
      <c r="B5550" s="183"/>
    </row>
    <row r="5551" spans="2:2" ht="15" x14ac:dyDescent="0.2">
      <c r="B5551" s="183"/>
    </row>
    <row r="5552" spans="2:2" ht="15" x14ac:dyDescent="0.2">
      <c r="B5552" s="183"/>
    </row>
    <row r="5553" spans="2:2" ht="15" x14ac:dyDescent="0.2">
      <c r="B5553" s="183"/>
    </row>
    <row r="5554" spans="2:2" ht="15" x14ac:dyDescent="0.2">
      <c r="B5554" s="183"/>
    </row>
    <row r="5555" spans="2:2" ht="15" x14ac:dyDescent="0.2">
      <c r="B5555" s="183"/>
    </row>
    <row r="5556" spans="2:2" ht="15" x14ac:dyDescent="0.2">
      <c r="B5556" s="183"/>
    </row>
    <row r="5557" spans="2:2" ht="15" x14ac:dyDescent="0.2">
      <c r="B5557" s="183"/>
    </row>
    <row r="5558" spans="2:2" ht="15" x14ac:dyDescent="0.2">
      <c r="B5558" s="183"/>
    </row>
    <row r="5559" spans="2:2" ht="15" x14ac:dyDescent="0.2">
      <c r="B5559" s="183"/>
    </row>
    <row r="5560" spans="2:2" ht="15" x14ac:dyDescent="0.2">
      <c r="B5560" s="183"/>
    </row>
    <row r="5561" spans="2:2" ht="15" x14ac:dyDescent="0.2">
      <c r="B5561" s="183"/>
    </row>
    <row r="5562" spans="2:2" ht="15" x14ac:dyDescent="0.2">
      <c r="B5562" s="183"/>
    </row>
    <row r="5563" spans="2:2" ht="15" x14ac:dyDescent="0.2">
      <c r="B5563" s="183"/>
    </row>
    <row r="5564" spans="2:2" ht="15" x14ac:dyDescent="0.2">
      <c r="B5564" s="183"/>
    </row>
    <row r="5565" spans="2:2" ht="15" x14ac:dyDescent="0.2">
      <c r="B5565" s="183"/>
    </row>
    <row r="5566" spans="2:2" ht="15" x14ac:dyDescent="0.2">
      <c r="B5566" s="183"/>
    </row>
    <row r="5567" spans="2:2" ht="15" x14ac:dyDescent="0.2">
      <c r="B5567" s="183"/>
    </row>
    <row r="5568" spans="2:2" ht="15" x14ac:dyDescent="0.2">
      <c r="B5568" s="183"/>
    </row>
    <row r="5569" spans="2:2" ht="15" x14ac:dyDescent="0.2">
      <c r="B5569" s="183"/>
    </row>
    <row r="5570" spans="2:2" ht="15" x14ac:dyDescent="0.2">
      <c r="B5570" s="183"/>
    </row>
    <row r="5571" spans="2:2" ht="15" x14ac:dyDescent="0.2">
      <c r="B5571" s="183"/>
    </row>
    <row r="5572" spans="2:2" ht="15" x14ac:dyDescent="0.2">
      <c r="B5572" s="183"/>
    </row>
    <row r="5573" spans="2:2" ht="15" x14ac:dyDescent="0.2">
      <c r="B5573" s="183"/>
    </row>
    <row r="5574" spans="2:2" ht="15" x14ac:dyDescent="0.2">
      <c r="B5574" s="183"/>
    </row>
    <row r="5575" spans="2:2" ht="15" x14ac:dyDescent="0.2">
      <c r="B5575" s="183"/>
    </row>
    <row r="5576" spans="2:2" ht="15" x14ac:dyDescent="0.2">
      <c r="B5576" s="183"/>
    </row>
    <row r="5577" spans="2:2" ht="15" x14ac:dyDescent="0.2">
      <c r="B5577" s="183"/>
    </row>
    <row r="5578" spans="2:2" ht="15" x14ac:dyDescent="0.2">
      <c r="B5578" s="183"/>
    </row>
    <row r="5579" spans="2:2" ht="15" x14ac:dyDescent="0.2">
      <c r="B5579" s="183"/>
    </row>
    <row r="5580" spans="2:2" ht="15" x14ac:dyDescent="0.2">
      <c r="B5580" s="183"/>
    </row>
    <row r="5581" spans="2:2" ht="15" x14ac:dyDescent="0.2">
      <c r="B5581" s="183"/>
    </row>
    <row r="5582" spans="2:2" ht="15" x14ac:dyDescent="0.2">
      <c r="B5582" s="183"/>
    </row>
    <row r="5583" spans="2:2" ht="15" x14ac:dyDescent="0.2">
      <c r="B5583" s="183"/>
    </row>
    <row r="5584" spans="2:2" ht="15" x14ac:dyDescent="0.2">
      <c r="B5584" s="183"/>
    </row>
    <row r="5585" spans="2:2" ht="15" x14ac:dyDescent="0.2">
      <c r="B5585" s="183"/>
    </row>
    <row r="5586" spans="2:2" ht="15" x14ac:dyDescent="0.2">
      <c r="B5586" s="183"/>
    </row>
    <row r="5587" spans="2:2" ht="15" x14ac:dyDescent="0.2">
      <c r="B5587" s="183"/>
    </row>
    <row r="5588" spans="2:2" ht="15" x14ac:dyDescent="0.2">
      <c r="B5588" s="183"/>
    </row>
    <row r="5589" spans="2:2" ht="15" x14ac:dyDescent="0.2">
      <c r="B5589" s="183"/>
    </row>
    <row r="5590" spans="2:2" ht="15" x14ac:dyDescent="0.2">
      <c r="B5590" s="183"/>
    </row>
    <row r="5591" spans="2:2" ht="15" x14ac:dyDescent="0.2">
      <c r="B5591" s="183"/>
    </row>
    <row r="5592" spans="2:2" ht="15" x14ac:dyDescent="0.2">
      <c r="B5592" s="183"/>
    </row>
    <row r="5593" spans="2:2" ht="15" x14ac:dyDescent="0.2">
      <c r="B5593" s="183"/>
    </row>
    <row r="5594" spans="2:2" ht="15" x14ac:dyDescent="0.2">
      <c r="B5594" s="183"/>
    </row>
    <row r="5595" spans="2:2" ht="15" x14ac:dyDescent="0.2">
      <c r="B5595" s="183"/>
    </row>
    <row r="5596" spans="2:2" ht="15" x14ac:dyDescent="0.2">
      <c r="B5596" s="183"/>
    </row>
    <row r="5597" spans="2:2" ht="15" x14ac:dyDescent="0.2">
      <c r="B5597" s="183"/>
    </row>
    <row r="5598" spans="2:2" ht="15" x14ac:dyDescent="0.2">
      <c r="B5598" s="183"/>
    </row>
    <row r="5599" spans="2:2" ht="15" x14ac:dyDescent="0.2">
      <c r="B5599" s="183"/>
    </row>
    <row r="5600" spans="2:2" ht="15" x14ac:dyDescent="0.2">
      <c r="B5600" s="183"/>
    </row>
    <row r="5601" spans="2:2" ht="15" x14ac:dyDescent="0.2">
      <c r="B5601" s="183"/>
    </row>
    <row r="5602" spans="2:2" ht="15" x14ac:dyDescent="0.2">
      <c r="B5602" s="183"/>
    </row>
    <row r="5603" spans="2:2" ht="15" x14ac:dyDescent="0.2">
      <c r="B5603" s="183"/>
    </row>
    <row r="5604" spans="2:2" ht="15" x14ac:dyDescent="0.2">
      <c r="B5604" s="183"/>
    </row>
    <row r="5605" spans="2:2" ht="15" x14ac:dyDescent="0.2">
      <c r="B5605" s="183"/>
    </row>
    <row r="5606" spans="2:2" ht="15" x14ac:dyDescent="0.2">
      <c r="B5606" s="183"/>
    </row>
    <row r="5607" spans="2:2" ht="15" x14ac:dyDescent="0.2">
      <c r="B5607" s="183"/>
    </row>
    <row r="5608" spans="2:2" ht="15" x14ac:dyDescent="0.2">
      <c r="B5608" s="183"/>
    </row>
    <row r="5609" spans="2:2" ht="15" x14ac:dyDescent="0.2">
      <c r="B5609" s="183"/>
    </row>
    <row r="5610" spans="2:2" ht="15" x14ac:dyDescent="0.2">
      <c r="B5610" s="183"/>
    </row>
    <row r="5611" spans="2:2" ht="15" x14ac:dyDescent="0.2">
      <c r="B5611" s="183"/>
    </row>
    <row r="5612" spans="2:2" ht="15" x14ac:dyDescent="0.2">
      <c r="B5612" s="183"/>
    </row>
    <row r="5613" spans="2:2" ht="15" x14ac:dyDescent="0.2">
      <c r="B5613" s="183"/>
    </row>
    <row r="5614" spans="2:2" ht="15" x14ac:dyDescent="0.2">
      <c r="B5614" s="183"/>
    </row>
    <row r="5615" spans="2:2" ht="15" x14ac:dyDescent="0.2">
      <c r="B5615" s="183"/>
    </row>
    <row r="5616" spans="2:2" ht="15" x14ac:dyDescent="0.2">
      <c r="B5616" s="183"/>
    </row>
    <row r="5617" spans="2:2" ht="15" x14ac:dyDescent="0.2">
      <c r="B5617" s="183"/>
    </row>
    <row r="5618" spans="2:2" ht="15" x14ac:dyDescent="0.2">
      <c r="B5618" s="183"/>
    </row>
    <row r="5619" spans="2:2" ht="15" x14ac:dyDescent="0.2">
      <c r="B5619" s="183"/>
    </row>
    <row r="5620" spans="2:2" ht="15" x14ac:dyDescent="0.2">
      <c r="B5620" s="183"/>
    </row>
    <row r="5621" spans="2:2" ht="15" x14ac:dyDescent="0.2">
      <c r="B5621" s="183"/>
    </row>
    <row r="5622" spans="2:2" ht="15" x14ac:dyDescent="0.2">
      <c r="B5622" s="183"/>
    </row>
    <row r="5623" spans="2:2" ht="15" x14ac:dyDescent="0.2">
      <c r="B5623" s="183"/>
    </row>
    <row r="5624" spans="2:2" ht="15" x14ac:dyDescent="0.2">
      <c r="B5624" s="183"/>
    </row>
    <row r="5625" spans="2:2" ht="15" x14ac:dyDescent="0.2">
      <c r="B5625" s="183"/>
    </row>
    <row r="5626" spans="2:2" ht="15" x14ac:dyDescent="0.2">
      <c r="B5626" s="183"/>
    </row>
    <row r="5627" spans="2:2" ht="15" x14ac:dyDescent="0.2">
      <c r="B5627" s="183"/>
    </row>
    <row r="5628" spans="2:2" ht="15" x14ac:dyDescent="0.2">
      <c r="B5628" s="183"/>
    </row>
    <row r="5629" spans="2:2" ht="15" x14ac:dyDescent="0.2">
      <c r="B5629" s="183"/>
    </row>
    <row r="5630" spans="2:2" ht="15" x14ac:dyDescent="0.2">
      <c r="B5630" s="183"/>
    </row>
    <row r="5631" spans="2:2" ht="15" x14ac:dyDescent="0.2">
      <c r="B5631" s="183"/>
    </row>
    <row r="5632" spans="2:2" ht="15" x14ac:dyDescent="0.2">
      <c r="B5632" s="183"/>
    </row>
    <row r="5633" spans="2:2" ht="15" x14ac:dyDescent="0.2">
      <c r="B5633" s="183"/>
    </row>
    <row r="5634" spans="2:2" ht="15" x14ac:dyDescent="0.2">
      <c r="B5634" s="183"/>
    </row>
    <row r="5635" spans="2:2" ht="15" x14ac:dyDescent="0.2">
      <c r="B5635" s="183"/>
    </row>
    <row r="5636" spans="2:2" ht="15" x14ac:dyDescent="0.2">
      <c r="B5636" s="183"/>
    </row>
    <row r="5637" spans="2:2" ht="15" x14ac:dyDescent="0.2">
      <c r="B5637" s="183"/>
    </row>
    <row r="5638" spans="2:2" ht="15" x14ac:dyDescent="0.2">
      <c r="B5638" s="183"/>
    </row>
    <row r="5639" spans="2:2" ht="15" x14ac:dyDescent="0.2">
      <c r="B5639" s="183"/>
    </row>
    <row r="5640" spans="2:2" ht="15" x14ac:dyDescent="0.2">
      <c r="B5640" s="183"/>
    </row>
    <row r="5641" spans="2:2" ht="15" x14ac:dyDescent="0.2">
      <c r="B5641" s="183"/>
    </row>
    <row r="5642" spans="2:2" ht="15" x14ac:dyDescent="0.2">
      <c r="B5642" s="183"/>
    </row>
    <row r="5643" spans="2:2" ht="15" x14ac:dyDescent="0.2">
      <c r="B5643" s="183"/>
    </row>
    <row r="5644" spans="2:2" ht="15" x14ac:dyDescent="0.2">
      <c r="B5644" s="183"/>
    </row>
    <row r="5645" spans="2:2" ht="15" x14ac:dyDescent="0.2">
      <c r="B5645" s="183"/>
    </row>
    <row r="5646" spans="2:2" ht="15" x14ac:dyDescent="0.2">
      <c r="B5646" s="183"/>
    </row>
    <row r="5647" spans="2:2" ht="15" x14ac:dyDescent="0.2">
      <c r="B5647" s="183"/>
    </row>
    <row r="5648" spans="2:2" ht="15" x14ac:dyDescent="0.2">
      <c r="B5648" s="183"/>
    </row>
    <row r="5649" spans="2:2" ht="15" x14ac:dyDescent="0.2">
      <c r="B5649" s="183"/>
    </row>
    <row r="5650" spans="2:2" ht="15" x14ac:dyDescent="0.2">
      <c r="B5650" s="183"/>
    </row>
    <row r="5651" spans="2:2" ht="15" x14ac:dyDescent="0.2">
      <c r="B5651" s="183"/>
    </row>
    <row r="5652" spans="2:2" ht="15" x14ac:dyDescent="0.2">
      <c r="B5652" s="183"/>
    </row>
    <row r="5653" spans="2:2" ht="15" x14ac:dyDescent="0.2">
      <c r="B5653" s="183"/>
    </row>
    <row r="5654" spans="2:2" ht="15" x14ac:dyDescent="0.2">
      <c r="B5654" s="183"/>
    </row>
    <row r="5655" spans="2:2" ht="15" x14ac:dyDescent="0.2">
      <c r="B5655" s="183"/>
    </row>
    <row r="5656" spans="2:2" ht="15" x14ac:dyDescent="0.2">
      <c r="B5656" s="183"/>
    </row>
    <row r="5657" spans="2:2" ht="15" x14ac:dyDescent="0.2">
      <c r="B5657" s="183"/>
    </row>
    <row r="5658" spans="2:2" ht="15" x14ac:dyDescent="0.2">
      <c r="B5658" s="183"/>
    </row>
    <row r="5659" spans="2:2" ht="15" x14ac:dyDescent="0.2">
      <c r="B5659" s="183"/>
    </row>
    <row r="5660" spans="2:2" ht="15" x14ac:dyDescent="0.2">
      <c r="B5660" s="183"/>
    </row>
    <row r="5661" spans="2:2" ht="15" x14ac:dyDescent="0.2">
      <c r="B5661" s="183"/>
    </row>
    <row r="5662" spans="2:2" ht="15" x14ac:dyDescent="0.2">
      <c r="B5662" s="183"/>
    </row>
    <row r="5663" spans="2:2" ht="15" x14ac:dyDescent="0.2">
      <c r="B5663" s="183"/>
    </row>
    <row r="5664" spans="2:2" ht="15" x14ac:dyDescent="0.2">
      <c r="B5664" s="183"/>
    </row>
    <row r="5665" spans="2:2" ht="15" x14ac:dyDescent="0.2">
      <c r="B5665" s="183"/>
    </row>
    <row r="5666" spans="2:2" ht="15" x14ac:dyDescent="0.2">
      <c r="B5666" s="183"/>
    </row>
    <row r="5667" spans="2:2" ht="15" x14ac:dyDescent="0.2">
      <c r="B5667" s="183"/>
    </row>
    <row r="5668" spans="2:2" ht="15" x14ac:dyDescent="0.2">
      <c r="B5668" s="183"/>
    </row>
    <row r="5669" spans="2:2" ht="15" x14ac:dyDescent="0.2">
      <c r="B5669" s="183"/>
    </row>
    <row r="5670" spans="2:2" ht="15" x14ac:dyDescent="0.2">
      <c r="B5670" s="183"/>
    </row>
    <row r="5671" spans="2:2" ht="15" x14ac:dyDescent="0.2">
      <c r="B5671" s="183"/>
    </row>
    <row r="5672" spans="2:2" ht="15" x14ac:dyDescent="0.2">
      <c r="B5672" s="183"/>
    </row>
    <row r="5673" spans="2:2" ht="15" x14ac:dyDescent="0.2">
      <c r="B5673" s="183"/>
    </row>
    <row r="5674" spans="2:2" ht="15" x14ac:dyDescent="0.2">
      <c r="B5674" s="183"/>
    </row>
    <row r="5675" spans="2:2" ht="15" x14ac:dyDescent="0.2">
      <c r="B5675" s="183"/>
    </row>
    <row r="5676" spans="2:2" ht="15" x14ac:dyDescent="0.2">
      <c r="B5676" s="183"/>
    </row>
    <row r="5677" spans="2:2" ht="15" x14ac:dyDescent="0.2">
      <c r="B5677" s="183"/>
    </row>
    <row r="5678" spans="2:2" ht="15" x14ac:dyDescent="0.2">
      <c r="B5678" s="183"/>
    </row>
    <row r="5679" spans="2:2" ht="15" x14ac:dyDescent="0.2">
      <c r="B5679" s="183"/>
    </row>
    <row r="5680" spans="2:2" ht="15" x14ac:dyDescent="0.2">
      <c r="B5680" s="183"/>
    </row>
    <row r="5681" spans="2:2" ht="15" x14ac:dyDescent="0.2">
      <c r="B5681" s="183"/>
    </row>
    <row r="5682" spans="2:2" ht="15" x14ac:dyDescent="0.2">
      <c r="B5682" s="183"/>
    </row>
    <row r="5683" spans="2:2" ht="15" x14ac:dyDescent="0.2">
      <c r="B5683" s="183"/>
    </row>
    <row r="5684" spans="2:2" ht="15" x14ac:dyDescent="0.2">
      <c r="B5684" s="183"/>
    </row>
    <row r="5685" spans="2:2" ht="15" x14ac:dyDescent="0.2">
      <c r="B5685" s="183"/>
    </row>
    <row r="5686" spans="2:2" ht="15" x14ac:dyDescent="0.2">
      <c r="B5686" s="183"/>
    </row>
    <row r="5687" spans="2:2" ht="15" x14ac:dyDescent="0.2">
      <c r="B5687" s="183"/>
    </row>
    <row r="5688" spans="2:2" ht="15" x14ac:dyDescent="0.2">
      <c r="B5688" s="183"/>
    </row>
    <row r="5689" spans="2:2" ht="15" x14ac:dyDescent="0.2">
      <c r="B5689" s="183"/>
    </row>
    <row r="5690" spans="2:2" ht="15" x14ac:dyDescent="0.2">
      <c r="B5690" s="183"/>
    </row>
    <row r="5691" spans="2:2" ht="15" x14ac:dyDescent="0.2">
      <c r="B5691" s="183"/>
    </row>
    <row r="5692" spans="2:2" ht="15" x14ac:dyDescent="0.2">
      <c r="B5692" s="183"/>
    </row>
    <row r="5693" spans="2:2" ht="15" x14ac:dyDescent="0.2">
      <c r="B5693" s="183"/>
    </row>
    <row r="5694" spans="2:2" ht="15" x14ac:dyDescent="0.2">
      <c r="B5694" s="183"/>
    </row>
    <row r="5695" spans="2:2" ht="15" x14ac:dyDescent="0.2">
      <c r="B5695" s="183"/>
    </row>
    <row r="5696" spans="2:2" ht="15" x14ac:dyDescent="0.2">
      <c r="B5696" s="183"/>
    </row>
    <row r="5697" spans="2:2" ht="15" x14ac:dyDescent="0.2">
      <c r="B5697" s="183"/>
    </row>
    <row r="5698" spans="2:2" ht="15" x14ac:dyDescent="0.2">
      <c r="B5698" s="183"/>
    </row>
    <row r="5699" spans="2:2" ht="15" x14ac:dyDescent="0.2">
      <c r="B5699" s="183"/>
    </row>
    <row r="5700" spans="2:2" ht="15" x14ac:dyDescent="0.2">
      <c r="B5700" s="183"/>
    </row>
    <row r="5701" spans="2:2" ht="15" x14ac:dyDescent="0.2">
      <c r="B5701" s="183"/>
    </row>
    <row r="5702" spans="2:2" ht="15" x14ac:dyDescent="0.2">
      <c r="B5702" s="183"/>
    </row>
    <row r="5703" spans="2:2" ht="15" x14ac:dyDescent="0.2">
      <c r="B5703" s="183"/>
    </row>
    <row r="5704" spans="2:2" ht="15" x14ac:dyDescent="0.2">
      <c r="B5704" s="183"/>
    </row>
    <row r="5705" spans="2:2" ht="15" x14ac:dyDescent="0.2">
      <c r="B5705" s="183"/>
    </row>
    <row r="5706" spans="2:2" ht="15" x14ac:dyDescent="0.2">
      <c r="B5706" s="183"/>
    </row>
    <row r="5707" spans="2:2" ht="15" x14ac:dyDescent="0.2">
      <c r="B5707" s="183"/>
    </row>
    <row r="5708" spans="2:2" ht="15" x14ac:dyDescent="0.2">
      <c r="B5708" s="183"/>
    </row>
    <row r="5709" spans="2:2" ht="15" x14ac:dyDescent="0.2">
      <c r="B5709" s="183"/>
    </row>
    <row r="5710" spans="2:2" ht="15" x14ac:dyDescent="0.2">
      <c r="B5710" s="183"/>
    </row>
    <row r="5711" spans="2:2" ht="15" x14ac:dyDescent="0.2">
      <c r="B5711" s="183"/>
    </row>
    <row r="5712" spans="2:2" ht="15" x14ac:dyDescent="0.2">
      <c r="B5712" s="183"/>
    </row>
    <row r="5713" spans="2:2" ht="15" x14ac:dyDescent="0.2">
      <c r="B5713" s="183"/>
    </row>
    <row r="5714" spans="2:2" ht="15" x14ac:dyDescent="0.2">
      <c r="B5714" s="183"/>
    </row>
    <row r="5715" spans="2:2" ht="15" x14ac:dyDescent="0.2">
      <c r="B5715" s="183"/>
    </row>
    <row r="5716" spans="2:2" ht="15" x14ac:dyDescent="0.2">
      <c r="B5716" s="183"/>
    </row>
    <row r="5717" spans="2:2" ht="15" x14ac:dyDescent="0.2">
      <c r="B5717" s="183"/>
    </row>
    <row r="5718" spans="2:2" ht="15" x14ac:dyDescent="0.2">
      <c r="B5718" s="183"/>
    </row>
    <row r="5719" spans="2:2" ht="15" x14ac:dyDescent="0.2">
      <c r="B5719" s="183"/>
    </row>
    <row r="5720" spans="2:2" ht="15" x14ac:dyDescent="0.2">
      <c r="B5720" s="183"/>
    </row>
    <row r="5721" spans="2:2" ht="15" x14ac:dyDescent="0.2">
      <c r="B5721" s="183"/>
    </row>
    <row r="5722" spans="2:2" ht="15" x14ac:dyDescent="0.2">
      <c r="B5722" s="183"/>
    </row>
    <row r="5723" spans="2:2" ht="15" x14ac:dyDescent="0.2">
      <c r="B5723" s="183"/>
    </row>
    <row r="5724" spans="2:2" ht="15" x14ac:dyDescent="0.2">
      <c r="B5724" s="183"/>
    </row>
    <row r="5725" spans="2:2" ht="15" x14ac:dyDescent="0.2">
      <c r="B5725" s="183"/>
    </row>
    <row r="5726" spans="2:2" ht="15" x14ac:dyDescent="0.2">
      <c r="B5726" s="183"/>
    </row>
    <row r="5727" spans="2:2" ht="15" x14ac:dyDescent="0.2">
      <c r="B5727" s="183"/>
    </row>
    <row r="5728" spans="2:2" ht="15" x14ac:dyDescent="0.2">
      <c r="B5728" s="183"/>
    </row>
    <row r="5729" spans="2:2" ht="15" x14ac:dyDescent="0.2">
      <c r="B5729" s="183"/>
    </row>
    <row r="5730" spans="2:2" ht="15" x14ac:dyDescent="0.2">
      <c r="B5730" s="183"/>
    </row>
    <row r="5731" spans="2:2" ht="15" x14ac:dyDescent="0.2">
      <c r="B5731" s="183"/>
    </row>
    <row r="5732" spans="2:2" ht="15" x14ac:dyDescent="0.2">
      <c r="B5732" s="183"/>
    </row>
    <row r="5733" spans="2:2" ht="15" x14ac:dyDescent="0.2">
      <c r="B5733" s="183"/>
    </row>
    <row r="5734" spans="2:2" ht="15" x14ac:dyDescent="0.2">
      <c r="B5734" s="183"/>
    </row>
    <row r="5735" spans="2:2" ht="15" x14ac:dyDescent="0.2">
      <c r="B5735" s="183"/>
    </row>
    <row r="5736" spans="2:2" ht="15" x14ac:dyDescent="0.2">
      <c r="B5736" s="183"/>
    </row>
    <row r="5737" spans="2:2" ht="15" x14ac:dyDescent="0.2">
      <c r="B5737" s="183"/>
    </row>
    <row r="5738" spans="2:2" ht="15" x14ac:dyDescent="0.2">
      <c r="B5738" s="183"/>
    </row>
    <row r="5739" spans="2:2" ht="15" x14ac:dyDescent="0.2">
      <c r="B5739" s="183"/>
    </row>
    <row r="5740" spans="2:2" ht="15" x14ac:dyDescent="0.2">
      <c r="B5740" s="183"/>
    </row>
    <row r="5741" spans="2:2" ht="15" x14ac:dyDescent="0.2">
      <c r="B5741" s="183"/>
    </row>
    <row r="5742" spans="2:2" ht="15" x14ac:dyDescent="0.2">
      <c r="B5742" s="183"/>
    </row>
    <row r="5743" spans="2:2" ht="15" x14ac:dyDescent="0.2">
      <c r="B5743" s="183"/>
    </row>
    <row r="5744" spans="2:2" ht="15" x14ac:dyDescent="0.2">
      <c r="B5744" s="183"/>
    </row>
    <row r="5745" spans="2:2" ht="15" x14ac:dyDescent="0.2">
      <c r="B5745" s="183"/>
    </row>
    <row r="5746" spans="2:2" ht="15" x14ac:dyDescent="0.2">
      <c r="B5746" s="183"/>
    </row>
    <row r="5747" spans="2:2" ht="15" x14ac:dyDescent="0.2">
      <c r="B5747" s="183"/>
    </row>
    <row r="5748" spans="2:2" ht="15" x14ac:dyDescent="0.2">
      <c r="B5748" s="183"/>
    </row>
    <row r="5749" spans="2:2" ht="15" x14ac:dyDescent="0.2">
      <c r="B5749" s="183"/>
    </row>
    <row r="5750" spans="2:2" ht="15" x14ac:dyDescent="0.2">
      <c r="B5750" s="183"/>
    </row>
    <row r="5751" spans="2:2" ht="15" x14ac:dyDescent="0.2">
      <c r="B5751" s="183"/>
    </row>
    <row r="5752" spans="2:2" ht="15" x14ac:dyDescent="0.2">
      <c r="B5752" s="183"/>
    </row>
    <row r="5753" spans="2:2" ht="15" x14ac:dyDescent="0.2">
      <c r="B5753" s="183"/>
    </row>
    <row r="5754" spans="2:2" ht="15" x14ac:dyDescent="0.2">
      <c r="B5754" s="183"/>
    </row>
    <row r="5755" spans="2:2" ht="15" x14ac:dyDescent="0.2">
      <c r="B5755" s="183"/>
    </row>
    <row r="5756" spans="2:2" ht="15" x14ac:dyDescent="0.2">
      <c r="B5756" s="183"/>
    </row>
    <row r="5757" spans="2:2" ht="15" x14ac:dyDescent="0.2">
      <c r="B5757" s="183"/>
    </row>
    <row r="5758" spans="2:2" ht="15" x14ac:dyDescent="0.2">
      <c r="B5758" s="183"/>
    </row>
    <row r="5759" spans="2:2" ht="15" x14ac:dyDescent="0.2">
      <c r="B5759" s="183"/>
    </row>
    <row r="5760" spans="2:2" ht="15" x14ac:dyDescent="0.2">
      <c r="B5760" s="183"/>
    </row>
    <row r="5761" spans="2:2" ht="15" x14ac:dyDescent="0.2">
      <c r="B5761" s="183"/>
    </row>
    <row r="5762" spans="2:2" ht="15" x14ac:dyDescent="0.2">
      <c r="B5762" s="183"/>
    </row>
    <row r="5763" spans="2:2" ht="15" x14ac:dyDescent="0.2">
      <c r="B5763" s="183"/>
    </row>
    <row r="5764" spans="2:2" ht="15" x14ac:dyDescent="0.2">
      <c r="B5764" s="183"/>
    </row>
    <row r="5765" spans="2:2" ht="15" x14ac:dyDescent="0.2">
      <c r="B5765" s="183"/>
    </row>
    <row r="5766" spans="2:2" ht="15" x14ac:dyDescent="0.2">
      <c r="B5766" s="183"/>
    </row>
    <row r="5767" spans="2:2" ht="15" x14ac:dyDescent="0.2">
      <c r="B5767" s="183"/>
    </row>
    <row r="5768" spans="2:2" ht="15" x14ac:dyDescent="0.2">
      <c r="B5768" s="183"/>
    </row>
    <row r="5769" spans="2:2" ht="15" x14ac:dyDescent="0.2">
      <c r="B5769" s="183"/>
    </row>
    <row r="5770" spans="2:2" ht="15" x14ac:dyDescent="0.2">
      <c r="B5770" s="183"/>
    </row>
    <row r="5771" spans="2:2" ht="15" x14ac:dyDescent="0.2">
      <c r="B5771" s="183"/>
    </row>
    <row r="5772" spans="2:2" ht="15" x14ac:dyDescent="0.2">
      <c r="B5772" s="183"/>
    </row>
    <row r="5773" spans="2:2" ht="15" x14ac:dyDescent="0.2">
      <c r="B5773" s="183"/>
    </row>
    <row r="5774" spans="2:2" ht="15" x14ac:dyDescent="0.2">
      <c r="B5774" s="183"/>
    </row>
    <row r="5775" spans="2:2" ht="15" x14ac:dyDescent="0.2">
      <c r="B5775" s="183"/>
    </row>
    <row r="5776" spans="2:2" ht="15" x14ac:dyDescent="0.2">
      <c r="B5776" s="183"/>
    </row>
    <row r="5777" spans="2:2" ht="15" x14ac:dyDescent="0.2">
      <c r="B5777" s="183"/>
    </row>
    <row r="5778" spans="2:2" ht="15" x14ac:dyDescent="0.2">
      <c r="B5778" s="183"/>
    </row>
    <row r="5779" spans="2:2" ht="15" x14ac:dyDescent="0.2">
      <c r="B5779" s="183"/>
    </row>
    <row r="5780" spans="2:2" ht="15" x14ac:dyDescent="0.2">
      <c r="B5780" s="183"/>
    </row>
    <row r="5781" spans="2:2" ht="15" x14ac:dyDescent="0.2">
      <c r="B5781" s="183"/>
    </row>
    <row r="5782" spans="2:2" ht="15" x14ac:dyDescent="0.2">
      <c r="B5782" s="183"/>
    </row>
    <row r="5783" spans="2:2" ht="15" x14ac:dyDescent="0.2">
      <c r="B5783" s="183"/>
    </row>
    <row r="5784" spans="2:2" ht="15" x14ac:dyDescent="0.2">
      <c r="B5784" s="183"/>
    </row>
    <row r="5785" spans="2:2" ht="15" x14ac:dyDescent="0.2">
      <c r="B5785" s="183"/>
    </row>
    <row r="5786" spans="2:2" ht="15" x14ac:dyDescent="0.2">
      <c r="B5786" s="183"/>
    </row>
    <row r="5787" spans="2:2" ht="15" x14ac:dyDescent="0.2">
      <c r="B5787" s="183"/>
    </row>
    <row r="5788" spans="2:2" ht="15" x14ac:dyDescent="0.2">
      <c r="B5788" s="183"/>
    </row>
    <row r="5789" spans="2:2" ht="15" x14ac:dyDescent="0.2">
      <c r="B5789" s="183"/>
    </row>
    <row r="5790" spans="2:2" ht="15" x14ac:dyDescent="0.2">
      <c r="B5790" s="183"/>
    </row>
    <row r="5791" spans="2:2" ht="15" x14ac:dyDescent="0.2">
      <c r="B5791" s="183"/>
    </row>
    <row r="5792" spans="2:2" ht="15" x14ac:dyDescent="0.2">
      <c r="B5792" s="183"/>
    </row>
    <row r="5793" spans="2:2" ht="15" x14ac:dyDescent="0.2">
      <c r="B5793" s="183"/>
    </row>
    <row r="5794" spans="2:2" ht="15" x14ac:dyDescent="0.2">
      <c r="B5794" s="183"/>
    </row>
    <row r="5795" spans="2:2" ht="15" x14ac:dyDescent="0.2">
      <c r="B5795" s="183"/>
    </row>
    <row r="5796" spans="2:2" ht="15" x14ac:dyDescent="0.2">
      <c r="B5796" s="183"/>
    </row>
    <row r="5797" spans="2:2" ht="15" x14ac:dyDescent="0.2">
      <c r="B5797" s="183"/>
    </row>
    <row r="5798" spans="2:2" ht="15" x14ac:dyDescent="0.2">
      <c r="B5798" s="183"/>
    </row>
    <row r="5799" spans="2:2" ht="15" x14ac:dyDescent="0.2">
      <c r="B5799" s="183"/>
    </row>
    <row r="5800" spans="2:2" ht="15" x14ac:dyDescent="0.2">
      <c r="B5800" s="183"/>
    </row>
    <row r="5801" spans="2:2" ht="15" x14ac:dyDescent="0.2">
      <c r="B5801" s="183"/>
    </row>
    <row r="5802" spans="2:2" ht="15" x14ac:dyDescent="0.2">
      <c r="B5802" s="183"/>
    </row>
    <row r="5803" spans="2:2" ht="15" x14ac:dyDescent="0.2">
      <c r="B5803" s="183"/>
    </row>
    <row r="5804" spans="2:2" ht="15" x14ac:dyDescent="0.2">
      <c r="B5804" s="183"/>
    </row>
    <row r="5805" spans="2:2" ht="15" x14ac:dyDescent="0.2">
      <c r="B5805" s="183"/>
    </row>
    <row r="5806" spans="2:2" ht="15" x14ac:dyDescent="0.2">
      <c r="B5806" s="183"/>
    </row>
    <row r="5807" spans="2:2" ht="15" x14ac:dyDescent="0.2">
      <c r="B5807" s="183"/>
    </row>
    <row r="5808" spans="2:2" ht="15" x14ac:dyDescent="0.2">
      <c r="B5808" s="183"/>
    </row>
    <row r="5809" spans="2:2" ht="15" x14ac:dyDescent="0.2">
      <c r="B5809" s="183"/>
    </row>
    <row r="5810" spans="2:2" ht="15" x14ac:dyDescent="0.2">
      <c r="B5810" s="183"/>
    </row>
    <row r="5811" spans="2:2" ht="15" x14ac:dyDescent="0.2">
      <c r="B5811" s="183"/>
    </row>
    <row r="5812" spans="2:2" ht="15" x14ac:dyDescent="0.2">
      <c r="B5812" s="183"/>
    </row>
    <row r="5813" spans="2:2" ht="15" x14ac:dyDescent="0.2">
      <c r="B5813" s="183"/>
    </row>
    <row r="5814" spans="2:2" ht="15" x14ac:dyDescent="0.2">
      <c r="B5814" s="183"/>
    </row>
    <row r="5815" spans="2:2" ht="15" x14ac:dyDescent="0.2">
      <c r="B5815" s="183"/>
    </row>
    <row r="5816" spans="2:2" ht="15" x14ac:dyDescent="0.2">
      <c r="B5816" s="183"/>
    </row>
    <row r="5817" spans="2:2" ht="15" x14ac:dyDescent="0.2">
      <c r="B5817" s="183"/>
    </row>
    <row r="5818" spans="2:2" ht="15" x14ac:dyDescent="0.2">
      <c r="B5818" s="183"/>
    </row>
    <row r="5819" spans="2:2" ht="15" x14ac:dyDescent="0.2">
      <c r="B5819" s="183"/>
    </row>
    <row r="5820" spans="2:2" ht="15" x14ac:dyDescent="0.2">
      <c r="B5820" s="183"/>
    </row>
    <row r="5821" spans="2:2" ht="15" x14ac:dyDescent="0.2">
      <c r="B5821" s="183"/>
    </row>
    <row r="5822" spans="2:2" ht="15" x14ac:dyDescent="0.2">
      <c r="B5822" s="183"/>
    </row>
    <row r="5823" spans="2:2" ht="15" x14ac:dyDescent="0.2">
      <c r="B5823" s="183"/>
    </row>
    <row r="5824" spans="2:2" ht="15" x14ac:dyDescent="0.2">
      <c r="B5824" s="183"/>
    </row>
    <row r="5825" spans="2:2" ht="15" x14ac:dyDescent="0.2">
      <c r="B5825" s="183"/>
    </row>
    <row r="5826" spans="2:2" ht="15" x14ac:dyDescent="0.2">
      <c r="B5826" s="183"/>
    </row>
    <row r="5827" spans="2:2" ht="15" x14ac:dyDescent="0.2">
      <c r="B5827" s="183"/>
    </row>
    <row r="5828" spans="2:2" ht="15" x14ac:dyDescent="0.2">
      <c r="B5828" s="183"/>
    </row>
    <row r="5829" spans="2:2" ht="15" x14ac:dyDescent="0.2">
      <c r="B5829" s="183"/>
    </row>
    <row r="5830" spans="2:2" ht="15" x14ac:dyDescent="0.2">
      <c r="B5830" s="183"/>
    </row>
    <row r="5831" spans="2:2" ht="15" x14ac:dyDescent="0.2">
      <c r="B5831" s="183"/>
    </row>
    <row r="5832" spans="2:2" ht="15" x14ac:dyDescent="0.2">
      <c r="B5832" s="183"/>
    </row>
    <row r="5833" spans="2:2" ht="15" x14ac:dyDescent="0.2">
      <c r="B5833" s="183"/>
    </row>
    <row r="5834" spans="2:2" ht="15" x14ac:dyDescent="0.2">
      <c r="B5834" s="183"/>
    </row>
    <row r="5835" spans="2:2" ht="15" x14ac:dyDescent="0.2">
      <c r="B5835" s="183"/>
    </row>
    <row r="5836" spans="2:2" ht="15" x14ac:dyDescent="0.2">
      <c r="B5836" s="183"/>
    </row>
    <row r="5837" spans="2:2" ht="15" x14ac:dyDescent="0.2">
      <c r="B5837" s="183"/>
    </row>
    <row r="5838" spans="2:2" ht="15" x14ac:dyDescent="0.2">
      <c r="B5838" s="183"/>
    </row>
    <row r="5839" spans="2:2" ht="15" x14ac:dyDescent="0.2">
      <c r="B5839" s="183"/>
    </row>
    <row r="5840" spans="2:2" ht="15" x14ac:dyDescent="0.2">
      <c r="B5840" s="183"/>
    </row>
    <row r="5841" spans="2:2" ht="15" x14ac:dyDescent="0.2">
      <c r="B5841" s="183"/>
    </row>
    <row r="5842" spans="2:2" ht="15" x14ac:dyDescent="0.2">
      <c r="B5842" s="183"/>
    </row>
    <row r="5843" spans="2:2" ht="15" x14ac:dyDescent="0.2">
      <c r="B5843" s="183"/>
    </row>
    <row r="5844" spans="2:2" ht="15" x14ac:dyDescent="0.2">
      <c r="B5844" s="183"/>
    </row>
    <row r="5845" spans="2:2" ht="15" x14ac:dyDescent="0.2">
      <c r="B5845" s="183"/>
    </row>
    <row r="5846" spans="2:2" ht="15" x14ac:dyDescent="0.2">
      <c r="B5846" s="183"/>
    </row>
    <row r="5847" spans="2:2" ht="15" x14ac:dyDescent="0.2">
      <c r="B5847" s="183"/>
    </row>
    <row r="5848" spans="2:2" ht="15" x14ac:dyDescent="0.2">
      <c r="B5848" s="183"/>
    </row>
    <row r="5849" spans="2:2" ht="15" x14ac:dyDescent="0.2">
      <c r="B5849" s="183"/>
    </row>
    <row r="5850" spans="2:2" ht="15" x14ac:dyDescent="0.2">
      <c r="B5850" s="183"/>
    </row>
    <row r="5851" spans="2:2" ht="15" x14ac:dyDescent="0.2">
      <c r="B5851" s="183"/>
    </row>
    <row r="5852" spans="2:2" ht="15" x14ac:dyDescent="0.2">
      <c r="B5852" s="183"/>
    </row>
    <row r="5853" spans="2:2" ht="15" x14ac:dyDescent="0.2">
      <c r="B5853" s="183"/>
    </row>
    <row r="5854" spans="2:2" ht="15" x14ac:dyDescent="0.2">
      <c r="B5854" s="183"/>
    </row>
    <row r="5855" spans="2:2" ht="15" x14ac:dyDescent="0.2">
      <c r="B5855" s="183"/>
    </row>
    <row r="5856" spans="2:2" ht="15" x14ac:dyDescent="0.2">
      <c r="B5856" s="183"/>
    </row>
    <row r="5857" spans="2:2" ht="15" x14ac:dyDescent="0.2">
      <c r="B5857" s="183"/>
    </row>
    <row r="5858" spans="2:2" ht="15" x14ac:dyDescent="0.2">
      <c r="B5858" s="183"/>
    </row>
    <row r="5859" spans="2:2" ht="15" x14ac:dyDescent="0.2">
      <c r="B5859" s="183"/>
    </row>
    <row r="5860" spans="2:2" ht="15" x14ac:dyDescent="0.2">
      <c r="B5860" s="183"/>
    </row>
    <row r="5861" spans="2:2" ht="15" x14ac:dyDescent="0.2">
      <c r="B5861" s="183"/>
    </row>
    <row r="5862" spans="2:2" ht="15" x14ac:dyDescent="0.2">
      <c r="B5862" s="183"/>
    </row>
    <row r="5863" spans="2:2" ht="15" x14ac:dyDescent="0.2">
      <c r="B5863" s="183"/>
    </row>
    <row r="5864" spans="2:2" ht="15" x14ac:dyDescent="0.2">
      <c r="B5864" s="183"/>
    </row>
    <row r="5865" spans="2:2" ht="15" x14ac:dyDescent="0.2">
      <c r="B5865" s="183"/>
    </row>
    <row r="5866" spans="2:2" ht="15" x14ac:dyDescent="0.2">
      <c r="B5866" s="183"/>
    </row>
    <row r="5867" spans="2:2" ht="15" x14ac:dyDescent="0.2">
      <c r="B5867" s="183"/>
    </row>
    <row r="5868" spans="2:2" ht="15" x14ac:dyDescent="0.2">
      <c r="B5868" s="183"/>
    </row>
    <row r="5869" spans="2:2" ht="15" x14ac:dyDescent="0.2">
      <c r="B5869" s="183"/>
    </row>
    <row r="5870" spans="2:2" ht="15" x14ac:dyDescent="0.2">
      <c r="B5870" s="183"/>
    </row>
    <row r="5871" spans="2:2" ht="15" x14ac:dyDescent="0.2">
      <c r="B5871" s="183"/>
    </row>
    <row r="5872" spans="2:2" ht="15" x14ac:dyDescent="0.2">
      <c r="B5872" s="183"/>
    </row>
    <row r="5873" spans="2:2" ht="15" x14ac:dyDescent="0.2">
      <c r="B5873" s="183"/>
    </row>
    <row r="5874" spans="2:2" ht="15" x14ac:dyDescent="0.2">
      <c r="B5874" s="183"/>
    </row>
    <row r="5875" spans="2:2" ht="15" x14ac:dyDescent="0.2">
      <c r="B5875" s="183"/>
    </row>
    <row r="5876" spans="2:2" ht="15" x14ac:dyDescent="0.2">
      <c r="B5876" s="183"/>
    </row>
    <row r="5877" spans="2:2" ht="15" x14ac:dyDescent="0.2">
      <c r="B5877" s="183"/>
    </row>
    <row r="5878" spans="2:2" ht="15" x14ac:dyDescent="0.2">
      <c r="B5878" s="183"/>
    </row>
    <row r="5879" spans="2:2" ht="15" x14ac:dyDescent="0.2">
      <c r="B5879" s="183"/>
    </row>
    <row r="5880" spans="2:2" ht="15" x14ac:dyDescent="0.2">
      <c r="B5880" s="183"/>
    </row>
    <row r="5881" spans="2:2" ht="15" x14ac:dyDescent="0.2">
      <c r="B5881" s="183"/>
    </row>
    <row r="5882" spans="2:2" ht="15" x14ac:dyDescent="0.2">
      <c r="B5882" s="183"/>
    </row>
    <row r="5883" spans="2:2" ht="15" x14ac:dyDescent="0.2">
      <c r="B5883" s="183"/>
    </row>
    <row r="5884" spans="2:2" ht="15" x14ac:dyDescent="0.2">
      <c r="B5884" s="183"/>
    </row>
    <row r="5885" spans="2:2" ht="15" x14ac:dyDescent="0.2">
      <c r="B5885" s="183"/>
    </row>
    <row r="5886" spans="2:2" ht="15" x14ac:dyDescent="0.2">
      <c r="B5886" s="183"/>
    </row>
    <row r="5887" spans="2:2" ht="15" x14ac:dyDescent="0.2">
      <c r="B5887" s="183"/>
    </row>
    <row r="5888" spans="2:2" ht="15" x14ac:dyDescent="0.2">
      <c r="B5888" s="183"/>
    </row>
    <row r="5889" spans="2:2" ht="15" x14ac:dyDescent="0.2">
      <c r="B5889" s="183"/>
    </row>
    <row r="5890" spans="2:2" ht="15" x14ac:dyDescent="0.2">
      <c r="B5890" s="183"/>
    </row>
    <row r="5891" spans="2:2" ht="15" x14ac:dyDescent="0.2">
      <c r="B5891" s="183"/>
    </row>
    <row r="5892" spans="2:2" ht="15" x14ac:dyDescent="0.2">
      <c r="B5892" s="183"/>
    </row>
    <row r="5893" spans="2:2" ht="15" x14ac:dyDescent="0.2">
      <c r="B5893" s="183"/>
    </row>
    <row r="5894" spans="2:2" ht="15" x14ac:dyDescent="0.2">
      <c r="B5894" s="183"/>
    </row>
    <row r="5895" spans="2:2" ht="15" x14ac:dyDescent="0.2">
      <c r="B5895" s="183"/>
    </row>
    <row r="5896" spans="2:2" ht="15" x14ac:dyDescent="0.2">
      <c r="B5896" s="183"/>
    </row>
    <row r="5897" spans="2:2" ht="15" x14ac:dyDescent="0.2">
      <c r="B5897" s="183"/>
    </row>
    <row r="5898" spans="2:2" ht="15" x14ac:dyDescent="0.2">
      <c r="B5898" s="183"/>
    </row>
    <row r="5899" spans="2:2" ht="15" x14ac:dyDescent="0.2">
      <c r="B5899" s="183"/>
    </row>
    <row r="5900" spans="2:2" ht="15" x14ac:dyDescent="0.2">
      <c r="B5900" s="183"/>
    </row>
    <row r="5901" spans="2:2" ht="15" x14ac:dyDescent="0.2">
      <c r="B5901" s="183"/>
    </row>
    <row r="5902" spans="2:2" ht="15" x14ac:dyDescent="0.2">
      <c r="B5902" s="183"/>
    </row>
    <row r="5903" spans="2:2" ht="15" x14ac:dyDescent="0.2">
      <c r="B5903" s="183"/>
    </row>
    <row r="5904" spans="2:2" ht="15" x14ac:dyDescent="0.2">
      <c r="B5904" s="183"/>
    </row>
    <row r="5905" spans="2:2" ht="15" x14ac:dyDescent="0.2">
      <c r="B5905" s="183"/>
    </row>
    <row r="5906" spans="2:2" ht="15" x14ac:dyDescent="0.2">
      <c r="B5906" s="183"/>
    </row>
    <row r="5907" spans="2:2" ht="15" x14ac:dyDescent="0.2">
      <c r="B5907" s="183"/>
    </row>
    <row r="5908" spans="2:2" ht="15" x14ac:dyDescent="0.2">
      <c r="B5908" s="183"/>
    </row>
    <row r="5909" spans="2:2" ht="15" x14ac:dyDescent="0.2">
      <c r="B5909" s="183"/>
    </row>
    <row r="5910" spans="2:2" ht="15" x14ac:dyDescent="0.2">
      <c r="B5910" s="183"/>
    </row>
    <row r="5911" spans="2:2" ht="15" x14ac:dyDescent="0.2">
      <c r="B5911" s="183"/>
    </row>
    <row r="5912" spans="2:2" ht="15" x14ac:dyDescent="0.2">
      <c r="B5912" s="183"/>
    </row>
    <row r="5913" spans="2:2" ht="15" x14ac:dyDescent="0.2">
      <c r="B5913" s="183"/>
    </row>
    <row r="5914" spans="2:2" ht="15" x14ac:dyDescent="0.2">
      <c r="B5914" s="183"/>
    </row>
    <row r="5915" spans="2:2" ht="15" x14ac:dyDescent="0.2">
      <c r="B5915" s="183"/>
    </row>
    <row r="5916" spans="2:2" ht="15" x14ac:dyDescent="0.2">
      <c r="B5916" s="183"/>
    </row>
    <row r="5917" spans="2:2" ht="15" x14ac:dyDescent="0.2">
      <c r="B5917" s="183"/>
    </row>
    <row r="5918" spans="2:2" ht="15" x14ac:dyDescent="0.2">
      <c r="B5918" s="183"/>
    </row>
    <row r="5919" spans="2:2" ht="15" x14ac:dyDescent="0.2">
      <c r="B5919" s="183"/>
    </row>
    <row r="5920" spans="2:2" ht="15" x14ac:dyDescent="0.2">
      <c r="B5920" s="183"/>
    </row>
    <row r="5921" spans="2:2" ht="15" x14ac:dyDescent="0.2">
      <c r="B5921" s="183"/>
    </row>
    <row r="5922" spans="2:2" ht="15" x14ac:dyDescent="0.2">
      <c r="B5922" s="183"/>
    </row>
    <row r="5923" spans="2:2" ht="15" x14ac:dyDescent="0.2">
      <c r="B5923" s="183"/>
    </row>
    <row r="5924" spans="2:2" ht="15" x14ac:dyDescent="0.2">
      <c r="B5924" s="183"/>
    </row>
    <row r="5925" spans="2:2" ht="15" x14ac:dyDescent="0.2">
      <c r="B5925" s="183"/>
    </row>
    <row r="5926" spans="2:2" ht="15" x14ac:dyDescent="0.2">
      <c r="B5926" s="183"/>
    </row>
    <row r="5927" spans="2:2" ht="15" x14ac:dyDescent="0.2">
      <c r="B5927" s="183"/>
    </row>
    <row r="5928" spans="2:2" ht="15" x14ac:dyDescent="0.2">
      <c r="B5928" s="183"/>
    </row>
    <row r="5929" spans="2:2" ht="15" x14ac:dyDescent="0.2">
      <c r="B5929" s="183"/>
    </row>
    <row r="5930" spans="2:2" ht="15" x14ac:dyDescent="0.2">
      <c r="B5930" s="183"/>
    </row>
    <row r="5931" spans="2:2" ht="15" x14ac:dyDescent="0.2">
      <c r="B5931" s="183"/>
    </row>
    <row r="5932" spans="2:2" ht="15" x14ac:dyDescent="0.2">
      <c r="B5932" s="183"/>
    </row>
    <row r="5933" spans="2:2" ht="15" x14ac:dyDescent="0.2">
      <c r="B5933" s="183"/>
    </row>
    <row r="5934" spans="2:2" ht="15" x14ac:dyDescent="0.2">
      <c r="B5934" s="183"/>
    </row>
    <row r="5935" spans="2:2" ht="15" x14ac:dyDescent="0.2">
      <c r="B5935" s="183"/>
    </row>
    <row r="5936" spans="2:2" ht="15" x14ac:dyDescent="0.2">
      <c r="B5936" s="183"/>
    </row>
    <row r="5937" spans="2:2" ht="15" x14ac:dyDescent="0.2">
      <c r="B5937" s="183"/>
    </row>
    <row r="5938" spans="2:2" ht="15" x14ac:dyDescent="0.2">
      <c r="B5938" s="183"/>
    </row>
    <row r="5939" spans="2:2" ht="15" x14ac:dyDescent="0.2">
      <c r="B5939" s="183"/>
    </row>
    <row r="5940" spans="2:2" ht="15" x14ac:dyDescent="0.2">
      <c r="B5940" s="183"/>
    </row>
    <row r="5941" spans="2:2" ht="15" x14ac:dyDescent="0.2">
      <c r="B5941" s="183"/>
    </row>
    <row r="5942" spans="2:2" ht="15" x14ac:dyDescent="0.2">
      <c r="B5942" s="183"/>
    </row>
    <row r="5943" spans="2:2" ht="15" x14ac:dyDescent="0.2">
      <c r="B5943" s="183"/>
    </row>
    <row r="5944" spans="2:2" ht="15" x14ac:dyDescent="0.2">
      <c r="B5944" s="183"/>
    </row>
    <row r="5945" spans="2:2" ht="15" x14ac:dyDescent="0.2">
      <c r="B5945" s="183"/>
    </row>
    <row r="5946" spans="2:2" ht="15" x14ac:dyDescent="0.2">
      <c r="B5946" s="183"/>
    </row>
    <row r="5947" spans="2:2" ht="15" x14ac:dyDescent="0.2">
      <c r="B5947" s="183"/>
    </row>
    <row r="5948" spans="2:2" ht="15" x14ac:dyDescent="0.2">
      <c r="B5948" s="183"/>
    </row>
    <row r="5949" spans="2:2" ht="15" x14ac:dyDescent="0.2">
      <c r="B5949" s="183"/>
    </row>
    <row r="5950" spans="2:2" ht="15" x14ac:dyDescent="0.2">
      <c r="B5950" s="183"/>
    </row>
    <row r="5951" spans="2:2" ht="15" x14ac:dyDescent="0.2">
      <c r="B5951" s="183"/>
    </row>
    <row r="5952" spans="2:2" ht="15" x14ac:dyDescent="0.2">
      <c r="B5952" s="183"/>
    </row>
    <row r="5953" spans="2:2" ht="15" x14ac:dyDescent="0.2">
      <c r="B5953" s="183"/>
    </row>
    <row r="5954" spans="2:2" ht="15" x14ac:dyDescent="0.2">
      <c r="B5954" s="183"/>
    </row>
    <row r="5955" spans="2:2" ht="15" x14ac:dyDescent="0.2">
      <c r="B5955" s="183"/>
    </row>
    <row r="5956" spans="2:2" ht="15" x14ac:dyDescent="0.2">
      <c r="B5956" s="183"/>
    </row>
    <row r="5957" spans="2:2" ht="15" x14ac:dyDescent="0.2">
      <c r="B5957" s="183"/>
    </row>
    <row r="5958" spans="2:2" ht="15" x14ac:dyDescent="0.2">
      <c r="B5958" s="183"/>
    </row>
    <row r="5959" spans="2:2" ht="15" x14ac:dyDescent="0.2">
      <c r="B5959" s="183"/>
    </row>
    <row r="5960" spans="2:2" ht="15" x14ac:dyDescent="0.2">
      <c r="B5960" s="183"/>
    </row>
    <row r="5961" spans="2:2" ht="15" x14ac:dyDescent="0.2">
      <c r="B5961" s="183"/>
    </row>
    <row r="5962" spans="2:2" ht="15" x14ac:dyDescent="0.2">
      <c r="B5962" s="183"/>
    </row>
    <row r="5963" spans="2:2" ht="15" x14ac:dyDescent="0.2">
      <c r="B5963" s="183"/>
    </row>
    <row r="5964" spans="2:2" ht="15" x14ac:dyDescent="0.2">
      <c r="B5964" s="183"/>
    </row>
    <row r="5965" spans="2:2" ht="15" x14ac:dyDescent="0.2">
      <c r="B5965" s="183"/>
    </row>
    <row r="5966" spans="2:2" ht="15" x14ac:dyDescent="0.2">
      <c r="B5966" s="183"/>
    </row>
    <row r="5967" spans="2:2" ht="15" x14ac:dyDescent="0.2">
      <c r="B5967" s="183"/>
    </row>
    <row r="5968" spans="2:2" ht="15" x14ac:dyDescent="0.2">
      <c r="B5968" s="183"/>
    </row>
    <row r="5969" spans="2:2" ht="15" x14ac:dyDescent="0.2">
      <c r="B5969" s="183"/>
    </row>
    <row r="5970" spans="2:2" ht="15" x14ac:dyDescent="0.2">
      <c r="B5970" s="183"/>
    </row>
    <row r="5971" spans="2:2" ht="15" x14ac:dyDescent="0.2">
      <c r="B5971" s="183"/>
    </row>
    <row r="5972" spans="2:2" ht="15" x14ac:dyDescent="0.2">
      <c r="B5972" s="183"/>
    </row>
    <row r="5973" spans="2:2" ht="15" x14ac:dyDescent="0.2">
      <c r="B5973" s="183"/>
    </row>
    <row r="5974" spans="2:2" ht="15" x14ac:dyDescent="0.2">
      <c r="B5974" s="183"/>
    </row>
    <row r="5975" spans="2:2" ht="15" x14ac:dyDescent="0.2">
      <c r="B5975" s="183"/>
    </row>
    <row r="5976" spans="2:2" ht="15" x14ac:dyDescent="0.2">
      <c r="B5976" s="183"/>
    </row>
    <row r="5977" spans="2:2" ht="15" x14ac:dyDescent="0.2">
      <c r="B5977" s="183"/>
    </row>
    <row r="5978" spans="2:2" ht="15" x14ac:dyDescent="0.2">
      <c r="B5978" s="183"/>
    </row>
    <row r="5979" spans="2:2" ht="15" x14ac:dyDescent="0.2">
      <c r="B5979" s="183"/>
    </row>
    <row r="5980" spans="2:2" ht="15" x14ac:dyDescent="0.2">
      <c r="B5980" s="183"/>
    </row>
    <row r="5981" spans="2:2" ht="15" x14ac:dyDescent="0.2">
      <c r="B5981" s="183"/>
    </row>
    <row r="5982" spans="2:2" ht="15" x14ac:dyDescent="0.2">
      <c r="B5982" s="183"/>
    </row>
    <row r="5983" spans="2:2" ht="15" x14ac:dyDescent="0.2">
      <c r="B5983" s="183"/>
    </row>
    <row r="5984" spans="2:2" ht="15" x14ac:dyDescent="0.2">
      <c r="B5984" s="183"/>
    </row>
    <row r="5985" spans="2:2" ht="15" x14ac:dyDescent="0.2">
      <c r="B5985" s="183"/>
    </row>
    <row r="5986" spans="2:2" ht="15" x14ac:dyDescent="0.2">
      <c r="B5986" s="183"/>
    </row>
    <row r="5987" spans="2:2" ht="15" x14ac:dyDescent="0.2">
      <c r="B5987" s="183"/>
    </row>
    <row r="5988" spans="2:2" ht="15" x14ac:dyDescent="0.2">
      <c r="B5988" s="183"/>
    </row>
    <row r="5989" spans="2:2" ht="15" x14ac:dyDescent="0.2">
      <c r="B5989" s="183"/>
    </row>
    <row r="5990" spans="2:2" ht="15" x14ac:dyDescent="0.2">
      <c r="B5990" s="183"/>
    </row>
    <row r="5991" spans="2:2" ht="15" x14ac:dyDescent="0.2">
      <c r="B5991" s="183"/>
    </row>
    <row r="5992" spans="2:2" ht="15" x14ac:dyDescent="0.2">
      <c r="B5992" s="183"/>
    </row>
    <row r="5993" spans="2:2" ht="15" x14ac:dyDescent="0.2">
      <c r="B5993" s="183"/>
    </row>
    <row r="5994" spans="2:2" ht="15" x14ac:dyDescent="0.2">
      <c r="B5994" s="183"/>
    </row>
    <row r="5995" spans="2:2" ht="15" x14ac:dyDescent="0.2">
      <c r="B5995" s="183"/>
    </row>
    <row r="5996" spans="2:2" ht="15" x14ac:dyDescent="0.2">
      <c r="B5996" s="183"/>
    </row>
    <row r="5997" spans="2:2" ht="15" x14ac:dyDescent="0.2">
      <c r="B5997" s="183"/>
    </row>
    <row r="5998" spans="2:2" ht="15" x14ac:dyDescent="0.2">
      <c r="B5998" s="183"/>
    </row>
    <row r="5999" spans="2:2" ht="15" x14ac:dyDescent="0.2">
      <c r="B5999" s="183"/>
    </row>
    <row r="6000" spans="2:2" ht="15" x14ac:dyDescent="0.2">
      <c r="B6000" s="183"/>
    </row>
    <row r="6001" spans="2:2" ht="15" x14ac:dyDescent="0.2">
      <c r="B6001" s="183"/>
    </row>
    <row r="6002" spans="2:2" ht="15" x14ac:dyDescent="0.2">
      <c r="B6002" s="183"/>
    </row>
    <row r="6003" spans="2:2" ht="15" x14ac:dyDescent="0.2">
      <c r="B6003" s="183"/>
    </row>
    <row r="6004" spans="2:2" ht="15" x14ac:dyDescent="0.2">
      <c r="B6004" s="183"/>
    </row>
    <row r="6005" spans="2:2" ht="15" x14ac:dyDescent="0.2">
      <c r="B6005" s="183"/>
    </row>
    <row r="6006" spans="2:2" ht="15" x14ac:dyDescent="0.2">
      <c r="B6006" s="183"/>
    </row>
    <row r="6007" spans="2:2" ht="15" x14ac:dyDescent="0.2">
      <c r="B6007" s="183"/>
    </row>
    <row r="6008" spans="2:2" ht="15" x14ac:dyDescent="0.2">
      <c r="B6008" s="183"/>
    </row>
    <row r="6009" spans="2:2" ht="15" x14ac:dyDescent="0.2">
      <c r="B6009" s="183"/>
    </row>
    <row r="6010" spans="2:2" ht="15" x14ac:dyDescent="0.2">
      <c r="B6010" s="183"/>
    </row>
    <row r="6011" spans="2:2" ht="15" x14ac:dyDescent="0.2">
      <c r="B6011" s="183"/>
    </row>
    <row r="6012" spans="2:2" ht="15" x14ac:dyDescent="0.2">
      <c r="B6012" s="183"/>
    </row>
    <row r="6013" spans="2:2" ht="15" x14ac:dyDescent="0.2">
      <c r="B6013" s="183"/>
    </row>
    <row r="6014" spans="2:2" ht="15" x14ac:dyDescent="0.2">
      <c r="B6014" s="183"/>
    </row>
    <row r="6015" spans="2:2" ht="15" x14ac:dyDescent="0.2">
      <c r="B6015" s="183"/>
    </row>
    <row r="6016" spans="2:2" ht="15" x14ac:dyDescent="0.2">
      <c r="B6016" s="183"/>
    </row>
    <row r="6017" spans="2:2" ht="15" x14ac:dyDescent="0.2">
      <c r="B6017" s="183"/>
    </row>
    <row r="6018" spans="2:2" ht="15" x14ac:dyDescent="0.2">
      <c r="B6018" s="183"/>
    </row>
    <row r="6019" spans="2:2" ht="15" x14ac:dyDescent="0.2">
      <c r="B6019" s="183"/>
    </row>
    <row r="6020" spans="2:2" ht="15" x14ac:dyDescent="0.2">
      <c r="B6020" s="183"/>
    </row>
    <row r="6021" spans="2:2" ht="15" x14ac:dyDescent="0.2">
      <c r="B6021" s="183"/>
    </row>
    <row r="6022" spans="2:2" ht="15" x14ac:dyDescent="0.2">
      <c r="B6022" s="183"/>
    </row>
    <row r="6023" spans="2:2" ht="15" x14ac:dyDescent="0.2">
      <c r="B6023" s="183"/>
    </row>
    <row r="6024" spans="2:2" ht="15" x14ac:dyDescent="0.2">
      <c r="B6024" s="183"/>
    </row>
    <row r="6025" spans="2:2" ht="15" x14ac:dyDescent="0.2">
      <c r="B6025" s="183"/>
    </row>
    <row r="6026" spans="2:2" ht="15" x14ac:dyDescent="0.2">
      <c r="B6026" s="183"/>
    </row>
    <row r="6027" spans="2:2" ht="15" x14ac:dyDescent="0.2">
      <c r="B6027" s="183"/>
    </row>
    <row r="6028" spans="2:2" ht="15" x14ac:dyDescent="0.2">
      <c r="B6028" s="183"/>
    </row>
    <row r="6029" spans="2:2" ht="15" x14ac:dyDescent="0.2">
      <c r="B6029" s="183"/>
    </row>
    <row r="6030" spans="2:2" ht="15" x14ac:dyDescent="0.2">
      <c r="B6030" s="183"/>
    </row>
    <row r="6031" spans="2:2" ht="15" x14ac:dyDescent="0.2">
      <c r="B6031" s="183"/>
    </row>
    <row r="6032" spans="2:2" ht="15" x14ac:dyDescent="0.2">
      <c r="B6032" s="183"/>
    </row>
    <row r="6033" spans="2:2" ht="15" x14ac:dyDescent="0.2">
      <c r="B6033" s="183"/>
    </row>
    <row r="6034" spans="2:2" ht="15" x14ac:dyDescent="0.2">
      <c r="B6034" s="183"/>
    </row>
    <row r="6035" spans="2:2" ht="15" x14ac:dyDescent="0.2">
      <c r="B6035" s="183"/>
    </row>
    <row r="6036" spans="2:2" ht="15" x14ac:dyDescent="0.2">
      <c r="B6036" s="183"/>
    </row>
    <row r="6037" spans="2:2" ht="15" x14ac:dyDescent="0.2">
      <c r="B6037" s="183"/>
    </row>
    <row r="6038" spans="2:2" ht="15" x14ac:dyDescent="0.2">
      <c r="B6038" s="183"/>
    </row>
    <row r="6039" spans="2:2" ht="15" x14ac:dyDescent="0.2">
      <c r="B6039" s="183"/>
    </row>
    <row r="6040" spans="2:2" ht="15" x14ac:dyDescent="0.2">
      <c r="B6040" s="183"/>
    </row>
    <row r="6041" spans="2:2" ht="15" x14ac:dyDescent="0.2">
      <c r="B6041" s="183"/>
    </row>
    <row r="6042" spans="2:2" ht="15" x14ac:dyDescent="0.2">
      <c r="B6042" s="183"/>
    </row>
    <row r="6043" spans="2:2" ht="15" x14ac:dyDescent="0.2">
      <c r="B6043" s="183"/>
    </row>
    <row r="6044" spans="2:2" ht="15" x14ac:dyDescent="0.2">
      <c r="B6044" s="183"/>
    </row>
    <row r="6045" spans="2:2" ht="15" x14ac:dyDescent="0.2">
      <c r="B6045" s="183"/>
    </row>
    <row r="6046" spans="2:2" ht="15" x14ac:dyDescent="0.2">
      <c r="B6046" s="183"/>
    </row>
    <row r="6047" spans="2:2" ht="15" x14ac:dyDescent="0.2">
      <c r="B6047" s="183"/>
    </row>
    <row r="6048" spans="2:2" ht="15" x14ac:dyDescent="0.2">
      <c r="B6048" s="183"/>
    </row>
    <row r="6049" spans="2:2" ht="15" x14ac:dyDescent="0.2">
      <c r="B6049" s="183"/>
    </row>
    <row r="6050" spans="2:2" ht="15" x14ac:dyDescent="0.2">
      <c r="B6050" s="183"/>
    </row>
    <row r="6051" spans="2:2" ht="15" x14ac:dyDescent="0.2">
      <c r="B6051" s="183"/>
    </row>
    <row r="6052" spans="2:2" ht="15" x14ac:dyDescent="0.2">
      <c r="B6052" s="183"/>
    </row>
    <row r="6053" spans="2:2" ht="15" x14ac:dyDescent="0.2">
      <c r="B6053" s="183"/>
    </row>
    <row r="6054" spans="2:2" ht="15" x14ac:dyDescent="0.2">
      <c r="B6054" s="183"/>
    </row>
    <row r="6055" spans="2:2" ht="15" x14ac:dyDescent="0.2">
      <c r="B6055" s="183"/>
    </row>
    <row r="6056" spans="2:2" ht="15" x14ac:dyDescent="0.2">
      <c r="B6056" s="183"/>
    </row>
    <row r="6057" spans="2:2" ht="15" x14ac:dyDescent="0.2">
      <c r="B6057" s="183"/>
    </row>
    <row r="6058" spans="2:2" ht="15" x14ac:dyDescent="0.2">
      <c r="B6058" s="183"/>
    </row>
    <row r="6059" spans="2:2" ht="15" x14ac:dyDescent="0.2">
      <c r="B6059" s="183"/>
    </row>
    <row r="6060" spans="2:2" ht="15" x14ac:dyDescent="0.2">
      <c r="B6060" s="183"/>
    </row>
    <row r="6061" spans="2:2" ht="15" x14ac:dyDescent="0.2">
      <c r="B6061" s="183"/>
    </row>
    <row r="6062" spans="2:2" ht="15" x14ac:dyDescent="0.2">
      <c r="B6062" s="183"/>
    </row>
    <row r="6063" spans="2:2" ht="15" x14ac:dyDescent="0.2">
      <c r="B6063" s="183"/>
    </row>
    <row r="6064" spans="2:2" ht="15" x14ac:dyDescent="0.2">
      <c r="B6064" s="183"/>
    </row>
    <row r="6065" spans="2:2" ht="15" x14ac:dyDescent="0.2">
      <c r="B6065" s="183"/>
    </row>
    <row r="6066" spans="2:2" ht="15" x14ac:dyDescent="0.2">
      <c r="B6066" s="183"/>
    </row>
    <row r="6067" spans="2:2" ht="15" x14ac:dyDescent="0.2">
      <c r="B6067" s="183"/>
    </row>
    <row r="6068" spans="2:2" ht="15" x14ac:dyDescent="0.2">
      <c r="B6068" s="183"/>
    </row>
    <row r="6069" spans="2:2" ht="15" x14ac:dyDescent="0.2">
      <c r="B6069" s="183"/>
    </row>
    <row r="6070" spans="2:2" ht="15" x14ac:dyDescent="0.2">
      <c r="B6070" s="183"/>
    </row>
    <row r="6071" spans="2:2" ht="15" x14ac:dyDescent="0.2">
      <c r="B6071" s="183"/>
    </row>
    <row r="6072" spans="2:2" ht="15" x14ac:dyDescent="0.2">
      <c r="B6072" s="183"/>
    </row>
    <row r="6073" spans="2:2" ht="15" x14ac:dyDescent="0.2">
      <c r="B6073" s="183"/>
    </row>
    <row r="6074" spans="2:2" ht="15" x14ac:dyDescent="0.2">
      <c r="B6074" s="183"/>
    </row>
    <row r="6075" spans="2:2" ht="15" x14ac:dyDescent="0.2">
      <c r="B6075" s="183"/>
    </row>
    <row r="6076" spans="2:2" ht="15" x14ac:dyDescent="0.2">
      <c r="B6076" s="183"/>
    </row>
    <row r="6077" spans="2:2" ht="15" x14ac:dyDescent="0.2">
      <c r="B6077" s="183"/>
    </row>
    <row r="6078" spans="2:2" ht="15" x14ac:dyDescent="0.2">
      <c r="B6078" s="183"/>
    </row>
    <row r="6079" spans="2:2" ht="15" x14ac:dyDescent="0.2">
      <c r="B6079" s="183"/>
    </row>
    <row r="6080" spans="2:2" ht="15" x14ac:dyDescent="0.2">
      <c r="B6080" s="183"/>
    </row>
    <row r="6081" spans="2:2" ht="15" x14ac:dyDescent="0.2">
      <c r="B6081" s="183"/>
    </row>
    <row r="6082" spans="2:2" ht="15" x14ac:dyDescent="0.2">
      <c r="B6082" s="183"/>
    </row>
    <row r="6083" spans="2:2" ht="15" x14ac:dyDescent="0.2">
      <c r="B6083" s="183"/>
    </row>
    <row r="6084" spans="2:2" ht="15" x14ac:dyDescent="0.2">
      <c r="B6084" s="183"/>
    </row>
    <row r="6085" spans="2:2" ht="15" x14ac:dyDescent="0.2">
      <c r="B6085" s="183"/>
    </row>
    <row r="6086" spans="2:2" ht="15" x14ac:dyDescent="0.2">
      <c r="B6086" s="183"/>
    </row>
    <row r="6087" spans="2:2" ht="15" x14ac:dyDescent="0.2">
      <c r="B6087" s="183"/>
    </row>
    <row r="6088" spans="2:2" ht="15" x14ac:dyDescent="0.2">
      <c r="B6088" s="183"/>
    </row>
    <row r="6089" spans="2:2" ht="15" x14ac:dyDescent="0.2">
      <c r="B6089" s="183"/>
    </row>
    <row r="6090" spans="2:2" ht="15" x14ac:dyDescent="0.2">
      <c r="B6090" s="183"/>
    </row>
    <row r="6091" spans="2:2" ht="15" x14ac:dyDescent="0.2">
      <c r="B6091" s="183"/>
    </row>
    <row r="6092" spans="2:2" ht="15" x14ac:dyDescent="0.2">
      <c r="B6092" s="183"/>
    </row>
    <row r="6093" spans="2:2" ht="15" x14ac:dyDescent="0.2">
      <c r="B6093" s="183"/>
    </row>
    <row r="6094" spans="2:2" ht="15" x14ac:dyDescent="0.2">
      <c r="B6094" s="183"/>
    </row>
    <row r="6095" spans="2:2" ht="15" x14ac:dyDescent="0.2">
      <c r="B6095" s="183"/>
    </row>
    <row r="6096" spans="2:2" ht="15" x14ac:dyDescent="0.2">
      <c r="B6096" s="183"/>
    </row>
    <row r="6097" spans="2:2" ht="15" x14ac:dyDescent="0.2">
      <c r="B6097" s="183"/>
    </row>
    <row r="6098" spans="2:2" ht="15" x14ac:dyDescent="0.2">
      <c r="B6098" s="183"/>
    </row>
    <row r="6099" spans="2:2" ht="15" x14ac:dyDescent="0.2">
      <c r="B6099" s="183"/>
    </row>
    <row r="6100" spans="2:2" ht="15" x14ac:dyDescent="0.2">
      <c r="B6100" s="183"/>
    </row>
    <row r="6101" spans="2:2" ht="15" x14ac:dyDescent="0.2">
      <c r="B6101" s="183"/>
    </row>
    <row r="6102" spans="2:2" ht="15" x14ac:dyDescent="0.2">
      <c r="B6102" s="183"/>
    </row>
    <row r="6103" spans="2:2" ht="15" x14ac:dyDescent="0.2">
      <c r="B6103" s="183"/>
    </row>
    <row r="6104" spans="2:2" ht="15" x14ac:dyDescent="0.2">
      <c r="B6104" s="183"/>
    </row>
    <row r="6105" spans="2:2" ht="15" x14ac:dyDescent="0.2">
      <c r="B6105" s="183"/>
    </row>
    <row r="6106" spans="2:2" ht="15" x14ac:dyDescent="0.2">
      <c r="B6106" s="183"/>
    </row>
    <row r="6107" spans="2:2" ht="15" x14ac:dyDescent="0.2">
      <c r="B6107" s="183"/>
    </row>
    <row r="6108" spans="2:2" ht="15" x14ac:dyDescent="0.2">
      <c r="B6108" s="183"/>
    </row>
    <row r="6109" spans="2:2" ht="15" x14ac:dyDescent="0.2">
      <c r="B6109" s="183"/>
    </row>
    <row r="6110" spans="2:2" ht="15" x14ac:dyDescent="0.2">
      <c r="B6110" s="183"/>
    </row>
    <row r="6111" spans="2:2" ht="15" x14ac:dyDescent="0.2">
      <c r="B6111" s="183"/>
    </row>
    <row r="6112" spans="2:2" ht="15" x14ac:dyDescent="0.2">
      <c r="B6112" s="183"/>
    </row>
    <row r="6113" spans="2:2" ht="15" x14ac:dyDescent="0.2">
      <c r="B6113" s="183"/>
    </row>
    <row r="6114" spans="2:2" ht="15" x14ac:dyDescent="0.2">
      <c r="B6114" s="183"/>
    </row>
    <row r="6115" spans="2:2" ht="15" x14ac:dyDescent="0.2">
      <c r="B6115" s="183"/>
    </row>
    <row r="6116" spans="2:2" ht="15" x14ac:dyDescent="0.2">
      <c r="B6116" s="183"/>
    </row>
    <row r="6117" spans="2:2" ht="15" x14ac:dyDescent="0.2">
      <c r="B6117" s="183"/>
    </row>
    <row r="6118" spans="2:2" ht="15" x14ac:dyDescent="0.2">
      <c r="B6118" s="183"/>
    </row>
    <row r="6119" spans="2:2" ht="15" x14ac:dyDescent="0.2">
      <c r="B6119" s="183"/>
    </row>
    <row r="6120" spans="2:2" ht="15" x14ac:dyDescent="0.2">
      <c r="B6120" s="183"/>
    </row>
    <row r="6121" spans="2:2" ht="15" x14ac:dyDescent="0.2">
      <c r="B6121" s="183"/>
    </row>
    <row r="6122" spans="2:2" ht="15" x14ac:dyDescent="0.2">
      <c r="B6122" s="183"/>
    </row>
    <row r="6123" spans="2:2" ht="15" x14ac:dyDescent="0.2">
      <c r="B6123" s="183"/>
    </row>
    <row r="6124" spans="2:2" ht="15" x14ac:dyDescent="0.2">
      <c r="B6124" s="183"/>
    </row>
    <row r="6125" spans="2:2" ht="15" x14ac:dyDescent="0.2">
      <c r="B6125" s="183"/>
    </row>
    <row r="6126" spans="2:2" ht="15" x14ac:dyDescent="0.2">
      <c r="B6126" s="183"/>
    </row>
    <row r="6127" spans="2:2" ht="15" x14ac:dyDescent="0.2">
      <c r="B6127" s="183"/>
    </row>
    <row r="6128" spans="2:2" ht="15" x14ac:dyDescent="0.2">
      <c r="B6128" s="183"/>
    </row>
    <row r="6129" spans="2:2" ht="15" x14ac:dyDescent="0.2">
      <c r="B6129" s="183"/>
    </row>
    <row r="6130" spans="2:2" ht="15" x14ac:dyDescent="0.2">
      <c r="B6130" s="183"/>
    </row>
    <row r="6131" spans="2:2" ht="15" x14ac:dyDescent="0.2">
      <c r="B6131" s="183"/>
    </row>
    <row r="6132" spans="2:2" ht="15" x14ac:dyDescent="0.2">
      <c r="B6132" s="183"/>
    </row>
    <row r="6133" spans="2:2" ht="15" x14ac:dyDescent="0.2">
      <c r="B6133" s="183"/>
    </row>
    <row r="6134" spans="2:2" ht="15" x14ac:dyDescent="0.2">
      <c r="B6134" s="183"/>
    </row>
    <row r="6135" spans="2:2" ht="15" x14ac:dyDescent="0.2">
      <c r="B6135" s="183"/>
    </row>
    <row r="6136" spans="2:2" ht="15" x14ac:dyDescent="0.2">
      <c r="B6136" s="183"/>
    </row>
    <row r="6137" spans="2:2" ht="15" x14ac:dyDescent="0.2">
      <c r="B6137" s="183"/>
    </row>
    <row r="6138" spans="2:2" ht="15" x14ac:dyDescent="0.2">
      <c r="B6138" s="183"/>
    </row>
    <row r="6139" spans="2:2" ht="15" x14ac:dyDescent="0.2">
      <c r="B6139" s="183"/>
    </row>
    <row r="6140" spans="2:2" ht="15" x14ac:dyDescent="0.2">
      <c r="B6140" s="183"/>
    </row>
    <row r="6141" spans="2:2" ht="15" x14ac:dyDescent="0.2">
      <c r="B6141" s="183"/>
    </row>
    <row r="6142" spans="2:2" ht="15" x14ac:dyDescent="0.2">
      <c r="B6142" s="183"/>
    </row>
    <row r="6143" spans="2:2" ht="15" x14ac:dyDescent="0.2">
      <c r="B6143" s="183"/>
    </row>
    <row r="6144" spans="2:2" ht="15" x14ac:dyDescent="0.2">
      <c r="B6144" s="183"/>
    </row>
    <row r="6145" spans="2:2" ht="15" x14ac:dyDescent="0.2">
      <c r="B6145" s="183"/>
    </row>
    <row r="6146" spans="2:2" ht="15" x14ac:dyDescent="0.2">
      <c r="B6146" s="183"/>
    </row>
    <row r="6147" spans="2:2" ht="15" x14ac:dyDescent="0.2">
      <c r="B6147" s="183"/>
    </row>
    <row r="6148" spans="2:2" ht="15" x14ac:dyDescent="0.2">
      <c r="B6148" s="183"/>
    </row>
    <row r="6149" spans="2:2" ht="15" x14ac:dyDescent="0.2">
      <c r="B6149" s="183"/>
    </row>
    <row r="6150" spans="2:2" ht="15" x14ac:dyDescent="0.2">
      <c r="B6150" s="183"/>
    </row>
    <row r="6151" spans="2:2" ht="15" x14ac:dyDescent="0.2">
      <c r="B6151" s="183"/>
    </row>
    <row r="6152" spans="2:2" ht="15" x14ac:dyDescent="0.2">
      <c r="B6152" s="183"/>
    </row>
    <row r="6153" spans="2:2" ht="15" x14ac:dyDescent="0.2">
      <c r="B6153" s="183"/>
    </row>
    <row r="6154" spans="2:2" ht="15" x14ac:dyDescent="0.2">
      <c r="B6154" s="183"/>
    </row>
    <row r="6155" spans="2:2" ht="15" x14ac:dyDescent="0.2">
      <c r="B6155" s="183"/>
    </row>
    <row r="6156" spans="2:2" ht="15" x14ac:dyDescent="0.2">
      <c r="B6156" s="183"/>
    </row>
    <row r="6157" spans="2:2" ht="15" x14ac:dyDescent="0.2">
      <c r="B6157" s="183"/>
    </row>
    <row r="6158" spans="2:2" ht="15" x14ac:dyDescent="0.2">
      <c r="B6158" s="183"/>
    </row>
    <row r="6159" spans="2:2" ht="15" x14ac:dyDescent="0.2">
      <c r="B6159" s="183"/>
    </row>
    <row r="6160" spans="2:2" ht="15" x14ac:dyDescent="0.2">
      <c r="B6160" s="183"/>
    </row>
    <row r="6161" spans="2:2" ht="15" x14ac:dyDescent="0.2">
      <c r="B6161" s="183"/>
    </row>
    <row r="6162" spans="2:2" ht="15" x14ac:dyDescent="0.2">
      <c r="B6162" s="183"/>
    </row>
    <row r="6163" spans="2:2" ht="15" x14ac:dyDescent="0.2">
      <c r="B6163" s="183"/>
    </row>
    <row r="6164" spans="2:2" ht="15" x14ac:dyDescent="0.2">
      <c r="B6164" s="183"/>
    </row>
    <row r="6165" spans="2:2" ht="15" x14ac:dyDescent="0.2">
      <c r="B6165" s="183"/>
    </row>
    <row r="6166" spans="2:2" ht="15" x14ac:dyDescent="0.2">
      <c r="B6166" s="183"/>
    </row>
    <row r="6167" spans="2:2" ht="15" x14ac:dyDescent="0.2">
      <c r="B6167" s="183"/>
    </row>
    <row r="6168" spans="2:2" ht="15" x14ac:dyDescent="0.2">
      <c r="B6168" s="183"/>
    </row>
    <row r="6169" spans="2:2" ht="15" x14ac:dyDescent="0.2">
      <c r="B6169" s="183"/>
    </row>
    <row r="6170" spans="2:2" ht="15" x14ac:dyDescent="0.2">
      <c r="B6170" s="183"/>
    </row>
    <row r="6171" spans="2:2" ht="15" x14ac:dyDescent="0.2">
      <c r="B6171" s="183"/>
    </row>
    <row r="6172" spans="2:2" ht="15" x14ac:dyDescent="0.2">
      <c r="B6172" s="183"/>
    </row>
    <row r="6173" spans="2:2" ht="15" x14ac:dyDescent="0.2">
      <c r="B6173" s="183"/>
    </row>
    <row r="6174" spans="2:2" ht="15" x14ac:dyDescent="0.2">
      <c r="B6174" s="183"/>
    </row>
    <row r="6175" spans="2:2" ht="15" x14ac:dyDescent="0.2">
      <c r="B6175" s="183"/>
    </row>
    <row r="6176" spans="2:2" ht="15" x14ac:dyDescent="0.2">
      <c r="B6176" s="183"/>
    </row>
    <row r="6177" spans="2:2" ht="15" x14ac:dyDescent="0.2">
      <c r="B6177" s="183"/>
    </row>
    <row r="6178" spans="2:2" ht="15" x14ac:dyDescent="0.2">
      <c r="B6178" s="183"/>
    </row>
    <row r="6179" spans="2:2" ht="15" x14ac:dyDescent="0.2">
      <c r="B6179" s="183"/>
    </row>
    <row r="6180" spans="2:2" ht="15" x14ac:dyDescent="0.2">
      <c r="B6180" s="183"/>
    </row>
    <row r="6181" spans="2:2" ht="15" x14ac:dyDescent="0.2">
      <c r="B6181" s="183"/>
    </row>
    <row r="6182" spans="2:2" ht="15" x14ac:dyDescent="0.2">
      <c r="B6182" s="183"/>
    </row>
    <row r="6183" spans="2:2" ht="15" x14ac:dyDescent="0.2">
      <c r="B6183" s="183"/>
    </row>
    <row r="6184" spans="2:2" ht="15" x14ac:dyDescent="0.2">
      <c r="B6184" s="183"/>
    </row>
    <row r="6185" spans="2:2" ht="15" x14ac:dyDescent="0.2">
      <c r="B6185" s="183"/>
    </row>
    <row r="6186" spans="2:2" ht="15" x14ac:dyDescent="0.2">
      <c r="B6186" s="183"/>
    </row>
    <row r="6187" spans="2:2" ht="15" x14ac:dyDescent="0.2">
      <c r="B6187" s="183"/>
    </row>
    <row r="6188" spans="2:2" ht="15" x14ac:dyDescent="0.2">
      <c r="B6188" s="183"/>
    </row>
    <row r="6189" spans="2:2" ht="15" x14ac:dyDescent="0.2">
      <c r="B6189" s="183"/>
    </row>
    <row r="6190" spans="2:2" ht="15" x14ac:dyDescent="0.2">
      <c r="B6190" s="183"/>
    </row>
    <row r="6191" spans="2:2" ht="15" x14ac:dyDescent="0.2">
      <c r="B6191" s="183"/>
    </row>
    <row r="6192" spans="2:2" ht="15" x14ac:dyDescent="0.2">
      <c r="B6192" s="183"/>
    </row>
    <row r="6193" spans="2:2" ht="15" x14ac:dyDescent="0.2">
      <c r="B6193" s="183"/>
    </row>
    <row r="6194" spans="2:2" ht="15" x14ac:dyDescent="0.2">
      <c r="B6194" s="183"/>
    </row>
    <row r="6195" spans="2:2" ht="15" x14ac:dyDescent="0.2">
      <c r="B6195" s="183"/>
    </row>
    <row r="6196" spans="2:2" ht="15" x14ac:dyDescent="0.2">
      <c r="B6196" s="183"/>
    </row>
    <row r="6197" spans="2:2" ht="15" x14ac:dyDescent="0.2">
      <c r="B6197" s="183"/>
    </row>
    <row r="6198" spans="2:2" ht="15" x14ac:dyDescent="0.2">
      <c r="B6198" s="183"/>
    </row>
    <row r="6199" spans="2:2" ht="15" x14ac:dyDescent="0.2">
      <c r="B6199" s="183"/>
    </row>
    <row r="6200" spans="2:2" ht="15" x14ac:dyDescent="0.2">
      <c r="B6200" s="183"/>
    </row>
    <row r="6201" spans="2:2" ht="15" x14ac:dyDescent="0.2">
      <c r="B6201" s="183"/>
    </row>
    <row r="6202" spans="2:2" ht="15" x14ac:dyDescent="0.2">
      <c r="B6202" s="183"/>
    </row>
    <row r="6203" spans="2:2" ht="15" x14ac:dyDescent="0.2">
      <c r="B6203" s="183"/>
    </row>
    <row r="6204" spans="2:2" ht="15" x14ac:dyDescent="0.2">
      <c r="B6204" s="183"/>
    </row>
    <row r="6205" spans="2:2" ht="15" x14ac:dyDescent="0.2">
      <c r="B6205" s="183"/>
    </row>
    <row r="6206" spans="2:2" ht="15" x14ac:dyDescent="0.2">
      <c r="B6206" s="183"/>
    </row>
    <row r="6207" spans="2:2" ht="15" x14ac:dyDescent="0.2">
      <c r="B6207" s="183"/>
    </row>
    <row r="6208" spans="2:2" ht="15" x14ac:dyDescent="0.2">
      <c r="B6208" s="183"/>
    </row>
    <row r="6209" spans="2:2" ht="15" x14ac:dyDescent="0.2">
      <c r="B6209" s="183"/>
    </row>
    <row r="6210" spans="2:2" ht="15" x14ac:dyDescent="0.2">
      <c r="B6210" s="183"/>
    </row>
    <row r="6211" spans="2:2" ht="15" x14ac:dyDescent="0.2">
      <c r="B6211" s="183"/>
    </row>
    <row r="6212" spans="2:2" ht="15" x14ac:dyDescent="0.2">
      <c r="B6212" s="183"/>
    </row>
    <row r="6213" spans="2:2" ht="15" x14ac:dyDescent="0.2">
      <c r="B6213" s="183"/>
    </row>
    <row r="6214" spans="2:2" ht="15" x14ac:dyDescent="0.2">
      <c r="B6214" s="183"/>
    </row>
    <row r="6215" spans="2:2" ht="15" x14ac:dyDescent="0.2">
      <c r="B6215" s="183"/>
    </row>
    <row r="6216" spans="2:2" ht="15" x14ac:dyDescent="0.2">
      <c r="B6216" s="183"/>
    </row>
    <row r="6217" spans="2:2" ht="15" x14ac:dyDescent="0.2">
      <c r="B6217" s="183"/>
    </row>
    <row r="6218" spans="2:2" ht="15" x14ac:dyDescent="0.2">
      <c r="B6218" s="183"/>
    </row>
    <row r="6219" spans="2:2" ht="15" x14ac:dyDescent="0.2">
      <c r="B6219" s="183"/>
    </row>
    <row r="6220" spans="2:2" ht="15" x14ac:dyDescent="0.2">
      <c r="B6220" s="183"/>
    </row>
    <row r="6221" spans="2:2" ht="15" x14ac:dyDescent="0.2">
      <c r="B6221" s="183"/>
    </row>
    <row r="6222" spans="2:2" ht="15" x14ac:dyDescent="0.2">
      <c r="B6222" s="183"/>
    </row>
    <row r="6223" spans="2:2" ht="15" x14ac:dyDescent="0.2">
      <c r="B6223" s="183"/>
    </row>
    <row r="6224" spans="2:2" ht="15" x14ac:dyDescent="0.2">
      <c r="B6224" s="183"/>
    </row>
    <row r="6225" spans="2:2" ht="15" x14ac:dyDescent="0.2">
      <c r="B6225" s="183"/>
    </row>
    <row r="6226" spans="2:2" ht="15" x14ac:dyDescent="0.2">
      <c r="B6226" s="183"/>
    </row>
    <row r="6227" spans="2:2" ht="15" x14ac:dyDescent="0.2">
      <c r="B6227" s="183"/>
    </row>
    <row r="6228" spans="2:2" ht="15" x14ac:dyDescent="0.2">
      <c r="B6228" s="183"/>
    </row>
    <row r="6229" spans="2:2" ht="15" x14ac:dyDescent="0.2">
      <c r="B6229" s="183"/>
    </row>
    <row r="6230" spans="2:2" ht="15" x14ac:dyDescent="0.2">
      <c r="B6230" s="183"/>
    </row>
    <row r="6231" spans="2:2" ht="15" x14ac:dyDescent="0.2">
      <c r="B6231" s="183"/>
    </row>
    <row r="6232" spans="2:2" ht="15" x14ac:dyDescent="0.2">
      <c r="B6232" s="183"/>
    </row>
    <row r="6233" spans="2:2" ht="15" x14ac:dyDescent="0.2">
      <c r="B6233" s="183"/>
    </row>
    <row r="6234" spans="2:2" ht="15" x14ac:dyDescent="0.2">
      <c r="B6234" s="183"/>
    </row>
    <row r="6235" spans="2:2" ht="15" x14ac:dyDescent="0.2">
      <c r="B6235" s="183"/>
    </row>
    <row r="6236" spans="2:2" ht="15" x14ac:dyDescent="0.2">
      <c r="B6236" s="183"/>
    </row>
    <row r="6237" spans="2:2" ht="15" x14ac:dyDescent="0.2">
      <c r="B6237" s="183"/>
    </row>
    <row r="6238" spans="2:2" ht="15" x14ac:dyDescent="0.2">
      <c r="B6238" s="183"/>
    </row>
    <row r="6239" spans="2:2" ht="15" x14ac:dyDescent="0.2">
      <c r="B6239" s="183"/>
    </row>
    <row r="6240" spans="2:2" ht="15" x14ac:dyDescent="0.2">
      <c r="B6240" s="183"/>
    </row>
    <row r="6241" spans="2:2" ht="15" x14ac:dyDescent="0.2">
      <c r="B6241" s="183"/>
    </row>
    <row r="6242" spans="2:2" ht="15" x14ac:dyDescent="0.2">
      <c r="B6242" s="183"/>
    </row>
    <row r="6243" spans="2:2" ht="15" x14ac:dyDescent="0.2">
      <c r="B6243" s="183"/>
    </row>
    <row r="6244" spans="2:2" ht="15" x14ac:dyDescent="0.2">
      <c r="B6244" s="183"/>
    </row>
    <row r="6245" spans="2:2" ht="15" x14ac:dyDescent="0.2">
      <c r="B6245" s="183"/>
    </row>
    <row r="6246" spans="2:2" ht="15" x14ac:dyDescent="0.2">
      <c r="B6246" s="183"/>
    </row>
    <row r="6247" spans="2:2" ht="15" x14ac:dyDescent="0.2">
      <c r="B6247" s="183"/>
    </row>
    <row r="6248" spans="2:2" ht="15" x14ac:dyDescent="0.2">
      <c r="B6248" s="183"/>
    </row>
    <row r="6249" spans="2:2" ht="15" x14ac:dyDescent="0.2">
      <c r="B6249" s="183"/>
    </row>
    <row r="6250" spans="2:2" ht="15" x14ac:dyDescent="0.2">
      <c r="B6250" s="183"/>
    </row>
    <row r="6251" spans="2:2" ht="15" x14ac:dyDescent="0.2">
      <c r="B6251" s="183"/>
    </row>
    <row r="6252" spans="2:2" ht="15" x14ac:dyDescent="0.2">
      <c r="B6252" s="183"/>
    </row>
    <row r="6253" spans="2:2" ht="15" x14ac:dyDescent="0.2">
      <c r="B6253" s="183"/>
    </row>
    <row r="6254" spans="2:2" ht="15" x14ac:dyDescent="0.2">
      <c r="B6254" s="183"/>
    </row>
    <row r="6255" spans="2:2" ht="15" x14ac:dyDescent="0.2">
      <c r="B6255" s="183"/>
    </row>
    <row r="6256" spans="2:2" ht="15" x14ac:dyDescent="0.2">
      <c r="B6256" s="183"/>
    </row>
    <row r="6257" spans="2:2" ht="15" x14ac:dyDescent="0.2">
      <c r="B6257" s="183"/>
    </row>
    <row r="6258" spans="2:2" ht="15" x14ac:dyDescent="0.2">
      <c r="B6258" s="183"/>
    </row>
    <row r="6259" spans="2:2" ht="15" x14ac:dyDescent="0.2">
      <c r="B6259" s="183"/>
    </row>
    <row r="6260" spans="2:2" ht="15" x14ac:dyDescent="0.2">
      <c r="B6260" s="183"/>
    </row>
    <row r="6261" spans="2:2" ht="15" x14ac:dyDescent="0.2">
      <c r="B6261" s="183"/>
    </row>
    <row r="6262" spans="2:2" ht="15" x14ac:dyDescent="0.2">
      <c r="B6262" s="183"/>
    </row>
    <row r="6263" spans="2:2" ht="15" x14ac:dyDescent="0.2">
      <c r="B6263" s="183"/>
    </row>
    <row r="6264" spans="2:2" ht="15" x14ac:dyDescent="0.2">
      <c r="B6264" s="183"/>
    </row>
    <row r="6265" spans="2:2" ht="15" x14ac:dyDescent="0.2">
      <c r="B6265" s="183"/>
    </row>
    <row r="6266" spans="2:2" ht="15" x14ac:dyDescent="0.2">
      <c r="B6266" s="183"/>
    </row>
    <row r="6267" spans="2:2" ht="15" x14ac:dyDescent="0.2">
      <c r="B6267" s="183"/>
    </row>
    <row r="6268" spans="2:2" ht="15" x14ac:dyDescent="0.2">
      <c r="B6268" s="183"/>
    </row>
    <row r="6269" spans="2:2" ht="15" x14ac:dyDescent="0.2">
      <c r="B6269" s="183"/>
    </row>
    <row r="6270" spans="2:2" ht="15" x14ac:dyDescent="0.2">
      <c r="B6270" s="183"/>
    </row>
    <row r="6271" spans="2:2" ht="15" x14ac:dyDescent="0.2">
      <c r="B6271" s="183"/>
    </row>
    <row r="6272" spans="2:2" ht="15" x14ac:dyDescent="0.2">
      <c r="B6272" s="183"/>
    </row>
    <row r="6273" spans="2:2" ht="15" x14ac:dyDescent="0.2">
      <c r="B6273" s="183"/>
    </row>
    <row r="6274" spans="2:2" ht="15" x14ac:dyDescent="0.2">
      <c r="B6274" s="183"/>
    </row>
    <row r="6275" spans="2:2" ht="15" x14ac:dyDescent="0.2">
      <c r="B6275" s="183"/>
    </row>
    <row r="6276" spans="2:2" ht="15" x14ac:dyDescent="0.2">
      <c r="B6276" s="183"/>
    </row>
    <row r="6277" spans="2:2" ht="15" x14ac:dyDescent="0.2">
      <c r="B6277" s="183"/>
    </row>
    <row r="6278" spans="2:2" ht="15" x14ac:dyDescent="0.2">
      <c r="B6278" s="183"/>
    </row>
    <row r="6279" spans="2:2" ht="15" x14ac:dyDescent="0.2">
      <c r="B6279" s="183"/>
    </row>
    <row r="6280" spans="2:2" ht="15" x14ac:dyDescent="0.2">
      <c r="B6280" s="183"/>
    </row>
    <row r="6281" spans="2:2" ht="15" x14ac:dyDescent="0.2">
      <c r="B6281" s="183"/>
    </row>
    <row r="6282" spans="2:2" ht="15" x14ac:dyDescent="0.2">
      <c r="B6282" s="183"/>
    </row>
    <row r="6283" spans="2:2" ht="15" x14ac:dyDescent="0.2">
      <c r="B6283" s="183"/>
    </row>
    <row r="6284" spans="2:2" ht="15" x14ac:dyDescent="0.2">
      <c r="B6284" s="183"/>
    </row>
    <row r="6285" spans="2:2" ht="15" x14ac:dyDescent="0.2">
      <c r="B6285" s="183"/>
    </row>
    <row r="6286" spans="2:2" ht="15" x14ac:dyDescent="0.2">
      <c r="B6286" s="183"/>
    </row>
    <row r="6287" spans="2:2" ht="15" x14ac:dyDescent="0.2">
      <c r="B6287" s="183"/>
    </row>
    <row r="6288" spans="2:2" ht="15" x14ac:dyDescent="0.2">
      <c r="B6288" s="183"/>
    </row>
    <row r="6289" spans="2:2" ht="15" x14ac:dyDescent="0.2">
      <c r="B6289" s="183"/>
    </row>
    <row r="6290" spans="2:2" ht="15" x14ac:dyDescent="0.2">
      <c r="B6290" s="183"/>
    </row>
    <row r="6291" spans="2:2" ht="15" x14ac:dyDescent="0.2">
      <c r="B6291" s="183"/>
    </row>
    <row r="6292" spans="2:2" ht="15" x14ac:dyDescent="0.2">
      <c r="B6292" s="183"/>
    </row>
    <row r="6293" spans="2:2" ht="15" x14ac:dyDescent="0.2">
      <c r="B6293" s="183"/>
    </row>
    <row r="6294" spans="2:2" ht="15" x14ac:dyDescent="0.2">
      <c r="B6294" s="183"/>
    </row>
    <row r="6295" spans="2:2" ht="15" x14ac:dyDescent="0.2">
      <c r="B6295" s="183"/>
    </row>
    <row r="6296" spans="2:2" ht="15" x14ac:dyDescent="0.2">
      <c r="B6296" s="183"/>
    </row>
    <row r="6297" spans="2:2" ht="15" x14ac:dyDescent="0.2">
      <c r="B6297" s="183"/>
    </row>
    <row r="6298" spans="2:2" ht="15" x14ac:dyDescent="0.2">
      <c r="B6298" s="183"/>
    </row>
    <row r="6299" spans="2:2" ht="15" x14ac:dyDescent="0.2">
      <c r="B6299" s="183"/>
    </row>
    <row r="6300" spans="2:2" ht="15" x14ac:dyDescent="0.2">
      <c r="B6300" s="183"/>
    </row>
    <row r="6301" spans="2:2" ht="15" x14ac:dyDescent="0.2">
      <c r="B6301" s="183"/>
    </row>
    <row r="6302" spans="2:2" ht="15" x14ac:dyDescent="0.2">
      <c r="B6302" s="183"/>
    </row>
    <row r="6303" spans="2:2" ht="15" x14ac:dyDescent="0.2">
      <c r="B6303" s="183"/>
    </row>
    <row r="6304" spans="2:2" ht="15" x14ac:dyDescent="0.2">
      <c r="B6304" s="183"/>
    </row>
    <row r="6305" spans="2:2" ht="15" x14ac:dyDescent="0.2">
      <c r="B6305" s="183"/>
    </row>
    <row r="6306" spans="2:2" ht="15" x14ac:dyDescent="0.2">
      <c r="B6306" s="183"/>
    </row>
    <row r="6307" spans="2:2" ht="15" x14ac:dyDescent="0.2">
      <c r="B6307" s="183"/>
    </row>
    <row r="6308" spans="2:2" ht="15" x14ac:dyDescent="0.2">
      <c r="B6308" s="183"/>
    </row>
    <row r="6309" spans="2:2" ht="15" x14ac:dyDescent="0.2">
      <c r="B6309" s="183"/>
    </row>
    <row r="6310" spans="2:2" ht="15" x14ac:dyDescent="0.2">
      <c r="B6310" s="183"/>
    </row>
    <row r="6311" spans="2:2" ht="15" x14ac:dyDescent="0.2">
      <c r="B6311" s="183"/>
    </row>
    <row r="6312" spans="2:2" ht="15" x14ac:dyDescent="0.2">
      <c r="B6312" s="183"/>
    </row>
    <row r="6313" spans="2:2" ht="15" x14ac:dyDescent="0.2">
      <c r="B6313" s="183"/>
    </row>
    <row r="6314" spans="2:2" ht="15" x14ac:dyDescent="0.2">
      <c r="B6314" s="183"/>
    </row>
    <row r="6315" spans="2:2" ht="15" x14ac:dyDescent="0.2">
      <c r="B6315" s="183"/>
    </row>
    <row r="6316" spans="2:2" ht="15" x14ac:dyDescent="0.2">
      <c r="B6316" s="183"/>
    </row>
    <row r="6317" spans="2:2" ht="15" x14ac:dyDescent="0.2">
      <c r="B6317" s="183"/>
    </row>
    <row r="6318" spans="2:2" ht="15" x14ac:dyDescent="0.2">
      <c r="B6318" s="183"/>
    </row>
    <row r="6319" spans="2:2" ht="15" x14ac:dyDescent="0.2">
      <c r="B6319" s="183"/>
    </row>
    <row r="6320" spans="2:2" ht="15" x14ac:dyDescent="0.2">
      <c r="B6320" s="183"/>
    </row>
    <row r="6321" spans="2:2" ht="15" x14ac:dyDescent="0.2">
      <c r="B6321" s="183"/>
    </row>
    <row r="6322" spans="2:2" ht="15" x14ac:dyDescent="0.2">
      <c r="B6322" s="183"/>
    </row>
    <row r="6323" spans="2:2" ht="15" x14ac:dyDescent="0.2">
      <c r="B6323" s="183"/>
    </row>
    <row r="6324" spans="2:2" ht="15" x14ac:dyDescent="0.2">
      <c r="B6324" s="183"/>
    </row>
    <row r="6325" spans="2:2" ht="15" x14ac:dyDescent="0.2">
      <c r="B6325" s="183"/>
    </row>
    <row r="6326" spans="2:2" ht="15" x14ac:dyDescent="0.2">
      <c r="B6326" s="183"/>
    </row>
    <row r="6327" spans="2:2" ht="15" x14ac:dyDescent="0.2">
      <c r="B6327" s="183"/>
    </row>
    <row r="6328" spans="2:2" ht="15" x14ac:dyDescent="0.2">
      <c r="B6328" s="183"/>
    </row>
    <row r="6329" spans="2:2" ht="15" x14ac:dyDescent="0.2">
      <c r="B6329" s="183"/>
    </row>
    <row r="6330" spans="2:2" ht="15" x14ac:dyDescent="0.2">
      <c r="B6330" s="183"/>
    </row>
    <row r="6331" spans="2:2" ht="15" x14ac:dyDescent="0.2">
      <c r="B6331" s="183"/>
    </row>
    <row r="6332" spans="2:2" ht="15" x14ac:dyDescent="0.2">
      <c r="B6332" s="183"/>
    </row>
    <row r="6333" spans="2:2" ht="15" x14ac:dyDescent="0.2">
      <c r="B6333" s="183"/>
    </row>
    <row r="6334" spans="2:2" ht="15" x14ac:dyDescent="0.2">
      <c r="B6334" s="183"/>
    </row>
    <row r="6335" spans="2:2" ht="15" x14ac:dyDescent="0.2">
      <c r="B6335" s="183"/>
    </row>
    <row r="6336" spans="2:2" ht="15" x14ac:dyDescent="0.2">
      <c r="B6336" s="183"/>
    </row>
    <row r="6337" spans="2:2" ht="15" x14ac:dyDescent="0.2">
      <c r="B6337" s="183"/>
    </row>
    <row r="6338" spans="2:2" ht="15" x14ac:dyDescent="0.2">
      <c r="B6338" s="183"/>
    </row>
    <row r="6339" spans="2:2" ht="15" x14ac:dyDescent="0.2">
      <c r="B6339" s="183"/>
    </row>
    <row r="6340" spans="2:2" ht="15" x14ac:dyDescent="0.2">
      <c r="B6340" s="183"/>
    </row>
    <row r="6341" spans="2:2" ht="15" x14ac:dyDescent="0.2">
      <c r="B6341" s="183"/>
    </row>
    <row r="6342" spans="2:2" ht="15" x14ac:dyDescent="0.2">
      <c r="B6342" s="183"/>
    </row>
    <row r="6343" spans="2:2" ht="15" x14ac:dyDescent="0.2">
      <c r="B6343" s="183"/>
    </row>
    <row r="6344" spans="2:2" ht="15" x14ac:dyDescent="0.2">
      <c r="B6344" s="183"/>
    </row>
    <row r="6345" spans="2:2" ht="15" x14ac:dyDescent="0.2">
      <c r="B6345" s="183"/>
    </row>
    <row r="6346" spans="2:2" ht="15" x14ac:dyDescent="0.2">
      <c r="B6346" s="183"/>
    </row>
    <row r="6347" spans="2:2" ht="15" x14ac:dyDescent="0.2">
      <c r="B6347" s="183"/>
    </row>
    <row r="6348" spans="2:2" ht="15" x14ac:dyDescent="0.2">
      <c r="B6348" s="183"/>
    </row>
    <row r="6349" spans="2:2" ht="15" x14ac:dyDescent="0.2">
      <c r="B6349" s="183"/>
    </row>
    <row r="6350" spans="2:2" ht="15" x14ac:dyDescent="0.2">
      <c r="B6350" s="183"/>
    </row>
    <row r="6351" spans="2:2" ht="15" x14ac:dyDescent="0.2">
      <c r="B6351" s="183"/>
    </row>
    <row r="6352" spans="2:2" ht="15" x14ac:dyDescent="0.2">
      <c r="B6352" s="183"/>
    </row>
    <row r="6353" spans="2:2" ht="15" x14ac:dyDescent="0.2">
      <c r="B6353" s="183"/>
    </row>
    <row r="6354" spans="2:2" ht="15" x14ac:dyDescent="0.2">
      <c r="B6354" s="183"/>
    </row>
    <row r="6355" spans="2:2" ht="15" x14ac:dyDescent="0.2">
      <c r="B6355" s="183"/>
    </row>
    <row r="6356" spans="2:2" ht="15" x14ac:dyDescent="0.2">
      <c r="B6356" s="183"/>
    </row>
    <row r="6357" spans="2:2" ht="15" x14ac:dyDescent="0.2">
      <c r="B6357" s="183"/>
    </row>
    <row r="6358" spans="2:2" ht="15" x14ac:dyDescent="0.2">
      <c r="B6358" s="183"/>
    </row>
    <row r="6359" spans="2:2" ht="15" x14ac:dyDescent="0.2">
      <c r="B6359" s="183"/>
    </row>
    <row r="6360" spans="2:2" ht="15" x14ac:dyDescent="0.2">
      <c r="B6360" s="183"/>
    </row>
    <row r="6361" spans="2:2" ht="15" x14ac:dyDescent="0.2">
      <c r="B6361" s="183"/>
    </row>
    <row r="6362" spans="2:2" ht="15" x14ac:dyDescent="0.2">
      <c r="B6362" s="183"/>
    </row>
    <row r="6363" spans="2:2" ht="15" x14ac:dyDescent="0.2">
      <c r="B6363" s="183"/>
    </row>
    <row r="6364" spans="2:2" ht="15" x14ac:dyDescent="0.2">
      <c r="B6364" s="183"/>
    </row>
    <row r="6365" spans="2:2" ht="15" x14ac:dyDescent="0.2">
      <c r="B6365" s="183"/>
    </row>
    <row r="6366" spans="2:2" ht="15" x14ac:dyDescent="0.2">
      <c r="B6366" s="183"/>
    </row>
    <row r="6367" spans="2:2" ht="15" x14ac:dyDescent="0.2">
      <c r="B6367" s="183"/>
    </row>
    <row r="6368" spans="2:2" ht="15" x14ac:dyDescent="0.2">
      <c r="B6368" s="183"/>
    </row>
    <row r="6369" spans="2:2" ht="15" x14ac:dyDescent="0.2">
      <c r="B6369" s="183"/>
    </row>
    <row r="6370" spans="2:2" ht="15" x14ac:dyDescent="0.2">
      <c r="B6370" s="183"/>
    </row>
    <row r="6371" spans="2:2" ht="15" x14ac:dyDescent="0.2">
      <c r="B6371" s="183"/>
    </row>
    <row r="6372" spans="2:2" ht="15" x14ac:dyDescent="0.2">
      <c r="B6372" s="183"/>
    </row>
    <row r="6373" spans="2:2" ht="15" x14ac:dyDescent="0.2">
      <c r="B6373" s="183"/>
    </row>
    <row r="6374" spans="2:2" ht="15" x14ac:dyDescent="0.2">
      <c r="B6374" s="183"/>
    </row>
    <row r="6375" spans="2:2" ht="15" x14ac:dyDescent="0.2">
      <c r="B6375" s="183"/>
    </row>
    <row r="6376" spans="2:2" ht="15" x14ac:dyDescent="0.2">
      <c r="B6376" s="183"/>
    </row>
    <row r="6377" spans="2:2" ht="15" x14ac:dyDescent="0.2">
      <c r="B6377" s="183"/>
    </row>
    <row r="6378" spans="2:2" ht="15" x14ac:dyDescent="0.2">
      <c r="B6378" s="183"/>
    </row>
    <row r="6379" spans="2:2" ht="15" x14ac:dyDescent="0.2">
      <c r="B6379" s="183"/>
    </row>
    <row r="6380" spans="2:2" ht="15" x14ac:dyDescent="0.2">
      <c r="B6380" s="183"/>
    </row>
    <row r="6381" spans="2:2" ht="15" x14ac:dyDescent="0.2">
      <c r="B6381" s="183"/>
    </row>
    <row r="6382" spans="2:2" ht="15" x14ac:dyDescent="0.2">
      <c r="B6382" s="183"/>
    </row>
    <row r="6383" spans="2:2" ht="15" x14ac:dyDescent="0.2">
      <c r="B6383" s="183"/>
    </row>
    <row r="6384" spans="2:2" ht="15" x14ac:dyDescent="0.2">
      <c r="B6384" s="183"/>
    </row>
    <row r="6385" spans="2:2" ht="15" x14ac:dyDescent="0.2">
      <c r="B6385" s="183"/>
    </row>
    <row r="6386" spans="2:2" ht="15" x14ac:dyDescent="0.2">
      <c r="B6386" s="183"/>
    </row>
    <row r="6387" spans="2:2" ht="15" x14ac:dyDescent="0.2">
      <c r="B6387" s="183"/>
    </row>
    <row r="6388" spans="2:2" ht="15" x14ac:dyDescent="0.2">
      <c r="B6388" s="183"/>
    </row>
    <row r="6389" spans="2:2" ht="15" x14ac:dyDescent="0.2">
      <c r="B6389" s="183"/>
    </row>
    <row r="6390" spans="2:2" ht="15" x14ac:dyDescent="0.2">
      <c r="B6390" s="183"/>
    </row>
    <row r="6391" spans="2:2" ht="15" x14ac:dyDescent="0.2">
      <c r="B6391" s="183"/>
    </row>
    <row r="6392" spans="2:2" ht="15" x14ac:dyDescent="0.2">
      <c r="B6392" s="183"/>
    </row>
    <row r="6393" spans="2:2" ht="15" x14ac:dyDescent="0.2">
      <c r="B6393" s="183"/>
    </row>
    <row r="6394" spans="2:2" ht="15" x14ac:dyDescent="0.2">
      <c r="B6394" s="183"/>
    </row>
    <row r="6395" spans="2:2" ht="15" x14ac:dyDescent="0.2">
      <c r="B6395" s="183"/>
    </row>
    <row r="6396" spans="2:2" ht="15" x14ac:dyDescent="0.2">
      <c r="B6396" s="183"/>
    </row>
    <row r="6397" spans="2:2" ht="15" x14ac:dyDescent="0.2">
      <c r="B6397" s="183"/>
    </row>
    <row r="6398" spans="2:2" ht="15" x14ac:dyDescent="0.2">
      <c r="B6398" s="183"/>
    </row>
    <row r="6399" spans="2:2" ht="15" x14ac:dyDescent="0.2">
      <c r="B6399" s="183"/>
    </row>
    <row r="6400" spans="2:2" ht="15" x14ac:dyDescent="0.2">
      <c r="B6400" s="183"/>
    </row>
    <row r="6401" spans="2:2" ht="15" x14ac:dyDescent="0.2">
      <c r="B6401" s="183"/>
    </row>
    <row r="6402" spans="2:2" ht="15" x14ac:dyDescent="0.2">
      <c r="B6402" s="183"/>
    </row>
    <row r="6403" spans="2:2" ht="15" x14ac:dyDescent="0.2">
      <c r="B6403" s="183"/>
    </row>
    <row r="6404" spans="2:2" ht="15" x14ac:dyDescent="0.2">
      <c r="B6404" s="183"/>
    </row>
    <row r="6405" spans="2:2" ht="15" x14ac:dyDescent="0.2">
      <c r="B6405" s="183"/>
    </row>
    <row r="6406" spans="2:2" ht="15" x14ac:dyDescent="0.2">
      <c r="B6406" s="183"/>
    </row>
    <row r="6407" spans="2:2" ht="15" x14ac:dyDescent="0.2">
      <c r="B6407" s="183"/>
    </row>
    <row r="6408" spans="2:2" ht="15" x14ac:dyDescent="0.2">
      <c r="B6408" s="183"/>
    </row>
    <row r="6409" spans="2:2" ht="15" x14ac:dyDescent="0.2">
      <c r="B6409" s="183"/>
    </row>
    <row r="6410" spans="2:2" ht="15" x14ac:dyDescent="0.2">
      <c r="B6410" s="183"/>
    </row>
    <row r="6411" spans="2:2" ht="15" x14ac:dyDescent="0.2">
      <c r="B6411" s="183"/>
    </row>
    <row r="6412" spans="2:2" ht="15" x14ac:dyDescent="0.2">
      <c r="B6412" s="183"/>
    </row>
    <row r="6413" spans="2:2" ht="15" x14ac:dyDescent="0.2">
      <c r="B6413" s="183"/>
    </row>
    <row r="6414" spans="2:2" ht="15" x14ac:dyDescent="0.2">
      <c r="B6414" s="183"/>
    </row>
    <row r="6415" spans="2:2" ht="15" x14ac:dyDescent="0.2">
      <c r="B6415" s="183"/>
    </row>
    <row r="6416" spans="2:2" ht="15" x14ac:dyDescent="0.2">
      <c r="B6416" s="183"/>
    </row>
    <row r="6417" spans="2:2" ht="15" x14ac:dyDescent="0.2">
      <c r="B6417" s="183"/>
    </row>
    <row r="6418" spans="2:2" ht="15" x14ac:dyDescent="0.2">
      <c r="B6418" s="183"/>
    </row>
    <row r="6419" spans="2:2" ht="15" x14ac:dyDescent="0.2">
      <c r="B6419" s="183"/>
    </row>
    <row r="6420" spans="2:2" ht="15" x14ac:dyDescent="0.2">
      <c r="B6420" s="183"/>
    </row>
    <row r="6421" spans="2:2" ht="15" x14ac:dyDescent="0.2">
      <c r="B6421" s="183"/>
    </row>
    <row r="6422" spans="2:2" ht="15" x14ac:dyDescent="0.2">
      <c r="B6422" s="183"/>
    </row>
    <row r="6423" spans="2:2" ht="15" x14ac:dyDescent="0.2">
      <c r="B6423" s="183"/>
    </row>
    <row r="6424" spans="2:2" ht="15" x14ac:dyDescent="0.2">
      <c r="B6424" s="183"/>
    </row>
    <row r="6425" spans="2:2" ht="15" x14ac:dyDescent="0.2">
      <c r="B6425" s="183"/>
    </row>
    <row r="6426" spans="2:2" ht="15" x14ac:dyDescent="0.2">
      <c r="B6426" s="183"/>
    </row>
    <row r="6427" spans="2:2" ht="15" x14ac:dyDescent="0.2">
      <c r="B6427" s="183"/>
    </row>
    <row r="6428" spans="2:2" ht="15" x14ac:dyDescent="0.2">
      <c r="B6428" s="183"/>
    </row>
    <row r="6429" spans="2:2" ht="15" x14ac:dyDescent="0.2">
      <c r="B6429" s="183"/>
    </row>
    <row r="6430" spans="2:2" ht="15" x14ac:dyDescent="0.2">
      <c r="B6430" s="183"/>
    </row>
    <row r="6431" spans="2:2" ht="15" x14ac:dyDescent="0.2">
      <c r="B6431" s="183"/>
    </row>
    <row r="6432" spans="2:2" ht="15" x14ac:dyDescent="0.2">
      <c r="B6432" s="183"/>
    </row>
    <row r="6433" spans="2:2" ht="15" x14ac:dyDescent="0.2">
      <c r="B6433" s="183"/>
    </row>
    <row r="6434" spans="2:2" ht="15" x14ac:dyDescent="0.2">
      <c r="B6434" s="183"/>
    </row>
    <row r="6435" spans="2:2" ht="15" x14ac:dyDescent="0.2">
      <c r="B6435" s="183"/>
    </row>
    <row r="6436" spans="2:2" ht="15" x14ac:dyDescent="0.2">
      <c r="B6436" s="183"/>
    </row>
    <row r="6437" spans="2:2" ht="15" x14ac:dyDescent="0.2">
      <c r="B6437" s="183"/>
    </row>
    <row r="6438" spans="2:2" ht="15" x14ac:dyDescent="0.2">
      <c r="B6438" s="183"/>
    </row>
    <row r="6439" spans="2:2" ht="15" x14ac:dyDescent="0.2">
      <c r="B6439" s="183"/>
    </row>
    <row r="6440" spans="2:2" ht="15" x14ac:dyDescent="0.2">
      <c r="B6440" s="183"/>
    </row>
    <row r="6441" spans="2:2" ht="15" x14ac:dyDescent="0.2">
      <c r="B6441" s="183"/>
    </row>
    <row r="6442" spans="2:2" ht="15" x14ac:dyDescent="0.2">
      <c r="B6442" s="183"/>
    </row>
    <row r="6443" spans="2:2" ht="15" x14ac:dyDescent="0.2">
      <c r="B6443" s="183"/>
    </row>
    <row r="6444" spans="2:2" ht="15" x14ac:dyDescent="0.2">
      <c r="B6444" s="183"/>
    </row>
    <row r="6445" spans="2:2" ht="15" x14ac:dyDescent="0.2">
      <c r="B6445" s="183"/>
    </row>
    <row r="6446" spans="2:2" ht="15" x14ac:dyDescent="0.2">
      <c r="B6446" s="183"/>
    </row>
    <row r="6447" spans="2:2" ht="15" x14ac:dyDescent="0.2">
      <c r="B6447" s="183"/>
    </row>
    <row r="6448" spans="2:2" ht="15" x14ac:dyDescent="0.2">
      <c r="B6448" s="183"/>
    </row>
    <row r="6449" spans="2:2" ht="15" x14ac:dyDescent="0.2">
      <c r="B6449" s="183"/>
    </row>
    <row r="6450" spans="2:2" ht="15" x14ac:dyDescent="0.2">
      <c r="B6450" s="183"/>
    </row>
    <row r="6451" spans="2:2" ht="15" x14ac:dyDescent="0.2">
      <c r="B6451" s="183"/>
    </row>
    <row r="6452" spans="2:2" ht="15" x14ac:dyDescent="0.2">
      <c r="B6452" s="183"/>
    </row>
    <row r="6453" spans="2:2" ht="15" x14ac:dyDescent="0.2">
      <c r="B6453" s="183"/>
    </row>
    <row r="6454" spans="2:2" ht="15" x14ac:dyDescent="0.2">
      <c r="B6454" s="183"/>
    </row>
    <row r="6455" spans="2:2" ht="15" x14ac:dyDescent="0.2">
      <c r="B6455" s="183"/>
    </row>
    <row r="6456" spans="2:2" ht="15" x14ac:dyDescent="0.2">
      <c r="B6456" s="183"/>
    </row>
    <row r="6457" spans="2:2" ht="15" x14ac:dyDescent="0.2">
      <c r="B6457" s="183"/>
    </row>
    <row r="6458" spans="2:2" ht="15" x14ac:dyDescent="0.2">
      <c r="B6458" s="183"/>
    </row>
    <row r="6459" spans="2:2" ht="15" x14ac:dyDescent="0.2">
      <c r="B6459" s="183"/>
    </row>
    <row r="6460" spans="2:2" ht="15" x14ac:dyDescent="0.2">
      <c r="B6460" s="183"/>
    </row>
    <row r="6461" spans="2:2" ht="15" x14ac:dyDescent="0.2">
      <c r="B6461" s="183"/>
    </row>
    <row r="6462" spans="2:2" ht="15" x14ac:dyDescent="0.2">
      <c r="B6462" s="183"/>
    </row>
    <row r="6463" spans="2:2" ht="15" x14ac:dyDescent="0.2">
      <c r="B6463" s="183"/>
    </row>
    <row r="6464" spans="2:2" ht="15" x14ac:dyDescent="0.2">
      <c r="B6464" s="183"/>
    </row>
    <row r="6465" spans="2:2" ht="15" x14ac:dyDescent="0.2">
      <c r="B6465" s="183"/>
    </row>
    <row r="6466" spans="2:2" ht="15" x14ac:dyDescent="0.2">
      <c r="B6466" s="183"/>
    </row>
    <row r="6467" spans="2:2" ht="15" x14ac:dyDescent="0.2">
      <c r="B6467" s="183"/>
    </row>
    <row r="6468" spans="2:2" ht="15" x14ac:dyDescent="0.2">
      <c r="B6468" s="183"/>
    </row>
    <row r="6469" spans="2:2" ht="15" x14ac:dyDescent="0.2">
      <c r="B6469" s="183"/>
    </row>
    <row r="6470" spans="2:2" ht="15" x14ac:dyDescent="0.2">
      <c r="B6470" s="183"/>
    </row>
    <row r="6471" spans="2:2" ht="15" x14ac:dyDescent="0.2">
      <c r="B6471" s="183"/>
    </row>
    <row r="6472" spans="2:2" ht="15" x14ac:dyDescent="0.2">
      <c r="B6472" s="183"/>
    </row>
    <row r="6473" spans="2:2" ht="15" x14ac:dyDescent="0.2">
      <c r="B6473" s="183"/>
    </row>
    <row r="6474" spans="2:2" ht="15" x14ac:dyDescent="0.2">
      <c r="B6474" s="183"/>
    </row>
    <row r="6475" spans="2:2" ht="15" x14ac:dyDescent="0.2">
      <c r="B6475" s="183"/>
    </row>
    <row r="6476" spans="2:2" ht="15" x14ac:dyDescent="0.2">
      <c r="B6476" s="183"/>
    </row>
    <row r="6477" spans="2:2" ht="15" x14ac:dyDescent="0.2">
      <c r="B6477" s="183"/>
    </row>
    <row r="6478" spans="2:2" ht="15" x14ac:dyDescent="0.2">
      <c r="B6478" s="183"/>
    </row>
    <row r="6479" spans="2:2" ht="15" x14ac:dyDescent="0.2">
      <c r="B6479" s="183"/>
    </row>
    <row r="6480" spans="2:2" ht="15" x14ac:dyDescent="0.2">
      <c r="B6480" s="183"/>
    </row>
    <row r="6481" spans="2:2" ht="15" x14ac:dyDescent="0.2">
      <c r="B6481" s="183"/>
    </row>
    <row r="6482" spans="2:2" ht="15" x14ac:dyDescent="0.2">
      <c r="B6482" s="183"/>
    </row>
    <row r="6483" spans="2:2" ht="15" x14ac:dyDescent="0.2">
      <c r="B6483" s="183"/>
    </row>
    <row r="6484" spans="2:2" ht="15" x14ac:dyDescent="0.2">
      <c r="B6484" s="183"/>
    </row>
    <row r="6485" spans="2:2" ht="15" x14ac:dyDescent="0.2">
      <c r="B6485" s="183"/>
    </row>
    <row r="6486" spans="2:2" ht="15" x14ac:dyDescent="0.2">
      <c r="B6486" s="183"/>
    </row>
    <row r="6487" spans="2:2" ht="15" x14ac:dyDescent="0.2">
      <c r="B6487" s="183"/>
    </row>
    <row r="6488" spans="2:2" ht="15" x14ac:dyDescent="0.2">
      <c r="B6488" s="183"/>
    </row>
    <row r="6489" spans="2:2" ht="15" x14ac:dyDescent="0.2">
      <c r="B6489" s="183"/>
    </row>
    <row r="6490" spans="2:2" ht="15" x14ac:dyDescent="0.2">
      <c r="B6490" s="183"/>
    </row>
    <row r="6491" spans="2:2" ht="15" x14ac:dyDescent="0.2">
      <c r="B6491" s="183"/>
    </row>
    <row r="6492" spans="2:2" ht="15" x14ac:dyDescent="0.2">
      <c r="B6492" s="183"/>
    </row>
    <row r="6493" spans="2:2" ht="15" x14ac:dyDescent="0.2">
      <c r="B6493" s="183"/>
    </row>
    <row r="6494" spans="2:2" ht="15" x14ac:dyDescent="0.2">
      <c r="B6494" s="183"/>
    </row>
    <row r="6495" spans="2:2" ht="15" x14ac:dyDescent="0.2">
      <c r="B6495" s="183"/>
    </row>
    <row r="6496" spans="2:2" ht="15" x14ac:dyDescent="0.2">
      <c r="B6496" s="183"/>
    </row>
    <row r="6497" spans="2:2" ht="15" x14ac:dyDescent="0.2">
      <c r="B6497" s="183"/>
    </row>
    <row r="6498" spans="2:2" ht="15" x14ac:dyDescent="0.2">
      <c r="B6498" s="183"/>
    </row>
    <row r="6499" spans="2:2" ht="15" x14ac:dyDescent="0.2">
      <c r="B6499" s="183"/>
    </row>
    <row r="6500" spans="2:2" ht="15" x14ac:dyDescent="0.2">
      <c r="B6500" s="183"/>
    </row>
    <row r="6501" spans="2:2" ht="15" x14ac:dyDescent="0.2">
      <c r="B6501" s="183"/>
    </row>
    <row r="6502" spans="2:2" ht="15" x14ac:dyDescent="0.2">
      <c r="B6502" s="183"/>
    </row>
    <row r="6503" spans="2:2" ht="15" x14ac:dyDescent="0.2">
      <c r="B6503" s="183"/>
    </row>
    <row r="6504" spans="2:2" ht="15" x14ac:dyDescent="0.2">
      <c r="B6504" s="183"/>
    </row>
    <row r="6505" spans="2:2" ht="15" x14ac:dyDescent="0.2">
      <c r="B6505" s="183"/>
    </row>
    <row r="6506" spans="2:2" ht="15" x14ac:dyDescent="0.2">
      <c r="B6506" s="183"/>
    </row>
    <row r="6507" spans="2:2" ht="15" x14ac:dyDescent="0.2">
      <c r="B6507" s="183"/>
    </row>
    <row r="6508" spans="2:2" ht="15" x14ac:dyDescent="0.2">
      <c r="B6508" s="183"/>
    </row>
    <row r="6509" spans="2:2" ht="15" x14ac:dyDescent="0.2">
      <c r="B6509" s="183"/>
    </row>
    <row r="6510" spans="2:2" ht="15" x14ac:dyDescent="0.2">
      <c r="B6510" s="183"/>
    </row>
    <row r="6511" spans="2:2" ht="15" x14ac:dyDescent="0.2">
      <c r="B6511" s="183"/>
    </row>
    <row r="6512" spans="2:2" ht="15" x14ac:dyDescent="0.2">
      <c r="B6512" s="183"/>
    </row>
    <row r="6513" spans="2:2" ht="15" x14ac:dyDescent="0.2">
      <c r="B6513" s="183"/>
    </row>
    <row r="6514" spans="2:2" ht="15" x14ac:dyDescent="0.2">
      <c r="B6514" s="183"/>
    </row>
    <row r="6515" spans="2:2" ht="15" x14ac:dyDescent="0.2">
      <c r="B6515" s="183"/>
    </row>
    <row r="6516" spans="2:2" ht="15" x14ac:dyDescent="0.2">
      <c r="B6516" s="183"/>
    </row>
    <row r="6517" spans="2:2" ht="15" x14ac:dyDescent="0.2">
      <c r="B6517" s="183"/>
    </row>
    <row r="6518" spans="2:2" ht="15" x14ac:dyDescent="0.2">
      <c r="B6518" s="183"/>
    </row>
    <row r="6519" spans="2:2" ht="15" x14ac:dyDescent="0.2">
      <c r="B6519" s="183"/>
    </row>
    <row r="6520" spans="2:2" ht="15" x14ac:dyDescent="0.2">
      <c r="B6520" s="183"/>
    </row>
    <row r="6521" spans="2:2" ht="15" x14ac:dyDescent="0.2">
      <c r="B6521" s="183"/>
    </row>
    <row r="6522" spans="2:2" ht="15" x14ac:dyDescent="0.2">
      <c r="B6522" s="183"/>
    </row>
    <row r="6523" spans="2:2" ht="15" x14ac:dyDescent="0.2">
      <c r="B6523" s="183"/>
    </row>
    <row r="6524" spans="2:2" ht="15" x14ac:dyDescent="0.2">
      <c r="B6524" s="183"/>
    </row>
    <row r="6525" spans="2:2" ht="15" x14ac:dyDescent="0.2">
      <c r="B6525" s="183"/>
    </row>
    <row r="6526" spans="2:2" ht="15" x14ac:dyDescent="0.2">
      <c r="B6526" s="183"/>
    </row>
    <row r="6527" spans="2:2" ht="15" x14ac:dyDescent="0.2">
      <c r="B6527" s="183"/>
    </row>
    <row r="6528" spans="2:2" ht="15" x14ac:dyDescent="0.2">
      <c r="B6528" s="183"/>
    </row>
    <row r="6529" spans="2:2" ht="15" x14ac:dyDescent="0.2">
      <c r="B6529" s="183"/>
    </row>
    <row r="6530" spans="2:2" ht="15" x14ac:dyDescent="0.2">
      <c r="B6530" s="183"/>
    </row>
    <row r="6531" spans="2:2" ht="15" x14ac:dyDescent="0.2">
      <c r="B6531" s="183"/>
    </row>
    <row r="6532" spans="2:2" ht="15" x14ac:dyDescent="0.2">
      <c r="B6532" s="183"/>
    </row>
    <row r="6533" spans="2:2" ht="15" x14ac:dyDescent="0.2">
      <c r="B6533" s="183"/>
    </row>
    <row r="6534" spans="2:2" ht="15" x14ac:dyDescent="0.2">
      <c r="B6534" s="183"/>
    </row>
    <row r="6535" spans="2:2" ht="15" x14ac:dyDescent="0.2">
      <c r="B6535" s="183"/>
    </row>
    <row r="6536" spans="2:2" ht="15" x14ac:dyDescent="0.2">
      <c r="B6536" s="183"/>
    </row>
    <row r="6537" spans="2:2" ht="15" x14ac:dyDescent="0.2">
      <c r="B6537" s="183"/>
    </row>
    <row r="6538" spans="2:2" ht="15" x14ac:dyDescent="0.2">
      <c r="B6538" s="183"/>
    </row>
    <row r="6539" spans="2:2" ht="15" x14ac:dyDescent="0.2">
      <c r="B6539" s="183"/>
    </row>
    <row r="6540" spans="2:2" ht="15" x14ac:dyDescent="0.2">
      <c r="B6540" s="183"/>
    </row>
    <row r="6541" spans="2:2" ht="15" x14ac:dyDescent="0.2">
      <c r="B6541" s="183"/>
    </row>
    <row r="6542" spans="2:2" ht="15" x14ac:dyDescent="0.2">
      <c r="B6542" s="183"/>
    </row>
    <row r="6543" spans="2:2" ht="15" x14ac:dyDescent="0.2">
      <c r="B6543" s="183"/>
    </row>
    <row r="6544" spans="2:2" ht="15" x14ac:dyDescent="0.2">
      <c r="B6544" s="183"/>
    </row>
    <row r="6545" spans="2:2" ht="15" x14ac:dyDescent="0.2">
      <c r="B6545" s="183"/>
    </row>
    <row r="6546" spans="2:2" ht="15" x14ac:dyDescent="0.2">
      <c r="B6546" s="183"/>
    </row>
    <row r="6547" spans="2:2" ht="15" x14ac:dyDescent="0.2">
      <c r="B6547" s="183"/>
    </row>
    <row r="6548" spans="2:2" ht="15" x14ac:dyDescent="0.2">
      <c r="B6548" s="183"/>
    </row>
    <row r="6549" spans="2:2" ht="15" x14ac:dyDescent="0.2">
      <c r="B6549" s="183"/>
    </row>
    <row r="6550" spans="2:2" ht="15" x14ac:dyDescent="0.2">
      <c r="B6550" s="183"/>
    </row>
    <row r="6551" spans="2:2" ht="15" x14ac:dyDescent="0.2">
      <c r="B6551" s="183"/>
    </row>
    <row r="6552" spans="2:2" ht="15" x14ac:dyDescent="0.2">
      <c r="B6552" s="183"/>
    </row>
    <row r="6553" spans="2:2" ht="15" x14ac:dyDescent="0.2">
      <c r="B6553" s="183"/>
    </row>
    <row r="6554" spans="2:2" ht="15" x14ac:dyDescent="0.2">
      <c r="B6554" s="183"/>
    </row>
    <row r="6555" spans="2:2" ht="15" x14ac:dyDescent="0.2">
      <c r="B6555" s="183"/>
    </row>
    <row r="6556" spans="2:2" ht="15" x14ac:dyDescent="0.2">
      <c r="B6556" s="183"/>
    </row>
    <row r="6557" spans="2:2" ht="15" x14ac:dyDescent="0.2">
      <c r="B6557" s="183"/>
    </row>
    <row r="6558" spans="2:2" ht="15" x14ac:dyDescent="0.2">
      <c r="B6558" s="183"/>
    </row>
    <row r="6559" spans="2:2" ht="15" x14ac:dyDescent="0.2">
      <c r="B6559" s="183"/>
    </row>
    <row r="6560" spans="2:2" ht="15" x14ac:dyDescent="0.2">
      <c r="B6560" s="183"/>
    </row>
    <row r="6561" spans="2:2" ht="15" x14ac:dyDescent="0.2">
      <c r="B6561" s="183"/>
    </row>
    <row r="6562" spans="2:2" ht="15" x14ac:dyDescent="0.2">
      <c r="B6562" s="183"/>
    </row>
    <row r="6563" spans="2:2" ht="15" x14ac:dyDescent="0.2">
      <c r="B6563" s="183"/>
    </row>
    <row r="6564" spans="2:2" ht="15" x14ac:dyDescent="0.2">
      <c r="B6564" s="183"/>
    </row>
    <row r="6565" spans="2:2" ht="15" x14ac:dyDescent="0.2">
      <c r="B6565" s="183"/>
    </row>
    <row r="6566" spans="2:2" ht="15" x14ac:dyDescent="0.2">
      <c r="B6566" s="183"/>
    </row>
    <row r="6567" spans="2:2" ht="15" x14ac:dyDescent="0.2">
      <c r="B6567" s="183"/>
    </row>
    <row r="6568" spans="2:2" ht="15" x14ac:dyDescent="0.2">
      <c r="B6568" s="183"/>
    </row>
    <row r="6569" spans="2:2" ht="15" x14ac:dyDescent="0.2">
      <c r="B6569" s="183"/>
    </row>
    <row r="6570" spans="2:2" ht="15" x14ac:dyDescent="0.2">
      <c r="B6570" s="183"/>
    </row>
    <row r="6571" spans="2:2" ht="15" x14ac:dyDescent="0.2">
      <c r="B6571" s="183"/>
    </row>
    <row r="6572" spans="2:2" ht="15" x14ac:dyDescent="0.2">
      <c r="B6572" s="183"/>
    </row>
    <row r="6573" spans="2:2" ht="15" x14ac:dyDescent="0.2">
      <c r="B6573" s="183"/>
    </row>
    <row r="6574" spans="2:2" ht="15" x14ac:dyDescent="0.2">
      <c r="B6574" s="183"/>
    </row>
    <row r="6575" spans="2:2" ht="15" x14ac:dyDescent="0.2">
      <c r="B6575" s="183"/>
    </row>
    <row r="6576" spans="2:2" ht="15" x14ac:dyDescent="0.2">
      <c r="B6576" s="183"/>
    </row>
    <row r="6577" spans="2:2" ht="15" x14ac:dyDescent="0.2">
      <c r="B6577" s="183"/>
    </row>
    <row r="6578" spans="2:2" ht="15" x14ac:dyDescent="0.2">
      <c r="B6578" s="183"/>
    </row>
    <row r="6579" spans="2:2" ht="15" x14ac:dyDescent="0.2">
      <c r="B6579" s="183"/>
    </row>
    <row r="6580" spans="2:2" ht="15" x14ac:dyDescent="0.2">
      <c r="B6580" s="183"/>
    </row>
    <row r="6581" spans="2:2" ht="15" x14ac:dyDescent="0.2">
      <c r="B6581" s="183"/>
    </row>
    <row r="6582" spans="2:2" ht="15" x14ac:dyDescent="0.2">
      <c r="B6582" s="183"/>
    </row>
    <row r="6583" spans="2:2" ht="15" x14ac:dyDescent="0.2">
      <c r="B6583" s="183"/>
    </row>
    <row r="6584" spans="2:2" ht="15" x14ac:dyDescent="0.2">
      <c r="B6584" s="183"/>
    </row>
    <row r="6585" spans="2:2" ht="15" x14ac:dyDescent="0.2">
      <c r="B6585" s="183"/>
    </row>
    <row r="6586" spans="2:2" ht="15" x14ac:dyDescent="0.2">
      <c r="B6586" s="183"/>
    </row>
    <row r="6587" spans="2:2" ht="15" x14ac:dyDescent="0.2">
      <c r="B6587" s="183"/>
    </row>
    <row r="6588" spans="2:2" ht="15" x14ac:dyDescent="0.2">
      <c r="B6588" s="183"/>
    </row>
    <row r="6589" spans="2:2" ht="15" x14ac:dyDescent="0.2">
      <c r="B6589" s="183"/>
    </row>
    <row r="6590" spans="2:2" ht="15" x14ac:dyDescent="0.2">
      <c r="B6590" s="183"/>
    </row>
    <row r="6591" spans="2:2" ht="15" x14ac:dyDescent="0.2">
      <c r="B6591" s="183"/>
    </row>
    <row r="6592" spans="2:2" ht="15" x14ac:dyDescent="0.2">
      <c r="B6592" s="183"/>
    </row>
    <row r="6593" spans="2:2" ht="15" x14ac:dyDescent="0.2">
      <c r="B6593" s="183"/>
    </row>
    <row r="6594" spans="2:2" ht="15" x14ac:dyDescent="0.2">
      <c r="B6594" s="183"/>
    </row>
    <row r="6595" spans="2:2" ht="15" x14ac:dyDescent="0.2">
      <c r="B6595" s="183"/>
    </row>
    <row r="6596" spans="2:2" ht="15" x14ac:dyDescent="0.2">
      <c r="B6596" s="183"/>
    </row>
    <row r="6597" spans="2:2" ht="15" x14ac:dyDescent="0.2">
      <c r="B6597" s="183"/>
    </row>
    <row r="6598" spans="2:2" ht="15" x14ac:dyDescent="0.2">
      <c r="B6598" s="183"/>
    </row>
    <row r="6599" spans="2:2" ht="15" x14ac:dyDescent="0.2">
      <c r="B6599" s="183"/>
    </row>
    <row r="6600" spans="2:2" ht="15" x14ac:dyDescent="0.2">
      <c r="B6600" s="183"/>
    </row>
    <row r="6601" spans="2:2" ht="15" x14ac:dyDescent="0.2">
      <c r="B6601" s="183"/>
    </row>
    <row r="6602" spans="2:2" ht="15" x14ac:dyDescent="0.2">
      <c r="B6602" s="183"/>
    </row>
    <row r="6603" spans="2:2" ht="15" x14ac:dyDescent="0.2">
      <c r="B6603" s="183"/>
    </row>
    <row r="6604" spans="2:2" ht="15" x14ac:dyDescent="0.2">
      <c r="B6604" s="183"/>
    </row>
    <row r="6605" spans="2:2" ht="15" x14ac:dyDescent="0.2">
      <c r="B6605" s="183"/>
    </row>
    <row r="6606" spans="2:2" ht="15" x14ac:dyDescent="0.2">
      <c r="B6606" s="183"/>
    </row>
    <row r="6607" spans="2:2" ht="15" x14ac:dyDescent="0.2">
      <c r="B6607" s="183"/>
    </row>
    <row r="6608" spans="2:2" ht="15" x14ac:dyDescent="0.2">
      <c r="B6608" s="183"/>
    </row>
    <row r="6609" spans="2:2" ht="15" x14ac:dyDescent="0.2">
      <c r="B6609" s="183"/>
    </row>
    <row r="6610" spans="2:2" ht="15" x14ac:dyDescent="0.2">
      <c r="B6610" s="183"/>
    </row>
    <row r="6611" spans="2:2" ht="15" x14ac:dyDescent="0.2">
      <c r="B6611" s="183"/>
    </row>
    <row r="6612" spans="2:2" ht="15" x14ac:dyDescent="0.2">
      <c r="B6612" s="183"/>
    </row>
    <row r="6613" spans="2:2" ht="15" x14ac:dyDescent="0.2">
      <c r="B6613" s="183"/>
    </row>
    <row r="6614" spans="2:2" ht="15" x14ac:dyDescent="0.2">
      <c r="B6614" s="183"/>
    </row>
    <row r="6615" spans="2:2" ht="15" x14ac:dyDescent="0.2">
      <c r="B6615" s="183"/>
    </row>
    <row r="6616" spans="2:2" ht="15" x14ac:dyDescent="0.2">
      <c r="B6616" s="183"/>
    </row>
    <row r="6617" spans="2:2" ht="15" x14ac:dyDescent="0.2">
      <c r="B6617" s="183"/>
    </row>
    <row r="6618" spans="2:2" ht="15" x14ac:dyDescent="0.2">
      <c r="B6618" s="183"/>
    </row>
    <row r="6619" spans="2:2" ht="15" x14ac:dyDescent="0.2">
      <c r="B6619" s="183"/>
    </row>
    <row r="6620" spans="2:2" ht="15" x14ac:dyDescent="0.2">
      <c r="B6620" s="183"/>
    </row>
    <row r="6621" spans="2:2" ht="15" x14ac:dyDescent="0.2">
      <c r="B6621" s="183"/>
    </row>
    <row r="6622" spans="2:2" ht="15" x14ac:dyDescent="0.2">
      <c r="B6622" s="183"/>
    </row>
    <row r="6623" spans="2:2" ht="15" x14ac:dyDescent="0.2">
      <c r="B6623" s="183"/>
    </row>
    <row r="6624" spans="2:2" ht="15" x14ac:dyDescent="0.2">
      <c r="B6624" s="183"/>
    </row>
    <row r="6625" spans="2:2" ht="15" x14ac:dyDescent="0.2">
      <c r="B6625" s="183"/>
    </row>
    <row r="6626" spans="2:2" ht="15" x14ac:dyDescent="0.2">
      <c r="B6626" s="183"/>
    </row>
    <row r="6627" spans="2:2" ht="15" x14ac:dyDescent="0.2">
      <c r="B6627" s="183"/>
    </row>
    <row r="6628" spans="2:2" ht="15" x14ac:dyDescent="0.2">
      <c r="B6628" s="183"/>
    </row>
    <row r="6629" spans="2:2" ht="15" x14ac:dyDescent="0.2">
      <c r="B6629" s="183"/>
    </row>
    <row r="6630" spans="2:2" ht="15" x14ac:dyDescent="0.2">
      <c r="B6630" s="183"/>
    </row>
    <row r="6631" spans="2:2" ht="15" x14ac:dyDescent="0.2">
      <c r="B6631" s="183"/>
    </row>
    <row r="6632" spans="2:2" ht="15" x14ac:dyDescent="0.2">
      <c r="B6632" s="183"/>
    </row>
    <row r="6633" spans="2:2" ht="15" x14ac:dyDescent="0.2">
      <c r="B6633" s="183"/>
    </row>
    <row r="6634" spans="2:2" ht="15" x14ac:dyDescent="0.2">
      <c r="B6634" s="183"/>
    </row>
    <row r="6635" spans="2:2" ht="15" x14ac:dyDescent="0.2">
      <c r="B6635" s="183"/>
    </row>
    <row r="6636" spans="2:2" ht="15" x14ac:dyDescent="0.2">
      <c r="B6636" s="183"/>
    </row>
    <row r="6637" spans="2:2" ht="15" x14ac:dyDescent="0.2">
      <c r="B6637" s="183"/>
    </row>
    <row r="6638" spans="2:2" ht="15" x14ac:dyDescent="0.2">
      <c r="B6638" s="183"/>
    </row>
    <row r="6639" spans="2:2" ht="15" x14ac:dyDescent="0.2">
      <c r="B6639" s="183"/>
    </row>
    <row r="6640" spans="2:2" ht="15" x14ac:dyDescent="0.2">
      <c r="B6640" s="183"/>
    </row>
    <row r="6641" spans="2:2" ht="15" x14ac:dyDescent="0.2">
      <c r="B6641" s="183"/>
    </row>
    <row r="6642" spans="2:2" ht="15" x14ac:dyDescent="0.2">
      <c r="B6642" s="183"/>
    </row>
    <row r="6643" spans="2:2" ht="15" x14ac:dyDescent="0.2">
      <c r="B6643" s="183"/>
    </row>
    <row r="6644" spans="2:2" ht="15" x14ac:dyDescent="0.2">
      <c r="B6644" s="183"/>
    </row>
    <row r="6645" spans="2:2" ht="15" x14ac:dyDescent="0.2">
      <c r="B6645" s="183"/>
    </row>
    <row r="6646" spans="2:2" ht="15" x14ac:dyDescent="0.2">
      <c r="B6646" s="183"/>
    </row>
    <row r="6647" spans="2:2" ht="15" x14ac:dyDescent="0.2">
      <c r="B6647" s="183"/>
    </row>
    <row r="6648" spans="2:2" ht="15" x14ac:dyDescent="0.2">
      <c r="B6648" s="183"/>
    </row>
    <row r="6649" spans="2:2" ht="15" x14ac:dyDescent="0.2">
      <c r="B6649" s="183"/>
    </row>
    <row r="6650" spans="2:2" ht="15" x14ac:dyDescent="0.2">
      <c r="B6650" s="183"/>
    </row>
    <row r="6651" spans="2:2" ht="15" x14ac:dyDescent="0.2">
      <c r="B6651" s="183"/>
    </row>
    <row r="6652" spans="2:2" ht="15" x14ac:dyDescent="0.2">
      <c r="B6652" s="183"/>
    </row>
    <row r="6653" spans="2:2" ht="15" x14ac:dyDescent="0.2">
      <c r="B6653" s="183"/>
    </row>
    <row r="6654" spans="2:2" ht="15" x14ac:dyDescent="0.2">
      <c r="B6654" s="183"/>
    </row>
    <row r="6655" spans="2:2" ht="15" x14ac:dyDescent="0.2">
      <c r="B6655" s="183"/>
    </row>
    <row r="6656" spans="2:2" ht="15" x14ac:dyDescent="0.2">
      <c r="B6656" s="183"/>
    </row>
    <row r="6657" spans="2:2" ht="15" x14ac:dyDescent="0.2">
      <c r="B6657" s="183"/>
    </row>
    <row r="6658" spans="2:2" ht="15" x14ac:dyDescent="0.2">
      <c r="B6658" s="183"/>
    </row>
    <row r="6659" spans="2:2" ht="15" x14ac:dyDescent="0.2">
      <c r="B6659" s="183"/>
    </row>
    <row r="6660" spans="2:2" ht="15" x14ac:dyDescent="0.2">
      <c r="B6660" s="183"/>
    </row>
    <row r="6661" spans="2:2" ht="15" x14ac:dyDescent="0.2">
      <c r="B6661" s="183"/>
    </row>
    <row r="6662" spans="2:2" ht="15" x14ac:dyDescent="0.2">
      <c r="B6662" s="183"/>
    </row>
    <row r="6663" spans="2:2" ht="15" x14ac:dyDescent="0.2">
      <c r="B6663" s="183"/>
    </row>
    <row r="6664" spans="2:2" ht="15" x14ac:dyDescent="0.2">
      <c r="B6664" s="183"/>
    </row>
    <row r="6665" spans="2:2" ht="15" x14ac:dyDescent="0.2">
      <c r="B6665" s="183"/>
    </row>
    <row r="6666" spans="2:2" ht="15" x14ac:dyDescent="0.2">
      <c r="B6666" s="183"/>
    </row>
    <row r="6667" spans="2:2" ht="15" x14ac:dyDescent="0.2">
      <c r="B6667" s="183"/>
    </row>
    <row r="6668" spans="2:2" ht="15" x14ac:dyDescent="0.2">
      <c r="B6668" s="183"/>
    </row>
    <row r="6669" spans="2:2" ht="15" x14ac:dyDescent="0.2">
      <c r="B6669" s="183"/>
    </row>
    <row r="6670" spans="2:2" ht="15" x14ac:dyDescent="0.2">
      <c r="B6670" s="183"/>
    </row>
    <row r="6671" spans="2:2" ht="15" x14ac:dyDescent="0.2">
      <c r="B6671" s="183"/>
    </row>
    <row r="6672" spans="2:2" ht="15" x14ac:dyDescent="0.2">
      <c r="B6672" s="183"/>
    </row>
    <row r="6673" spans="2:2" ht="15" x14ac:dyDescent="0.2">
      <c r="B6673" s="183"/>
    </row>
    <row r="6674" spans="2:2" ht="15" x14ac:dyDescent="0.2">
      <c r="B6674" s="183"/>
    </row>
    <row r="6675" spans="2:2" ht="15" x14ac:dyDescent="0.2">
      <c r="B6675" s="183"/>
    </row>
    <row r="6676" spans="2:2" ht="15" x14ac:dyDescent="0.2">
      <c r="B6676" s="183"/>
    </row>
    <row r="6677" spans="2:2" ht="15" x14ac:dyDescent="0.2">
      <c r="B6677" s="183"/>
    </row>
    <row r="6678" spans="2:2" ht="15" x14ac:dyDescent="0.2">
      <c r="B6678" s="183"/>
    </row>
    <row r="6679" spans="2:2" ht="15" x14ac:dyDescent="0.2">
      <c r="B6679" s="183"/>
    </row>
    <row r="6680" spans="2:2" ht="15" x14ac:dyDescent="0.2">
      <c r="B6680" s="183"/>
    </row>
    <row r="6681" spans="2:2" ht="15" x14ac:dyDescent="0.2">
      <c r="B6681" s="183"/>
    </row>
    <row r="6682" spans="2:2" ht="15" x14ac:dyDescent="0.2">
      <c r="B6682" s="183"/>
    </row>
    <row r="6683" spans="2:2" ht="15" x14ac:dyDescent="0.2">
      <c r="B6683" s="183"/>
    </row>
    <row r="6684" spans="2:2" ht="15" x14ac:dyDescent="0.2">
      <c r="B6684" s="183"/>
    </row>
    <row r="6685" spans="2:2" ht="15" x14ac:dyDescent="0.2">
      <c r="B6685" s="183"/>
    </row>
    <row r="6686" spans="2:2" ht="15" x14ac:dyDescent="0.2">
      <c r="B6686" s="183"/>
    </row>
    <row r="6687" spans="2:2" ht="15" x14ac:dyDescent="0.2">
      <c r="B6687" s="183"/>
    </row>
    <row r="6688" spans="2:2" ht="15" x14ac:dyDescent="0.2">
      <c r="B6688" s="183"/>
    </row>
    <row r="6689" spans="2:2" ht="15" x14ac:dyDescent="0.2">
      <c r="B6689" s="183"/>
    </row>
    <row r="6690" spans="2:2" ht="15" x14ac:dyDescent="0.2">
      <c r="B6690" s="183"/>
    </row>
    <row r="6691" spans="2:2" ht="15" x14ac:dyDescent="0.2">
      <c r="B6691" s="183"/>
    </row>
    <row r="6692" spans="2:2" ht="15" x14ac:dyDescent="0.2">
      <c r="B6692" s="183"/>
    </row>
    <row r="6693" spans="2:2" ht="15" x14ac:dyDescent="0.2">
      <c r="B6693" s="183"/>
    </row>
    <row r="6694" spans="2:2" ht="15" x14ac:dyDescent="0.2">
      <c r="B6694" s="183"/>
    </row>
    <row r="6695" spans="2:2" ht="15" x14ac:dyDescent="0.2">
      <c r="B6695" s="183"/>
    </row>
    <row r="6696" spans="2:2" ht="15" x14ac:dyDescent="0.2">
      <c r="B6696" s="183"/>
    </row>
    <row r="6697" spans="2:2" ht="15" x14ac:dyDescent="0.2">
      <c r="B6697" s="183"/>
    </row>
    <row r="6698" spans="2:2" ht="15" x14ac:dyDescent="0.2">
      <c r="B6698" s="183"/>
    </row>
    <row r="6699" spans="2:2" ht="15" x14ac:dyDescent="0.2">
      <c r="B6699" s="183"/>
    </row>
    <row r="6700" spans="2:2" ht="15" x14ac:dyDescent="0.2">
      <c r="B6700" s="183"/>
    </row>
    <row r="6701" spans="2:2" ht="15" x14ac:dyDescent="0.2">
      <c r="B6701" s="183"/>
    </row>
    <row r="6702" spans="2:2" ht="15" x14ac:dyDescent="0.2">
      <c r="B6702" s="183"/>
    </row>
    <row r="6703" spans="2:2" ht="15" x14ac:dyDescent="0.2">
      <c r="B6703" s="183"/>
    </row>
    <row r="6704" spans="2:2" ht="15" x14ac:dyDescent="0.2">
      <c r="B6704" s="183"/>
    </row>
    <row r="6705" spans="2:2" ht="15" x14ac:dyDescent="0.2">
      <c r="B6705" s="183"/>
    </row>
    <row r="6706" spans="2:2" ht="15" x14ac:dyDescent="0.2">
      <c r="B6706" s="183"/>
    </row>
    <row r="6707" spans="2:2" ht="15" x14ac:dyDescent="0.2">
      <c r="B6707" s="183"/>
    </row>
    <row r="6708" spans="2:2" ht="15" x14ac:dyDescent="0.2">
      <c r="B6708" s="183"/>
    </row>
    <row r="6709" spans="2:2" ht="15" x14ac:dyDescent="0.2">
      <c r="B6709" s="183"/>
    </row>
    <row r="6710" spans="2:2" ht="15" x14ac:dyDescent="0.2">
      <c r="B6710" s="183"/>
    </row>
    <row r="6711" spans="2:2" ht="15" x14ac:dyDescent="0.2">
      <c r="B6711" s="183"/>
    </row>
    <row r="6712" spans="2:2" ht="15" x14ac:dyDescent="0.2">
      <c r="B6712" s="183"/>
    </row>
    <row r="6713" spans="2:2" ht="15" x14ac:dyDescent="0.2">
      <c r="B6713" s="183"/>
    </row>
    <row r="6714" spans="2:2" ht="15" x14ac:dyDescent="0.2">
      <c r="B6714" s="183"/>
    </row>
    <row r="6715" spans="2:2" ht="15" x14ac:dyDescent="0.2">
      <c r="B6715" s="183"/>
    </row>
    <row r="6716" spans="2:2" ht="15" x14ac:dyDescent="0.2">
      <c r="B6716" s="183"/>
    </row>
    <row r="6717" spans="2:2" ht="15" x14ac:dyDescent="0.2">
      <c r="B6717" s="183"/>
    </row>
    <row r="6718" spans="2:2" ht="15" x14ac:dyDescent="0.2">
      <c r="B6718" s="183"/>
    </row>
    <row r="6719" spans="2:2" ht="15" x14ac:dyDescent="0.2">
      <c r="B6719" s="183"/>
    </row>
    <row r="6720" spans="2:2" ht="15" x14ac:dyDescent="0.2">
      <c r="B6720" s="183"/>
    </row>
    <row r="6721" spans="2:2" ht="15" x14ac:dyDescent="0.2">
      <c r="B6721" s="183"/>
    </row>
    <row r="6722" spans="2:2" ht="15" x14ac:dyDescent="0.2">
      <c r="B6722" s="183"/>
    </row>
    <row r="6723" spans="2:2" ht="15" x14ac:dyDescent="0.2">
      <c r="B6723" s="183"/>
    </row>
    <row r="6724" spans="2:2" ht="15" x14ac:dyDescent="0.2">
      <c r="B6724" s="183"/>
    </row>
    <row r="6725" spans="2:2" ht="15" x14ac:dyDescent="0.2">
      <c r="B6725" s="183"/>
    </row>
    <row r="6726" spans="2:2" ht="15" x14ac:dyDescent="0.2">
      <c r="B6726" s="183"/>
    </row>
    <row r="6727" spans="2:2" ht="15" x14ac:dyDescent="0.2">
      <c r="B6727" s="183"/>
    </row>
    <row r="6728" spans="2:2" ht="15" x14ac:dyDescent="0.2">
      <c r="B6728" s="183"/>
    </row>
    <row r="6729" spans="2:2" ht="15" x14ac:dyDescent="0.2">
      <c r="B6729" s="183"/>
    </row>
    <row r="6730" spans="2:2" ht="15" x14ac:dyDescent="0.2">
      <c r="B6730" s="183"/>
    </row>
    <row r="6731" spans="2:2" ht="15" x14ac:dyDescent="0.2">
      <c r="B6731" s="183"/>
    </row>
    <row r="6732" spans="2:2" ht="15" x14ac:dyDescent="0.2">
      <c r="B6732" s="183"/>
    </row>
    <row r="6733" spans="2:2" ht="15" x14ac:dyDescent="0.2">
      <c r="B6733" s="183"/>
    </row>
    <row r="6734" spans="2:2" ht="15" x14ac:dyDescent="0.2">
      <c r="B6734" s="183"/>
    </row>
    <row r="6735" spans="2:2" ht="15" x14ac:dyDescent="0.2">
      <c r="B6735" s="183"/>
    </row>
    <row r="6736" spans="2:2" ht="15" x14ac:dyDescent="0.2">
      <c r="B6736" s="183"/>
    </row>
    <row r="6737" spans="2:2" ht="15" x14ac:dyDescent="0.2">
      <c r="B6737" s="183"/>
    </row>
    <row r="6738" spans="2:2" ht="15" x14ac:dyDescent="0.2">
      <c r="B6738" s="183"/>
    </row>
    <row r="6739" spans="2:2" ht="15" x14ac:dyDescent="0.2">
      <c r="B6739" s="183"/>
    </row>
    <row r="6740" spans="2:2" ht="15" x14ac:dyDescent="0.2">
      <c r="B6740" s="183"/>
    </row>
    <row r="6741" spans="2:2" ht="15" x14ac:dyDescent="0.2">
      <c r="B6741" s="183"/>
    </row>
    <row r="6742" spans="2:2" ht="15" x14ac:dyDescent="0.2">
      <c r="B6742" s="183"/>
    </row>
    <row r="6743" spans="2:2" ht="15" x14ac:dyDescent="0.2">
      <c r="B6743" s="183"/>
    </row>
    <row r="6744" spans="2:2" ht="15" x14ac:dyDescent="0.2">
      <c r="B6744" s="183"/>
    </row>
    <row r="6745" spans="2:2" ht="15" x14ac:dyDescent="0.2">
      <c r="B6745" s="183"/>
    </row>
    <row r="6746" spans="2:2" ht="15" x14ac:dyDescent="0.2">
      <c r="B6746" s="183"/>
    </row>
    <row r="6747" spans="2:2" ht="15" x14ac:dyDescent="0.2">
      <c r="B6747" s="183"/>
    </row>
    <row r="6748" spans="2:2" ht="15" x14ac:dyDescent="0.2">
      <c r="B6748" s="183"/>
    </row>
    <row r="6749" spans="2:2" ht="15" x14ac:dyDescent="0.2">
      <c r="B6749" s="183"/>
    </row>
    <row r="6750" spans="2:2" ht="15" x14ac:dyDescent="0.2">
      <c r="B6750" s="183"/>
    </row>
    <row r="6751" spans="2:2" ht="15" x14ac:dyDescent="0.2">
      <c r="B6751" s="183"/>
    </row>
    <row r="6752" spans="2:2" ht="15" x14ac:dyDescent="0.2">
      <c r="B6752" s="183"/>
    </row>
    <row r="6753" spans="2:2" ht="15" x14ac:dyDescent="0.2">
      <c r="B6753" s="183"/>
    </row>
    <row r="6754" spans="2:2" ht="15" x14ac:dyDescent="0.2">
      <c r="B6754" s="183"/>
    </row>
    <row r="6755" spans="2:2" ht="15" x14ac:dyDescent="0.2">
      <c r="B6755" s="183"/>
    </row>
    <row r="6756" spans="2:2" ht="15" x14ac:dyDescent="0.2">
      <c r="B6756" s="183"/>
    </row>
    <row r="6757" spans="2:2" ht="15" x14ac:dyDescent="0.2">
      <c r="B6757" s="183"/>
    </row>
    <row r="6758" spans="2:2" ht="15" x14ac:dyDescent="0.2">
      <c r="B6758" s="183"/>
    </row>
    <row r="6759" spans="2:2" ht="15" x14ac:dyDescent="0.2">
      <c r="B6759" s="183"/>
    </row>
    <row r="6760" spans="2:2" ht="15" x14ac:dyDescent="0.2">
      <c r="B6760" s="183"/>
    </row>
    <row r="6761" spans="2:2" ht="15" x14ac:dyDescent="0.2">
      <c r="B6761" s="183"/>
    </row>
    <row r="6762" spans="2:2" ht="15" x14ac:dyDescent="0.2">
      <c r="B6762" s="183"/>
    </row>
    <row r="6763" spans="2:2" ht="15" x14ac:dyDescent="0.2">
      <c r="B6763" s="183"/>
    </row>
    <row r="6764" spans="2:2" ht="15" x14ac:dyDescent="0.2">
      <c r="B6764" s="183"/>
    </row>
    <row r="6765" spans="2:2" ht="15" x14ac:dyDescent="0.2">
      <c r="B6765" s="183"/>
    </row>
    <row r="6766" spans="2:2" ht="15" x14ac:dyDescent="0.2">
      <c r="B6766" s="183"/>
    </row>
    <row r="6767" spans="2:2" ht="15" x14ac:dyDescent="0.2">
      <c r="B6767" s="183"/>
    </row>
    <row r="6768" spans="2:2" ht="15" x14ac:dyDescent="0.2">
      <c r="B6768" s="183"/>
    </row>
    <row r="6769" spans="2:2" ht="15" x14ac:dyDescent="0.2">
      <c r="B6769" s="183"/>
    </row>
    <row r="6770" spans="2:2" ht="15" x14ac:dyDescent="0.2">
      <c r="B6770" s="183"/>
    </row>
    <row r="6771" spans="2:2" ht="15" x14ac:dyDescent="0.2">
      <c r="B6771" s="183"/>
    </row>
    <row r="6772" spans="2:2" ht="15" x14ac:dyDescent="0.2">
      <c r="B6772" s="183"/>
    </row>
    <row r="6773" spans="2:2" ht="15" x14ac:dyDescent="0.2">
      <c r="B6773" s="183"/>
    </row>
    <row r="6774" spans="2:2" ht="15" x14ac:dyDescent="0.2">
      <c r="B6774" s="183"/>
    </row>
    <row r="6775" spans="2:2" ht="15" x14ac:dyDescent="0.2">
      <c r="B6775" s="183"/>
    </row>
    <row r="6776" spans="2:2" ht="15" x14ac:dyDescent="0.2">
      <c r="B6776" s="183"/>
    </row>
    <row r="6777" spans="2:2" ht="15" x14ac:dyDescent="0.2">
      <c r="B6777" s="183"/>
    </row>
    <row r="6778" spans="2:2" ht="15" x14ac:dyDescent="0.2">
      <c r="B6778" s="183"/>
    </row>
    <row r="6779" spans="2:2" ht="15" x14ac:dyDescent="0.2">
      <c r="B6779" s="183"/>
    </row>
    <row r="6780" spans="2:2" ht="15" x14ac:dyDescent="0.2">
      <c r="B6780" s="183"/>
    </row>
    <row r="6781" spans="2:2" ht="15" x14ac:dyDescent="0.2">
      <c r="B6781" s="183"/>
    </row>
    <row r="6782" spans="2:2" ht="15" x14ac:dyDescent="0.2">
      <c r="B6782" s="183"/>
    </row>
    <row r="6783" spans="2:2" ht="15" x14ac:dyDescent="0.2">
      <c r="B6783" s="183"/>
    </row>
    <row r="6784" spans="2:2" ht="15" x14ac:dyDescent="0.2">
      <c r="B6784" s="183"/>
    </row>
    <row r="6785" spans="2:2" ht="15" x14ac:dyDescent="0.2">
      <c r="B6785" s="183"/>
    </row>
    <row r="6786" spans="2:2" ht="15" x14ac:dyDescent="0.2">
      <c r="B6786" s="183"/>
    </row>
    <row r="6787" spans="2:2" ht="15" x14ac:dyDescent="0.2">
      <c r="B6787" s="183"/>
    </row>
    <row r="6788" spans="2:2" ht="15" x14ac:dyDescent="0.2">
      <c r="B6788" s="183"/>
    </row>
    <row r="6789" spans="2:2" ht="15" x14ac:dyDescent="0.2">
      <c r="B6789" s="183"/>
    </row>
    <row r="6790" spans="2:2" ht="15" x14ac:dyDescent="0.2">
      <c r="B6790" s="183"/>
    </row>
    <row r="6791" spans="2:2" ht="15" x14ac:dyDescent="0.2">
      <c r="B6791" s="183"/>
    </row>
    <row r="6792" spans="2:2" ht="15" x14ac:dyDescent="0.2">
      <c r="B6792" s="183"/>
    </row>
    <row r="6793" spans="2:2" ht="15" x14ac:dyDescent="0.2">
      <c r="B6793" s="183"/>
    </row>
    <row r="6794" spans="2:2" ht="15" x14ac:dyDescent="0.2">
      <c r="B6794" s="183"/>
    </row>
    <row r="6795" spans="2:2" ht="15" x14ac:dyDescent="0.2">
      <c r="B6795" s="183"/>
    </row>
    <row r="6796" spans="2:2" ht="15" x14ac:dyDescent="0.2">
      <c r="B6796" s="183"/>
    </row>
    <row r="6797" spans="2:2" ht="15" x14ac:dyDescent="0.2">
      <c r="B6797" s="183"/>
    </row>
    <row r="6798" spans="2:2" ht="15" x14ac:dyDescent="0.2">
      <c r="B6798" s="183"/>
    </row>
    <row r="6799" spans="2:2" ht="15" x14ac:dyDescent="0.2">
      <c r="B6799" s="183"/>
    </row>
    <row r="6800" spans="2:2" ht="15" x14ac:dyDescent="0.2">
      <c r="B6800" s="183"/>
    </row>
    <row r="6801" spans="2:2" ht="15" x14ac:dyDescent="0.2">
      <c r="B6801" s="183"/>
    </row>
    <row r="6802" spans="2:2" ht="15" x14ac:dyDescent="0.2">
      <c r="B6802" s="183"/>
    </row>
    <row r="6803" spans="2:2" ht="15" x14ac:dyDescent="0.2">
      <c r="B6803" s="183"/>
    </row>
    <row r="6804" spans="2:2" ht="15" x14ac:dyDescent="0.2">
      <c r="B6804" s="183"/>
    </row>
    <row r="6805" spans="2:2" ht="15" x14ac:dyDescent="0.2">
      <c r="B6805" s="183"/>
    </row>
    <row r="6806" spans="2:2" ht="15" x14ac:dyDescent="0.2">
      <c r="B6806" s="183"/>
    </row>
    <row r="6807" spans="2:2" ht="15" x14ac:dyDescent="0.2">
      <c r="B6807" s="183"/>
    </row>
    <row r="6808" spans="2:2" ht="15" x14ac:dyDescent="0.2">
      <c r="B6808" s="183"/>
    </row>
    <row r="6809" spans="2:2" ht="15" x14ac:dyDescent="0.2">
      <c r="B6809" s="183"/>
    </row>
    <row r="6810" spans="2:2" ht="15" x14ac:dyDescent="0.2">
      <c r="B6810" s="183"/>
    </row>
    <row r="6811" spans="2:2" ht="15" x14ac:dyDescent="0.2">
      <c r="B6811" s="183"/>
    </row>
    <row r="6812" spans="2:2" ht="15" x14ac:dyDescent="0.2">
      <c r="B6812" s="183"/>
    </row>
    <row r="6813" spans="2:2" ht="15" x14ac:dyDescent="0.2">
      <c r="B6813" s="183"/>
    </row>
    <row r="6814" spans="2:2" ht="15" x14ac:dyDescent="0.2">
      <c r="B6814" s="183"/>
    </row>
    <row r="6815" spans="2:2" ht="15" x14ac:dyDescent="0.2">
      <c r="B6815" s="183"/>
    </row>
    <row r="6816" spans="2:2" ht="15" x14ac:dyDescent="0.2">
      <c r="B6816" s="183"/>
    </row>
    <row r="6817" spans="2:2" ht="15" x14ac:dyDescent="0.2">
      <c r="B6817" s="183"/>
    </row>
    <row r="6818" spans="2:2" ht="15" x14ac:dyDescent="0.2">
      <c r="B6818" s="183"/>
    </row>
    <row r="6819" spans="2:2" ht="15" x14ac:dyDescent="0.2">
      <c r="B6819" s="183"/>
    </row>
    <row r="6820" spans="2:2" ht="15" x14ac:dyDescent="0.2">
      <c r="B6820" s="183"/>
    </row>
    <row r="6821" spans="2:2" ht="15" x14ac:dyDescent="0.2">
      <c r="B6821" s="183"/>
    </row>
    <row r="6822" spans="2:2" ht="15" x14ac:dyDescent="0.2">
      <c r="B6822" s="183"/>
    </row>
    <row r="6823" spans="2:2" ht="15" x14ac:dyDescent="0.2">
      <c r="B6823" s="183"/>
    </row>
    <row r="6824" spans="2:2" ht="15" x14ac:dyDescent="0.2">
      <c r="B6824" s="183"/>
    </row>
    <row r="6825" spans="2:2" ht="15" x14ac:dyDescent="0.2">
      <c r="B6825" s="183"/>
    </row>
    <row r="6826" spans="2:2" ht="15" x14ac:dyDescent="0.2">
      <c r="B6826" s="183"/>
    </row>
    <row r="6827" spans="2:2" ht="15" x14ac:dyDescent="0.2">
      <c r="B6827" s="183"/>
    </row>
    <row r="6828" spans="2:2" ht="15" x14ac:dyDescent="0.2">
      <c r="B6828" s="183"/>
    </row>
    <row r="6829" spans="2:2" ht="15" x14ac:dyDescent="0.2">
      <c r="B6829" s="183"/>
    </row>
    <row r="6830" spans="2:2" ht="15" x14ac:dyDescent="0.2">
      <c r="B6830" s="183"/>
    </row>
    <row r="6831" spans="2:2" ht="15" x14ac:dyDescent="0.2">
      <c r="B6831" s="183"/>
    </row>
    <row r="6832" spans="2:2" ht="15" x14ac:dyDescent="0.2">
      <c r="B6832" s="183"/>
    </row>
    <row r="6833" spans="2:2" ht="15" x14ac:dyDescent="0.2">
      <c r="B6833" s="183"/>
    </row>
    <row r="6834" spans="2:2" ht="15" x14ac:dyDescent="0.2">
      <c r="B6834" s="183"/>
    </row>
    <row r="6835" spans="2:2" ht="15" x14ac:dyDescent="0.2">
      <c r="B6835" s="183"/>
    </row>
    <row r="6836" spans="2:2" ht="15" x14ac:dyDescent="0.2">
      <c r="B6836" s="183"/>
    </row>
    <row r="6837" spans="2:2" ht="15" x14ac:dyDescent="0.2">
      <c r="B6837" s="183"/>
    </row>
    <row r="6838" spans="2:2" ht="15" x14ac:dyDescent="0.2">
      <c r="B6838" s="183"/>
    </row>
    <row r="6839" spans="2:2" ht="15" x14ac:dyDescent="0.2">
      <c r="B6839" s="183"/>
    </row>
    <row r="6840" spans="2:2" ht="15" x14ac:dyDescent="0.2">
      <c r="B6840" s="183"/>
    </row>
    <row r="6841" spans="2:2" ht="15" x14ac:dyDescent="0.2">
      <c r="B6841" s="183"/>
    </row>
    <row r="6842" spans="2:2" ht="15" x14ac:dyDescent="0.2">
      <c r="B6842" s="183"/>
    </row>
    <row r="6843" spans="2:2" ht="15" x14ac:dyDescent="0.2">
      <c r="B6843" s="183"/>
    </row>
    <row r="6844" spans="2:2" ht="15" x14ac:dyDescent="0.2">
      <c r="B6844" s="183"/>
    </row>
    <row r="6845" spans="2:2" ht="15" x14ac:dyDescent="0.2">
      <c r="B6845" s="183"/>
    </row>
    <row r="6846" spans="2:2" ht="15" x14ac:dyDescent="0.2">
      <c r="B6846" s="183"/>
    </row>
    <row r="6847" spans="2:2" ht="15" x14ac:dyDescent="0.2">
      <c r="B6847" s="183"/>
    </row>
    <row r="6848" spans="2:2" ht="15" x14ac:dyDescent="0.2">
      <c r="B6848" s="183"/>
    </row>
    <row r="6849" spans="2:2" ht="15" x14ac:dyDescent="0.2">
      <c r="B6849" s="183"/>
    </row>
    <row r="6850" spans="2:2" ht="15" x14ac:dyDescent="0.2">
      <c r="B6850" s="183"/>
    </row>
    <row r="6851" spans="2:2" ht="15" x14ac:dyDescent="0.2">
      <c r="B6851" s="183"/>
    </row>
    <row r="6852" spans="2:2" ht="15" x14ac:dyDescent="0.2">
      <c r="B6852" s="183"/>
    </row>
    <row r="6853" spans="2:2" ht="15" x14ac:dyDescent="0.2">
      <c r="B6853" s="183"/>
    </row>
    <row r="6854" spans="2:2" ht="15" x14ac:dyDescent="0.2">
      <c r="B6854" s="183"/>
    </row>
    <row r="6855" spans="2:2" ht="15" x14ac:dyDescent="0.2">
      <c r="B6855" s="183"/>
    </row>
    <row r="6856" spans="2:2" ht="15" x14ac:dyDescent="0.2">
      <c r="B6856" s="183"/>
    </row>
    <row r="6857" spans="2:2" ht="15" x14ac:dyDescent="0.2">
      <c r="B6857" s="183"/>
    </row>
    <row r="6858" spans="2:2" ht="15" x14ac:dyDescent="0.2">
      <c r="B6858" s="183"/>
    </row>
    <row r="6859" spans="2:2" ht="15" x14ac:dyDescent="0.2">
      <c r="B6859" s="183"/>
    </row>
    <row r="6860" spans="2:2" ht="15" x14ac:dyDescent="0.2">
      <c r="B6860" s="183"/>
    </row>
    <row r="6861" spans="2:2" ht="15" x14ac:dyDescent="0.2">
      <c r="B6861" s="183"/>
    </row>
    <row r="6862" spans="2:2" ht="15" x14ac:dyDescent="0.2">
      <c r="B6862" s="183"/>
    </row>
    <row r="6863" spans="2:2" ht="15" x14ac:dyDescent="0.2">
      <c r="B6863" s="183"/>
    </row>
    <row r="6864" spans="2:2" ht="15" x14ac:dyDescent="0.2">
      <c r="B6864" s="183"/>
    </row>
    <row r="6865" spans="2:2" ht="15" x14ac:dyDescent="0.2">
      <c r="B6865" s="183"/>
    </row>
    <row r="6866" spans="2:2" ht="15" x14ac:dyDescent="0.2">
      <c r="B6866" s="183"/>
    </row>
    <row r="6867" spans="2:2" ht="15" x14ac:dyDescent="0.2">
      <c r="B6867" s="183"/>
    </row>
    <row r="6868" spans="2:2" ht="15" x14ac:dyDescent="0.2">
      <c r="B6868" s="183"/>
    </row>
    <row r="6869" spans="2:2" ht="15" x14ac:dyDescent="0.2">
      <c r="B6869" s="183"/>
    </row>
    <row r="6870" spans="2:2" ht="15" x14ac:dyDescent="0.2">
      <c r="B6870" s="183"/>
    </row>
    <row r="6871" spans="2:2" ht="15" x14ac:dyDescent="0.2">
      <c r="B6871" s="183"/>
    </row>
    <row r="6872" spans="2:2" ht="15" x14ac:dyDescent="0.2">
      <c r="B6872" s="183"/>
    </row>
    <row r="6873" spans="2:2" ht="15" x14ac:dyDescent="0.2">
      <c r="B6873" s="183"/>
    </row>
    <row r="6874" spans="2:2" ht="15" x14ac:dyDescent="0.2">
      <c r="B6874" s="183"/>
    </row>
    <row r="6875" spans="2:2" ht="15" x14ac:dyDescent="0.2">
      <c r="B6875" s="183"/>
    </row>
    <row r="6876" spans="2:2" ht="15" x14ac:dyDescent="0.2">
      <c r="B6876" s="183"/>
    </row>
    <row r="6877" spans="2:2" ht="15" x14ac:dyDescent="0.2">
      <c r="B6877" s="183"/>
    </row>
    <row r="6878" spans="2:2" ht="15" x14ac:dyDescent="0.2">
      <c r="B6878" s="183"/>
    </row>
    <row r="6879" spans="2:2" ht="15" x14ac:dyDescent="0.2">
      <c r="B6879" s="183"/>
    </row>
    <row r="6880" spans="2:2" ht="15" x14ac:dyDescent="0.2">
      <c r="B6880" s="183"/>
    </row>
    <row r="6881" spans="2:2" ht="15" x14ac:dyDescent="0.2">
      <c r="B6881" s="183"/>
    </row>
    <row r="6882" spans="2:2" ht="15" x14ac:dyDescent="0.2">
      <c r="B6882" s="183"/>
    </row>
    <row r="6883" spans="2:2" ht="15" x14ac:dyDescent="0.2">
      <c r="B6883" s="183"/>
    </row>
    <row r="6884" spans="2:2" ht="15" x14ac:dyDescent="0.2">
      <c r="B6884" s="183"/>
    </row>
    <row r="6885" spans="2:2" ht="15" x14ac:dyDescent="0.2">
      <c r="B6885" s="183"/>
    </row>
    <row r="6886" spans="2:2" ht="15" x14ac:dyDescent="0.2">
      <c r="B6886" s="183"/>
    </row>
    <row r="6887" spans="2:2" ht="15" x14ac:dyDescent="0.2">
      <c r="B6887" s="183"/>
    </row>
    <row r="6888" spans="2:2" ht="15" x14ac:dyDescent="0.2">
      <c r="B6888" s="183"/>
    </row>
    <row r="6889" spans="2:2" ht="15" x14ac:dyDescent="0.2">
      <c r="B6889" s="183"/>
    </row>
    <row r="6890" spans="2:2" ht="15" x14ac:dyDescent="0.2">
      <c r="B6890" s="183"/>
    </row>
    <row r="6891" spans="2:2" ht="15" x14ac:dyDescent="0.2">
      <c r="B6891" s="183"/>
    </row>
    <row r="6892" spans="2:2" ht="15" x14ac:dyDescent="0.2">
      <c r="B6892" s="183"/>
    </row>
    <row r="6893" spans="2:2" ht="15" x14ac:dyDescent="0.2">
      <c r="B6893" s="183"/>
    </row>
    <row r="6894" spans="2:2" ht="15" x14ac:dyDescent="0.2">
      <c r="B6894" s="183"/>
    </row>
    <row r="6895" spans="2:2" ht="15" x14ac:dyDescent="0.2">
      <c r="B6895" s="183"/>
    </row>
    <row r="6896" spans="2:2" ht="15" x14ac:dyDescent="0.2">
      <c r="B6896" s="183"/>
    </row>
    <row r="6897" spans="2:2" ht="15" x14ac:dyDescent="0.2">
      <c r="B6897" s="183"/>
    </row>
    <row r="6898" spans="2:2" ht="15" x14ac:dyDescent="0.2">
      <c r="B6898" s="183"/>
    </row>
    <row r="6899" spans="2:2" ht="15" x14ac:dyDescent="0.2">
      <c r="B6899" s="183"/>
    </row>
    <row r="6900" spans="2:2" ht="15" x14ac:dyDescent="0.2">
      <c r="B6900" s="183"/>
    </row>
    <row r="6901" spans="2:2" ht="15" x14ac:dyDescent="0.2">
      <c r="B6901" s="183"/>
    </row>
    <row r="6902" spans="2:2" ht="15" x14ac:dyDescent="0.2">
      <c r="B6902" s="183"/>
    </row>
    <row r="6903" spans="2:2" ht="15" x14ac:dyDescent="0.2">
      <c r="B6903" s="183"/>
    </row>
    <row r="6904" spans="2:2" ht="15" x14ac:dyDescent="0.2">
      <c r="B6904" s="183"/>
    </row>
    <row r="6905" spans="2:2" ht="15" x14ac:dyDescent="0.2">
      <c r="B6905" s="183"/>
    </row>
    <row r="6906" spans="2:2" ht="15" x14ac:dyDescent="0.2">
      <c r="B6906" s="183"/>
    </row>
    <row r="6907" spans="2:2" ht="15" x14ac:dyDescent="0.2">
      <c r="B6907" s="183"/>
    </row>
    <row r="6908" spans="2:2" ht="15" x14ac:dyDescent="0.2">
      <c r="B6908" s="183"/>
    </row>
    <row r="6909" spans="2:2" ht="15" x14ac:dyDescent="0.2">
      <c r="B6909" s="183"/>
    </row>
    <row r="6910" spans="2:2" ht="15" x14ac:dyDescent="0.2">
      <c r="B6910" s="183"/>
    </row>
    <row r="6911" spans="2:2" ht="15" x14ac:dyDescent="0.2">
      <c r="B6911" s="183"/>
    </row>
    <row r="6912" spans="2:2" ht="15" x14ac:dyDescent="0.2">
      <c r="B6912" s="183"/>
    </row>
    <row r="6913" spans="2:2" ht="15" x14ac:dyDescent="0.2">
      <c r="B6913" s="183"/>
    </row>
    <row r="6914" spans="2:2" ht="15" x14ac:dyDescent="0.2">
      <c r="B6914" s="183"/>
    </row>
    <row r="6915" spans="2:2" ht="15" x14ac:dyDescent="0.2">
      <c r="B6915" s="183"/>
    </row>
    <row r="6916" spans="2:2" ht="15" x14ac:dyDescent="0.2">
      <c r="B6916" s="183"/>
    </row>
    <row r="6917" spans="2:2" ht="15" x14ac:dyDescent="0.2">
      <c r="B6917" s="183"/>
    </row>
    <row r="6918" spans="2:2" ht="15" x14ac:dyDescent="0.2">
      <c r="B6918" s="183"/>
    </row>
    <row r="6919" spans="2:2" ht="15" x14ac:dyDescent="0.2">
      <c r="B6919" s="183"/>
    </row>
    <row r="6920" spans="2:2" ht="15" x14ac:dyDescent="0.2">
      <c r="B6920" s="183"/>
    </row>
    <row r="6921" spans="2:2" ht="15" x14ac:dyDescent="0.2">
      <c r="B6921" s="183"/>
    </row>
    <row r="6922" spans="2:2" ht="15" x14ac:dyDescent="0.2">
      <c r="B6922" s="183"/>
    </row>
    <row r="6923" spans="2:2" ht="15" x14ac:dyDescent="0.2">
      <c r="B6923" s="183"/>
    </row>
    <row r="6924" spans="2:2" ht="15" x14ac:dyDescent="0.2">
      <c r="B6924" s="183"/>
    </row>
    <row r="6925" spans="2:2" ht="15" x14ac:dyDescent="0.2">
      <c r="B6925" s="183"/>
    </row>
    <row r="6926" spans="2:2" ht="15" x14ac:dyDescent="0.2">
      <c r="B6926" s="183"/>
    </row>
    <row r="6927" spans="2:2" ht="15" x14ac:dyDescent="0.2">
      <c r="B6927" s="183"/>
    </row>
    <row r="6928" spans="2:2" ht="15" x14ac:dyDescent="0.2">
      <c r="B6928" s="183"/>
    </row>
    <row r="6929" spans="2:2" ht="15" x14ac:dyDescent="0.2">
      <c r="B6929" s="183"/>
    </row>
    <row r="6930" spans="2:2" ht="15" x14ac:dyDescent="0.2">
      <c r="B6930" s="183"/>
    </row>
    <row r="6931" spans="2:2" ht="15" x14ac:dyDescent="0.2">
      <c r="B6931" s="183"/>
    </row>
    <row r="6932" spans="2:2" ht="15" x14ac:dyDescent="0.2">
      <c r="B6932" s="183"/>
    </row>
    <row r="6933" spans="2:2" ht="15" x14ac:dyDescent="0.2">
      <c r="B6933" s="183"/>
    </row>
    <row r="6934" spans="2:2" ht="15" x14ac:dyDescent="0.2">
      <c r="B6934" s="183"/>
    </row>
    <row r="6935" spans="2:2" ht="15" x14ac:dyDescent="0.2">
      <c r="B6935" s="183"/>
    </row>
    <row r="6936" spans="2:2" ht="15" x14ac:dyDescent="0.2">
      <c r="B6936" s="183"/>
    </row>
    <row r="6937" spans="2:2" ht="15" x14ac:dyDescent="0.2">
      <c r="B6937" s="183"/>
    </row>
    <row r="6938" spans="2:2" ht="15" x14ac:dyDescent="0.2">
      <c r="B6938" s="183"/>
    </row>
    <row r="6939" spans="2:2" ht="15" x14ac:dyDescent="0.2">
      <c r="B6939" s="183"/>
    </row>
    <row r="6940" spans="2:2" ht="15" x14ac:dyDescent="0.2">
      <c r="B6940" s="183"/>
    </row>
    <row r="6941" spans="2:2" ht="15" x14ac:dyDescent="0.2">
      <c r="B6941" s="183"/>
    </row>
    <row r="6942" spans="2:2" ht="15" x14ac:dyDescent="0.2">
      <c r="B6942" s="183"/>
    </row>
    <row r="6943" spans="2:2" ht="15" x14ac:dyDescent="0.2">
      <c r="B6943" s="183"/>
    </row>
    <row r="6944" spans="2:2" ht="15" x14ac:dyDescent="0.2">
      <c r="B6944" s="183"/>
    </row>
    <row r="6945" spans="2:2" ht="15" x14ac:dyDescent="0.2">
      <c r="B6945" s="183"/>
    </row>
    <row r="6946" spans="2:2" ht="15" x14ac:dyDescent="0.2">
      <c r="B6946" s="183"/>
    </row>
    <row r="6947" spans="2:2" ht="15" x14ac:dyDescent="0.2">
      <c r="B6947" s="183"/>
    </row>
    <row r="6948" spans="2:2" ht="15" x14ac:dyDescent="0.2">
      <c r="B6948" s="183"/>
    </row>
    <row r="6949" spans="2:2" ht="15" x14ac:dyDescent="0.2">
      <c r="B6949" s="183"/>
    </row>
    <row r="6950" spans="2:2" ht="15" x14ac:dyDescent="0.2">
      <c r="B6950" s="183"/>
    </row>
    <row r="6951" spans="2:2" ht="15" x14ac:dyDescent="0.2">
      <c r="B6951" s="183"/>
    </row>
    <row r="6952" spans="2:2" ht="15" x14ac:dyDescent="0.2">
      <c r="B6952" s="183"/>
    </row>
    <row r="6953" spans="2:2" ht="15" x14ac:dyDescent="0.2">
      <c r="B6953" s="183"/>
    </row>
    <row r="6954" spans="2:2" ht="15" x14ac:dyDescent="0.2">
      <c r="B6954" s="183"/>
    </row>
    <row r="6955" spans="2:2" ht="15" x14ac:dyDescent="0.2">
      <c r="B6955" s="183"/>
    </row>
    <row r="6956" spans="2:2" ht="15" x14ac:dyDescent="0.2">
      <c r="B6956" s="183"/>
    </row>
    <row r="6957" spans="2:2" ht="15" x14ac:dyDescent="0.2">
      <c r="B6957" s="183"/>
    </row>
    <row r="6958" spans="2:2" ht="15" x14ac:dyDescent="0.2">
      <c r="B6958" s="183"/>
    </row>
    <row r="6959" spans="2:2" ht="15" x14ac:dyDescent="0.2">
      <c r="B6959" s="183"/>
    </row>
    <row r="6960" spans="2:2" ht="15" x14ac:dyDescent="0.2">
      <c r="B6960" s="183"/>
    </row>
    <row r="6961" spans="2:2" ht="15" x14ac:dyDescent="0.2">
      <c r="B6961" s="183"/>
    </row>
    <row r="6962" spans="2:2" ht="15" x14ac:dyDescent="0.2">
      <c r="B6962" s="183"/>
    </row>
    <row r="6963" spans="2:2" ht="15" x14ac:dyDescent="0.2">
      <c r="B6963" s="183"/>
    </row>
    <row r="6964" spans="2:2" ht="15" x14ac:dyDescent="0.2">
      <c r="B6964" s="183"/>
    </row>
    <row r="6965" spans="2:2" ht="15" x14ac:dyDescent="0.2">
      <c r="B6965" s="183"/>
    </row>
    <row r="6966" spans="2:2" ht="15" x14ac:dyDescent="0.2">
      <c r="B6966" s="183"/>
    </row>
    <row r="6967" spans="2:2" ht="15" x14ac:dyDescent="0.2">
      <c r="B6967" s="183"/>
    </row>
    <row r="6968" spans="2:2" ht="15" x14ac:dyDescent="0.2">
      <c r="B6968" s="183"/>
    </row>
    <row r="6969" spans="2:2" ht="15" x14ac:dyDescent="0.2">
      <c r="B6969" s="183"/>
    </row>
    <row r="6970" spans="2:2" ht="15" x14ac:dyDescent="0.2">
      <c r="B6970" s="183"/>
    </row>
    <row r="6971" spans="2:2" ht="15" x14ac:dyDescent="0.2">
      <c r="B6971" s="183"/>
    </row>
    <row r="6972" spans="2:2" ht="15" x14ac:dyDescent="0.2">
      <c r="B6972" s="183"/>
    </row>
    <row r="6973" spans="2:2" ht="15" x14ac:dyDescent="0.2">
      <c r="B6973" s="183"/>
    </row>
    <row r="6974" spans="2:2" ht="15" x14ac:dyDescent="0.2">
      <c r="B6974" s="183"/>
    </row>
    <row r="6975" spans="2:2" ht="15" x14ac:dyDescent="0.2">
      <c r="B6975" s="183"/>
    </row>
    <row r="6976" spans="2:2" ht="15" x14ac:dyDescent="0.2">
      <c r="B6976" s="183"/>
    </row>
    <row r="6977" spans="2:2" ht="15" x14ac:dyDescent="0.2">
      <c r="B6977" s="183"/>
    </row>
    <row r="6978" spans="2:2" ht="15" x14ac:dyDescent="0.2">
      <c r="B6978" s="183"/>
    </row>
    <row r="6979" spans="2:2" ht="15" x14ac:dyDescent="0.2">
      <c r="B6979" s="183"/>
    </row>
    <row r="6980" spans="2:2" ht="15" x14ac:dyDescent="0.2">
      <c r="B6980" s="183"/>
    </row>
    <row r="6981" spans="2:2" ht="15" x14ac:dyDescent="0.2">
      <c r="B6981" s="183"/>
    </row>
    <row r="6982" spans="2:2" ht="15" x14ac:dyDescent="0.2">
      <c r="B6982" s="183"/>
    </row>
    <row r="6983" spans="2:2" ht="15" x14ac:dyDescent="0.2">
      <c r="B6983" s="183"/>
    </row>
    <row r="6984" spans="2:2" ht="15" x14ac:dyDescent="0.2">
      <c r="B6984" s="183"/>
    </row>
    <row r="6985" spans="2:2" ht="15" x14ac:dyDescent="0.2">
      <c r="B6985" s="183"/>
    </row>
    <row r="6986" spans="2:2" ht="15" x14ac:dyDescent="0.2">
      <c r="B6986" s="183"/>
    </row>
    <row r="6987" spans="2:2" ht="15" x14ac:dyDescent="0.2">
      <c r="B6987" s="183"/>
    </row>
    <row r="6988" spans="2:2" ht="15" x14ac:dyDescent="0.2">
      <c r="B6988" s="183"/>
    </row>
    <row r="6989" spans="2:2" ht="15" x14ac:dyDescent="0.2">
      <c r="B6989" s="183"/>
    </row>
    <row r="6990" spans="2:2" ht="15" x14ac:dyDescent="0.2">
      <c r="B6990" s="183"/>
    </row>
    <row r="6991" spans="2:2" ht="15" x14ac:dyDescent="0.2">
      <c r="B6991" s="183"/>
    </row>
    <row r="6992" spans="2:2" ht="15" x14ac:dyDescent="0.2">
      <c r="B6992" s="183"/>
    </row>
    <row r="6993" spans="2:2" ht="15" x14ac:dyDescent="0.2">
      <c r="B6993" s="183"/>
    </row>
    <row r="6994" spans="2:2" ht="15" x14ac:dyDescent="0.2">
      <c r="B6994" s="183"/>
    </row>
    <row r="6995" spans="2:2" ht="15" x14ac:dyDescent="0.2">
      <c r="B6995" s="183"/>
    </row>
    <row r="6996" spans="2:2" ht="15" x14ac:dyDescent="0.2">
      <c r="B6996" s="183"/>
    </row>
    <row r="6997" spans="2:2" ht="15" x14ac:dyDescent="0.2">
      <c r="B6997" s="183"/>
    </row>
    <row r="6998" spans="2:2" ht="15" x14ac:dyDescent="0.2">
      <c r="B6998" s="183"/>
    </row>
    <row r="6999" spans="2:2" ht="15" x14ac:dyDescent="0.2">
      <c r="B6999" s="183"/>
    </row>
    <row r="7000" spans="2:2" ht="15" x14ac:dyDescent="0.2">
      <c r="B7000" s="183"/>
    </row>
    <row r="7001" spans="2:2" ht="15" x14ac:dyDescent="0.2">
      <c r="B7001" s="183"/>
    </row>
    <row r="7002" spans="2:2" ht="15" x14ac:dyDescent="0.2">
      <c r="B7002" s="183"/>
    </row>
    <row r="7003" spans="2:2" ht="15" x14ac:dyDescent="0.2">
      <c r="B7003" s="183"/>
    </row>
    <row r="7004" spans="2:2" ht="15" x14ac:dyDescent="0.2">
      <c r="B7004" s="183"/>
    </row>
    <row r="7005" spans="2:2" ht="15" x14ac:dyDescent="0.2">
      <c r="B7005" s="183"/>
    </row>
    <row r="7006" spans="2:2" ht="15" x14ac:dyDescent="0.2">
      <c r="B7006" s="183"/>
    </row>
    <row r="7007" spans="2:2" ht="15" x14ac:dyDescent="0.2">
      <c r="B7007" s="183"/>
    </row>
    <row r="7008" spans="2:2" ht="15" x14ac:dyDescent="0.2">
      <c r="B7008" s="183"/>
    </row>
    <row r="7009" spans="2:2" ht="15" x14ac:dyDescent="0.2">
      <c r="B7009" s="183"/>
    </row>
    <row r="7010" spans="2:2" ht="15" x14ac:dyDescent="0.2">
      <c r="B7010" s="183"/>
    </row>
    <row r="7011" spans="2:2" ht="15" x14ac:dyDescent="0.2">
      <c r="B7011" s="183"/>
    </row>
    <row r="7012" spans="2:2" ht="15" x14ac:dyDescent="0.2">
      <c r="B7012" s="183"/>
    </row>
    <row r="7013" spans="2:2" ht="15" x14ac:dyDescent="0.2">
      <c r="B7013" s="183"/>
    </row>
    <row r="7014" spans="2:2" ht="15" x14ac:dyDescent="0.2">
      <c r="B7014" s="183"/>
    </row>
    <row r="7015" spans="2:2" ht="15" x14ac:dyDescent="0.2">
      <c r="B7015" s="183"/>
    </row>
    <row r="7016" spans="2:2" ht="15" x14ac:dyDescent="0.2">
      <c r="B7016" s="183"/>
    </row>
    <row r="7017" spans="2:2" ht="15" x14ac:dyDescent="0.2">
      <c r="B7017" s="183"/>
    </row>
    <row r="7018" spans="2:2" ht="15" x14ac:dyDescent="0.2">
      <c r="B7018" s="183"/>
    </row>
    <row r="7019" spans="2:2" ht="15" x14ac:dyDescent="0.2">
      <c r="B7019" s="183"/>
    </row>
    <row r="7020" spans="2:2" ht="15" x14ac:dyDescent="0.2">
      <c r="B7020" s="183"/>
    </row>
    <row r="7021" spans="2:2" ht="15" x14ac:dyDescent="0.2">
      <c r="B7021" s="183"/>
    </row>
    <row r="7022" spans="2:2" ht="15" x14ac:dyDescent="0.2">
      <c r="B7022" s="183"/>
    </row>
    <row r="7023" spans="2:2" ht="15" x14ac:dyDescent="0.2">
      <c r="B7023" s="183"/>
    </row>
    <row r="7024" spans="2:2" ht="15" x14ac:dyDescent="0.2">
      <c r="B7024" s="183"/>
    </row>
    <row r="7025" spans="2:2" ht="15" x14ac:dyDescent="0.2">
      <c r="B7025" s="183"/>
    </row>
    <row r="7026" spans="2:2" ht="15" x14ac:dyDescent="0.2">
      <c r="B7026" s="183"/>
    </row>
    <row r="7027" spans="2:2" ht="15" x14ac:dyDescent="0.2">
      <c r="B7027" s="183"/>
    </row>
    <row r="7028" spans="2:2" ht="15" x14ac:dyDescent="0.2">
      <c r="B7028" s="183"/>
    </row>
    <row r="7029" spans="2:2" ht="15" x14ac:dyDescent="0.2">
      <c r="B7029" s="183"/>
    </row>
    <row r="7030" spans="2:2" ht="15" x14ac:dyDescent="0.2">
      <c r="B7030" s="183"/>
    </row>
    <row r="7031" spans="2:2" ht="15" x14ac:dyDescent="0.2">
      <c r="B7031" s="183"/>
    </row>
    <row r="7032" spans="2:2" ht="15" x14ac:dyDescent="0.2">
      <c r="B7032" s="183"/>
    </row>
    <row r="7033" spans="2:2" ht="15" x14ac:dyDescent="0.2">
      <c r="B7033" s="183"/>
    </row>
    <row r="7034" spans="2:2" ht="15" x14ac:dyDescent="0.2">
      <c r="B7034" s="183"/>
    </row>
    <row r="7035" spans="2:2" ht="15" x14ac:dyDescent="0.2">
      <c r="B7035" s="183"/>
    </row>
    <row r="7036" spans="2:2" ht="15" x14ac:dyDescent="0.2">
      <c r="B7036" s="183"/>
    </row>
    <row r="7037" spans="2:2" ht="15" x14ac:dyDescent="0.2">
      <c r="B7037" s="183"/>
    </row>
    <row r="7038" spans="2:2" ht="15" x14ac:dyDescent="0.2">
      <c r="B7038" s="183"/>
    </row>
    <row r="7039" spans="2:2" ht="15" x14ac:dyDescent="0.2">
      <c r="B7039" s="183"/>
    </row>
    <row r="7040" spans="2:2" ht="15" x14ac:dyDescent="0.2">
      <c r="B7040" s="183"/>
    </row>
    <row r="7041" spans="2:2" ht="15" x14ac:dyDescent="0.2">
      <c r="B7041" s="183"/>
    </row>
    <row r="7042" spans="2:2" ht="15" x14ac:dyDescent="0.2">
      <c r="B7042" s="183"/>
    </row>
    <row r="7043" spans="2:2" ht="15" x14ac:dyDescent="0.2">
      <c r="B7043" s="183"/>
    </row>
    <row r="7044" spans="2:2" ht="15" x14ac:dyDescent="0.2">
      <c r="B7044" s="183"/>
    </row>
    <row r="7045" spans="2:2" ht="15" x14ac:dyDescent="0.2">
      <c r="B7045" s="183"/>
    </row>
    <row r="7046" spans="2:2" ht="15" x14ac:dyDescent="0.2">
      <c r="B7046" s="183"/>
    </row>
    <row r="7047" spans="2:2" ht="15" x14ac:dyDescent="0.2">
      <c r="B7047" s="183"/>
    </row>
    <row r="7048" spans="2:2" ht="15" x14ac:dyDescent="0.2">
      <c r="B7048" s="183"/>
    </row>
    <row r="7049" spans="2:2" ht="15" x14ac:dyDescent="0.2">
      <c r="B7049" s="183"/>
    </row>
    <row r="7050" spans="2:2" ht="15" x14ac:dyDescent="0.2">
      <c r="B7050" s="183"/>
    </row>
    <row r="7051" spans="2:2" ht="15" x14ac:dyDescent="0.2">
      <c r="B7051" s="183"/>
    </row>
    <row r="7052" spans="2:2" ht="15" x14ac:dyDescent="0.2">
      <c r="B7052" s="183"/>
    </row>
    <row r="7053" spans="2:2" ht="15" x14ac:dyDescent="0.2">
      <c r="B7053" s="183"/>
    </row>
    <row r="7054" spans="2:2" ht="15" x14ac:dyDescent="0.2">
      <c r="B7054" s="183"/>
    </row>
    <row r="7055" spans="2:2" ht="15" x14ac:dyDescent="0.2">
      <c r="B7055" s="183"/>
    </row>
    <row r="7056" spans="2:2" ht="15" x14ac:dyDescent="0.2">
      <c r="B7056" s="183"/>
    </row>
    <row r="7057" spans="2:2" ht="15" x14ac:dyDescent="0.2">
      <c r="B7057" s="183"/>
    </row>
    <row r="7058" spans="2:2" ht="15" x14ac:dyDescent="0.2">
      <c r="B7058" s="183"/>
    </row>
    <row r="7059" spans="2:2" ht="15" x14ac:dyDescent="0.2">
      <c r="B7059" s="183"/>
    </row>
    <row r="7060" spans="2:2" ht="15" x14ac:dyDescent="0.2">
      <c r="B7060" s="183"/>
    </row>
    <row r="7061" spans="2:2" ht="15" x14ac:dyDescent="0.2">
      <c r="B7061" s="183"/>
    </row>
    <row r="7062" spans="2:2" ht="15" x14ac:dyDescent="0.2">
      <c r="B7062" s="183"/>
    </row>
    <row r="7063" spans="2:2" ht="15" x14ac:dyDescent="0.2">
      <c r="B7063" s="183"/>
    </row>
    <row r="7064" spans="2:2" ht="15" x14ac:dyDescent="0.2">
      <c r="B7064" s="183"/>
    </row>
    <row r="7065" spans="2:2" ht="15" x14ac:dyDescent="0.2">
      <c r="B7065" s="183"/>
    </row>
    <row r="7066" spans="2:2" ht="15" x14ac:dyDescent="0.2">
      <c r="B7066" s="183"/>
    </row>
    <row r="7067" spans="2:2" ht="15" x14ac:dyDescent="0.2">
      <c r="B7067" s="183"/>
    </row>
    <row r="7068" spans="2:2" ht="15" x14ac:dyDescent="0.2">
      <c r="B7068" s="183"/>
    </row>
    <row r="7069" spans="2:2" ht="15" x14ac:dyDescent="0.2">
      <c r="B7069" s="183"/>
    </row>
    <row r="7070" spans="2:2" ht="15" x14ac:dyDescent="0.2">
      <c r="B7070" s="183"/>
    </row>
    <row r="7071" spans="2:2" ht="15" x14ac:dyDescent="0.2">
      <c r="B7071" s="183"/>
    </row>
    <row r="7072" spans="2:2" ht="15" x14ac:dyDescent="0.2">
      <c r="B7072" s="183"/>
    </row>
    <row r="7073" spans="2:2" ht="15" x14ac:dyDescent="0.2">
      <c r="B7073" s="183"/>
    </row>
    <row r="7074" spans="2:2" ht="15" x14ac:dyDescent="0.2">
      <c r="B7074" s="183"/>
    </row>
    <row r="7075" spans="2:2" ht="15" x14ac:dyDescent="0.2">
      <c r="B7075" s="183"/>
    </row>
    <row r="7076" spans="2:2" ht="15" x14ac:dyDescent="0.2">
      <c r="B7076" s="183"/>
    </row>
    <row r="7077" spans="2:2" ht="15" x14ac:dyDescent="0.2">
      <c r="B7077" s="183"/>
    </row>
    <row r="7078" spans="2:2" ht="15" x14ac:dyDescent="0.2">
      <c r="B7078" s="183"/>
    </row>
    <row r="7079" spans="2:2" ht="15" x14ac:dyDescent="0.2">
      <c r="B7079" s="183"/>
    </row>
    <row r="7080" spans="2:2" ht="15" x14ac:dyDescent="0.2">
      <c r="B7080" s="183"/>
    </row>
    <row r="7081" spans="2:2" ht="15" x14ac:dyDescent="0.2">
      <c r="B7081" s="183"/>
    </row>
    <row r="7082" spans="2:2" ht="15" x14ac:dyDescent="0.2">
      <c r="B7082" s="183"/>
    </row>
    <row r="7083" spans="2:2" ht="15" x14ac:dyDescent="0.2">
      <c r="B7083" s="183"/>
    </row>
    <row r="7084" spans="2:2" ht="15" x14ac:dyDescent="0.2">
      <c r="B7084" s="183"/>
    </row>
    <row r="7085" spans="2:2" ht="15" x14ac:dyDescent="0.2">
      <c r="B7085" s="183"/>
    </row>
    <row r="7086" spans="2:2" ht="15" x14ac:dyDescent="0.2">
      <c r="B7086" s="183"/>
    </row>
    <row r="7087" spans="2:2" ht="15" x14ac:dyDescent="0.2">
      <c r="B7087" s="183"/>
    </row>
    <row r="7088" spans="2:2" ht="15" x14ac:dyDescent="0.2">
      <c r="B7088" s="183"/>
    </row>
    <row r="7089" spans="2:2" ht="15" x14ac:dyDescent="0.2">
      <c r="B7089" s="183"/>
    </row>
    <row r="7090" spans="2:2" ht="15" x14ac:dyDescent="0.2">
      <c r="B7090" s="183"/>
    </row>
    <row r="7091" spans="2:2" ht="15" x14ac:dyDescent="0.2">
      <c r="B7091" s="183"/>
    </row>
    <row r="7092" spans="2:2" ht="15" x14ac:dyDescent="0.2">
      <c r="B7092" s="183"/>
    </row>
    <row r="7093" spans="2:2" ht="15" x14ac:dyDescent="0.2">
      <c r="B7093" s="183"/>
    </row>
    <row r="7094" spans="2:2" ht="15" x14ac:dyDescent="0.2">
      <c r="B7094" s="183"/>
    </row>
    <row r="7095" spans="2:2" ht="15" x14ac:dyDescent="0.2">
      <c r="B7095" s="183"/>
    </row>
    <row r="7096" spans="2:2" ht="15" x14ac:dyDescent="0.2">
      <c r="B7096" s="183"/>
    </row>
    <row r="7097" spans="2:2" ht="15" x14ac:dyDescent="0.2">
      <c r="B7097" s="183"/>
    </row>
    <row r="7098" spans="2:2" ht="15" x14ac:dyDescent="0.2">
      <c r="B7098" s="183"/>
    </row>
    <row r="7099" spans="2:2" ht="15" x14ac:dyDescent="0.2">
      <c r="B7099" s="183"/>
    </row>
    <row r="7100" spans="2:2" ht="15" x14ac:dyDescent="0.2">
      <c r="B7100" s="183"/>
    </row>
    <row r="7101" spans="2:2" ht="15" x14ac:dyDescent="0.2">
      <c r="B7101" s="183"/>
    </row>
    <row r="7102" spans="2:2" ht="15" x14ac:dyDescent="0.2">
      <c r="B7102" s="183"/>
    </row>
    <row r="7103" spans="2:2" ht="15" x14ac:dyDescent="0.2">
      <c r="B7103" s="183"/>
    </row>
    <row r="7104" spans="2:2" ht="15" x14ac:dyDescent="0.2">
      <c r="B7104" s="183"/>
    </row>
    <row r="7105" spans="2:2" ht="15" x14ac:dyDescent="0.2">
      <c r="B7105" s="183"/>
    </row>
    <row r="7106" spans="2:2" ht="15" x14ac:dyDescent="0.2">
      <c r="B7106" s="183"/>
    </row>
    <row r="7107" spans="2:2" ht="15" x14ac:dyDescent="0.2">
      <c r="B7107" s="183"/>
    </row>
    <row r="7108" spans="2:2" ht="15" x14ac:dyDescent="0.2">
      <c r="B7108" s="183"/>
    </row>
    <row r="7109" spans="2:2" ht="15" x14ac:dyDescent="0.2">
      <c r="B7109" s="183"/>
    </row>
    <row r="7110" spans="2:2" ht="15" x14ac:dyDescent="0.2">
      <c r="B7110" s="183"/>
    </row>
    <row r="7111" spans="2:2" ht="15" x14ac:dyDescent="0.2">
      <c r="B7111" s="183"/>
    </row>
    <row r="7112" spans="2:2" ht="15" x14ac:dyDescent="0.2">
      <c r="B7112" s="183"/>
    </row>
    <row r="7113" spans="2:2" ht="15" x14ac:dyDescent="0.2">
      <c r="B7113" s="183"/>
    </row>
    <row r="7114" spans="2:2" ht="15" x14ac:dyDescent="0.2">
      <c r="B7114" s="183"/>
    </row>
    <row r="7115" spans="2:2" ht="15" x14ac:dyDescent="0.2">
      <c r="B7115" s="183"/>
    </row>
    <row r="7116" spans="2:2" ht="15" x14ac:dyDescent="0.2">
      <c r="B7116" s="183"/>
    </row>
    <row r="7117" spans="2:2" ht="15" x14ac:dyDescent="0.2">
      <c r="B7117" s="183"/>
    </row>
    <row r="7118" spans="2:2" ht="15" x14ac:dyDescent="0.2">
      <c r="B7118" s="183"/>
    </row>
    <row r="7119" spans="2:2" ht="15" x14ac:dyDescent="0.2">
      <c r="B7119" s="183"/>
    </row>
    <row r="7120" spans="2:2" ht="15" x14ac:dyDescent="0.2">
      <c r="B7120" s="183"/>
    </row>
    <row r="7121" spans="2:2" ht="15" x14ac:dyDescent="0.2">
      <c r="B7121" s="183"/>
    </row>
    <row r="7122" spans="2:2" ht="15" x14ac:dyDescent="0.2">
      <c r="B7122" s="183"/>
    </row>
    <row r="7123" spans="2:2" ht="15" x14ac:dyDescent="0.2">
      <c r="B7123" s="183"/>
    </row>
    <row r="7124" spans="2:2" ht="15" x14ac:dyDescent="0.2">
      <c r="B7124" s="183"/>
    </row>
    <row r="7125" spans="2:2" ht="15" x14ac:dyDescent="0.2">
      <c r="B7125" s="183"/>
    </row>
    <row r="7126" spans="2:2" ht="15" x14ac:dyDescent="0.2">
      <c r="B7126" s="183"/>
    </row>
    <row r="7127" spans="2:2" ht="15" x14ac:dyDescent="0.2">
      <c r="B7127" s="183"/>
    </row>
    <row r="7128" spans="2:2" ht="15" x14ac:dyDescent="0.2">
      <c r="B7128" s="183"/>
    </row>
    <row r="7129" spans="2:2" ht="15" x14ac:dyDescent="0.2">
      <c r="B7129" s="183"/>
    </row>
    <row r="7130" spans="2:2" ht="15" x14ac:dyDescent="0.2">
      <c r="B7130" s="183"/>
    </row>
    <row r="7131" spans="2:2" ht="15" x14ac:dyDescent="0.2">
      <c r="B7131" s="183"/>
    </row>
    <row r="7132" spans="2:2" ht="15" x14ac:dyDescent="0.2">
      <c r="B7132" s="183"/>
    </row>
    <row r="7133" spans="2:2" ht="15" x14ac:dyDescent="0.2">
      <c r="B7133" s="183"/>
    </row>
    <row r="7134" spans="2:2" ht="15" x14ac:dyDescent="0.2">
      <c r="B7134" s="183"/>
    </row>
    <row r="7135" spans="2:2" ht="15" x14ac:dyDescent="0.2">
      <c r="B7135" s="183"/>
    </row>
    <row r="7136" spans="2:2" ht="15" x14ac:dyDescent="0.2">
      <c r="B7136" s="183"/>
    </row>
    <row r="7137" spans="2:2" ht="15" x14ac:dyDescent="0.2">
      <c r="B7137" s="183"/>
    </row>
    <row r="7138" spans="2:2" ht="15" x14ac:dyDescent="0.2">
      <c r="B7138" s="183"/>
    </row>
    <row r="7139" spans="2:2" ht="15" x14ac:dyDescent="0.2">
      <c r="B7139" s="183"/>
    </row>
    <row r="7140" spans="2:2" ht="15" x14ac:dyDescent="0.2">
      <c r="B7140" s="183"/>
    </row>
    <row r="7141" spans="2:2" ht="15" x14ac:dyDescent="0.2">
      <c r="B7141" s="183"/>
    </row>
    <row r="7142" spans="2:2" ht="15" x14ac:dyDescent="0.2">
      <c r="B7142" s="183"/>
    </row>
    <row r="7143" spans="2:2" ht="15" x14ac:dyDescent="0.2">
      <c r="B7143" s="183"/>
    </row>
    <row r="7144" spans="2:2" ht="15" x14ac:dyDescent="0.2">
      <c r="B7144" s="183"/>
    </row>
    <row r="7145" spans="2:2" ht="15" x14ac:dyDescent="0.2">
      <c r="B7145" s="183"/>
    </row>
    <row r="7146" spans="2:2" ht="15" x14ac:dyDescent="0.2">
      <c r="B7146" s="183"/>
    </row>
    <row r="7147" spans="2:2" ht="15" x14ac:dyDescent="0.2">
      <c r="B7147" s="183"/>
    </row>
    <row r="7148" spans="2:2" ht="15" x14ac:dyDescent="0.2">
      <c r="B7148" s="183"/>
    </row>
    <row r="7149" spans="2:2" ht="15" x14ac:dyDescent="0.2">
      <c r="B7149" s="183"/>
    </row>
    <row r="7150" spans="2:2" ht="15" x14ac:dyDescent="0.2">
      <c r="B7150" s="183"/>
    </row>
    <row r="7151" spans="2:2" ht="15" x14ac:dyDescent="0.2">
      <c r="B7151" s="183"/>
    </row>
    <row r="7152" spans="2:2" ht="15" x14ac:dyDescent="0.2">
      <c r="B7152" s="183"/>
    </row>
    <row r="7153" spans="2:2" ht="15" x14ac:dyDescent="0.2">
      <c r="B7153" s="183"/>
    </row>
    <row r="7154" spans="2:2" ht="15" x14ac:dyDescent="0.2">
      <c r="B7154" s="183"/>
    </row>
    <row r="7155" spans="2:2" ht="15" x14ac:dyDescent="0.2">
      <c r="B7155" s="183"/>
    </row>
    <row r="7156" spans="2:2" ht="15" x14ac:dyDescent="0.2">
      <c r="B7156" s="183"/>
    </row>
    <row r="7157" spans="2:2" ht="15" x14ac:dyDescent="0.2">
      <c r="B7157" s="183"/>
    </row>
    <row r="7158" spans="2:2" ht="15" x14ac:dyDescent="0.2">
      <c r="B7158" s="183"/>
    </row>
    <row r="7159" spans="2:2" ht="15" x14ac:dyDescent="0.2">
      <c r="B7159" s="183"/>
    </row>
    <row r="7160" spans="2:2" ht="15" x14ac:dyDescent="0.2">
      <c r="B7160" s="183"/>
    </row>
    <row r="7161" spans="2:2" ht="15" x14ac:dyDescent="0.2">
      <c r="B7161" s="183"/>
    </row>
    <row r="7162" spans="2:2" ht="15" x14ac:dyDescent="0.2">
      <c r="B7162" s="183"/>
    </row>
    <row r="7163" spans="2:2" ht="15" x14ac:dyDescent="0.2">
      <c r="B7163" s="183"/>
    </row>
    <row r="7164" spans="2:2" ht="15" x14ac:dyDescent="0.2">
      <c r="B7164" s="183"/>
    </row>
    <row r="7165" spans="2:2" ht="15" x14ac:dyDescent="0.2">
      <c r="B7165" s="183"/>
    </row>
    <row r="7166" spans="2:2" ht="15" x14ac:dyDescent="0.2">
      <c r="B7166" s="183"/>
    </row>
    <row r="7167" spans="2:2" ht="15" x14ac:dyDescent="0.2">
      <c r="B7167" s="183"/>
    </row>
    <row r="7168" spans="2:2" ht="15" x14ac:dyDescent="0.2">
      <c r="B7168" s="183"/>
    </row>
    <row r="7169" spans="2:2" ht="15" x14ac:dyDescent="0.2">
      <c r="B7169" s="183"/>
    </row>
    <row r="7170" spans="2:2" ht="15" x14ac:dyDescent="0.2">
      <c r="B7170" s="183"/>
    </row>
    <row r="7171" spans="2:2" ht="15" x14ac:dyDescent="0.2">
      <c r="B7171" s="183"/>
    </row>
    <row r="7172" spans="2:2" ht="15" x14ac:dyDescent="0.2">
      <c r="B7172" s="183"/>
    </row>
    <row r="7173" spans="2:2" ht="15" x14ac:dyDescent="0.2">
      <c r="B7173" s="183"/>
    </row>
    <row r="7174" spans="2:2" ht="15" x14ac:dyDescent="0.2">
      <c r="B7174" s="183"/>
    </row>
    <row r="7175" spans="2:2" ht="15" x14ac:dyDescent="0.2">
      <c r="B7175" s="183"/>
    </row>
    <row r="7176" spans="2:2" ht="15" x14ac:dyDescent="0.2">
      <c r="B7176" s="183"/>
    </row>
    <row r="7177" spans="2:2" ht="15" x14ac:dyDescent="0.2">
      <c r="B7177" s="183"/>
    </row>
    <row r="7178" spans="2:2" ht="15" x14ac:dyDescent="0.2">
      <c r="B7178" s="183"/>
    </row>
    <row r="7179" spans="2:2" ht="15" x14ac:dyDescent="0.2">
      <c r="B7179" s="183"/>
    </row>
    <row r="7180" spans="2:2" ht="15" x14ac:dyDescent="0.2">
      <c r="B7180" s="183"/>
    </row>
    <row r="7181" spans="2:2" ht="15" x14ac:dyDescent="0.2">
      <c r="B7181" s="183"/>
    </row>
    <row r="7182" spans="2:2" ht="15" x14ac:dyDescent="0.2">
      <c r="B7182" s="183"/>
    </row>
    <row r="7183" spans="2:2" ht="15" x14ac:dyDescent="0.2">
      <c r="B7183" s="183"/>
    </row>
    <row r="7184" spans="2:2" ht="15" x14ac:dyDescent="0.2">
      <c r="B7184" s="183"/>
    </row>
    <row r="7185" spans="2:2" ht="15" x14ac:dyDescent="0.2">
      <c r="B7185" s="183"/>
    </row>
    <row r="7186" spans="2:2" ht="15" x14ac:dyDescent="0.2">
      <c r="B7186" s="183"/>
    </row>
    <row r="7187" spans="2:2" ht="15" x14ac:dyDescent="0.2">
      <c r="B7187" s="183"/>
    </row>
    <row r="7188" spans="2:2" ht="15" x14ac:dyDescent="0.2">
      <c r="B7188" s="183"/>
    </row>
    <row r="7189" spans="2:2" ht="15" x14ac:dyDescent="0.2">
      <c r="B7189" s="183"/>
    </row>
    <row r="7190" spans="2:2" ht="15" x14ac:dyDescent="0.2">
      <c r="B7190" s="183"/>
    </row>
    <row r="7191" spans="2:2" ht="15" x14ac:dyDescent="0.2">
      <c r="B7191" s="183"/>
    </row>
    <row r="7192" spans="2:2" ht="15" x14ac:dyDescent="0.2">
      <c r="B7192" s="183"/>
    </row>
    <row r="7193" spans="2:2" ht="15" x14ac:dyDescent="0.2">
      <c r="B7193" s="183"/>
    </row>
    <row r="7194" spans="2:2" ht="15" x14ac:dyDescent="0.2">
      <c r="B7194" s="183"/>
    </row>
    <row r="7195" spans="2:2" ht="15" x14ac:dyDescent="0.2">
      <c r="B7195" s="183"/>
    </row>
    <row r="7196" spans="2:2" ht="15" x14ac:dyDescent="0.2">
      <c r="B7196" s="183"/>
    </row>
    <row r="7197" spans="2:2" ht="15" x14ac:dyDescent="0.2">
      <c r="B7197" s="183"/>
    </row>
    <row r="7198" spans="2:2" ht="15" x14ac:dyDescent="0.2">
      <c r="B7198" s="183"/>
    </row>
    <row r="7199" spans="2:2" ht="15" x14ac:dyDescent="0.2">
      <c r="B7199" s="183"/>
    </row>
    <row r="7200" spans="2:2" ht="15" x14ac:dyDescent="0.2">
      <c r="B7200" s="183"/>
    </row>
    <row r="7201" spans="2:2" ht="15" x14ac:dyDescent="0.2">
      <c r="B7201" s="183"/>
    </row>
    <row r="7202" spans="2:2" ht="15" x14ac:dyDescent="0.2">
      <c r="B7202" s="183"/>
    </row>
    <row r="7203" spans="2:2" ht="15" x14ac:dyDescent="0.2">
      <c r="B7203" s="183"/>
    </row>
    <row r="7204" spans="2:2" ht="15" x14ac:dyDescent="0.2">
      <c r="B7204" s="183"/>
    </row>
    <row r="7205" spans="2:2" ht="15" x14ac:dyDescent="0.2">
      <c r="B7205" s="183"/>
    </row>
    <row r="7206" spans="2:2" ht="15" x14ac:dyDescent="0.2">
      <c r="B7206" s="183"/>
    </row>
    <row r="7207" spans="2:2" ht="15" x14ac:dyDescent="0.2">
      <c r="B7207" s="183"/>
    </row>
    <row r="7208" spans="2:2" ht="15" x14ac:dyDescent="0.2">
      <c r="B7208" s="183"/>
    </row>
    <row r="7209" spans="2:2" ht="15" x14ac:dyDescent="0.2">
      <c r="B7209" s="183"/>
    </row>
    <row r="7210" spans="2:2" ht="15" x14ac:dyDescent="0.2">
      <c r="B7210" s="183"/>
    </row>
    <row r="7211" spans="2:2" ht="15" x14ac:dyDescent="0.2">
      <c r="B7211" s="183"/>
    </row>
    <row r="7212" spans="2:2" ht="15" x14ac:dyDescent="0.2">
      <c r="B7212" s="183"/>
    </row>
    <row r="7213" spans="2:2" ht="15" x14ac:dyDescent="0.2">
      <c r="B7213" s="183"/>
    </row>
    <row r="7214" spans="2:2" ht="15" x14ac:dyDescent="0.2">
      <c r="B7214" s="183"/>
    </row>
    <row r="7215" spans="2:2" ht="15" x14ac:dyDescent="0.2">
      <c r="B7215" s="183"/>
    </row>
    <row r="7216" spans="2:2" ht="15" x14ac:dyDescent="0.2">
      <c r="B7216" s="183"/>
    </row>
    <row r="7217" spans="2:2" ht="15" x14ac:dyDescent="0.2">
      <c r="B7217" s="183"/>
    </row>
    <row r="7218" spans="2:2" ht="15" x14ac:dyDescent="0.2">
      <c r="B7218" s="183"/>
    </row>
    <row r="7219" spans="2:2" ht="15" x14ac:dyDescent="0.2">
      <c r="B7219" s="183"/>
    </row>
    <row r="7220" spans="2:2" ht="15" x14ac:dyDescent="0.2">
      <c r="B7220" s="183"/>
    </row>
    <row r="7221" spans="2:2" ht="15" x14ac:dyDescent="0.2">
      <c r="B7221" s="183"/>
    </row>
    <row r="7222" spans="2:2" ht="15" x14ac:dyDescent="0.2">
      <c r="B7222" s="183"/>
    </row>
    <row r="7223" spans="2:2" ht="15" x14ac:dyDescent="0.2">
      <c r="B7223" s="183"/>
    </row>
    <row r="7224" spans="2:2" ht="15" x14ac:dyDescent="0.2">
      <c r="B7224" s="183"/>
    </row>
    <row r="7225" spans="2:2" ht="15" x14ac:dyDescent="0.2">
      <c r="B7225" s="183"/>
    </row>
    <row r="7226" spans="2:2" ht="15" x14ac:dyDescent="0.2">
      <c r="B7226" s="183"/>
    </row>
    <row r="7227" spans="2:2" ht="15" x14ac:dyDescent="0.2">
      <c r="B7227" s="183"/>
    </row>
    <row r="7228" spans="2:2" ht="15" x14ac:dyDescent="0.2">
      <c r="B7228" s="183"/>
    </row>
    <row r="7229" spans="2:2" ht="15" x14ac:dyDescent="0.2">
      <c r="B7229" s="183"/>
    </row>
    <row r="7230" spans="2:2" ht="15" x14ac:dyDescent="0.2">
      <c r="B7230" s="183"/>
    </row>
    <row r="7231" spans="2:2" ht="15" x14ac:dyDescent="0.2">
      <c r="B7231" s="183"/>
    </row>
    <row r="7232" spans="2:2" ht="15" x14ac:dyDescent="0.2">
      <c r="B7232" s="183"/>
    </row>
    <row r="7233" spans="2:2" ht="15" x14ac:dyDescent="0.2">
      <c r="B7233" s="183"/>
    </row>
    <row r="7234" spans="2:2" ht="15" x14ac:dyDescent="0.2">
      <c r="B7234" s="183"/>
    </row>
    <row r="7235" spans="2:2" ht="15" x14ac:dyDescent="0.2">
      <c r="B7235" s="183"/>
    </row>
    <row r="7236" spans="2:2" ht="15" x14ac:dyDescent="0.2">
      <c r="B7236" s="183"/>
    </row>
    <row r="7237" spans="2:2" ht="15" x14ac:dyDescent="0.2">
      <c r="B7237" s="183"/>
    </row>
    <row r="7238" spans="2:2" ht="15" x14ac:dyDescent="0.2">
      <c r="B7238" s="183"/>
    </row>
    <row r="7239" spans="2:2" ht="15" x14ac:dyDescent="0.2">
      <c r="B7239" s="183"/>
    </row>
    <row r="7240" spans="2:2" ht="15" x14ac:dyDescent="0.2">
      <c r="B7240" s="183"/>
    </row>
    <row r="7241" spans="2:2" ht="15" x14ac:dyDescent="0.2">
      <c r="B7241" s="183"/>
    </row>
    <row r="7242" spans="2:2" ht="15" x14ac:dyDescent="0.2">
      <c r="B7242" s="183"/>
    </row>
    <row r="7243" spans="2:2" ht="15" x14ac:dyDescent="0.2">
      <c r="B7243" s="183"/>
    </row>
    <row r="7244" spans="2:2" ht="15" x14ac:dyDescent="0.2">
      <c r="B7244" s="183"/>
    </row>
    <row r="7245" spans="2:2" ht="15" x14ac:dyDescent="0.2">
      <c r="B7245" s="183"/>
    </row>
    <row r="7246" spans="2:2" ht="15" x14ac:dyDescent="0.2">
      <c r="B7246" s="183"/>
    </row>
    <row r="7247" spans="2:2" ht="15" x14ac:dyDescent="0.2">
      <c r="B7247" s="183"/>
    </row>
    <row r="7248" spans="2:2" ht="15" x14ac:dyDescent="0.2">
      <c r="B7248" s="183"/>
    </row>
    <row r="7249" spans="2:2" ht="15" x14ac:dyDescent="0.2">
      <c r="B7249" s="183"/>
    </row>
    <row r="7250" spans="2:2" ht="15" x14ac:dyDescent="0.2">
      <c r="B7250" s="183"/>
    </row>
    <row r="7251" spans="2:2" ht="15" x14ac:dyDescent="0.2">
      <c r="B7251" s="183"/>
    </row>
    <row r="7252" spans="2:2" ht="15" x14ac:dyDescent="0.2">
      <c r="B7252" s="183"/>
    </row>
    <row r="7253" spans="2:2" ht="15" x14ac:dyDescent="0.2">
      <c r="B7253" s="183"/>
    </row>
    <row r="7254" spans="2:2" ht="15" x14ac:dyDescent="0.2">
      <c r="B7254" s="183"/>
    </row>
    <row r="7255" spans="2:2" ht="15" x14ac:dyDescent="0.2">
      <c r="B7255" s="183"/>
    </row>
    <row r="7256" spans="2:2" ht="15" x14ac:dyDescent="0.2">
      <c r="B7256" s="183"/>
    </row>
    <row r="7257" spans="2:2" ht="15" x14ac:dyDescent="0.2">
      <c r="B7257" s="183"/>
    </row>
    <row r="7258" spans="2:2" ht="15" x14ac:dyDescent="0.2">
      <c r="B7258" s="183"/>
    </row>
    <row r="7259" spans="2:2" ht="15" x14ac:dyDescent="0.2">
      <c r="B7259" s="183"/>
    </row>
    <row r="7260" spans="2:2" ht="15" x14ac:dyDescent="0.2">
      <c r="B7260" s="183"/>
    </row>
    <row r="7261" spans="2:2" ht="15" x14ac:dyDescent="0.2">
      <c r="B7261" s="183"/>
    </row>
    <row r="7262" spans="2:2" ht="15" x14ac:dyDescent="0.2">
      <c r="B7262" s="183"/>
    </row>
    <row r="7263" spans="2:2" ht="15" x14ac:dyDescent="0.2">
      <c r="B7263" s="183"/>
    </row>
    <row r="7264" spans="2:2" ht="15" x14ac:dyDescent="0.2">
      <c r="B7264" s="183"/>
    </row>
    <row r="7265" spans="2:2" ht="15" x14ac:dyDescent="0.2">
      <c r="B7265" s="183"/>
    </row>
    <row r="7266" spans="2:2" ht="15" x14ac:dyDescent="0.2">
      <c r="B7266" s="183"/>
    </row>
    <row r="7267" spans="2:2" ht="15" x14ac:dyDescent="0.2">
      <c r="B7267" s="183"/>
    </row>
    <row r="7268" spans="2:2" ht="15" x14ac:dyDescent="0.2">
      <c r="B7268" s="183"/>
    </row>
    <row r="7269" spans="2:2" ht="15" x14ac:dyDescent="0.2">
      <c r="B7269" s="183"/>
    </row>
    <row r="7270" spans="2:2" ht="15" x14ac:dyDescent="0.2">
      <c r="B7270" s="183"/>
    </row>
    <row r="7271" spans="2:2" ht="15" x14ac:dyDescent="0.2">
      <c r="B7271" s="183"/>
    </row>
    <row r="7272" spans="2:2" ht="15" x14ac:dyDescent="0.2">
      <c r="B7272" s="183"/>
    </row>
    <row r="7273" spans="2:2" ht="15" x14ac:dyDescent="0.2">
      <c r="B7273" s="183"/>
    </row>
    <row r="7274" spans="2:2" ht="15" x14ac:dyDescent="0.2">
      <c r="B7274" s="183"/>
    </row>
    <row r="7275" spans="2:2" ht="15" x14ac:dyDescent="0.2">
      <c r="B7275" s="183"/>
    </row>
    <row r="7276" spans="2:2" ht="15" x14ac:dyDescent="0.2">
      <c r="B7276" s="183"/>
    </row>
    <row r="7277" spans="2:2" ht="15" x14ac:dyDescent="0.2">
      <c r="B7277" s="183"/>
    </row>
    <row r="7278" spans="2:2" ht="15" x14ac:dyDescent="0.2">
      <c r="B7278" s="183"/>
    </row>
    <row r="7279" spans="2:2" ht="15" x14ac:dyDescent="0.2">
      <c r="B7279" s="183"/>
    </row>
    <row r="7280" spans="2:2" ht="15" x14ac:dyDescent="0.2">
      <c r="B7280" s="183"/>
    </row>
    <row r="7281" spans="2:2" ht="15" x14ac:dyDescent="0.2">
      <c r="B7281" s="183"/>
    </row>
    <row r="7282" spans="2:2" ht="15" x14ac:dyDescent="0.2">
      <c r="B7282" s="183"/>
    </row>
    <row r="7283" spans="2:2" ht="15" x14ac:dyDescent="0.2">
      <c r="B7283" s="183"/>
    </row>
    <row r="7284" spans="2:2" ht="15" x14ac:dyDescent="0.2">
      <c r="B7284" s="183"/>
    </row>
    <row r="7285" spans="2:2" ht="15" x14ac:dyDescent="0.2">
      <c r="B7285" s="183"/>
    </row>
    <row r="7286" spans="2:2" ht="15" x14ac:dyDescent="0.2">
      <c r="B7286" s="183"/>
    </row>
    <row r="7287" spans="2:2" ht="15" x14ac:dyDescent="0.2">
      <c r="B7287" s="183"/>
    </row>
    <row r="7288" spans="2:2" ht="15" x14ac:dyDescent="0.2">
      <c r="B7288" s="183"/>
    </row>
    <row r="7289" spans="2:2" ht="15" x14ac:dyDescent="0.2">
      <c r="B7289" s="183"/>
    </row>
    <row r="7290" spans="2:2" ht="15" x14ac:dyDescent="0.2">
      <c r="B7290" s="183"/>
    </row>
    <row r="7291" spans="2:2" ht="15" x14ac:dyDescent="0.2">
      <c r="B7291" s="183"/>
    </row>
    <row r="7292" spans="2:2" ht="15" x14ac:dyDescent="0.2">
      <c r="B7292" s="183"/>
    </row>
    <row r="7293" spans="2:2" ht="15" x14ac:dyDescent="0.2">
      <c r="B7293" s="183"/>
    </row>
    <row r="7294" spans="2:2" ht="15" x14ac:dyDescent="0.2">
      <c r="B7294" s="183"/>
    </row>
    <row r="7295" spans="2:2" ht="15" x14ac:dyDescent="0.2">
      <c r="B7295" s="183"/>
    </row>
    <row r="7296" spans="2:2" ht="15" x14ac:dyDescent="0.2">
      <c r="B7296" s="183"/>
    </row>
    <row r="7297" spans="2:2" ht="15" x14ac:dyDescent="0.2">
      <c r="B7297" s="183"/>
    </row>
    <row r="7298" spans="2:2" ht="15" x14ac:dyDescent="0.2">
      <c r="B7298" s="183"/>
    </row>
    <row r="7299" spans="2:2" ht="15" x14ac:dyDescent="0.2">
      <c r="B7299" s="183"/>
    </row>
    <row r="7300" spans="2:2" ht="15" x14ac:dyDescent="0.2">
      <c r="B7300" s="183"/>
    </row>
    <row r="7301" spans="2:2" ht="15" x14ac:dyDescent="0.2">
      <c r="B7301" s="183"/>
    </row>
    <row r="7302" spans="2:2" ht="15" x14ac:dyDescent="0.2">
      <c r="B7302" s="183"/>
    </row>
    <row r="7303" spans="2:2" ht="15" x14ac:dyDescent="0.2">
      <c r="B7303" s="183"/>
    </row>
    <row r="7304" spans="2:2" ht="15" x14ac:dyDescent="0.2">
      <c r="B7304" s="183"/>
    </row>
    <row r="7305" spans="2:2" ht="15" x14ac:dyDescent="0.2">
      <c r="B7305" s="183"/>
    </row>
    <row r="7306" spans="2:2" ht="15" x14ac:dyDescent="0.2">
      <c r="B7306" s="183"/>
    </row>
    <row r="7307" spans="2:2" ht="15" x14ac:dyDescent="0.2">
      <c r="B7307" s="183"/>
    </row>
    <row r="7308" spans="2:2" ht="15" x14ac:dyDescent="0.2">
      <c r="B7308" s="183"/>
    </row>
    <row r="7309" spans="2:2" ht="15" x14ac:dyDescent="0.2">
      <c r="B7309" s="183"/>
    </row>
    <row r="7310" spans="2:2" ht="15" x14ac:dyDescent="0.2">
      <c r="B7310" s="183"/>
    </row>
    <row r="7311" spans="2:2" ht="15" x14ac:dyDescent="0.2">
      <c r="B7311" s="183"/>
    </row>
    <row r="7312" spans="2:2" ht="15" x14ac:dyDescent="0.2">
      <c r="B7312" s="183"/>
    </row>
    <row r="7313" spans="2:2" ht="15" x14ac:dyDescent="0.2">
      <c r="B7313" s="183"/>
    </row>
    <row r="7314" spans="2:2" ht="15" x14ac:dyDescent="0.2">
      <c r="B7314" s="183"/>
    </row>
    <row r="7315" spans="2:2" ht="15" x14ac:dyDescent="0.2">
      <c r="B7315" s="183"/>
    </row>
    <row r="7316" spans="2:2" ht="15" x14ac:dyDescent="0.2">
      <c r="B7316" s="183"/>
    </row>
    <row r="7317" spans="2:2" ht="15" x14ac:dyDescent="0.2">
      <c r="B7317" s="183"/>
    </row>
    <row r="7318" spans="2:2" ht="15" x14ac:dyDescent="0.2">
      <c r="B7318" s="183"/>
    </row>
    <row r="7319" spans="2:2" ht="15" x14ac:dyDescent="0.2">
      <c r="B7319" s="183"/>
    </row>
    <row r="7320" spans="2:2" ht="15" x14ac:dyDescent="0.2">
      <c r="B7320" s="183"/>
    </row>
    <row r="7321" spans="2:2" ht="15" x14ac:dyDescent="0.2">
      <c r="B7321" s="183"/>
    </row>
    <row r="7322" spans="2:2" ht="15" x14ac:dyDescent="0.2">
      <c r="B7322" s="183"/>
    </row>
    <row r="7323" spans="2:2" ht="15" x14ac:dyDescent="0.2">
      <c r="B7323" s="183"/>
    </row>
    <row r="7324" spans="2:2" ht="15" x14ac:dyDescent="0.2">
      <c r="B7324" s="183"/>
    </row>
    <row r="7325" spans="2:2" ht="15" x14ac:dyDescent="0.2">
      <c r="B7325" s="183"/>
    </row>
    <row r="7326" spans="2:2" ht="15" x14ac:dyDescent="0.2">
      <c r="B7326" s="183"/>
    </row>
    <row r="7327" spans="2:2" ht="15" x14ac:dyDescent="0.2">
      <c r="B7327" s="183"/>
    </row>
    <row r="7328" spans="2:2" ht="15" x14ac:dyDescent="0.2">
      <c r="B7328" s="183"/>
    </row>
    <row r="7329" spans="2:2" ht="15" x14ac:dyDescent="0.2">
      <c r="B7329" s="183"/>
    </row>
    <row r="7330" spans="2:2" ht="15" x14ac:dyDescent="0.2">
      <c r="B7330" s="183"/>
    </row>
    <row r="7331" spans="2:2" ht="15" x14ac:dyDescent="0.2">
      <c r="B7331" s="183"/>
    </row>
    <row r="7332" spans="2:2" ht="15" x14ac:dyDescent="0.2">
      <c r="B7332" s="183"/>
    </row>
    <row r="7333" spans="2:2" ht="15" x14ac:dyDescent="0.2">
      <c r="B7333" s="183"/>
    </row>
    <row r="7334" spans="2:2" ht="15" x14ac:dyDescent="0.2">
      <c r="B7334" s="183"/>
    </row>
    <row r="7335" spans="2:2" ht="15" x14ac:dyDescent="0.2">
      <c r="B7335" s="183"/>
    </row>
    <row r="7336" spans="2:2" ht="15" x14ac:dyDescent="0.2">
      <c r="B7336" s="183"/>
    </row>
    <row r="7337" spans="2:2" ht="15" x14ac:dyDescent="0.2">
      <c r="B7337" s="183"/>
    </row>
    <row r="7338" spans="2:2" ht="15" x14ac:dyDescent="0.2">
      <c r="B7338" s="183"/>
    </row>
    <row r="7339" spans="2:2" ht="15" x14ac:dyDescent="0.2">
      <c r="B7339" s="183"/>
    </row>
    <row r="7340" spans="2:2" ht="15" x14ac:dyDescent="0.2">
      <c r="B7340" s="183"/>
    </row>
    <row r="7341" spans="2:2" ht="15" x14ac:dyDescent="0.2">
      <c r="B7341" s="183"/>
    </row>
    <row r="7342" spans="2:2" ht="15" x14ac:dyDescent="0.2">
      <c r="B7342" s="183"/>
    </row>
    <row r="7343" spans="2:2" ht="15" x14ac:dyDescent="0.2">
      <c r="B7343" s="183"/>
    </row>
    <row r="7344" spans="2:2" ht="15" x14ac:dyDescent="0.2">
      <c r="B7344" s="183"/>
    </row>
    <row r="7345" spans="2:2" ht="15" x14ac:dyDescent="0.2">
      <c r="B7345" s="183"/>
    </row>
    <row r="7346" spans="2:2" ht="15" x14ac:dyDescent="0.2">
      <c r="B7346" s="183"/>
    </row>
    <row r="7347" spans="2:2" ht="15" x14ac:dyDescent="0.2">
      <c r="B7347" s="183"/>
    </row>
    <row r="7348" spans="2:2" ht="15" x14ac:dyDescent="0.2">
      <c r="B7348" s="183"/>
    </row>
    <row r="7349" spans="2:2" ht="15" x14ac:dyDescent="0.2">
      <c r="B7349" s="183"/>
    </row>
    <row r="7350" spans="2:2" ht="15" x14ac:dyDescent="0.2">
      <c r="B7350" s="183"/>
    </row>
    <row r="7351" spans="2:2" ht="15" x14ac:dyDescent="0.2">
      <c r="B7351" s="183"/>
    </row>
    <row r="7352" spans="2:2" ht="15" x14ac:dyDescent="0.2">
      <c r="B7352" s="183"/>
    </row>
    <row r="7353" spans="2:2" ht="15" x14ac:dyDescent="0.2">
      <c r="B7353" s="183"/>
    </row>
    <row r="7354" spans="2:2" ht="15" x14ac:dyDescent="0.2">
      <c r="B7354" s="183"/>
    </row>
    <row r="7355" spans="2:2" ht="15" x14ac:dyDescent="0.2">
      <c r="B7355" s="183"/>
    </row>
    <row r="7356" spans="2:2" ht="15" x14ac:dyDescent="0.2">
      <c r="B7356" s="183"/>
    </row>
    <row r="7357" spans="2:2" ht="15" x14ac:dyDescent="0.2">
      <c r="B7357" s="183"/>
    </row>
    <row r="7358" spans="2:2" ht="15" x14ac:dyDescent="0.2">
      <c r="B7358" s="183"/>
    </row>
    <row r="7359" spans="2:2" ht="15" x14ac:dyDescent="0.2">
      <c r="B7359" s="183"/>
    </row>
    <row r="7360" spans="2:2" ht="15" x14ac:dyDescent="0.2">
      <c r="B7360" s="183"/>
    </row>
    <row r="7361" spans="2:2" ht="15" x14ac:dyDescent="0.2">
      <c r="B7361" s="183"/>
    </row>
    <row r="7362" spans="2:2" ht="15" x14ac:dyDescent="0.2">
      <c r="B7362" s="183"/>
    </row>
    <row r="7363" spans="2:2" ht="15" x14ac:dyDescent="0.2">
      <c r="B7363" s="183"/>
    </row>
    <row r="7364" spans="2:2" ht="15" x14ac:dyDescent="0.2">
      <c r="B7364" s="183"/>
    </row>
    <row r="7365" spans="2:2" ht="15" x14ac:dyDescent="0.2">
      <c r="B7365" s="183"/>
    </row>
    <row r="7366" spans="2:2" ht="15" x14ac:dyDescent="0.2">
      <c r="B7366" s="183"/>
    </row>
    <row r="7367" spans="2:2" ht="15" x14ac:dyDescent="0.2">
      <c r="B7367" s="183"/>
    </row>
    <row r="7368" spans="2:2" ht="15" x14ac:dyDescent="0.2">
      <c r="B7368" s="183"/>
    </row>
    <row r="7369" spans="2:2" ht="15" x14ac:dyDescent="0.2">
      <c r="B7369" s="183"/>
    </row>
    <row r="7370" spans="2:2" ht="15" x14ac:dyDescent="0.2">
      <c r="B7370" s="183"/>
    </row>
    <row r="7371" spans="2:2" ht="15" x14ac:dyDescent="0.2">
      <c r="B7371" s="183"/>
    </row>
    <row r="7372" spans="2:2" ht="15" x14ac:dyDescent="0.2">
      <c r="B7372" s="183"/>
    </row>
    <row r="7373" spans="2:2" ht="15" x14ac:dyDescent="0.2">
      <c r="B7373" s="183"/>
    </row>
    <row r="7374" spans="2:2" ht="15" x14ac:dyDescent="0.2">
      <c r="B7374" s="183"/>
    </row>
    <row r="7375" spans="2:2" ht="15" x14ac:dyDescent="0.2">
      <c r="B7375" s="183"/>
    </row>
    <row r="7376" spans="2:2" ht="15" x14ac:dyDescent="0.2">
      <c r="B7376" s="183"/>
    </row>
    <row r="7377" spans="2:2" ht="15" x14ac:dyDescent="0.2">
      <c r="B7377" s="183"/>
    </row>
    <row r="7378" spans="2:2" ht="15" x14ac:dyDescent="0.2">
      <c r="B7378" s="183"/>
    </row>
    <row r="7379" spans="2:2" ht="15" x14ac:dyDescent="0.2">
      <c r="B7379" s="183"/>
    </row>
    <row r="7380" spans="2:2" ht="15" x14ac:dyDescent="0.2">
      <c r="B7380" s="183"/>
    </row>
    <row r="7381" spans="2:2" ht="15" x14ac:dyDescent="0.2">
      <c r="B7381" s="183"/>
    </row>
    <row r="7382" spans="2:2" ht="15" x14ac:dyDescent="0.2">
      <c r="B7382" s="183"/>
    </row>
    <row r="7383" spans="2:2" ht="15" x14ac:dyDescent="0.2">
      <c r="B7383" s="183"/>
    </row>
    <row r="7384" spans="2:2" ht="15" x14ac:dyDescent="0.2">
      <c r="B7384" s="183"/>
    </row>
    <row r="7385" spans="2:2" ht="15" x14ac:dyDescent="0.2">
      <c r="B7385" s="183"/>
    </row>
    <row r="7386" spans="2:2" ht="15" x14ac:dyDescent="0.2">
      <c r="B7386" s="183"/>
    </row>
    <row r="7387" spans="2:2" ht="15" x14ac:dyDescent="0.2">
      <c r="B7387" s="183"/>
    </row>
    <row r="7388" spans="2:2" ht="15" x14ac:dyDescent="0.2">
      <c r="B7388" s="183"/>
    </row>
    <row r="7389" spans="2:2" ht="15" x14ac:dyDescent="0.2">
      <c r="B7389" s="183"/>
    </row>
    <row r="7390" spans="2:2" ht="15" x14ac:dyDescent="0.2">
      <c r="B7390" s="183"/>
    </row>
    <row r="7391" spans="2:2" ht="15" x14ac:dyDescent="0.2">
      <c r="B7391" s="183"/>
    </row>
    <row r="7392" spans="2:2" ht="15" x14ac:dyDescent="0.2">
      <c r="B7392" s="183"/>
    </row>
    <row r="7393" spans="2:2" ht="15" x14ac:dyDescent="0.2">
      <c r="B7393" s="183"/>
    </row>
    <row r="7394" spans="2:2" ht="15" x14ac:dyDescent="0.2">
      <c r="B7394" s="183"/>
    </row>
    <row r="7395" spans="2:2" ht="15" x14ac:dyDescent="0.2">
      <c r="B7395" s="183"/>
    </row>
    <row r="7396" spans="2:2" ht="15" x14ac:dyDescent="0.2">
      <c r="B7396" s="183"/>
    </row>
    <row r="7397" spans="2:2" ht="15" x14ac:dyDescent="0.2">
      <c r="B7397" s="183"/>
    </row>
    <row r="7398" spans="2:2" ht="15" x14ac:dyDescent="0.2">
      <c r="B7398" s="183"/>
    </row>
    <row r="7399" spans="2:2" ht="15" x14ac:dyDescent="0.2">
      <c r="B7399" s="183"/>
    </row>
    <row r="7400" spans="2:2" ht="15" x14ac:dyDescent="0.2">
      <c r="B7400" s="183"/>
    </row>
    <row r="7401" spans="2:2" ht="15" x14ac:dyDescent="0.2">
      <c r="B7401" s="183"/>
    </row>
    <row r="7402" spans="2:2" ht="15" x14ac:dyDescent="0.2">
      <c r="B7402" s="183"/>
    </row>
    <row r="7403" spans="2:2" ht="15" x14ac:dyDescent="0.2">
      <c r="B7403" s="183"/>
    </row>
    <row r="7404" spans="2:2" ht="15" x14ac:dyDescent="0.2">
      <c r="B7404" s="183"/>
    </row>
    <row r="7405" spans="2:2" ht="15" x14ac:dyDescent="0.2">
      <c r="B7405" s="183"/>
    </row>
    <row r="7406" spans="2:2" ht="15" x14ac:dyDescent="0.2">
      <c r="B7406" s="183"/>
    </row>
    <row r="7407" spans="2:2" ht="15" x14ac:dyDescent="0.2">
      <c r="B7407" s="183"/>
    </row>
    <row r="7408" spans="2:2" ht="15" x14ac:dyDescent="0.2">
      <c r="B7408" s="183"/>
    </row>
    <row r="7409" spans="2:2" ht="15" x14ac:dyDescent="0.2">
      <c r="B7409" s="183"/>
    </row>
    <row r="7410" spans="2:2" ht="15" x14ac:dyDescent="0.2">
      <c r="B7410" s="183"/>
    </row>
    <row r="7411" spans="2:2" ht="15" x14ac:dyDescent="0.2">
      <c r="B7411" s="183"/>
    </row>
    <row r="7412" spans="2:2" ht="15" x14ac:dyDescent="0.2">
      <c r="B7412" s="183"/>
    </row>
    <row r="7413" spans="2:2" ht="15" x14ac:dyDescent="0.2">
      <c r="B7413" s="183"/>
    </row>
    <row r="7414" spans="2:2" ht="15" x14ac:dyDescent="0.2">
      <c r="B7414" s="183"/>
    </row>
    <row r="7415" spans="2:2" ht="15" x14ac:dyDescent="0.2">
      <c r="B7415" s="183"/>
    </row>
    <row r="7416" spans="2:2" ht="15" x14ac:dyDescent="0.2">
      <c r="B7416" s="183"/>
    </row>
    <row r="7417" spans="2:2" ht="15" x14ac:dyDescent="0.2">
      <c r="B7417" s="183"/>
    </row>
    <row r="7418" spans="2:2" ht="15" x14ac:dyDescent="0.2">
      <c r="B7418" s="183"/>
    </row>
    <row r="7419" spans="2:2" ht="15" x14ac:dyDescent="0.2">
      <c r="B7419" s="183"/>
    </row>
    <row r="7420" spans="2:2" ht="15" x14ac:dyDescent="0.2">
      <c r="B7420" s="183"/>
    </row>
    <row r="7421" spans="2:2" ht="15" x14ac:dyDescent="0.2">
      <c r="B7421" s="183"/>
    </row>
    <row r="7422" spans="2:2" ht="15" x14ac:dyDescent="0.2">
      <c r="B7422" s="183"/>
    </row>
    <row r="7423" spans="2:2" ht="15" x14ac:dyDescent="0.2">
      <c r="B7423" s="183"/>
    </row>
    <row r="7424" spans="2:2" ht="15" x14ac:dyDescent="0.2">
      <c r="B7424" s="183"/>
    </row>
    <row r="7425" spans="2:2" ht="15" x14ac:dyDescent="0.2">
      <c r="B7425" s="183"/>
    </row>
    <row r="7426" spans="2:2" ht="15" x14ac:dyDescent="0.2">
      <c r="B7426" s="183"/>
    </row>
    <row r="7427" spans="2:2" ht="15" x14ac:dyDescent="0.2">
      <c r="B7427" s="183"/>
    </row>
    <row r="7428" spans="2:2" ht="15" x14ac:dyDescent="0.2">
      <c r="B7428" s="183"/>
    </row>
    <row r="7429" spans="2:2" ht="15" x14ac:dyDescent="0.2">
      <c r="B7429" s="183"/>
    </row>
    <row r="7430" spans="2:2" ht="15" x14ac:dyDescent="0.2">
      <c r="B7430" s="183"/>
    </row>
    <row r="7431" spans="2:2" ht="15" x14ac:dyDescent="0.2">
      <c r="B7431" s="183"/>
    </row>
    <row r="7432" spans="2:2" ht="15" x14ac:dyDescent="0.2">
      <c r="B7432" s="183"/>
    </row>
    <row r="7433" spans="2:2" ht="15" x14ac:dyDescent="0.2">
      <c r="B7433" s="183"/>
    </row>
    <row r="7434" spans="2:2" ht="15" x14ac:dyDescent="0.2">
      <c r="B7434" s="183"/>
    </row>
    <row r="7435" spans="2:2" ht="15" x14ac:dyDescent="0.2">
      <c r="B7435" s="183"/>
    </row>
    <row r="7436" spans="2:2" ht="15" x14ac:dyDescent="0.2">
      <c r="B7436" s="183"/>
    </row>
    <row r="7437" spans="2:2" ht="15" x14ac:dyDescent="0.2">
      <c r="B7437" s="183"/>
    </row>
    <row r="7438" spans="2:2" ht="15" x14ac:dyDescent="0.2">
      <c r="B7438" s="183"/>
    </row>
    <row r="7439" spans="2:2" ht="15" x14ac:dyDescent="0.2">
      <c r="B7439" s="183"/>
    </row>
    <row r="7440" spans="2:2" ht="15" x14ac:dyDescent="0.2">
      <c r="B7440" s="183"/>
    </row>
    <row r="7441" spans="2:2" ht="15" x14ac:dyDescent="0.2">
      <c r="B7441" s="183"/>
    </row>
    <row r="7442" spans="2:2" ht="15" x14ac:dyDescent="0.2">
      <c r="B7442" s="183"/>
    </row>
    <row r="7443" spans="2:2" ht="15" x14ac:dyDescent="0.2">
      <c r="B7443" s="183"/>
    </row>
    <row r="7444" spans="2:2" ht="15" x14ac:dyDescent="0.2">
      <c r="B7444" s="183"/>
    </row>
    <row r="7445" spans="2:2" ht="15" x14ac:dyDescent="0.2">
      <c r="B7445" s="183"/>
    </row>
    <row r="7446" spans="2:2" ht="15" x14ac:dyDescent="0.2">
      <c r="B7446" s="183"/>
    </row>
    <row r="7447" spans="2:2" ht="15" x14ac:dyDescent="0.2">
      <c r="B7447" s="183"/>
    </row>
    <row r="7448" spans="2:2" ht="15" x14ac:dyDescent="0.2">
      <c r="B7448" s="183"/>
    </row>
    <row r="7449" spans="2:2" ht="15" x14ac:dyDescent="0.2">
      <c r="B7449" s="183"/>
    </row>
    <row r="7450" spans="2:2" ht="15" x14ac:dyDescent="0.2">
      <c r="B7450" s="183"/>
    </row>
    <row r="7451" spans="2:2" ht="15" x14ac:dyDescent="0.2">
      <c r="B7451" s="183"/>
    </row>
    <row r="7452" spans="2:2" ht="15" x14ac:dyDescent="0.2">
      <c r="B7452" s="183"/>
    </row>
    <row r="7453" spans="2:2" ht="15" x14ac:dyDescent="0.2">
      <c r="B7453" s="183"/>
    </row>
    <row r="7454" spans="2:2" ht="15" x14ac:dyDescent="0.2">
      <c r="B7454" s="183"/>
    </row>
    <row r="7455" spans="2:2" ht="15" x14ac:dyDescent="0.2">
      <c r="B7455" s="183"/>
    </row>
    <row r="7456" spans="2:2" ht="15" x14ac:dyDescent="0.2">
      <c r="B7456" s="183"/>
    </row>
    <row r="7457" spans="2:2" ht="15" x14ac:dyDescent="0.2">
      <c r="B7457" s="183"/>
    </row>
    <row r="7458" spans="2:2" ht="15" x14ac:dyDescent="0.2">
      <c r="B7458" s="183"/>
    </row>
    <row r="7459" spans="2:2" ht="15" x14ac:dyDescent="0.2">
      <c r="B7459" s="183"/>
    </row>
    <row r="7460" spans="2:2" ht="15" x14ac:dyDescent="0.2">
      <c r="B7460" s="183"/>
    </row>
    <row r="7461" spans="2:2" ht="15" x14ac:dyDescent="0.2">
      <c r="B7461" s="183"/>
    </row>
    <row r="7462" spans="2:2" ht="15" x14ac:dyDescent="0.2">
      <c r="B7462" s="183"/>
    </row>
    <row r="7463" spans="2:2" ht="15" x14ac:dyDescent="0.2">
      <c r="B7463" s="183"/>
    </row>
    <row r="7464" spans="2:2" ht="15" x14ac:dyDescent="0.2">
      <c r="B7464" s="183"/>
    </row>
    <row r="7465" spans="2:2" ht="15" x14ac:dyDescent="0.2">
      <c r="B7465" s="183"/>
    </row>
    <row r="7466" spans="2:2" ht="15" x14ac:dyDescent="0.2">
      <c r="B7466" s="183"/>
    </row>
    <row r="7467" spans="2:2" ht="15" x14ac:dyDescent="0.2">
      <c r="B7467" s="183"/>
    </row>
    <row r="7468" spans="2:2" ht="15" x14ac:dyDescent="0.2">
      <c r="B7468" s="183"/>
    </row>
    <row r="7469" spans="2:2" ht="15" x14ac:dyDescent="0.2">
      <c r="B7469" s="183"/>
    </row>
    <row r="7470" spans="2:2" ht="15" x14ac:dyDescent="0.2">
      <c r="B7470" s="183"/>
    </row>
    <row r="7471" spans="2:2" ht="15" x14ac:dyDescent="0.2">
      <c r="B7471" s="183"/>
    </row>
    <row r="7472" spans="2:2" ht="15" x14ac:dyDescent="0.2">
      <c r="B7472" s="183"/>
    </row>
    <row r="7473" spans="2:2" ht="15" x14ac:dyDescent="0.2">
      <c r="B7473" s="183"/>
    </row>
    <row r="7474" spans="2:2" ht="15" x14ac:dyDescent="0.2">
      <c r="B7474" s="183"/>
    </row>
    <row r="7475" spans="2:2" ht="15" x14ac:dyDescent="0.2">
      <c r="B7475" s="183"/>
    </row>
    <row r="7476" spans="2:2" ht="15" x14ac:dyDescent="0.2">
      <c r="B7476" s="183"/>
    </row>
    <row r="7477" spans="2:2" ht="15" x14ac:dyDescent="0.2">
      <c r="B7477" s="183"/>
    </row>
    <row r="7478" spans="2:2" ht="15" x14ac:dyDescent="0.2">
      <c r="B7478" s="183"/>
    </row>
    <row r="7479" spans="2:2" ht="15" x14ac:dyDescent="0.2">
      <c r="B7479" s="183"/>
    </row>
    <row r="7480" spans="2:2" ht="15" x14ac:dyDescent="0.2">
      <c r="B7480" s="183"/>
    </row>
    <row r="7481" spans="2:2" ht="15" x14ac:dyDescent="0.2">
      <c r="B7481" s="183"/>
    </row>
    <row r="7482" spans="2:2" ht="15" x14ac:dyDescent="0.2">
      <c r="B7482" s="183"/>
    </row>
    <row r="7483" spans="2:2" ht="15" x14ac:dyDescent="0.2">
      <c r="B7483" s="183"/>
    </row>
    <row r="7484" spans="2:2" ht="15" x14ac:dyDescent="0.2">
      <c r="B7484" s="183"/>
    </row>
    <row r="7485" spans="2:2" ht="15" x14ac:dyDescent="0.2">
      <c r="B7485" s="183"/>
    </row>
    <row r="7486" spans="2:2" ht="15" x14ac:dyDescent="0.2">
      <c r="B7486" s="183"/>
    </row>
    <row r="7487" spans="2:2" ht="15" x14ac:dyDescent="0.2">
      <c r="B7487" s="183"/>
    </row>
    <row r="7488" spans="2:2" ht="15" x14ac:dyDescent="0.2">
      <c r="B7488" s="183"/>
    </row>
    <row r="7489" spans="2:2" ht="15" x14ac:dyDescent="0.2">
      <c r="B7489" s="183"/>
    </row>
    <row r="7490" spans="2:2" ht="15" x14ac:dyDescent="0.2">
      <c r="B7490" s="183"/>
    </row>
    <row r="7491" spans="2:2" ht="15" x14ac:dyDescent="0.2">
      <c r="B7491" s="183"/>
    </row>
    <row r="7492" spans="2:2" ht="15" x14ac:dyDescent="0.2">
      <c r="B7492" s="183"/>
    </row>
    <row r="7493" spans="2:2" ht="15" x14ac:dyDescent="0.2">
      <c r="B7493" s="183"/>
    </row>
    <row r="7494" spans="2:2" ht="15" x14ac:dyDescent="0.2">
      <c r="B7494" s="183"/>
    </row>
    <row r="7495" spans="2:2" ht="15" x14ac:dyDescent="0.2">
      <c r="B7495" s="183"/>
    </row>
    <row r="7496" spans="2:2" ht="15" x14ac:dyDescent="0.2">
      <c r="B7496" s="183"/>
    </row>
    <row r="7497" spans="2:2" ht="15" x14ac:dyDescent="0.2">
      <c r="B7497" s="183"/>
    </row>
    <row r="7498" spans="2:2" ht="15" x14ac:dyDescent="0.2">
      <c r="B7498" s="183"/>
    </row>
    <row r="7499" spans="2:2" ht="15" x14ac:dyDescent="0.2">
      <c r="B7499" s="183"/>
    </row>
    <row r="7500" spans="2:2" ht="15" x14ac:dyDescent="0.2">
      <c r="B7500" s="183"/>
    </row>
    <row r="7501" spans="2:2" ht="15" x14ac:dyDescent="0.2">
      <c r="B7501" s="183"/>
    </row>
    <row r="7502" spans="2:2" ht="15" x14ac:dyDescent="0.2">
      <c r="B7502" s="183"/>
    </row>
    <row r="7503" spans="2:2" ht="15" x14ac:dyDescent="0.2">
      <c r="B7503" s="183"/>
    </row>
    <row r="7504" spans="2:2" ht="15" x14ac:dyDescent="0.2">
      <c r="B7504" s="183"/>
    </row>
    <row r="7505" spans="2:2" ht="15" x14ac:dyDescent="0.2">
      <c r="B7505" s="183"/>
    </row>
    <row r="7506" spans="2:2" ht="15" x14ac:dyDescent="0.2">
      <c r="B7506" s="183"/>
    </row>
    <row r="7507" spans="2:2" ht="15" x14ac:dyDescent="0.2">
      <c r="B7507" s="183"/>
    </row>
    <row r="7508" spans="2:2" ht="15" x14ac:dyDescent="0.2">
      <c r="B7508" s="183"/>
    </row>
    <row r="7509" spans="2:2" ht="15" x14ac:dyDescent="0.2">
      <c r="B7509" s="183"/>
    </row>
    <row r="7510" spans="2:2" ht="15" x14ac:dyDescent="0.2">
      <c r="B7510" s="183"/>
    </row>
    <row r="7511" spans="2:2" ht="15" x14ac:dyDescent="0.2">
      <c r="B7511" s="183"/>
    </row>
    <row r="7512" spans="2:2" ht="15" x14ac:dyDescent="0.2">
      <c r="B7512" s="183"/>
    </row>
    <row r="7513" spans="2:2" ht="15" x14ac:dyDescent="0.2">
      <c r="B7513" s="183"/>
    </row>
    <row r="7514" spans="2:2" ht="15" x14ac:dyDescent="0.2">
      <c r="B7514" s="183"/>
    </row>
    <row r="7515" spans="2:2" ht="15" x14ac:dyDescent="0.2">
      <c r="B7515" s="183"/>
    </row>
    <row r="7516" spans="2:2" ht="15" x14ac:dyDescent="0.2">
      <c r="B7516" s="183"/>
    </row>
    <row r="7517" spans="2:2" ht="15" x14ac:dyDescent="0.2">
      <c r="B7517" s="183"/>
    </row>
    <row r="7518" spans="2:2" ht="15" x14ac:dyDescent="0.2">
      <c r="B7518" s="183"/>
    </row>
    <row r="7519" spans="2:2" ht="15" x14ac:dyDescent="0.2">
      <c r="B7519" s="183"/>
    </row>
    <row r="7520" spans="2:2" ht="15" x14ac:dyDescent="0.2">
      <c r="B7520" s="183"/>
    </row>
    <row r="7521" spans="2:2" ht="15" x14ac:dyDescent="0.2">
      <c r="B7521" s="183"/>
    </row>
    <row r="7522" spans="2:2" ht="15" x14ac:dyDescent="0.2">
      <c r="B7522" s="183"/>
    </row>
    <row r="7523" spans="2:2" ht="15" x14ac:dyDescent="0.2">
      <c r="B7523" s="183"/>
    </row>
    <row r="7524" spans="2:2" ht="15" x14ac:dyDescent="0.2">
      <c r="B7524" s="183"/>
    </row>
    <row r="7525" spans="2:2" ht="15" x14ac:dyDescent="0.2">
      <c r="B7525" s="183"/>
    </row>
    <row r="7526" spans="2:2" ht="15" x14ac:dyDescent="0.2">
      <c r="B7526" s="183"/>
    </row>
    <row r="7527" spans="2:2" ht="15" x14ac:dyDescent="0.2">
      <c r="B7527" s="183"/>
    </row>
    <row r="7528" spans="2:2" ht="15" x14ac:dyDescent="0.2">
      <c r="B7528" s="183"/>
    </row>
    <row r="7529" spans="2:2" ht="15" x14ac:dyDescent="0.2">
      <c r="B7529" s="183"/>
    </row>
    <row r="7530" spans="2:2" ht="15" x14ac:dyDescent="0.2">
      <c r="B7530" s="183"/>
    </row>
    <row r="7531" spans="2:2" ht="15" x14ac:dyDescent="0.2">
      <c r="B7531" s="183"/>
    </row>
    <row r="7532" spans="2:2" ht="15" x14ac:dyDescent="0.2">
      <c r="B7532" s="183"/>
    </row>
    <row r="7533" spans="2:2" ht="15" x14ac:dyDescent="0.2">
      <c r="B7533" s="183"/>
    </row>
    <row r="7534" spans="2:2" ht="15" x14ac:dyDescent="0.2">
      <c r="B7534" s="183"/>
    </row>
    <row r="7535" spans="2:2" ht="15" x14ac:dyDescent="0.2">
      <c r="B7535" s="183"/>
    </row>
    <row r="7536" spans="2:2" ht="15" x14ac:dyDescent="0.2">
      <c r="B7536" s="183"/>
    </row>
    <row r="7537" spans="2:2" ht="15" x14ac:dyDescent="0.2">
      <c r="B7537" s="183"/>
    </row>
    <row r="7538" spans="2:2" ht="15" x14ac:dyDescent="0.2">
      <c r="B7538" s="183"/>
    </row>
    <row r="7539" spans="2:2" ht="15" x14ac:dyDescent="0.2">
      <c r="B7539" s="183"/>
    </row>
    <row r="7540" spans="2:2" ht="15" x14ac:dyDescent="0.2">
      <c r="B7540" s="183"/>
    </row>
    <row r="7541" spans="2:2" ht="15" x14ac:dyDescent="0.2">
      <c r="B7541" s="183"/>
    </row>
    <row r="7542" spans="2:2" ht="15" x14ac:dyDescent="0.2">
      <c r="B7542" s="183"/>
    </row>
    <row r="7543" spans="2:2" ht="15" x14ac:dyDescent="0.2">
      <c r="B7543" s="183"/>
    </row>
    <row r="7544" spans="2:2" ht="15" x14ac:dyDescent="0.2">
      <c r="B7544" s="183"/>
    </row>
    <row r="7545" spans="2:2" ht="15" x14ac:dyDescent="0.2">
      <c r="B7545" s="183"/>
    </row>
    <row r="7546" spans="2:2" ht="15" x14ac:dyDescent="0.2">
      <c r="B7546" s="183"/>
    </row>
    <row r="7547" spans="2:2" ht="15" x14ac:dyDescent="0.2">
      <c r="B7547" s="183"/>
    </row>
    <row r="7548" spans="2:2" ht="15" x14ac:dyDescent="0.2">
      <c r="B7548" s="183"/>
    </row>
    <row r="7549" spans="2:2" ht="15" x14ac:dyDescent="0.2">
      <c r="B7549" s="183"/>
    </row>
    <row r="7550" spans="2:2" ht="15" x14ac:dyDescent="0.2">
      <c r="B7550" s="183"/>
    </row>
    <row r="7551" spans="2:2" ht="15" x14ac:dyDescent="0.2">
      <c r="B7551" s="183"/>
    </row>
    <row r="7552" spans="2:2" ht="15" x14ac:dyDescent="0.2">
      <c r="B7552" s="183"/>
    </row>
    <row r="7553" spans="2:2" ht="15" x14ac:dyDescent="0.2">
      <c r="B7553" s="183"/>
    </row>
    <row r="7554" spans="2:2" ht="15" x14ac:dyDescent="0.2">
      <c r="B7554" s="183"/>
    </row>
    <row r="7555" spans="2:2" ht="15" x14ac:dyDescent="0.2">
      <c r="B7555" s="183"/>
    </row>
    <row r="7556" spans="2:2" ht="15" x14ac:dyDescent="0.2">
      <c r="B7556" s="183"/>
    </row>
    <row r="7557" spans="2:2" ht="15" x14ac:dyDescent="0.2">
      <c r="B7557" s="183"/>
    </row>
    <row r="7558" spans="2:2" ht="15" x14ac:dyDescent="0.2">
      <c r="B7558" s="183"/>
    </row>
    <row r="7559" spans="2:2" ht="15" x14ac:dyDescent="0.2">
      <c r="B7559" s="183"/>
    </row>
    <row r="7560" spans="2:2" ht="15" x14ac:dyDescent="0.2">
      <c r="B7560" s="183"/>
    </row>
    <row r="7561" spans="2:2" ht="15" x14ac:dyDescent="0.2">
      <c r="B7561" s="183"/>
    </row>
    <row r="7562" spans="2:2" ht="15" x14ac:dyDescent="0.2">
      <c r="B7562" s="183"/>
    </row>
    <row r="7563" spans="2:2" ht="15" x14ac:dyDescent="0.2">
      <c r="B7563" s="183"/>
    </row>
    <row r="7564" spans="2:2" ht="15" x14ac:dyDescent="0.2">
      <c r="B7564" s="183"/>
    </row>
    <row r="7565" spans="2:2" ht="15" x14ac:dyDescent="0.2">
      <c r="B7565" s="183"/>
    </row>
    <row r="7566" spans="2:2" ht="15" x14ac:dyDescent="0.2">
      <c r="B7566" s="183"/>
    </row>
    <row r="7567" spans="2:2" ht="15" x14ac:dyDescent="0.2">
      <c r="B7567" s="183"/>
    </row>
    <row r="7568" spans="2:2" ht="15" x14ac:dyDescent="0.2">
      <c r="B7568" s="183"/>
    </row>
    <row r="7569" spans="2:2" ht="15" x14ac:dyDescent="0.2">
      <c r="B7569" s="183"/>
    </row>
    <row r="7570" spans="2:2" ht="15" x14ac:dyDescent="0.2">
      <c r="B7570" s="183"/>
    </row>
    <row r="7571" spans="2:2" ht="15" x14ac:dyDescent="0.2">
      <c r="B7571" s="183"/>
    </row>
    <row r="7572" spans="2:2" ht="15" x14ac:dyDescent="0.2">
      <c r="B7572" s="183"/>
    </row>
    <row r="7573" spans="2:2" ht="15" x14ac:dyDescent="0.2">
      <c r="B7573" s="183"/>
    </row>
    <row r="7574" spans="2:2" ht="15" x14ac:dyDescent="0.2">
      <c r="B7574" s="183"/>
    </row>
    <row r="7575" spans="2:2" ht="15" x14ac:dyDescent="0.2">
      <c r="B7575" s="183"/>
    </row>
    <row r="7576" spans="2:2" ht="15" x14ac:dyDescent="0.2">
      <c r="B7576" s="183"/>
    </row>
    <row r="7577" spans="2:2" ht="15" x14ac:dyDescent="0.2">
      <c r="B7577" s="183"/>
    </row>
    <row r="7578" spans="2:2" ht="15" x14ac:dyDescent="0.2">
      <c r="B7578" s="183"/>
    </row>
    <row r="7579" spans="2:2" ht="15" x14ac:dyDescent="0.2">
      <c r="B7579" s="183"/>
    </row>
    <row r="7580" spans="2:2" ht="15" x14ac:dyDescent="0.2">
      <c r="B7580" s="183"/>
    </row>
    <row r="7581" spans="2:2" ht="15" x14ac:dyDescent="0.2">
      <c r="B7581" s="183"/>
    </row>
    <row r="7582" spans="2:2" ht="15" x14ac:dyDescent="0.2">
      <c r="B7582" s="183"/>
    </row>
    <row r="7583" spans="2:2" ht="15" x14ac:dyDescent="0.2">
      <c r="B7583" s="183"/>
    </row>
    <row r="7584" spans="2:2" ht="15" x14ac:dyDescent="0.2">
      <c r="B7584" s="183"/>
    </row>
    <row r="7585" spans="2:2" ht="15" x14ac:dyDescent="0.2">
      <c r="B7585" s="183"/>
    </row>
    <row r="7586" spans="2:2" ht="15" x14ac:dyDescent="0.2">
      <c r="B7586" s="183"/>
    </row>
    <row r="7587" spans="2:2" ht="15" x14ac:dyDescent="0.2">
      <c r="B7587" s="183"/>
    </row>
    <row r="7588" spans="2:2" ht="15" x14ac:dyDescent="0.2">
      <c r="B7588" s="183"/>
    </row>
    <row r="7589" spans="2:2" ht="15" x14ac:dyDescent="0.2">
      <c r="B7589" s="183"/>
    </row>
    <row r="7590" spans="2:2" ht="15" x14ac:dyDescent="0.2">
      <c r="B7590" s="183"/>
    </row>
    <row r="7591" spans="2:2" ht="15" x14ac:dyDescent="0.2">
      <c r="B7591" s="183"/>
    </row>
    <row r="7592" spans="2:2" ht="15" x14ac:dyDescent="0.2">
      <c r="B7592" s="183"/>
    </row>
    <row r="7593" spans="2:2" ht="15" x14ac:dyDescent="0.2">
      <c r="B7593" s="183"/>
    </row>
    <row r="7594" spans="2:2" ht="15" x14ac:dyDescent="0.2">
      <c r="B7594" s="183"/>
    </row>
    <row r="7595" spans="2:2" ht="15" x14ac:dyDescent="0.2">
      <c r="B7595" s="183"/>
    </row>
    <row r="7596" spans="2:2" ht="15" x14ac:dyDescent="0.2">
      <c r="B7596" s="183"/>
    </row>
    <row r="7597" spans="2:2" ht="15" x14ac:dyDescent="0.2">
      <c r="B7597" s="183"/>
    </row>
    <row r="7598" spans="2:2" ht="15" x14ac:dyDescent="0.2">
      <c r="B7598" s="183"/>
    </row>
    <row r="7599" spans="2:2" ht="15" x14ac:dyDescent="0.2">
      <c r="B7599" s="183"/>
    </row>
    <row r="7600" spans="2:2" ht="15" x14ac:dyDescent="0.2">
      <c r="B7600" s="183"/>
    </row>
    <row r="7601" spans="2:2" ht="15" x14ac:dyDescent="0.2">
      <c r="B7601" s="183"/>
    </row>
    <row r="7602" spans="2:2" ht="15" x14ac:dyDescent="0.2">
      <c r="B7602" s="183"/>
    </row>
    <row r="7603" spans="2:2" ht="15" x14ac:dyDescent="0.2">
      <c r="B7603" s="183"/>
    </row>
    <row r="7604" spans="2:2" ht="15" x14ac:dyDescent="0.2">
      <c r="B7604" s="183"/>
    </row>
    <row r="7605" spans="2:2" ht="15" x14ac:dyDescent="0.2">
      <c r="B7605" s="183"/>
    </row>
    <row r="7606" spans="2:2" ht="15" x14ac:dyDescent="0.2">
      <c r="B7606" s="183"/>
    </row>
    <row r="7607" spans="2:2" ht="15" x14ac:dyDescent="0.2">
      <c r="B7607" s="183"/>
    </row>
    <row r="7608" spans="2:2" ht="15" x14ac:dyDescent="0.2">
      <c r="B7608" s="183"/>
    </row>
    <row r="7609" spans="2:2" ht="15" x14ac:dyDescent="0.2">
      <c r="B7609" s="183"/>
    </row>
    <row r="7610" spans="2:2" ht="15" x14ac:dyDescent="0.2">
      <c r="B7610" s="183"/>
    </row>
    <row r="7611" spans="2:2" ht="15" x14ac:dyDescent="0.2">
      <c r="B7611" s="183"/>
    </row>
    <row r="7612" spans="2:2" ht="15" x14ac:dyDescent="0.2">
      <c r="B7612" s="183"/>
    </row>
    <row r="7613" spans="2:2" ht="15" x14ac:dyDescent="0.2">
      <c r="B7613" s="183"/>
    </row>
    <row r="7614" spans="2:2" ht="15" x14ac:dyDescent="0.2">
      <c r="B7614" s="183"/>
    </row>
    <row r="7615" spans="2:2" ht="15" x14ac:dyDescent="0.2">
      <c r="B7615" s="183"/>
    </row>
    <row r="7616" spans="2:2" ht="15" x14ac:dyDescent="0.2">
      <c r="B7616" s="183"/>
    </row>
    <row r="7617" spans="2:2" ht="15" x14ac:dyDescent="0.2">
      <c r="B7617" s="183"/>
    </row>
    <row r="7618" spans="2:2" ht="15" x14ac:dyDescent="0.2">
      <c r="B7618" s="183"/>
    </row>
    <row r="7619" spans="2:2" ht="15" x14ac:dyDescent="0.2">
      <c r="B7619" s="183"/>
    </row>
    <row r="7620" spans="2:2" ht="15" x14ac:dyDescent="0.2">
      <c r="B7620" s="183"/>
    </row>
    <row r="7621" spans="2:2" ht="15" x14ac:dyDescent="0.2">
      <c r="B7621" s="183"/>
    </row>
    <row r="7622" spans="2:2" ht="15" x14ac:dyDescent="0.2">
      <c r="B7622" s="183"/>
    </row>
    <row r="7623" spans="2:2" ht="15" x14ac:dyDescent="0.2">
      <c r="B7623" s="183"/>
    </row>
    <row r="7624" spans="2:2" ht="15" x14ac:dyDescent="0.2">
      <c r="B7624" s="183"/>
    </row>
    <row r="7625" spans="2:2" ht="15" x14ac:dyDescent="0.2">
      <c r="B7625" s="183"/>
    </row>
    <row r="7626" spans="2:2" ht="15" x14ac:dyDescent="0.2">
      <c r="B7626" s="183"/>
    </row>
    <row r="7627" spans="2:2" ht="15" x14ac:dyDescent="0.2">
      <c r="B7627" s="183"/>
    </row>
    <row r="7628" spans="2:2" ht="15" x14ac:dyDescent="0.2">
      <c r="B7628" s="183"/>
    </row>
    <row r="7629" spans="2:2" ht="15" x14ac:dyDescent="0.2">
      <c r="B7629" s="183"/>
    </row>
    <row r="7630" spans="2:2" ht="15" x14ac:dyDescent="0.2">
      <c r="B7630" s="183"/>
    </row>
    <row r="7631" spans="2:2" ht="15" x14ac:dyDescent="0.2">
      <c r="B7631" s="183"/>
    </row>
    <row r="7632" spans="2:2" ht="15" x14ac:dyDescent="0.2">
      <c r="B7632" s="183"/>
    </row>
    <row r="7633" spans="2:2" ht="15" x14ac:dyDescent="0.2">
      <c r="B7633" s="183"/>
    </row>
    <row r="7634" spans="2:2" ht="15" x14ac:dyDescent="0.2">
      <c r="B7634" s="183"/>
    </row>
    <row r="7635" spans="2:2" ht="15" x14ac:dyDescent="0.2">
      <c r="B7635" s="183"/>
    </row>
    <row r="7636" spans="2:2" ht="15" x14ac:dyDescent="0.2">
      <c r="B7636" s="183"/>
    </row>
    <row r="7637" spans="2:2" ht="15" x14ac:dyDescent="0.2">
      <c r="B7637" s="183"/>
    </row>
    <row r="7638" spans="2:2" ht="15" x14ac:dyDescent="0.2">
      <c r="B7638" s="183"/>
    </row>
    <row r="7639" spans="2:2" ht="15" x14ac:dyDescent="0.2">
      <c r="B7639" s="183"/>
    </row>
    <row r="7640" spans="2:2" ht="15" x14ac:dyDescent="0.2">
      <c r="B7640" s="183"/>
    </row>
    <row r="7641" spans="2:2" ht="15" x14ac:dyDescent="0.2">
      <c r="B7641" s="183"/>
    </row>
    <row r="7642" spans="2:2" ht="15" x14ac:dyDescent="0.2">
      <c r="B7642" s="183"/>
    </row>
    <row r="7643" spans="2:2" ht="15" x14ac:dyDescent="0.2">
      <c r="B7643" s="183"/>
    </row>
    <row r="7644" spans="2:2" ht="15" x14ac:dyDescent="0.2">
      <c r="B7644" s="183"/>
    </row>
    <row r="7645" spans="2:2" ht="15" x14ac:dyDescent="0.2">
      <c r="B7645" s="183"/>
    </row>
    <row r="7646" spans="2:2" ht="15" x14ac:dyDescent="0.2">
      <c r="B7646" s="183"/>
    </row>
    <row r="7647" spans="2:2" ht="15" x14ac:dyDescent="0.2">
      <c r="B7647" s="183"/>
    </row>
    <row r="7648" spans="2:2" ht="15" x14ac:dyDescent="0.2">
      <c r="B7648" s="183"/>
    </row>
    <row r="7649" spans="2:2" ht="15" x14ac:dyDescent="0.2">
      <c r="B7649" s="183"/>
    </row>
    <row r="7650" spans="2:2" ht="15" x14ac:dyDescent="0.2">
      <c r="B7650" s="183"/>
    </row>
    <row r="7651" spans="2:2" ht="15" x14ac:dyDescent="0.2">
      <c r="B7651" s="183"/>
    </row>
    <row r="7652" spans="2:2" ht="15" x14ac:dyDescent="0.2">
      <c r="B7652" s="183"/>
    </row>
    <row r="7653" spans="2:2" ht="15" x14ac:dyDescent="0.2">
      <c r="B7653" s="183"/>
    </row>
    <row r="7654" spans="2:2" ht="15" x14ac:dyDescent="0.2">
      <c r="B7654" s="183"/>
    </row>
    <row r="7655" spans="2:2" ht="15" x14ac:dyDescent="0.2">
      <c r="B7655" s="183"/>
    </row>
    <row r="7656" spans="2:2" ht="15" x14ac:dyDescent="0.2">
      <c r="B7656" s="183"/>
    </row>
    <row r="7657" spans="2:2" ht="15" x14ac:dyDescent="0.2">
      <c r="B7657" s="183"/>
    </row>
    <row r="7658" spans="2:2" ht="15" x14ac:dyDescent="0.2">
      <c r="B7658" s="183"/>
    </row>
    <row r="7659" spans="2:2" ht="15" x14ac:dyDescent="0.2">
      <c r="B7659" s="183"/>
    </row>
    <row r="7660" spans="2:2" ht="15" x14ac:dyDescent="0.2">
      <c r="B7660" s="183"/>
    </row>
    <row r="7661" spans="2:2" ht="15" x14ac:dyDescent="0.2">
      <c r="B7661" s="183"/>
    </row>
    <row r="7662" spans="2:2" ht="15" x14ac:dyDescent="0.2">
      <c r="B7662" s="183"/>
    </row>
    <row r="7663" spans="2:2" ht="15" x14ac:dyDescent="0.2">
      <c r="B7663" s="183"/>
    </row>
    <row r="7664" spans="2:2" ht="15" x14ac:dyDescent="0.2">
      <c r="B7664" s="183"/>
    </row>
    <row r="7665" spans="2:2" ht="15" x14ac:dyDescent="0.2">
      <c r="B7665" s="183"/>
    </row>
    <row r="7666" spans="2:2" ht="15" x14ac:dyDescent="0.2">
      <c r="B7666" s="183"/>
    </row>
    <row r="7667" spans="2:2" ht="15" x14ac:dyDescent="0.2">
      <c r="B7667" s="183"/>
    </row>
    <row r="7668" spans="2:2" ht="15" x14ac:dyDescent="0.2">
      <c r="B7668" s="183"/>
    </row>
    <row r="7669" spans="2:2" ht="15" x14ac:dyDescent="0.2">
      <c r="B7669" s="183"/>
    </row>
    <row r="7670" spans="2:2" ht="15" x14ac:dyDescent="0.2">
      <c r="B7670" s="183"/>
    </row>
    <row r="7671" spans="2:2" ht="15" x14ac:dyDescent="0.2">
      <c r="B7671" s="183"/>
    </row>
    <row r="7672" spans="2:2" ht="15" x14ac:dyDescent="0.2">
      <c r="B7672" s="183"/>
    </row>
    <row r="7673" spans="2:2" ht="15" x14ac:dyDescent="0.2">
      <c r="B7673" s="183"/>
    </row>
    <row r="7674" spans="2:2" ht="15" x14ac:dyDescent="0.2">
      <c r="B7674" s="183"/>
    </row>
    <row r="7675" spans="2:2" ht="15" x14ac:dyDescent="0.2">
      <c r="B7675" s="183"/>
    </row>
    <row r="7676" spans="2:2" ht="15" x14ac:dyDescent="0.2">
      <c r="B7676" s="183"/>
    </row>
    <row r="7677" spans="2:2" ht="15" x14ac:dyDescent="0.2">
      <c r="B7677" s="183"/>
    </row>
    <row r="7678" spans="2:2" ht="15" x14ac:dyDescent="0.2">
      <c r="B7678" s="183"/>
    </row>
    <row r="7679" spans="2:2" ht="15" x14ac:dyDescent="0.2">
      <c r="B7679" s="183"/>
    </row>
    <row r="7680" spans="2:2" ht="15" x14ac:dyDescent="0.2">
      <c r="B7680" s="183"/>
    </row>
    <row r="7681" spans="2:2" ht="15" x14ac:dyDescent="0.2">
      <c r="B7681" s="183"/>
    </row>
    <row r="7682" spans="2:2" ht="15" x14ac:dyDescent="0.2">
      <c r="B7682" s="183"/>
    </row>
    <row r="7683" spans="2:2" ht="15" x14ac:dyDescent="0.2">
      <c r="B7683" s="183"/>
    </row>
    <row r="7684" spans="2:2" ht="15" x14ac:dyDescent="0.2">
      <c r="B7684" s="183"/>
    </row>
    <row r="7685" spans="2:2" ht="15" x14ac:dyDescent="0.2">
      <c r="B7685" s="183"/>
    </row>
    <row r="7686" spans="2:2" ht="15" x14ac:dyDescent="0.2">
      <c r="B7686" s="183"/>
    </row>
    <row r="7687" spans="2:2" ht="15" x14ac:dyDescent="0.2">
      <c r="B7687" s="183"/>
    </row>
    <row r="7688" spans="2:2" ht="15" x14ac:dyDescent="0.2">
      <c r="B7688" s="183"/>
    </row>
    <row r="7689" spans="2:2" ht="15" x14ac:dyDescent="0.2">
      <c r="B7689" s="183"/>
    </row>
    <row r="7690" spans="2:2" ht="15" x14ac:dyDescent="0.2">
      <c r="B7690" s="183"/>
    </row>
    <row r="7691" spans="2:2" ht="15" x14ac:dyDescent="0.2">
      <c r="B7691" s="183"/>
    </row>
    <row r="7692" spans="2:2" ht="15" x14ac:dyDescent="0.2">
      <c r="B7692" s="183"/>
    </row>
    <row r="7693" spans="2:2" ht="15" x14ac:dyDescent="0.2">
      <c r="B7693" s="183"/>
    </row>
    <row r="7694" spans="2:2" ht="15" x14ac:dyDescent="0.2">
      <c r="B7694" s="183"/>
    </row>
    <row r="7695" spans="2:2" ht="15" x14ac:dyDescent="0.2">
      <c r="B7695" s="183"/>
    </row>
    <row r="7696" spans="2:2" ht="15" x14ac:dyDescent="0.2">
      <c r="B7696" s="183"/>
    </row>
    <row r="7697" spans="2:2" ht="15" x14ac:dyDescent="0.2">
      <c r="B7697" s="183"/>
    </row>
    <row r="7698" spans="2:2" ht="15" x14ac:dyDescent="0.2">
      <c r="B7698" s="183"/>
    </row>
    <row r="7699" spans="2:2" ht="15" x14ac:dyDescent="0.2">
      <c r="B7699" s="183"/>
    </row>
    <row r="7700" spans="2:2" ht="15" x14ac:dyDescent="0.2">
      <c r="B7700" s="183"/>
    </row>
    <row r="7701" spans="2:2" ht="15" x14ac:dyDescent="0.2">
      <c r="B7701" s="183"/>
    </row>
    <row r="7702" spans="2:2" ht="15" x14ac:dyDescent="0.2">
      <c r="B7702" s="183"/>
    </row>
    <row r="7703" spans="2:2" ht="15" x14ac:dyDescent="0.2">
      <c r="B7703" s="183"/>
    </row>
    <row r="7704" spans="2:2" ht="15" x14ac:dyDescent="0.2">
      <c r="B7704" s="183"/>
    </row>
    <row r="7705" spans="2:2" ht="15" x14ac:dyDescent="0.2">
      <c r="B7705" s="183"/>
    </row>
    <row r="7706" spans="2:2" ht="15" x14ac:dyDescent="0.2">
      <c r="B7706" s="183"/>
    </row>
    <row r="7707" spans="2:2" ht="15" x14ac:dyDescent="0.2">
      <c r="B7707" s="183"/>
    </row>
    <row r="7708" spans="2:2" ht="15" x14ac:dyDescent="0.2">
      <c r="B7708" s="183"/>
    </row>
    <row r="7709" spans="2:2" ht="15" x14ac:dyDescent="0.2">
      <c r="B7709" s="183"/>
    </row>
    <row r="7710" spans="2:2" ht="15" x14ac:dyDescent="0.2">
      <c r="B7710" s="183"/>
    </row>
    <row r="7711" spans="2:2" ht="15" x14ac:dyDescent="0.2">
      <c r="B7711" s="183"/>
    </row>
    <row r="7712" spans="2:2" ht="15" x14ac:dyDescent="0.2">
      <c r="B7712" s="183"/>
    </row>
    <row r="7713" spans="2:2" ht="15" x14ac:dyDescent="0.2">
      <c r="B7713" s="183"/>
    </row>
    <row r="7714" spans="2:2" ht="15" x14ac:dyDescent="0.2">
      <c r="B7714" s="183"/>
    </row>
    <row r="7715" spans="2:2" ht="15" x14ac:dyDescent="0.2">
      <c r="B7715" s="183"/>
    </row>
    <row r="7716" spans="2:2" ht="15" x14ac:dyDescent="0.2">
      <c r="B7716" s="183"/>
    </row>
    <row r="7717" spans="2:2" ht="15" x14ac:dyDescent="0.2">
      <c r="B7717" s="183"/>
    </row>
    <row r="7718" spans="2:2" ht="15" x14ac:dyDescent="0.2">
      <c r="B7718" s="183"/>
    </row>
    <row r="7719" spans="2:2" ht="15" x14ac:dyDescent="0.2">
      <c r="B7719" s="183"/>
    </row>
    <row r="7720" spans="2:2" ht="15" x14ac:dyDescent="0.2">
      <c r="B7720" s="183"/>
    </row>
    <row r="7721" spans="2:2" ht="15" x14ac:dyDescent="0.2">
      <c r="B7721" s="183"/>
    </row>
    <row r="7722" spans="2:2" ht="15" x14ac:dyDescent="0.2">
      <c r="B7722" s="183"/>
    </row>
    <row r="7723" spans="2:2" ht="15" x14ac:dyDescent="0.2">
      <c r="B7723" s="183"/>
    </row>
    <row r="7724" spans="2:2" ht="15" x14ac:dyDescent="0.2">
      <c r="B7724" s="183"/>
    </row>
    <row r="7725" spans="2:2" ht="15" x14ac:dyDescent="0.2">
      <c r="B7725" s="183"/>
    </row>
    <row r="7726" spans="2:2" ht="15" x14ac:dyDescent="0.2">
      <c r="B7726" s="183"/>
    </row>
    <row r="7727" spans="2:2" ht="15" x14ac:dyDescent="0.2">
      <c r="B7727" s="183"/>
    </row>
    <row r="7728" spans="2:2" ht="15" x14ac:dyDescent="0.2">
      <c r="B7728" s="183"/>
    </row>
    <row r="7729" spans="2:2" ht="15" x14ac:dyDescent="0.2">
      <c r="B7729" s="183"/>
    </row>
    <row r="7730" spans="2:2" ht="15" x14ac:dyDescent="0.2">
      <c r="B7730" s="183"/>
    </row>
    <row r="7731" spans="2:2" ht="15" x14ac:dyDescent="0.2">
      <c r="B7731" s="183"/>
    </row>
    <row r="7732" spans="2:2" ht="15" x14ac:dyDescent="0.2">
      <c r="B7732" s="183"/>
    </row>
    <row r="7733" spans="2:2" ht="15" x14ac:dyDescent="0.2">
      <c r="B7733" s="183"/>
    </row>
    <row r="7734" spans="2:2" ht="15" x14ac:dyDescent="0.2">
      <c r="B7734" s="183"/>
    </row>
    <row r="7735" spans="2:2" ht="15" x14ac:dyDescent="0.2">
      <c r="B7735" s="183"/>
    </row>
    <row r="7736" spans="2:2" ht="15" x14ac:dyDescent="0.2">
      <c r="B7736" s="183"/>
    </row>
    <row r="7737" spans="2:2" ht="15" x14ac:dyDescent="0.2">
      <c r="B7737" s="183"/>
    </row>
    <row r="7738" spans="2:2" ht="15" x14ac:dyDescent="0.2">
      <c r="B7738" s="183"/>
    </row>
    <row r="7739" spans="2:2" ht="15" x14ac:dyDescent="0.2">
      <c r="B7739" s="183"/>
    </row>
    <row r="7740" spans="2:2" ht="15" x14ac:dyDescent="0.2">
      <c r="B7740" s="183"/>
    </row>
    <row r="7741" spans="2:2" ht="15" x14ac:dyDescent="0.2">
      <c r="B7741" s="183"/>
    </row>
    <row r="7742" spans="2:2" ht="15" x14ac:dyDescent="0.2">
      <c r="B7742" s="183"/>
    </row>
    <row r="7743" spans="2:2" ht="15" x14ac:dyDescent="0.2">
      <c r="B7743" s="183"/>
    </row>
    <row r="7744" spans="2:2" ht="15" x14ac:dyDescent="0.2">
      <c r="B7744" s="183"/>
    </row>
    <row r="7745" spans="2:2" ht="15" x14ac:dyDescent="0.2">
      <c r="B7745" s="183"/>
    </row>
    <row r="7746" spans="2:2" ht="15" x14ac:dyDescent="0.2">
      <c r="B7746" s="183"/>
    </row>
    <row r="7747" spans="2:2" ht="15" x14ac:dyDescent="0.2">
      <c r="B7747" s="183"/>
    </row>
    <row r="7748" spans="2:2" ht="15" x14ac:dyDescent="0.2">
      <c r="B7748" s="183"/>
    </row>
    <row r="7749" spans="2:2" ht="15" x14ac:dyDescent="0.2">
      <c r="B7749" s="183"/>
    </row>
    <row r="7750" spans="2:2" ht="15" x14ac:dyDescent="0.2">
      <c r="B7750" s="183"/>
    </row>
    <row r="7751" spans="2:2" ht="15" x14ac:dyDescent="0.2">
      <c r="B7751" s="183"/>
    </row>
    <row r="7752" spans="2:2" ht="15" x14ac:dyDescent="0.2">
      <c r="B7752" s="183"/>
    </row>
    <row r="7753" spans="2:2" ht="15" x14ac:dyDescent="0.2">
      <c r="B7753" s="183"/>
    </row>
    <row r="7754" spans="2:2" ht="15" x14ac:dyDescent="0.2">
      <c r="B7754" s="183"/>
    </row>
    <row r="7755" spans="2:2" ht="15" x14ac:dyDescent="0.2">
      <c r="B7755" s="183"/>
    </row>
    <row r="7756" spans="2:2" ht="15" x14ac:dyDescent="0.2">
      <c r="B7756" s="183"/>
    </row>
    <row r="7757" spans="2:2" ht="15" x14ac:dyDescent="0.2">
      <c r="B7757" s="183"/>
    </row>
    <row r="7758" spans="2:2" ht="15" x14ac:dyDescent="0.2">
      <c r="B7758" s="183"/>
    </row>
    <row r="7759" spans="2:2" ht="15" x14ac:dyDescent="0.2">
      <c r="B7759" s="183"/>
    </row>
    <row r="7760" spans="2:2" ht="15" x14ac:dyDescent="0.2">
      <c r="B7760" s="183"/>
    </row>
    <row r="7761" spans="2:2" ht="15" x14ac:dyDescent="0.2">
      <c r="B7761" s="183"/>
    </row>
    <row r="7762" spans="2:2" ht="15" x14ac:dyDescent="0.2">
      <c r="B7762" s="183"/>
    </row>
    <row r="7763" spans="2:2" ht="15" x14ac:dyDescent="0.2">
      <c r="B7763" s="183"/>
    </row>
    <row r="7764" spans="2:2" ht="15" x14ac:dyDescent="0.2">
      <c r="B7764" s="183"/>
    </row>
    <row r="7765" spans="2:2" ht="15" x14ac:dyDescent="0.2">
      <c r="B7765" s="183"/>
    </row>
    <row r="7766" spans="2:2" ht="15" x14ac:dyDescent="0.2">
      <c r="B7766" s="183"/>
    </row>
    <row r="7767" spans="2:2" ht="15" x14ac:dyDescent="0.2">
      <c r="B7767" s="183"/>
    </row>
    <row r="7768" spans="2:2" ht="15" x14ac:dyDescent="0.2">
      <c r="B7768" s="183"/>
    </row>
    <row r="7769" spans="2:2" ht="15" x14ac:dyDescent="0.2">
      <c r="B7769" s="183"/>
    </row>
    <row r="7770" spans="2:2" ht="15" x14ac:dyDescent="0.2">
      <c r="B7770" s="183"/>
    </row>
    <row r="7771" spans="2:2" ht="15" x14ac:dyDescent="0.2">
      <c r="B7771" s="183"/>
    </row>
    <row r="7772" spans="2:2" ht="15" x14ac:dyDescent="0.2">
      <c r="B7772" s="183"/>
    </row>
    <row r="7773" spans="2:2" ht="15" x14ac:dyDescent="0.2">
      <c r="B7773" s="183"/>
    </row>
    <row r="7774" spans="2:2" ht="15" x14ac:dyDescent="0.2">
      <c r="B7774" s="183"/>
    </row>
    <row r="7775" spans="2:2" ht="15" x14ac:dyDescent="0.2">
      <c r="B7775" s="183"/>
    </row>
    <row r="7776" spans="2:2" ht="15" x14ac:dyDescent="0.2">
      <c r="B7776" s="183"/>
    </row>
    <row r="7777" spans="2:2" ht="15" x14ac:dyDescent="0.2">
      <c r="B7777" s="183"/>
    </row>
    <row r="7778" spans="2:2" ht="15" x14ac:dyDescent="0.2">
      <c r="B7778" s="183"/>
    </row>
    <row r="7779" spans="2:2" ht="15" x14ac:dyDescent="0.2">
      <c r="B7779" s="183"/>
    </row>
    <row r="7780" spans="2:2" ht="15" x14ac:dyDescent="0.2">
      <c r="B7780" s="183"/>
    </row>
    <row r="7781" spans="2:2" ht="15" x14ac:dyDescent="0.2">
      <c r="B7781" s="183"/>
    </row>
    <row r="7782" spans="2:2" ht="15" x14ac:dyDescent="0.2">
      <c r="B7782" s="183"/>
    </row>
    <row r="7783" spans="2:2" ht="15" x14ac:dyDescent="0.2">
      <c r="B7783" s="183"/>
    </row>
    <row r="7784" spans="2:2" ht="15" x14ac:dyDescent="0.2">
      <c r="B7784" s="183"/>
    </row>
    <row r="7785" spans="2:2" ht="15" x14ac:dyDescent="0.2">
      <c r="B7785" s="183"/>
    </row>
    <row r="7786" spans="2:2" ht="15" x14ac:dyDescent="0.2">
      <c r="B7786" s="183"/>
    </row>
    <row r="7787" spans="2:2" ht="15" x14ac:dyDescent="0.2">
      <c r="B7787" s="183"/>
    </row>
    <row r="7788" spans="2:2" ht="15" x14ac:dyDescent="0.2">
      <c r="B7788" s="183"/>
    </row>
    <row r="7789" spans="2:2" ht="15" x14ac:dyDescent="0.2">
      <c r="B7789" s="183"/>
    </row>
    <row r="7790" spans="2:2" ht="15" x14ac:dyDescent="0.2">
      <c r="B7790" s="183"/>
    </row>
    <row r="7791" spans="2:2" ht="15" x14ac:dyDescent="0.2">
      <c r="B7791" s="183"/>
    </row>
    <row r="7792" spans="2:2" ht="15" x14ac:dyDescent="0.2">
      <c r="B7792" s="183"/>
    </row>
    <row r="7793" spans="2:2" ht="15" x14ac:dyDescent="0.2">
      <c r="B7793" s="183"/>
    </row>
    <row r="7794" spans="2:2" ht="15" x14ac:dyDescent="0.2">
      <c r="B7794" s="183"/>
    </row>
    <row r="7795" spans="2:2" ht="15" x14ac:dyDescent="0.2">
      <c r="B7795" s="183"/>
    </row>
    <row r="7796" spans="2:2" ht="15" x14ac:dyDescent="0.2">
      <c r="B7796" s="183"/>
    </row>
    <row r="7797" spans="2:2" ht="15" x14ac:dyDescent="0.2">
      <c r="B7797" s="183"/>
    </row>
    <row r="7798" spans="2:2" ht="15" x14ac:dyDescent="0.2">
      <c r="B7798" s="183"/>
    </row>
    <row r="7799" spans="2:2" ht="15" x14ac:dyDescent="0.2">
      <c r="B7799" s="183"/>
    </row>
    <row r="7800" spans="2:2" ht="15" x14ac:dyDescent="0.2">
      <c r="B7800" s="183"/>
    </row>
    <row r="7801" spans="2:2" ht="15" x14ac:dyDescent="0.2">
      <c r="B7801" s="183"/>
    </row>
    <row r="7802" spans="2:2" ht="15" x14ac:dyDescent="0.2">
      <c r="B7802" s="183"/>
    </row>
    <row r="7803" spans="2:2" ht="15" x14ac:dyDescent="0.2">
      <c r="B7803" s="183"/>
    </row>
    <row r="7804" spans="2:2" ht="15" x14ac:dyDescent="0.2">
      <c r="B7804" s="183"/>
    </row>
    <row r="7805" spans="2:2" ht="15" x14ac:dyDescent="0.2">
      <c r="B7805" s="183"/>
    </row>
    <row r="7806" spans="2:2" ht="15" x14ac:dyDescent="0.2">
      <c r="B7806" s="183"/>
    </row>
    <row r="7807" spans="2:2" ht="15" x14ac:dyDescent="0.2">
      <c r="B7807" s="183"/>
    </row>
    <row r="7808" spans="2:2" ht="15" x14ac:dyDescent="0.2">
      <c r="B7808" s="183"/>
    </row>
    <row r="7809" spans="2:2" ht="15" x14ac:dyDescent="0.2">
      <c r="B7809" s="183"/>
    </row>
    <row r="7810" spans="2:2" ht="15" x14ac:dyDescent="0.2">
      <c r="B7810" s="183"/>
    </row>
    <row r="7811" spans="2:2" ht="15" x14ac:dyDescent="0.2">
      <c r="B7811" s="183"/>
    </row>
    <row r="7812" spans="2:2" ht="15" x14ac:dyDescent="0.2">
      <c r="B7812" s="183"/>
    </row>
    <row r="7813" spans="2:2" ht="15" x14ac:dyDescent="0.2">
      <c r="B7813" s="183"/>
    </row>
    <row r="7814" spans="2:2" ht="15" x14ac:dyDescent="0.2">
      <c r="B7814" s="183"/>
    </row>
    <row r="7815" spans="2:2" ht="15" x14ac:dyDescent="0.2">
      <c r="B7815" s="183"/>
    </row>
    <row r="7816" spans="2:2" ht="15" x14ac:dyDescent="0.2">
      <c r="B7816" s="183"/>
    </row>
    <row r="7817" spans="2:2" ht="15" x14ac:dyDescent="0.2">
      <c r="B7817" s="183"/>
    </row>
    <row r="7818" spans="2:2" ht="15" x14ac:dyDescent="0.2">
      <c r="B7818" s="183"/>
    </row>
    <row r="7819" spans="2:2" ht="15" x14ac:dyDescent="0.2">
      <c r="B7819" s="183"/>
    </row>
    <row r="7820" spans="2:2" ht="15" x14ac:dyDescent="0.2">
      <c r="B7820" s="183"/>
    </row>
    <row r="7821" spans="2:2" ht="15" x14ac:dyDescent="0.2">
      <c r="B7821" s="183"/>
    </row>
    <row r="7822" spans="2:2" ht="15" x14ac:dyDescent="0.2">
      <c r="B7822" s="183"/>
    </row>
    <row r="7823" spans="2:2" ht="15" x14ac:dyDescent="0.2">
      <c r="B7823" s="183"/>
    </row>
    <row r="7824" spans="2:2" ht="15" x14ac:dyDescent="0.2">
      <c r="B7824" s="183"/>
    </row>
    <row r="7825" spans="2:2" ht="15" x14ac:dyDescent="0.2">
      <c r="B7825" s="183"/>
    </row>
    <row r="7826" spans="2:2" ht="15" x14ac:dyDescent="0.2">
      <c r="B7826" s="183"/>
    </row>
    <row r="7827" spans="2:2" ht="15" x14ac:dyDescent="0.2">
      <c r="B7827" s="183"/>
    </row>
    <row r="7828" spans="2:2" ht="15" x14ac:dyDescent="0.2">
      <c r="B7828" s="183"/>
    </row>
    <row r="7829" spans="2:2" ht="15" x14ac:dyDescent="0.2">
      <c r="B7829" s="183"/>
    </row>
    <row r="7830" spans="2:2" ht="15" x14ac:dyDescent="0.2">
      <c r="B7830" s="183"/>
    </row>
    <row r="7831" spans="2:2" ht="15" x14ac:dyDescent="0.2">
      <c r="B7831" s="183"/>
    </row>
    <row r="7832" spans="2:2" ht="15" x14ac:dyDescent="0.2">
      <c r="B7832" s="183"/>
    </row>
    <row r="7833" spans="2:2" ht="15" x14ac:dyDescent="0.2">
      <c r="B7833" s="183"/>
    </row>
    <row r="7834" spans="2:2" ht="15" x14ac:dyDescent="0.2">
      <c r="B7834" s="183"/>
    </row>
    <row r="7835" spans="2:2" ht="15" x14ac:dyDescent="0.2">
      <c r="B7835" s="183"/>
    </row>
    <row r="7836" spans="2:2" ht="15" x14ac:dyDescent="0.2">
      <c r="B7836" s="183"/>
    </row>
    <row r="7837" spans="2:2" ht="15" x14ac:dyDescent="0.2">
      <c r="B7837" s="183"/>
    </row>
    <row r="7838" spans="2:2" ht="15" x14ac:dyDescent="0.2">
      <c r="B7838" s="183"/>
    </row>
    <row r="7839" spans="2:2" ht="15" x14ac:dyDescent="0.2">
      <c r="B7839" s="183"/>
    </row>
    <row r="7840" spans="2:2" ht="15" x14ac:dyDescent="0.2">
      <c r="B7840" s="183"/>
    </row>
    <row r="7841" spans="2:2" ht="15" x14ac:dyDescent="0.2">
      <c r="B7841" s="183"/>
    </row>
    <row r="7842" spans="2:2" ht="15" x14ac:dyDescent="0.2">
      <c r="B7842" s="183"/>
    </row>
    <row r="7843" spans="2:2" ht="15" x14ac:dyDescent="0.2">
      <c r="B7843" s="183"/>
    </row>
    <row r="7844" spans="2:2" ht="15" x14ac:dyDescent="0.2">
      <c r="B7844" s="183"/>
    </row>
    <row r="7845" spans="2:2" ht="15" x14ac:dyDescent="0.2">
      <c r="B7845" s="183"/>
    </row>
    <row r="7846" spans="2:2" ht="15" x14ac:dyDescent="0.2">
      <c r="B7846" s="183"/>
    </row>
    <row r="7847" spans="2:2" ht="15" x14ac:dyDescent="0.2">
      <c r="B7847" s="183"/>
    </row>
    <row r="7848" spans="2:2" ht="15" x14ac:dyDescent="0.2">
      <c r="B7848" s="183"/>
    </row>
    <row r="7849" spans="2:2" ht="15" x14ac:dyDescent="0.2">
      <c r="B7849" s="183"/>
    </row>
    <row r="7850" spans="2:2" ht="15" x14ac:dyDescent="0.2">
      <c r="B7850" s="183"/>
    </row>
    <row r="7851" spans="2:2" ht="15" x14ac:dyDescent="0.2">
      <c r="B7851" s="183"/>
    </row>
    <row r="7852" spans="2:2" ht="15" x14ac:dyDescent="0.2">
      <c r="B7852" s="183"/>
    </row>
    <row r="7853" spans="2:2" ht="15" x14ac:dyDescent="0.2">
      <c r="B7853" s="183"/>
    </row>
    <row r="7854" spans="2:2" ht="15" x14ac:dyDescent="0.2">
      <c r="B7854" s="183"/>
    </row>
    <row r="7855" spans="2:2" ht="15" x14ac:dyDescent="0.2">
      <c r="B7855" s="183"/>
    </row>
    <row r="7856" spans="2:2" ht="15" x14ac:dyDescent="0.2">
      <c r="B7856" s="183"/>
    </row>
    <row r="7857" spans="2:2" ht="15" x14ac:dyDescent="0.2">
      <c r="B7857" s="183"/>
    </row>
    <row r="7858" spans="2:2" ht="15" x14ac:dyDescent="0.2">
      <c r="B7858" s="183"/>
    </row>
    <row r="7859" spans="2:2" ht="15" x14ac:dyDescent="0.2">
      <c r="B7859" s="183"/>
    </row>
    <row r="7860" spans="2:2" ht="15" x14ac:dyDescent="0.2">
      <c r="B7860" s="183"/>
    </row>
    <row r="7861" spans="2:2" ht="15" x14ac:dyDescent="0.2">
      <c r="B7861" s="183"/>
    </row>
    <row r="7862" spans="2:2" ht="15" x14ac:dyDescent="0.2">
      <c r="B7862" s="183"/>
    </row>
    <row r="7863" spans="2:2" ht="15" x14ac:dyDescent="0.2">
      <c r="B7863" s="183"/>
    </row>
    <row r="7864" spans="2:2" ht="15" x14ac:dyDescent="0.2">
      <c r="B7864" s="183"/>
    </row>
    <row r="7865" spans="2:2" ht="15" x14ac:dyDescent="0.2">
      <c r="B7865" s="183"/>
    </row>
    <row r="7866" spans="2:2" ht="15" x14ac:dyDescent="0.2">
      <c r="B7866" s="183"/>
    </row>
    <row r="7867" spans="2:2" ht="15" x14ac:dyDescent="0.2">
      <c r="B7867" s="183"/>
    </row>
    <row r="7868" spans="2:2" ht="15" x14ac:dyDescent="0.2">
      <c r="B7868" s="183"/>
    </row>
    <row r="7869" spans="2:2" ht="15" x14ac:dyDescent="0.2">
      <c r="B7869" s="183"/>
    </row>
    <row r="7870" spans="2:2" ht="15" x14ac:dyDescent="0.2">
      <c r="B7870" s="183"/>
    </row>
    <row r="7871" spans="2:2" ht="15" x14ac:dyDescent="0.2">
      <c r="B7871" s="183"/>
    </row>
    <row r="7872" spans="2:2" ht="15" x14ac:dyDescent="0.2">
      <c r="B7872" s="183"/>
    </row>
    <row r="7873" spans="2:2" ht="15" x14ac:dyDescent="0.2">
      <c r="B7873" s="183"/>
    </row>
    <row r="7874" spans="2:2" ht="15" x14ac:dyDescent="0.2">
      <c r="B7874" s="183"/>
    </row>
    <row r="7875" spans="2:2" ht="15" x14ac:dyDescent="0.2">
      <c r="B7875" s="183"/>
    </row>
    <row r="7876" spans="2:2" ht="15" x14ac:dyDescent="0.2">
      <c r="B7876" s="183"/>
    </row>
    <row r="7877" spans="2:2" ht="15" x14ac:dyDescent="0.2">
      <c r="B7877" s="183"/>
    </row>
    <row r="7878" spans="2:2" ht="15" x14ac:dyDescent="0.2">
      <c r="B7878" s="183"/>
    </row>
    <row r="7879" spans="2:2" ht="15" x14ac:dyDescent="0.2">
      <c r="B7879" s="183"/>
    </row>
    <row r="7880" spans="2:2" ht="15" x14ac:dyDescent="0.2">
      <c r="B7880" s="183"/>
    </row>
    <row r="7881" spans="2:2" ht="15" x14ac:dyDescent="0.2">
      <c r="B7881" s="183"/>
    </row>
    <row r="7882" spans="2:2" ht="15" x14ac:dyDescent="0.2">
      <c r="B7882" s="183"/>
    </row>
    <row r="7883" spans="2:2" ht="15" x14ac:dyDescent="0.2">
      <c r="B7883" s="183"/>
    </row>
    <row r="7884" spans="2:2" ht="15" x14ac:dyDescent="0.2">
      <c r="B7884" s="183"/>
    </row>
    <row r="7885" spans="2:2" ht="15" x14ac:dyDescent="0.2">
      <c r="B7885" s="183"/>
    </row>
    <row r="7886" spans="2:2" ht="15" x14ac:dyDescent="0.2">
      <c r="B7886" s="183"/>
    </row>
    <row r="7887" spans="2:2" ht="15" x14ac:dyDescent="0.2">
      <c r="B7887" s="183"/>
    </row>
    <row r="7888" spans="2:2" ht="15" x14ac:dyDescent="0.2">
      <c r="B7888" s="183"/>
    </row>
    <row r="7889" spans="2:2" ht="15" x14ac:dyDescent="0.2">
      <c r="B7889" s="183"/>
    </row>
    <row r="7890" spans="2:2" ht="15" x14ac:dyDescent="0.2">
      <c r="B7890" s="183"/>
    </row>
    <row r="7891" spans="2:2" ht="15" x14ac:dyDescent="0.2">
      <c r="B7891" s="183"/>
    </row>
    <row r="7892" spans="2:2" ht="15" x14ac:dyDescent="0.2">
      <c r="B7892" s="183"/>
    </row>
    <row r="7893" spans="2:2" ht="15" x14ac:dyDescent="0.2">
      <c r="B7893" s="183"/>
    </row>
    <row r="7894" spans="2:2" ht="15" x14ac:dyDescent="0.2">
      <c r="B7894" s="183"/>
    </row>
    <row r="7895" spans="2:2" ht="15" x14ac:dyDescent="0.2">
      <c r="B7895" s="183"/>
    </row>
    <row r="7896" spans="2:2" ht="15" x14ac:dyDescent="0.2">
      <c r="B7896" s="183"/>
    </row>
    <row r="7897" spans="2:2" ht="15" x14ac:dyDescent="0.2">
      <c r="B7897" s="183"/>
    </row>
    <row r="7898" spans="2:2" ht="15" x14ac:dyDescent="0.2">
      <c r="B7898" s="183"/>
    </row>
    <row r="7899" spans="2:2" ht="15" x14ac:dyDescent="0.2">
      <c r="B7899" s="183"/>
    </row>
    <row r="7900" spans="2:2" ht="15" x14ac:dyDescent="0.2">
      <c r="B7900" s="183"/>
    </row>
    <row r="7901" spans="2:2" ht="15" x14ac:dyDescent="0.2">
      <c r="B7901" s="183"/>
    </row>
    <row r="7902" spans="2:2" ht="15" x14ac:dyDescent="0.2">
      <c r="B7902" s="183"/>
    </row>
    <row r="7903" spans="2:2" ht="15" x14ac:dyDescent="0.2">
      <c r="B7903" s="183"/>
    </row>
    <row r="7904" spans="2:2" ht="15" x14ac:dyDescent="0.2">
      <c r="B7904" s="183"/>
    </row>
    <row r="7905" spans="2:2" ht="15" x14ac:dyDescent="0.2">
      <c r="B7905" s="183"/>
    </row>
    <row r="7906" spans="2:2" ht="15" x14ac:dyDescent="0.2">
      <c r="B7906" s="183"/>
    </row>
    <row r="7907" spans="2:2" ht="15" x14ac:dyDescent="0.2">
      <c r="B7907" s="183"/>
    </row>
    <row r="7908" spans="2:2" ht="15" x14ac:dyDescent="0.2">
      <c r="B7908" s="183"/>
    </row>
    <row r="7909" spans="2:2" ht="15" x14ac:dyDescent="0.2">
      <c r="B7909" s="183"/>
    </row>
    <row r="7910" spans="2:2" ht="15" x14ac:dyDescent="0.2">
      <c r="B7910" s="183"/>
    </row>
    <row r="7911" spans="2:2" ht="15" x14ac:dyDescent="0.2">
      <c r="B7911" s="183"/>
    </row>
    <row r="7912" spans="2:2" ht="15" x14ac:dyDescent="0.2">
      <c r="B7912" s="183"/>
    </row>
    <row r="7913" spans="2:2" ht="15" x14ac:dyDescent="0.2">
      <c r="B7913" s="183"/>
    </row>
    <row r="7914" spans="2:2" ht="15" x14ac:dyDescent="0.2">
      <c r="B7914" s="183"/>
    </row>
    <row r="7915" spans="2:2" ht="15" x14ac:dyDescent="0.2">
      <c r="B7915" s="183"/>
    </row>
    <row r="7916" spans="2:2" ht="15" x14ac:dyDescent="0.2">
      <c r="B7916" s="183"/>
    </row>
    <row r="7917" spans="2:2" ht="15" x14ac:dyDescent="0.2">
      <c r="B7917" s="183"/>
    </row>
    <row r="7918" spans="2:2" ht="15" x14ac:dyDescent="0.2">
      <c r="B7918" s="183"/>
    </row>
    <row r="7919" spans="2:2" ht="15" x14ac:dyDescent="0.2">
      <c r="B7919" s="183"/>
    </row>
    <row r="7920" spans="2:2" ht="15" x14ac:dyDescent="0.2">
      <c r="B7920" s="183"/>
    </row>
    <row r="7921" spans="2:2" ht="15" x14ac:dyDescent="0.2">
      <c r="B7921" s="183"/>
    </row>
    <row r="7922" spans="2:2" ht="15" x14ac:dyDescent="0.2">
      <c r="B7922" s="183"/>
    </row>
    <row r="7923" spans="2:2" ht="15" x14ac:dyDescent="0.2">
      <c r="B7923" s="183"/>
    </row>
    <row r="7924" spans="2:2" ht="15" x14ac:dyDescent="0.2">
      <c r="B7924" s="183"/>
    </row>
    <row r="7925" spans="2:2" ht="15" x14ac:dyDescent="0.2">
      <c r="B7925" s="183"/>
    </row>
    <row r="7926" spans="2:2" ht="15" x14ac:dyDescent="0.2">
      <c r="B7926" s="183"/>
    </row>
    <row r="7927" spans="2:2" ht="15" x14ac:dyDescent="0.2">
      <c r="B7927" s="183"/>
    </row>
    <row r="7928" spans="2:2" ht="15" x14ac:dyDescent="0.2">
      <c r="B7928" s="183"/>
    </row>
    <row r="7929" spans="2:2" ht="15" x14ac:dyDescent="0.2">
      <c r="B7929" s="183"/>
    </row>
    <row r="7930" spans="2:2" ht="15" x14ac:dyDescent="0.2">
      <c r="B7930" s="183"/>
    </row>
    <row r="7931" spans="2:2" ht="15" x14ac:dyDescent="0.2">
      <c r="B7931" s="183"/>
    </row>
    <row r="7932" spans="2:2" ht="15" x14ac:dyDescent="0.2">
      <c r="B7932" s="183"/>
    </row>
    <row r="7933" spans="2:2" ht="15" x14ac:dyDescent="0.2">
      <c r="B7933" s="183"/>
    </row>
    <row r="7934" spans="2:2" ht="15" x14ac:dyDescent="0.2">
      <c r="B7934" s="183"/>
    </row>
    <row r="7935" spans="2:2" ht="15" x14ac:dyDescent="0.2">
      <c r="B7935" s="183"/>
    </row>
    <row r="7936" spans="2:2" ht="15" x14ac:dyDescent="0.2">
      <c r="B7936" s="183"/>
    </row>
    <row r="7937" spans="2:2" ht="15" x14ac:dyDescent="0.2">
      <c r="B7937" s="183"/>
    </row>
    <row r="7938" spans="2:2" ht="15" x14ac:dyDescent="0.2">
      <c r="B7938" s="183"/>
    </row>
    <row r="7939" spans="2:2" ht="15" x14ac:dyDescent="0.2">
      <c r="B7939" s="183"/>
    </row>
    <row r="7940" spans="2:2" ht="15" x14ac:dyDescent="0.2">
      <c r="B7940" s="183"/>
    </row>
    <row r="7941" spans="2:2" ht="15" x14ac:dyDescent="0.2">
      <c r="B7941" s="183"/>
    </row>
    <row r="7942" spans="2:2" ht="15" x14ac:dyDescent="0.2">
      <c r="B7942" s="183"/>
    </row>
    <row r="7943" spans="2:2" ht="15" x14ac:dyDescent="0.2">
      <c r="B7943" s="183"/>
    </row>
    <row r="7944" spans="2:2" ht="15" x14ac:dyDescent="0.2">
      <c r="B7944" s="183"/>
    </row>
    <row r="7945" spans="2:2" ht="15" x14ac:dyDescent="0.2">
      <c r="B7945" s="183"/>
    </row>
    <row r="7946" spans="2:2" ht="15" x14ac:dyDescent="0.2">
      <c r="B7946" s="183"/>
    </row>
    <row r="7947" spans="2:2" ht="15" x14ac:dyDescent="0.2">
      <c r="B7947" s="183"/>
    </row>
    <row r="7948" spans="2:2" ht="15" x14ac:dyDescent="0.2">
      <c r="B7948" s="183"/>
    </row>
    <row r="7949" spans="2:2" ht="15" x14ac:dyDescent="0.2">
      <c r="B7949" s="183"/>
    </row>
    <row r="7950" spans="2:2" ht="15" x14ac:dyDescent="0.2">
      <c r="B7950" s="183"/>
    </row>
    <row r="7951" spans="2:2" ht="15" x14ac:dyDescent="0.2">
      <c r="B7951" s="183"/>
    </row>
    <row r="7952" spans="2:2" ht="15" x14ac:dyDescent="0.2">
      <c r="B7952" s="183"/>
    </row>
    <row r="7953" spans="2:2" ht="15" x14ac:dyDescent="0.2">
      <c r="B7953" s="183"/>
    </row>
    <row r="7954" spans="2:2" ht="15" x14ac:dyDescent="0.2">
      <c r="B7954" s="183"/>
    </row>
    <row r="7955" spans="2:2" ht="15" x14ac:dyDescent="0.2">
      <c r="B7955" s="183"/>
    </row>
    <row r="7956" spans="2:2" ht="15" x14ac:dyDescent="0.2">
      <c r="B7956" s="183"/>
    </row>
    <row r="7957" spans="2:2" ht="15" x14ac:dyDescent="0.2">
      <c r="B7957" s="183"/>
    </row>
    <row r="7958" spans="2:2" ht="15" x14ac:dyDescent="0.2">
      <c r="B7958" s="183"/>
    </row>
    <row r="7959" spans="2:2" ht="15" x14ac:dyDescent="0.2">
      <c r="B7959" s="183"/>
    </row>
    <row r="7960" spans="2:2" ht="15" x14ac:dyDescent="0.2">
      <c r="B7960" s="183"/>
    </row>
    <row r="7961" spans="2:2" ht="15" x14ac:dyDescent="0.2">
      <c r="B7961" s="183"/>
    </row>
    <row r="7962" spans="2:2" ht="15" x14ac:dyDescent="0.2">
      <c r="B7962" s="183"/>
    </row>
    <row r="7963" spans="2:2" ht="15" x14ac:dyDescent="0.2">
      <c r="B7963" s="183"/>
    </row>
    <row r="7964" spans="2:2" ht="15" x14ac:dyDescent="0.2">
      <c r="B7964" s="183"/>
    </row>
    <row r="7965" spans="2:2" ht="15" x14ac:dyDescent="0.2">
      <c r="B7965" s="183"/>
    </row>
    <row r="7966" spans="2:2" ht="15" x14ac:dyDescent="0.2">
      <c r="B7966" s="183"/>
    </row>
    <row r="7967" spans="2:2" ht="15" x14ac:dyDescent="0.2">
      <c r="B7967" s="183"/>
    </row>
    <row r="7968" spans="2:2" ht="15" x14ac:dyDescent="0.2">
      <c r="B7968" s="183"/>
    </row>
    <row r="7969" spans="2:2" ht="15" x14ac:dyDescent="0.2">
      <c r="B7969" s="183"/>
    </row>
    <row r="7970" spans="2:2" ht="15" x14ac:dyDescent="0.2">
      <c r="B7970" s="183"/>
    </row>
    <row r="7971" spans="2:2" ht="15" x14ac:dyDescent="0.2">
      <c r="B7971" s="183"/>
    </row>
    <row r="7972" spans="2:2" ht="15" x14ac:dyDescent="0.2">
      <c r="B7972" s="183"/>
    </row>
    <row r="7973" spans="2:2" ht="15" x14ac:dyDescent="0.2">
      <c r="B7973" s="183"/>
    </row>
    <row r="7974" spans="2:2" ht="15" x14ac:dyDescent="0.2">
      <c r="B7974" s="183"/>
    </row>
    <row r="7975" spans="2:2" ht="15" x14ac:dyDescent="0.2">
      <c r="B7975" s="183"/>
    </row>
    <row r="7976" spans="2:2" ht="15" x14ac:dyDescent="0.2">
      <c r="B7976" s="183"/>
    </row>
    <row r="7977" spans="2:2" ht="15" x14ac:dyDescent="0.2">
      <c r="B7977" s="183"/>
    </row>
    <row r="7978" spans="2:2" ht="15" x14ac:dyDescent="0.2">
      <c r="B7978" s="183"/>
    </row>
    <row r="7979" spans="2:2" ht="15" x14ac:dyDescent="0.2">
      <c r="B7979" s="183"/>
    </row>
    <row r="7980" spans="2:2" ht="15" x14ac:dyDescent="0.2">
      <c r="B7980" s="183"/>
    </row>
    <row r="7981" spans="2:2" ht="15" x14ac:dyDescent="0.2">
      <c r="B7981" s="183"/>
    </row>
    <row r="7982" spans="2:2" ht="15" x14ac:dyDescent="0.2">
      <c r="B7982" s="183"/>
    </row>
    <row r="7983" spans="2:2" ht="15" x14ac:dyDescent="0.2">
      <c r="B7983" s="183"/>
    </row>
    <row r="7984" spans="2:2" ht="15" x14ac:dyDescent="0.2">
      <c r="B7984" s="183"/>
    </row>
    <row r="7985" spans="2:2" ht="15" x14ac:dyDescent="0.2">
      <c r="B7985" s="183"/>
    </row>
    <row r="7986" spans="2:2" ht="15" x14ac:dyDescent="0.2">
      <c r="B7986" s="183"/>
    </row>
    <row r="7987" spans="2:2" ht="15" x14ac:dyDescent="0.2">
      <c r="B7987" s="183"/>
    </row>
    <row r="7988" spans="2:2" ht="15" x14ac:dyDescent="0.2">
      <c r="B7988" s="183"/>
    </row>
    <row r="7989" spans="2:2" ht="15" x14ac:dyDescent="0.2">
      <c r="B7989" s="183"/>
    </row>
    <row r="7990" spans="2:2" ht="15" x14ac:dyDescent="0.2">
      <c r="B7990" s="183"/>
    </row>
    <row r="7991" spans="2:2" ht="15" x14ac:dyDescent="0.2">
      <c r="B7991" s="183"/>
    </row>
    <row r="7992" spans="2:2" ht="15" x14ac:dyDescent="0.2">
      <c r="B7992" s="183"/>
    </row>
    <row r="7993" spans="2:2" ht="15" x14ac:dyDescent="0.2">
      <c r="B7993" s="183"/>
    </row>
    <row r="7994" spans="2:2" ht="15" x14ac:dyDescent="0.2">
      <c r="B7994" s="183"/>
    </row>
    <row r="7995" spans="2:2" ht="15" x14ac:dyDescent="0.2">
      <c r="B7995" s="183"/>
    </row>
    <row r="7996" spans="2:2" ht="15" x14ac:dyDescent="0.2">
      <c r="B7996" s="183"/>
    </row>
    <row r="7997" spans="2:2" ht="15" x14ac:dyDescent="0.2">
      <c r="B7997" s="183"/>
    </row>
    <row r="7998" spans="2:2" ht="15" x14ac:dyDescent="0.2">
      <c r="B7998" s="183"/>
    </row>
    <row r="7999" spans="2:2" ht="15" x14ac:dyDescent="0.2">
      <c r="B7999" s="183"/>
    </row>
    <row r="8000" spans="2:2" ht="15" x14ac:dyDescent="0.2">
      <c r="B8000" s="183"/>
    </row>
    <row r="8001" spans="2:2" ht="15" x14ac:dyDescent="0.2">
      <c r="B8001" s="183"/>
    </row>
    <row r="8002" spans="2:2" ht="15" x14ac:dyDescent="0.2">
      <c r="B8002" s="183"/>
    </row>
    <row r="8003" spans="2:2" ht="15" x14ac:dyDescent="0.2">
      <c r="B8003" s="183"/>
    </row>
    <row r="8004" spans="2:2" ht="15" x14ac:dyDescent="0.2">
      <c r="B8004" s="183"/>
    </row>
    <row r="8005" spans="2:2" ht="15" x14ac:dyDescent="0.2">
      <c r="B8005" s="183"/>
    </row>
    <row r="8006" spans="2:2" ht="15" x14ac:dyDescent="0.2">
      <c r="B8006" s="183"/>
    </row>
    <row r="8007" spans="2:2" ht="15" x14ac:dyDescent="0.2">
      <c r="B8007" s="183"/>
    </row>
    <row r="8008" spans="2:2" ht="15" x14ac:dyDescent="0.2">
      <c r="B8008" s="183"/>
    </row>
    <row r="8009" spans="2:2" ht="15" x14ac:dyDescent="0.2">
      <c r="B8009" s="183"/>
    </row>
    <row r="8010" spans="2:2" ht="15" x14ac:dyDescent="0.2">
      <c r="B8010" s="183"/>
    </row>
    <row r="8011" spans="2:2" ht="15" x14ac:dyDescent="0.2">
      <c r="B8011" s="183"/>
    </row>
    <row r="8012" spans="2:2" ht="15" x14ac:dyDescent="0.2">
      <c r="B8012" s="183"/>
    </row>
    <row r="8013" spans="2:2" ht="15" x14ac:dyDescent="0.2">
      <c r="B8013" s="183"/>
    </row>
    <row r="8014" spans="2:2" ht="15" x14ac:dyDescent="0.2">
      <c r="B8014" s="183"/>
    </row>
    <row r="8015" spans="2:2" ht="15" x14ac:dyDescent="0.2">
      <c r="B8015" s="183"/>
    </row>
    <row r="8016" spans="2:2" ht="15" x14ac:dyDescent="0.2">
      <c r="B8016" s="183"/>
    </row>
    <row r="8017" spans="2:2" ht="15" x14ac:dyDescent="0.2">
      <c r="B8017" s="183"/>
    </row>
    <row r="8018" spans="2:2" ht="15" x14ac:dyDescent="0.2">
      <c r="B8018" s="183"/>
    </row>
    <row r="8019" spans="2:2" ht="15" x14ac:dyDescent="0.2">
      <c r="B8019" s="183"/>
    </row>
    <row r="8020" spans="2:2" ht="15" x14ac:dyDescent="0.2">
      <c r="B8020" s="183"/>
    </row>
    <row r="8021" spans="2:2" ht="15" x14ac:dyDescent="0.2">
      <c r="B8021" s="183"/>
    </row>
    <row r="8022" spans="2:2" ht="15" x14ac:dyDescent="0.2">
      <c r="B8022" s="183"/>
    </row>
    <row r="8023" spans="2:2" ht="15" x14ac:dyDescent="0.2">
      <c r="B8023" s="183"/>
    </row>
    <row r="8024" spans="2:2" ht="15" x14ac:dyDescent="0.2">
      <c r="B8024" s="183"/>
    </row>
    <row r="8025" spans="2:2" ht="15" x14ac:dyDescent="0.2">
      <c r="B8025" s="183"/>
    </row>
    <row r="8026" spans="2:2" ht="15" x14ac:dyDescent="0.2">
      <c r="B8026" s="183"/>
    </row>
    <row r="8027" spans="2:2" ht="15" x14ac:dyDescent="0.2">
      <c r="B8027" s="183"/>
    </row>
    <row r="8028" spans="2:2" ht="15" x14ac:dyDescent="0.2">
      <c r="B8028" s="183"/>
    </row>
    <row r="8029" spans="2:2" ht="15" x14ac:dyDescent="0.2">
      <c r="B8029" s="183"/>
    </row>
    <row r="8030" spans="2:2" ht="15" x14ac:dyDescent="0.2">
      <c r="B8030" s="183"/>
    </row>
    <row r="8031" spans="2:2" ht="15" x14ac:dyDescent="0.2">
      <c r="B8031" s="183"/>
    </row>
    <row r="8032" spans="2:2" ht="15" x14ac:dyDescent="0.2">
      <c r="B8032" s="183"/>
    </row>
    <row r="8033" spans="2:2" ht="15" x14ac:dyDescent="0.2">
      <c r="B8033" s="183"/>
    </row>
    <row r="8034" spans="2:2" ht="15" x14ac:dyDescent="0.2">
      <c r="B8034" s="183"/>
    </row>
    <row r="8035" spans="2:2" ht="15" x14ac:dyDescent="0.2">
      <c r="B8035" s="183"/>
    </row>
    <row r="8036" spans="2:2" ht="15" x14ac:dyDescent="0.2">
      <c r="B8036" s="183"/>
    </row>
    <row r="8037" spans="2:2" ht="15" x14ac:dyDescent="0.2">
      <c r="B8037" s="183"/>
    </row>
    <row r="8038" spans="2:2" ht="15" x14ac:dyDescent="0.2">
      <c r="B8038" s="183"/>
    </row>
    <row r="8039" spans="2:2" ht="15" x14ac:dyDescent="0.2">
      <c r="B8039" s="183"/>
    </row>
    <row r="8040" spans="2:2" ht="15" x14ac:dyDescent="0.2">
      <c r="B8040" s="183"/>
    </row>
    <row r="8041" spans="2:2" ht="15" x14ac:dyDescent="0.2">
      <c r="B8041" s="183"/>
    </row>
    <row r="8042" spans="2:2" ht="15" x14ac:dyDescent="0.2">
      <c r="B8042" s="183"/>
    </row>
    <row r="8043" spans="2:2" ht="15" x14ac:dyDescent="0.2">
      <c r="B8043" s="183"/>
    </row>
    <row r="8044" spans="2:2" ht="15" x14ac:dyDescent="0.2">
      <c r="B8044" s="183"/>
    </row>
    <row r="8045" spans="2:2" ht="15" x14ac:dyDescent="0.2">
      <c r="B8045" s="183"/>
    </row>
    <row r="8046" spans="2:2" ht="15" x14ac:dyDescent="0.2">
      <c r="B8046" s="183"/>
    </row>
    <row r="8047" spans="2:2" ht="15" x14ac:dyDescent="0.2">
      <c r="B8047" s="183"/>
    </row>
    <row r="8048" spans="2:2" ht="15" x14ac:dyDescent="0.2">
      <c r="B8048" s="183"/>
    </row>
    <row r="8049" spans="2:2" ht="15" x14ac:dyDescent="0.2">
      <c r="B8049" s="183"/>
    </row>
    <row r="8050" spans="2:2" ht="15" x14ac:dyDescent="0.2">
      <c r="B8050" s="183"/>
    </row>
    <row r="8051" spans="2:2" ht="15" x14ac:dyDescent="0.2">
      <c r="B8051" s="183"/>
    </row>
    <row r="8052" spans="2:2" ht="15" x14ac:dyDescent="0.2">
      <c r="B8052" s="183"/>
    </row>
    <row r="8053" spans="2:2" ht="15" x14ac:dyDescent="0.2">
      <c r="B8053" s="183"/>
    </row>
    <row r="8054" spans="2:2" ht="15" x14ac:dyDescent="0.2">
      <c r="B8054" s="183"/>
    </row>
    <row r="8055" spans="2:2" ht="15" x14ac:dyDescent="0.2">
      <c r="B8055" s="183"/>
    </row>
    <row r="8056" spans="2:2" ht="15" x14ac:dyDescent="0.2">
      <c r="B8056" s="183"/>
    </row>
    <row r="8057" spans="2:2" ht="15" x14ac:dyDescent="0.2">
      <c r="B8057" s="183"/>
    </row>
    <row r="8058" spans="2:2" ht="15" x14ac:dyDescent="0.2">
      <c r="B8058" s="183"/>
    </row>
    <row r="8059" spans="2:2" ht="15" x14ac:dyDescent="0.2">
      <c r="B8059" s="183"/>
    </row>
    <row r="8060" spans="2:2" ht="15" x14ac:dyDescent="0.2">
      <c r="B8060" s="183"/>
    </row>
    <row r="8061" spans="2:2" ht="15" x14ac:dyDescent="0.2">
      <c r="B8061" s="183"/>
    </row>
    <row r="8062" spans="2:2" ht="15" x14ac:dyDescent="0.2">
      <c r="B8062" s="183"/>
    </row>
    <row r="8063" spans="2:2" ht="15" x14ac:dyDescent="0.2">
      <c r="B8063" s="183"/>
    </row>
    <row r="8064" spans="2:2" ht="15" x14ac:dyDescent="0.2">
      <c r="B8064" s="183"/>
    </row>
    <row r="8065" spans="2:2" ht="15" x14ac:dyDescent="0.2">
      <c r="B8065" s="183"/>
    </row>
    <row r="8066" spans="2:2" ht="15" x14ac:dyDescent="0.2">
      <c r="B8066" s="183"/>
    </row>
    <row r="8067" spans="2:2" ht="15" x14ac:dyDescent="0.2">
      <c r="B8067" s="183"/>
    </row>
    <row r="8068" spans="2:2" ht="15" x14ac:dyDescent="0.2">
      <c r="B8068" s="183"/>
    </row>
    <row r="8069" spans="2:2" ht="15" x14ac:dyDescent="0.2">
      <c r="B8069" s="183"/>
    </row>
    <row r="8070" spans="2:2" ht="15" x14ac:dyDescent="0.2">
      <c r="B8070" s="183"/>
    </row>
    <row r="8071" spans="2:2" ht="15" x14ac:dyDescent="0.2">
      <c r="B8071" s="183"/>
    </row>
    <row r="8072" spans="2:2" ht="15" x14ac:dyDescent="0.2">
      <c r="B8072" s="183"/>
    </row>
    <row r="8073" spans="2:2" ht="15" x14ac:dyDescent="0.2">
      <c r="B8073" s="183"/>
    </row>
    <row r="8074" spans="2:2" ht="15" x14ac:dyDescent="0.2">
      <c r="B8074" s="183"/>
    </row>
    <row r="8075" spans="2:2" ht="15" x14ac:dyDescent="0.2">
      <c r="B8075" s="183"/>
    </row>
    <row r="8076" spans="2:2" ht="15" x14ac:dyDescent="0.2">
      <c r="B8076" s="183"/>
    </row>
    <row r="8077" spans="2:2" ht="15" x14ac:dyDescent="0.2">
      <c r="B8077" s="183"/>
    </row>
    <row r="8078" spans="2:2" ht="15" x14ac:dyDescent="0.2">
      <c r="B8078" s="183"/>
    </row>
    <row r="8079" spans="2:2" ht="15" x14ac:dyDescent="0.2">
      <c r="B8079" s="183"/>
    </row>
    <row r="8080" spans="2:2" ht="15" x14ac:dyDescent="0.2">
      <c r="B8080" s="183"/>
    </row>
    <row r="8081" spans="2:2" ht="15" x14ac:dyDescent="0.2">
      <c r="B8081" s="183"/>
    </row>
    <row r="8082" spans="2:2" ht="15" x14ac:dyDescent="0.2">
      <c r="B8082" s="183"/>
    </row>
    <row r="8083" spans="2:2" ht="15" x14ac:dyDescent="0.2">
      <c r="B8083" s="183"/>
    </row>
    <row r="8084" spans="2:2" ht="15" x14ac:dyDescent="0.2">
      <c r="B8084" s="183"/>
    </row>
    <row r="8085" spans="2:2" ht="15" x14ac:dyDescent="0.2">
      <c r="B8085" s="183"/>
    </row>
    <row r="8086" spans="2:2" ht="15" x14ac:dyDescent="0.2">
      <c r="B8086" s="183"/>
    </row>
    <row r="8087" spans="2:2" ht="15" x14ac:dyDescent="0.2">
      <c r="B8087" s="183"/>
    </row>
    <row r="8088" spans="2:2" ht="15" x14ac:dyDescent="0.2">
      <c r="B8088" s="183"/>
    </row>
    <row r="8089" spans="2:2" ht="15" x14ac:dyDescent="0.2">
      <c r="B8089" s="183"/>
    </row>
    <row r="8090" spans="2:2" ht="15" x14ac:dyDescent="0.2">
      <c r="B8090" s="183"/>
    </row>
    <row r="8091" spans="2:2" ht="15" x14ac:dyDescent="0.2">
      <c r="B8091" s="183"/>
    </row>
    <row r="8092" spans="2:2" ht="15" x14ac:dyDescent="0.2">
      <c r="B8092" s="183"/>
    </row>
    <row r="8093" spans="2:2" ht="15" x14ac:dyDescent="0.2">
      <c r="B8093" s="183"/>
    </row>
    <row r="8094" spans="2:2" ht="15" x14ac:dyDescent="0.2">
      <c r="B8094" s="183"/>
    </row>
    <row r="8095" spans="2:2" ht="15" x14ac:dyDescent="0.2">
      <c r="B8095" s="183"/>
    </row>
    <row r="8096" spans="2:2" ht="15" x14ac:dyDescent="0.2">
      <c r="B8096" s="183"/>
    </row>
    <row r="8097" spans="2:2" ht="15" x14ac:dyDescent="0.2">
      <c r="B8097" s="183"/>
    </row>
    <row r="8098" spans="2:2" ht="15" x14ac:dyDescent="0.2">
      <c r="B8098" s="183"/>
    </row>
    <row r="8099" spans="2:2" ht="15" x14ac:dyDescent="0.2">
      <c r="B8099" s="183"/>
    </row>
    <row r="8100" spans="2:2" ht="15" x14ac:dyDescent="0.2">
      <c r="B8100" s="183"/>
    </row>
    <row r="8101" spans="2:2" ht="15" x14ac:dyDescent="0.2">
      <c r="B8101" s="183"/>
    </row>
    <row r="8102" spans="2:2" ht="15" x14ac:dyDescent="0.2">
      <c r="B8102" s="183"/>
    </row>
    <row r="8103" spans="2:2" ht="15" x14ac:dyDescent="0.2">
      <c r="B8103" s="183"/>
    </row>
    <row r="8104" spans="2:2" ht="15" x14ac:dyDescent="0.2">
      <c r="B8104" s="183"/>
    </row>
    <row r="8105" spans="2:2" ht="15" x14ac:dyDescent="0.2">
      <c r="B8105" s="183"/>
    </row>
    <row r="8106" spans="2:2" ht="15" x14ac:dyDescent="0.2">
      <c r="B8106" s="183"/>
    </row>
    <row r="8107" spans="2:2" ht="15" x14ac:dyDescent="0.2">
      <c r="B8107" s="183"/>
    </row>
    <row r="8108" spans="2:2" ht="15" x14ac:dyDescent="0.2">
      <c r="B8108" s="183"/>
    </row>
    <row r="8109" spans="2:2" ht="15" x14ac:dyDescent="0.2">
      <c r="B8109" s="183"/>
    </row>
    <row r="8110" spans="2:2" ht="15" x14ac:dyDescent="0.2">
      <c r="B8110" s="183"/>
    </row>
    <row r="8111" spans="2:2" ht="15" x14ac:dyDescent="0.2">
      <c r="B8111" s="183"/>
    </row>
    <row r="8112" spans="2:2" ht="15" x14ac:dyDescent="0.2">
      <c r="B8112" s="183"/>
    </row>
    <row r="8113" spans="2:2" ht="15" x14ac:dyDescent="0.2">
      <c r="B8113" s="183"/>
    </row>
    <row r="8114" spans="2:2" ht="15" x14ac:dyDescent="0.2">
      <c r="B8114" s="183"/>
    </row>
    <row r="8115" spans="2:2" ht="15" x14ac:dyDescent="0.2">
      <c r="B8115" s="183"/>
    </row>
    <row r="8116" spans="2:2" ht="15" x14ac:dyDescent="0.2">
      <c r="B8116" s="183"/>
    </row>
    <row r="8117" spans="2:2" ht="15" x14ac:dyDescent="0.2">
      <c r="B8117" s="183"/>
    </row>
    <row r="8118" spans="2:2" ht="15" x14ac:dyDescent="0.2">
      <c r="B8118" s="183"/>
    </row>
    <row r="8119" spans="2:2" ht="15" x14ac:dyDescent="0.2">
      <c r="B8119" s="183"/>
    </row>
    <row r="8120" spans="2:2" ht="15" x14ac:dyDescent="0.2">
      <c r="B8120" s="183"/>
    </row>
    <row r="8121" spans="2:2" ht="15" x14ac:dyDescent="0.2">
      <c r="B8121" s="183"/>
    </row>
    <row r="8122" spans="2:2" ht="15" x14ac:dyDescent="0.2">
      <c r="B8122" s="183"/>
    </row>
    <row r="8123" spans="2:2" ht="15" x14ac:dyDescent="0.2">
      <c r="B8123" s="183"/>
    </row>
    <row r="8124" spans="2:2" ht="15" x14ac:dyDescent="0.2">
      <c r="B8124" s="183"/>
    </row>
    <row r="8125" spans="2:2" ht="15" x14ac:dyDescent="0.2">
      <c r="B8125" s="183"/>
    </row>
    <row r="8126" spans="2:2" ht="15" x14ac:dyDescent="0.2">
      <c r="B8126" s="183"/>
    </row>
    <row r="8127" spans="2:2" ht="15" x14ac:dyDescent="0.2">
      <c r="B8127" s="183"/>
    </row>
    <row r="8128" spans="2:2" ht="15" x14ac:dyDescent="0.2">
      <c r="B8128" s="183"/>
    </row>
    <row r="8129" spans="2:2" ht="15" x14ac:dyDescent="0.2">
      <c r="B8129" s="183"/>
    </row>
    <row r="8130" spans="2:2" ht="15" x14ac:dyDescent="0.2">
      <c r="B8130" s="183"/>
    </row>
    <row r="8131" spans="2:2" ht="15" x14ac:dyDescent="0.2">
      <c r="B8131" s="183"/>
    </row>
    <row r="8132" spans="2:2" ht="15" x14ac:dyDescent="0.2">
      <c r="B8132" s="183"/>
    </row>
    <row r="8133" spans="2:2" ht="15" x14ac:dyDescent="0.2">
      <c r="B8133" s="183"/>
    </row>
    <row r="8134" spans="2:2" ht="15" x14ac:dyDescent="0.2">
      <c r="B8134" s="183"/>
    </row>
    <row r="8135" spans="2:2" ht="15" x14ac:dyDescent="0.2">
      <c r="B8135" s="183"/>
    </row>
    <row r="8136" spans="2:2" ht="15" x14ac:dyDescent="0.2">
      <c r="B8136" s="183"/>
    </row>
    <row r="8137" spans="2:2" ht="15" x14ac:dyDescent="0.2">
      <c r="B8137" s="183"/>
    </row>
    <row r="8138" spans="2:2" ht="15" x14ac:dyDescent="0.2">
      <c r="B8138" s="183"/>
    </row>
    <row r="8139" spans="2:2" ht="15" x14ac:dyDescent="0.2">
      <c r="B8139" s="183"/>
    </row>
    <row r="8140" spans="2:2" ht="15" x14ac:dyDescent="0.2">
      <c r="B8140" s="183"/>
    </row>
    <row r="8141" spans="2:2" ht="15" x14ac:dyDescent="0.2">
      <c r="B8141" s="183"/>
    </row>
    <row r="8142" spans="2:2" ht="15" x14ac:dyDescent="0.2">
      <c r="B8142" s="183"/>
    </row>
    <row r="8143" spans="2:2" ht="15" x14ac:dyDescent="0.2">
      <c r="B8143" s="183"/>
    </row>
    <row r="8144" spans="2:2" ht="15" x14ac:dyDescent="0.2">
      <c r="B8144" s="183"/>
    </row>
    <row r="8145" spans="2:2" ht="15" x14ac:dyDescent="0.2">
      <c r="B8145" s="183"/>
    </row>
    <row r="8146" spans="2:2" ht="15" x14ac:dyDescent="0.2">
      <c r="B8146" s="183"/>
    </row>
    <row r="8147" spans="2:2" ht="15" x14ac:dyDescent="0.2">
      <c r="B8147" s="183"/>
    </row>
    <row r="8148" spans="2:2" ht="15" x14ac:dyDescent="0.2">
      <c r="B8148" s="183"/>
    </row>
    <row r="8149" spans="2:2" ht="15" x14ac:dyDescent="0.2">
      <c r="B8149" s="183"/>
    </row>
    <row r="8150" spans="2:2" ht="15" x14ac:dyDescent="0.2">
      <c r="B8150" s="183"/>
    </row>
    <row r="8151" spans="2:2" ht="15" x14ac:dyDescent="0.2">
      <c r="B8151" s="183"/>
    </row>
    <row r="8152" spans="2:2" ht="15" x14ac:dyDescent="0.2">
      <c r="B8152" s="183"/>
    </row>
    <row r="8153" spans="2:2" ht="15" x14ac:dyDescent="0.2">
      <c r="B8153" s="183"/>
    </row>
    <row r="8154" spans="2:2" ht="15" x14ac:dyDescent="0.2">
      <c r="B8154" s="183"/>
    </row>
    <row r="8155" spans="2:2" ht="15" x14ac:dyDescent="0.2">
      <c r="B8155" s="183"/>
    </row>
    <row r="8156" spans="2:2" ht="15" x14ac:dyDescent="0.2">
      <c r="B8156" s="183"/>
    </row>
    <row r="8157" spans="2:2" ht="15" x14ac:dyDescent="0.2">
      <c r="B8157" s="183"/>
    </row>
    <row r="8158" spans="2:2" ht="15" x14ac:dyDescent="0.2">
      <c r="B8158" s="183"/>
    </row>
    <row r="8159" spans="2:2" ht="15" x14ac:dyDescent="0.2">
      <c r="B8159" s="183"/>
    </row>
    <row r="8160" spans="2:2" ht="15" x14ac:dyDescent="0.2">
      <c r="B8160" s="183"/>
    </row>
    <row r="8161" spans="2:2" ht="15" x14ac:dyDescent="0.2">
      <c r="B8161" s="183"/>
    </row>
    <row r="8162" spans="2:2" ht="15" x14ac:dyDescent="0.2">
      <c r="B8162" s="183"/>
    </row>
    <row r="8163" spans="2:2" ht="15" x14ac:dyDescent="0.2">
      <c r="B8163" s="183"/>
    </row>
    <row r="8164" spans="2:2" ht="15" x14ac:dyDescent="0.2">
      <c r="B8164" s="183"/>
    </row>
    <row r="8165" spans="2:2" ht="15" x14ac:dyDescent="0.2">
      <c r="B8165" s="183"/>
    </row>
    <row r="8166" spans="2:2" ht="15" x14ac:dyDescent="0.2">
      <c r="B8166" s="183"/>
    </row>
    <row r="8167" spans="2:2" ht="15" x14ac:dyDescent="0.2">
      <c r="B8167" s="183"/>
    </row>
    <row r="8168" spans="2:2" ht="15" x14ac:dyDescent="0.2">
      <c r="B8168" s="183"/>
    </row>
    <row r="8169" spans="2:2" ht="15" x14ac:dyDescent="0.2">
      <c r="B8169" s="183"/>
    </row>
    <row r="8170" spans="2:2" ht="15" x14ac:dyDescent="0.2">
      <c r="B8170" s="183"/>
    </row>
    <row r="8171" spans="2:2" ht="15" x14ac:dyDescent="0.2">
      <c r="B8171" s="183"/>
    </row>
    <row r="8172" spans="2:2" ht="15" x14ac:dyDescent="0.2">
      <c r="B8172" s="183"/>
    </row>
    <row r="8173" spans="2:2" ht="15" x14ac:dyDescent="0.2">
      <c r="B8173" s="183"/>
    </row>
    <row r="8174" spans="2:2" ht="15" x14ac:dyDescent="0.2">
      <c r="B8174" s="183"/>
    </row>
    <row r="8175" spans="2:2" ht="15" x14ac:dyDescent="0.2">
      <c r="B8175" s="183"/>
    </row>
    <row r="8176" spans="2:2" ht="15" x14ac:dyDescent="0.2">
      <c r="B8176" s="183"/>
    </row>
    <row r="8177" spans="2:2" ht="15" x14ac:dyDescent="0.2">
      <c r="B8177" s="183"/>
    </row>
    <row r="8178" spans="2:2" ht="15" x14ac:dyDescent="0.2">
      <c r="B8178" s="183"/>
    </row>
    <row r="8179" spans="2:2" ht="15" x14ac:dyDescent="0.2">
      <c r="B8179" s="183"/>
    </row>
    <row r="8180" spans="2:2" ht="15" x14ac:dyDescent="0.2">
      <c r="B8180" s="183"/>
    </row>
    <row r="8181" spans="2:2" ht="15" x14ac:dyDescent="0.2">
      <c r="B8181" s="183"/>
    </row>
    <row r="8182" spans="2:2" ht="15" x14ac:dyDescent="0.2">
      <c r="B8182" s="183"/>
    </row>
    <row r="8183" spans="2:2" ht="15" x14ac:dyDescent="0.2">
      <c r="B8183" s="183"/>
    </row>
    <row r="8184" spans="2:2" ht="15" x14ac:dyDescent="0.2">
      <c r="B8184" s="183"/>
    </row>
    <row r="8185" spans="2:2" ht="15" x14ac:dyDescent="0.2">
      <c r="B8185" s="183"/>
    </row>
    <row r="8186" spans="2:2" ht="15" x14ac:dyDescent="0.2">
      <c r="B8186" s="183"/>
    </row>
    <row r="8187" spans="2:2" ht="15" x14ac:dyDescent="0.2">
      <c r="B8187" s="183"/>
    </row>
    <row r="8188" spans="2:2" ht="15" x14ac:dyDescent="0.2">
      <c r="B8188" s="183"/>
    </row>
    <row r="8189" spans="2:2" ht="15" x14ac:dyDescent="0.2">
      <c r="B8189" s="183"/>
    </row>
    <row r="8190" spans="2:2" ht="15" x14ac:dyDescent="0.2">
      <c r="B8190" s="183"/>
    </row>
    <row r="8191" spans="2:2" ht="15" x14ac:dyDescent="0.2">
      <c r="B8191" s="183"/>
    </row>
    <row r="8192" spans="2:2" ht="15" x14ac:dyDescent="0.2">
      <c r="B8192" s="183"/>
    </row>
    <row r="8193" spans="2:2" ht="15" x14ac:dyDescent="0.2">
      <c r="B8193" s="183"/>
    </row>
    <row r="8194" spans="2:2" ht="15" x14ac:dyDescent="0.2">
      <c r="B8194" s="183"/>
    </row>
    <row r="8195" spans="2:2" ht="15" x14ac:dyDescent="0.2">
      <c r="B8195" s="183"/>
    </row>
    <row r="8196" spans="2:2" ht="15" x14ac:dyDescent="0.2">
      <c r="B8196" s="183"/>
    </row>
    <row r="8197" spans="2:2" ht="15" x14ac:dyDescent="0.2">
      <c r="B8197" s="183"/>
    </row>
    <row r="8198" spans="2:2" ht="15" x14ac:dyDescent="0.2">
      <c r="B8198" s="183"/>
    </row>
    <row r="8199" spans="2:2" ht="15" x14ac:dyDescent="0.2">
      <c r="B8199" s="183"/>
    </row>
    <row r="8200" spans="2:2" ht="15" x14ac:dyDescent="0.2">
      <c r="B8200" s="183"/>
    </row>
    <row r="8201" spans="2:2" ht="15" x14ac:dyDescent="0.2">
      <c r="B8201" s="183"/>
    </row>
    <row r="8202" spans="2:2" ht="15" x14ac:dyDescent="0.2">
      <c r="B8202" s="183"/>
    </row>
    <row r="8203" spans="2:2" ht="15" x14ac:dyDescent="0.2">
      <c r="B8203" s="183"/>
    </row>
    <row r="8204" spans="2:2" ht="15" x14ac:dyDescent="0.2">
      <c r="B8204" s="183"/>
    </row>
    <row r="8205" spans="2:2" ht="15" x14ac:dyDescent="0.2">
      <c r="B8205" s="183"/>
    </row>
    <row r="8206" spans="2:2" ht="15" x14ac:dyDescent="0.2">
      <c r="B8206" s="183"/>
    </row>
    <row r="8207" spans="2:2" ht="15" x14ac:dyDescent="0.2">
      <c r="B8207" s="183"/>
    </row>
    <row r="8208" spans="2:2" ht="15" x14ac:dyDescent="0.2">
      <c r="B8208" s="183"/>
    </row>
    <row r="8209" spans="2:2" ht="15" x14ac:dyDescent="0.2">
      <c r="B8209" s="183"/>
    </row>
    <row r="8210" spans="2:2" ht="15" x14ac:dyDescent="0.2">
      <c r="B8210" s="183"/>
    </row>
    <row r="8211" spans="2:2" ht="15" x14ac:dyDescent="0.2">
      <c r="B8211" s="183"/>
    </row>
    <row r="8212" spans="2:2" ht="15" x14ac:dyDescent="0.2">
      <c r="B8212" s="183"/>
    </row>
    <row r="8213" spans="2:2" ht="15" x14ac:dyDescent="0.2">
      <c r="B8213" s="183"/>
    </row>
    <row r="8214" spans="2:2" ht="15" x14ac:dyDescent="0.2">
      <c r="B8214" s="183"/>
    </row>
    <row r="8215" spans="2:2" ht="15" x14ac:dyDescent="0.2">
      <c r="B8215" s="183"/>
    </row>
    <row r="8216" spans="2:2" ht="15" x14ac:dyDescent="0.2">
      <c r="B8216" s="183"/>
    </row>
    <row r="8217" spans="2:2" ht="15" x14ac:dyDescent="0.2">
      <c r="B8217" s="183"/>
    </row>
    <row r="8218" spans="2:2" ht="15" x14ac:dyDescent="0.2">
      <c r="B8218" s="183"/>
    </row>
    <row r="8219" spans="2:2" ht="15" x14ac:dyDescent="0.2">
      <c r="B8219" s="183"/>
    </row>
    <row r="8220" spans="2:2" ht="15" x14ac:dyDescent="0.2">
      <c r="B8220" s="183"/>
    </row>
    <row r="8221" spans="2:2" ht="15" x14ac:dyDescent="0.2">
      <c r="B8221" s="183"/>
    </row>
    <row r="8222" spans="2:2" ht="15" x14ac:dyDescent="0.2">
      <c r="B8222" s="183"/>
    </row>
    <row r="8223" spans="2:2" ht="15" x14ac:dyDescent="0.2">
      <c r="B8223" s="183"/>
    </row>
    <row r="8224" spans="2:2" ht="15" x14ac:dyDescent="0.2">
      <c r="B8224" s="183"/>
    </row>
    <row r="8225" spans="2:2" ht="15" x14ac:dyDescent="0.2">
      <c r="B8225" s="183"/>
    </row>
    <row r="8226" spans="2:2" ht="15" x14ac:dyDescent="0.2">
      <c r="B8226" s="183"/>
    </row>
    <row r="8227" spans="2:2" ht="15" x14ac:dyDescent="0.2">
      <c r="B8227" s="183"/>
    </row>
    <row r="8228" spans="2:2" ht="15" x14ac:dyDescent="0.2">
      <c r="B8228" s="183"/>
    </row>
    <row r="8229" spans="2:2" ht="15" x14ac:dyDescent="0.2">
      <c r="B8229" s="183"/>
    </row>
    <row r="8230" spans="2:2" ht="15" x14ac:dyDescent="0.2">
      <c r="B8230" s="183"/>
    </row>
    <row r="8231" spans="2:2" ht="15" x14ac:dyDescent="0.2">
      <c r="B8231" s="183"/>
    </row>
    <row r="8232" spans="2:2" ht="15" x14ac:dyDescent="0.2">
      <c r="B8232" s="183"/>
    </row>
    <row r="8233" spans="2:2" ht="15" x14ac:dyDescent="0.2">
      <c r="B8233" s="183"/>
    </row>
    <row r="8234" spans="2:2" ht="15" x14ac:dyDescent="0.2">
      <c r="B8234" s="183"/>
    </row>
    <row r="8235" spans="2:2" ht="15" x14ac:dyDescent="0.2">
      <c r="B8235" s="183"/>
    </row>
    <row r="8236" spans="2:2" ht="15" x14ac:dyDescent="0.2">
      <c r="B8236" s="183"/>
    </row>
    <row r="8237" spans="2:2" ht="15" x14ac:dyDescent="0.2">
      <c r="B8237" s="183"/>
    </row>
    <row r="8238" spans="2:2" ht="15" x14ac:dyDescent="0.2">
      <c r="B8238" s="183"/>
    </row>
    <row r="8239" spans="2:2" ht="15" x14ac:dyDescent="0.2">
      <c r="B8239" s="183"/>
    </row>
    <row r="8240" spans="2:2" ht="15" x14ac:dyDescent="0.2">
      <c r="B8240" s="183"/>
    </row>
    <row r="8241" spans="2:2" ht="15" x14ac:dyDescent="0.2">
      <c r="B8241" s="183"/>
    </row>
    <row r="8242" spans="2:2" ht="15" x14ac:dyDescent="0.2">
      <c r="B8242" s="183"/>
    </row>
    <row r="8243" spans="2:2" ht="15" x14ac:dyDescent="0.2">
      <c r="B8243" s="183"/>
    </row>
    <row r="8244" spans="2:2" ht="15" x14ac:dyDescent="0.2">
      <c r="B8244" s="183"/>
    </row>
    <row r="8245" spans="2:2" ht="15" x14ac:dyDescent="0.2">
      <c r="B8245" s="183"/>
    </row>
    <row r="8246" spans="2:2" ht="15" x14ac:dyDescent="0.2">
      <c r="B8246" s="183"/>
    </row>
    <row r="8247" spans="2:2" ht="15" x14ac:dyDescent="0.2">
      <c r="B8247" s="183"/>
    </row>
    <row r="8248" spans="2:2" ht="15" x14ac:dyDescent="0.2">
      <c r="B8248" s="183"/>
    </row>
    <row r="8249" spans="2:2" ht="15" x14ac:dyDescent="0.2">
      <c r="B8249" s="183"/>
    </row>
    <row r="8250" spans="2:2" ht="15" x14ac:dyDescent="0.2">
      <c r="B8250" s="183"/>
    </row>
    <row r="8251" spans="2:2" ht="15" x14ac:dyDescent="0.2">
      <c r="B8251" s="183"/>
    </row>
    <row r="8252" spans="2:2" ht="15" x14ac:dyDescent="0.2">
      <c r="B8252" s="183"/>
    </row>
    <row r="8253" spans="2:2" ht="15" x14ac:dyDescent="0.2">
      <c r="B8253" s="183"/>
    </row>
    <row r="8254" spans="2:2" ht="15" x14ac:dyDescent="0.2">
      <c r="B8254" s="183"/>
    </row>
    <row r="8255" spans="2:2" ht="15" x14ac:dyDescent="0.2">
      <c r="B8255" s="183"/>
    </row>
    <row r="8256" spans="2:2" ht="15" x14ac:dyDescent="0.2">
      <c r="B8256" s="183"/>
    </row>
    <row r="8257" spans="2:2" ht="15" x14ac:dyDescent="0.2">
      <c r="B8257" s="183"/>
    </row>
    <row r="8258" spans="2:2" ht="15" x14ac:dyDescent="0.2">
      <c r="B8258" s="183"/>
    </row>
    <row r="8259" spans="2:2" ht="15" x14ac:dyDescent="0.2">
      <c r="B8259" s="183"/>
    </row>
    <row r="8260" spans="2:2" ht="15" x14ac:dyDescent="0.2">
      <c r="B8260" s="183"/>
    </row>
    <row r="8261" spans="2:2" ht="15" x14ac:dyDescent="0.2">
      <c r="B8261" s="183"/>
    </row>
    <row r="8262" spans="2:2" ht="15" x14ac:dyDescent="0.2">
      <c r="B8262" s="183"/>
    </row>
    <row r="8263" spans="2:2" ht="15" x14ac:dyDescent="0.2">
      <c r="B8263" s="183"/>
    </row>
    <row r="8264" spans="2:2" ht="15" x14ac:dyDescent="0.2">
      <c r="B8264" s="183"/>
    </row>
    <row r="8265" spans="2:2" ht="15" x14ac:dyDescent="0.2">
      <c r="B8265" s="183"/>
    </row>
    <row r="8266" spans="2:2" ht="15" x14ac:dyDescent="0.2">
      <c r="B8266" s="183"/>
    </row>
    <row r="8267" spans="2:2" ht="15" x14ac:dyDescent="0.2">
      <c r="B8267" s="183"/>
    </row>
    <row r="8268" spans="2:2" ht="15" x14ac:dyDescent="0.2">
      <c r="B8268" s="183"/>
    </row>
    <row r="8269" spans="2:2" ht="15" x14ac:dyDescent="0.2">
      <c r="B8269" s="183"/>
    </row>
    <row r="8270" spans="2:2" ht="15" x14ac:dyDescent="0.2">
      <c r="B8270" s="183"/>
    </row>
    <row r="8271" spans="2:2" ht="15" x14ac:dyDescent="0.2">
      <c r="B8271" s="183"/>
    </row>
    <row r="8272" spans="2:2" ht="15" x14ac:dyDescent="0.2">
      <c r="B8272" s="183"/>
    </row>
    <row r="8273" spans="2:2" ht="15" x14ac:dyDescent="0.2">
      <c r="B8273" s="183"/>
    </row>
    <row r="8274" spans="2:2" ht="15" x14ac:dyDescent="0.2">
      <c r="B8274" s="183"/>
    </row>
    <row r="8275" spans="2:2" ht="15" x14ac:dyDescent="0.2">
      <c r="B8275" s="183"/>
    </row>
    <row r="8276" spans="2:2" ht="15" x14ac:dyDescent="0.2">
      <c r="B8276" s="183"/>
    </row>
    <row r="8277" spans="2:2" ht="15" x14ac:dyDescent="0.2">
      <c r="B8277" s="183"/>
    </row>
    <row r="8278" spans="2:2" ht="15" x14ac:dyDescent="0.2">
      <c r="B8278" s="183"/>
    </row>
    <row r="8279" spans="2:2" ht="15" x14ac:dyDescent="0.2">
      <c r="B8279" s="183"/>
    </row>
    <row r="8280" spans="2:2" ht="15" x14ac:dyDescent="0.2">
      <c r="B8280" s="183"/>
    </row>
    <row r="8281" spans="2:2" ht="15" x14ac:dyDescent="0.2">
      <c r="B8281" s="183"/>
    </row>
    <row r="8282" spans="2:2" ht="15" x14ac:dyDescent="0.2">
      <c r="B8282" s="183"/>
    </row>
    <row r="8283" spans="2:2" ht="15" x14ac:dyDescent="0.2">
      <c r="B8283" s="183"/>
    </row>
    <row r="8284" spans="2:2" ht="15" x14ac:dyDescent="0.2">
      <c r="B8284" s="183"/>
    </row>
    <row r="8285" spans="2:2" ht="15" x14ac:dyDescent="0.2">
      <c r="B8285" s="183"/>
    </row>
    <row r="8286" spans="2:2" ht="15" x14ac:dyDescent="0.2">
      <c r="B8286" s="183"/>
    </row>
    <row r="8287" spans="2:2" ht="15" x14ac:dyDescent="0.2">
      <c r="B8287" s="183"/>
    </row>
    <row r="8288" spans="2:2" ht="15" x14ac:dyDescent="0.2">
      <c r="B8288" s="183"/>
    </row>
    <row r="8289" spans="2:2" ht="15" x14ac:dyDescent="0.2">
      <c r="B8289" s="183"/>
    </row>
    <row r="8290" spans="2:2" ht="15" x14ac:dyDescent="0.2">
      <c r="B8290" s="183"/>
    </row>
    <row r="8291" spans="2:2" ht="15" x14ac:dyDescent="0.2">
      <c r="B8291" s="183"/>
    </row>
    <row r="8292" spans="2:2" ht="15" x14ac:dyDescent="0.2">
      <c r="B8292" s="183"/>
    </row>
    <row r="8293" spans="2:2" ht="15" x14ac:dyDescent="0.2">
      <c r="B8293" s="183"/>
    </row>
    <row r="8294" spans="2:2" ht="15" x14ac:dyDescent="0.2">
      <c r="B8294" s="183"/>
    </row>
    <row r="8295" spans="2:2" ht="15" x14ac:dyDescent="0.2">
      <c r="B8295" s="183"/>
    </row>
    <row r="8296" spans="2:2" ht="15" x14ac:dyDescent="0.2">
      <c r="B8296" s="183"/>
    </row>
    <row r="8297" spans="2:2" ht="15" x14ac:dyDescent="0.2">
      <c r="B8297" s="183"/>
    </row>
    <row r="8298" spans="2:2" ht="15" x14ac:dyDescent="0.2">
      <c r="B8298" s="183"/>
    </row>
    <row r="8299" spans="2:2" ht="15" x14ac:dyDescent="0.2">
      <c r="B8299" s="183"/>
    </row>
    <row r="8300" spans="2:2" ht="15" x14ac:dyDescent="0.2">
      <c r="B8300" s="183"/>
    </row>
    <row r="8301" spans="2:2" ht="15" x14ac:dyDescent="0.2">
      <c r="B8301" s="183"/>
    </row>
    <row r="8302" spans="2:2" ht="15" x14ac:dyDescent="0.2">
      <c r="B8302" s="183"/>
    </row>
    <row r="8303" spans="2:2" ht="15" x14ac:dyDescent="0.2">
      <c r="B8303" s="183"/>
    </row>
    <row r="8304" spans="2:2" ht="15" x14ac:dyDescent="0.2">
      <c r="B8304" s="183"/>
    </row>
    <row r="8305" spans="2:2" ht="15" x14ac:dyDescent="0.2">
      <c r="B8305" s="183"/>
    </row>
    <row r="8306" spans="2:2" ht="15" x14ac:dyDescent="0.2">
      <c r="B8306" s="183"/>
    </row>
    <row r="8307" spans="2:2" ht="15" x14ac:dyDescent="0.2">
      <c r="B8307" s="183"/>
    </row>
    <row r="8308" spans="2:2" ht="15" x14ac:dyDescent="0.2">
      <c r="B8308" s="183"/>
    </row>
    <row r="8309" spans="2:2" ht="15" x14ac:dyDescent="0.2">
      <c r="B8309" s="183"/>
    </row>
    <row r="8310" spans="2:2" ht="15" x14ac:dyDescent="0.2">
      <c r="B8310" s="183"/>
    </row>
    <row r="8311" spans="2:2" ht="15" x14ac:dyDescent="0.2">
      <c r="B8311" s="183"/>
    </row>
    <row r="8312" spans="2:2" ht="15" x14ac:dyDescent="0.2">
      <c r="B8312" s="183"/>
    </row>
    <row r="8313" spans="2:2" ht="15" x14ac:dyDescent="0.2">
      <c r="B8313" s="183"/>
    </row>
    <row r="8314" spans="2:2" ht="15" x14ac:dyDescent="0.2">
      <c r="B8314" s="183"/>
    </row>
    <row r="8315" spans="2:2" ht="15" x14ac:dyDescent="0.2">
      <c r="B8315" s="183"/>
    </row>
    <row r="8316" spans="2:2" ht="15" x14ac:dyDescent="0.2">
      <c r="B8316" s="183"/>
    </row>
    <row r="8317" spans="2:2" ht="15" x14ac:dyDescent="0.2">
      <c r="B8317" s="183"/>
    </row>
    <row r="8318" spans="2:2" ht="15" x14ac:dyDescent="0.2">
      <c r="B8318" s="183"/>
    </row>
    <row r="8319" spans="2:2" ht="15" x14ac:dyDescent="0.2">
      <c r="B8319" s="183"/>
    </row>
    <row r="8320" spans="2:2" ht="15" x14ac:dyDescent="0.2">
      <c r="B8320" s="183"/>
    </row>
    <row r="8321" spans="2:2" ht="15" x14ac:dyDescent="0.2">
      <c r="B8321" s="183"/>
    </row>
    <row r="8322" spans="2:2" ht="15" x14ac:dyDescent="0.2">
      <c r="B8322" s="183"/>
    </row>
    <row r="8323" spans="2:2" ht="15" x14ac:dyDescent="0.2">
      <c r="B8323" s="183"/>
    </row>
    <row r="8324" spans="2:2" ht="15" x14ac:dyDescent="0.2">
      <c r="B8324" s="183"/>
    </row>
    <row r="8325" spans="2:2" ht="15" x14ac:dyDescent="0.2">
      <c r="B8325" s="183"/>
    </row>
    <row r="8326" spans="2:2" ht="15" x14ac:dyDescent="0.2">
      <c r="B8326" s="183"/>
    </row>
    <row r="8327" spans="2:2" ht="15" x14ac:dyDescent="0.2">
      <c r="B8327" s="183"/>
    </row>
    <row r="8328" spans="2:2" ht="15" x14ac:dyDescent="0.2">
      <c r="B8328" s="183"/>
    </row>
    <row r="8329" spans="2:2" ht="15" x14ac:dyDescent="0.2">
      <c r="B8329" s="183"/>
    </row>
    <row r="8330" spans="2:2" ht="15" x14ac:dyDescent="0.2">
      <c r="B8330" s="183"/>
    </row>
    <row r="8331" spans="2:2" ht="15" x14ac:dyDescent="0.2">
      <c r="B8331" s="183"/>
    </row>
    <row r="8332" spans="2:2" ht="15" x14ac:dyDescent="0.2">
      <c r="B8332" s="183"/>
    </row>
    <row r="8333" spans="2:2" ht="15" x14ac:dyDescent="0.2">
      <c r="B8333" s="183"/>
    </row>
    <row r="8334" spans="2:2" ht="15" x14ac:dyDescent="0.2">
      <c r="B8334" s="183"/>
    </row>
    <row r="8335" spans="2:2" ht="15" x14ac:dyDescent="0.2">
      <c r="B8335" s="183"/>
    </row>
    <row r="8336" spans="2:2" ht="15" x14ac:dyDescent="0.2">
      <c r="B8336" s="183"/>
    </row>
    <row r="8337" spans="2:2" ht="15" x14ac:dyDescent="0.2">
      <c r="B8337" s="183"/>
    </row>
    <row r="8338" spans="2:2" ht="15" x14ac:dyDescent="0.2">
      <c r="B8338" s="183"/>
    </row>
    <row r="8339" spans="2:2" ht="15" x14ac:dyDescent="0.2">
      <c r="B8339" s="183"/>
    </row>
    <row r="8340" spans="2:2" ht="15" x14ac:dyDescent="0.2">
      <c r="B8340" s="183"/>
    </row>
    <row r="8341" spans="2:2" ht="15" x14ac:dyDescent="0.2">
      <c r="B8341" s="183"/>
    </row>
    <row r="8342" spans="2:2" ht="15" x14ac:dyDescent="0.2">
      <c r="B8342" s="183"/>
    </row>
    <row r="8343" spans="2:2" ht="15" x14ac:dyDescent="0.2">
      <c r="B8343" s="183"/>
    </row>
    <row r="8344" spans="2:2" ht="15" x14ac:dyDescent="0.2">
      <c r="B8344" s="183"/>
    </row>
    <row r="8345" spans="2:2" ht="15" x14ac:dyDescent="0.2">
      <c r="B8345" s="183"/>
    </row>
    <row r="8346" spans="2:2" ht="15" x14ac:dyDescent="0.2">
      <c r="B8346" s="183"/>
    </row>
    <row r="8347" spans="2:2" ht="15" x14ac:dyDescent="0.2">
      <c r="B8347" s="183"/>
    </row>
    <row r="8348" spans="2:2" ht="15" x14ac:dyDescent="0.2">
      <c r="B8348" s="183"/>
    </row>
    <row r="8349" spans="2:2" ht="15" x14ac:dyDescent="0.2">
      <c r="B8349" s="183"/>
    </row>
    <row r="8350" spans="2:2" ht="15" x14ac:dyDescent="0.2">
      <c r="B8350" s="183"/>
    </row>
    <row r="8351" spans="2:2" ht="15" x14ac:dyDescent="0.2">
      <c r="B8351" s="183"/>
    </row>
    <row r="8352" spans="2:2" ht="15" x14ac:dyDescent="0.2">
      <c r="B8352" s="183"/>
    </row>
    <row r="8353" spans="2:2" ht="15" x14ac:dyDescent="0.2">
      <c r="B8353" s="183"/>
    </row>
    <row r="8354" spans="2:2" ht="15" x14ac:dyDescent="0.2">
      <c r="B8354" s="183"/>
    </row>
    <row r="8355" spans="2:2" ht="15" x14ac:dyDescent="0.2">
      <c r="B8355" s="183"/>
    </row>
    <row r="8356" spans="2:2" ht="15" x14ac:dyDescent="0.2">
      <c r="B8356" s="183"/>
    </row>
    <row r="8357" spans="2:2" ht="15" x14ac:dyDescent="0.2">
      <c r="B8357" s="183"/>
    </row>
    <row r="8358" spans="2:2" ht="15" x14ac:dyDescent="0.2">
      <c r="B8358" s="183"/>
    </row>
    <row r="8359" spans="2:2" ht="15" x14ac:dyDescent="0.2">
      <c r="B8359" s="183"/>
    </row>
    <row r="8360" spans="2:2" ht="15" x14ac:dyDescent="0.2">
      <c r="B8360" s="183"/>
    </row>
    <row r="8361" spans="2:2" ht="15" x14ac:dyDescent="0.2">
      <c r="B8361" s="183"/>
    </row>
    <row r="8362" spans="2:2" ht="15" x14ac:dyDescent="0.2">
      <c r="B8362" s="183"/>
    </row>
    <row r="8363" spans="2:2" ht="15" x14ac:dyDescent="0.2">
      <c r="B8363" s="183"/>
    </row>
    <row r="8364" spans="2:2" ht="15" x14ac:dyDescent="0.2">
      <c r="B8364" s="183"/>
    </row>
    <row r="8365" spans="2:2" ht="15" x14ac:dyDescent="0.2">
      <c r="B8365" s="183"/>
    </row>
    <row r="8366" spans="2:2" ht="15" x14ac:dyDescent="0.2">
      <c r="B8366" s="183"/>
    </row>
    <row r="8367" spans="2:2" ht="15" x14ac:dyDescent="0.2">
      <c r="B8367" s="183"/>
    </row>
    <row r="8368" spans="2:2" ht="15" x14ac:dyDescent="0.2">
      <c r="B8368" s="183"/>
    </row>
    <row r="8369" spans="2:2" ht="15" x14ac:dyDescent="0.2">
      <c r="B8369" s="183"/>
    </row>
    <row r="8370" spans="2:2" ht="15" x14ac:dyDescent="0.2">
      <c r="B8370" s="183"/>
    </row>
    <row r="8371" spans="2:2" ht="15" x14ac:dyDescent="0.2">
      <c r="B8371" s="183"/>
    </row>
    <row r="8372" spans="2:2" ht="15" x14ac:dyDescent="0.2">
      <c r="B8372" s="183"/>
    </row>
    <row r="8373" spans="2:2" ht="15" x14ac:dyDescent="0.2">
      <c r="B8373" s="183"/>
    </row>
    <row r="8374" spans="2:2" ht="15" x14ac:dyDescent="0.2">
      <c r="B8374" s="183"/>
    </row>
    <row r="8375" spans="2:2" ht="15" x14ac:dyDescent="0.2">
      <c r="B8375" s="183"/>
    </row>
    <row r="8376" spans="2:2" ht="15" x14ac:dyDescent="0.2">
      <c r="B8376" s="183"/>
    </row>
    <row r="8377" spans="2:2" ht="15" x14ac:dyDescent="0.2">
      <c r="B8377" s="183"/>
    </row>
    <row r="8378" spans="2:2" ht="15" x14ac:dyDescent="0.2">
      <c r="B8378" s="183"/>
    </row>
    <row r="8379" spans="2:2" ht="15" x14ac:dyDescent="0.2">
      <c r="B8379" s="183"/>
    </row>
    <row r="8380" spans="2:2" ht="15" x14ac:dyDescent="0.2">
      <c r="B8380" s="183"/>
    </row>
    <row r="8381" spans="2:2" ht="15" x14ac:dyDescent="0.2">
      <c r="B8381" s="183"/>
    </row>
    <row r="8382" spans="2:2" ht="15" x14ac:dyDescent="0.2">
      <c r="B8382" s="183"/>
    </row>
    <row r="8383" spans="2:2" ht="15" x14ac:dyDescent="0.2">
      <c r="B8383" s="183"/>
    </row>
    <row r="8384" spans="2:2" ht="15" x14ac:dyDescent="0.2">
      <c r="B8384" s="183"/>
    </row>
    <row r="8385" spans="2:2" ht="15" x14ac:dyDescent="0.2">
      <c r="B8385" s="183"/>
    </row>
    <row r="8386" spans="2:2" ht="15" x14ac:dyDescent="0.2">
      <c r="B8386" s="183"/>
    </row>
    <row r="8387" spans="2:2" ht="15" x14ac:dyDescent="0.2">
      <c r="B8387" s="183"/>
    </row>
    <row r="8388" spans="2:2" ht="15" x14ac:dyDescent="0.2">
      <c r="B8388" s="183"/>
    </row>
    <row r="8389" spans="2:2" ht="15" x14ac:dyDescent="0.2">
      <c r="B8389" s="183"/>
    </row>
    <row r="8390" spans="2:2" ht="15" x14ac:dyDescent="0.2">
      <c r="B8390" s="183"/>
    </row>
    <row r="8391" spans="2:2" ht="15" x14ac:dyDescent="0.2">
      <c r="B8391" s="183"/>
    </row>
    <row r="8392" spans="2:2" ht="15" x14ac:dyDescent="0.2">
      <c r="B8392" s="183"/>
    </row>
    <row r="8393" spans="2:2" ht="15" x14ac:dyDescent="0.2">
      <c r="B8393" s="183"/>
    </row>
    <row r="8394" spans="2:2" ht="15" x14ac:dyDescent="0.2">
      <c r="B8394" s="183"/>
    </row>
    <row r="8395" spans="2:2" ht="15" x14ac:dyDescent="0.2">
      <c r="B8395" s="183"/>
    </row>
    <row r="8396" spans="2:2" ht="15" x14ac:dyDescent="0.2">
      <c r="B8396" s="183"/>
    </row>
    <row r="8397" spans="2:2" ht="15" x14ac:dyDescent="0.2">
      <c r="B8397" s="183"/>
    </row>
    <row r="8398" spans="2:2" ht="15" x14ac:dyDescent="0.2">
      <c r="B8398" s="183"/>
    </row>
    <row r="8399" spans="2:2" ht="15" x14ac:dyDescent="0.2">
      <c r="B8399" s="183"/>
    </row>
    <row r="8400" spans="2:2" ht="15" x14ac:dyDescent="0.2">
      <c r="B8400" s="183"/>
    </row>
    <row r="8401" spans="2:2" ht="15" x14ac:dyDescent="0.2">
      <c r="B8401" s="183"/>
    </row>
    <row r="8402" spans="2:2" ht="15" x14ac:dyDescent="0.2">
      <c r="B8402" s="183"/>
    </row>
    <row r="8403" spans="2:2" ht="15" x14ac:dyDescent="0.2">
      <c r="B8403" s="183"/>
    </row>
    <row r="8404" spans="2:2" ht="15" x14ac:dyDescent="0.2">
      <c r="B8404" s="183"/>
    </row>
    <row r="8405" spans="2:2" ht="15" x14ac:dyDescent="0.2">
      <c r="B8405" s="183"/>
    </row>
    <row r="8406" spans="2:2" ht="15" x14ac:dyDescent="0.2">
      <c r="B8406" s="183"/>
    </row>
    <row r="8407" spans="2:2" ht="15" x14ac:dyDescent="0.2">
      <c r="B8407" s="183"/>
    </row>
    <row r="8408" spans="2:2" ht="15" x14ac:dyDescent="0.2">
      <c r="B8408" s="183"/>
    </row>
    <row r="8409" spans="2:2" ht="15" x14ac:dyDescent="0.2">
      <c r="B8409" s="183"/>
    </row>
    <row r="8410" spans="2:2" ht="15" x14ac:dyDescent="0.2">
      <c r="B8410" s="183"/>
    </row>
    <row r="8411" spans="2:2" ht="15" x14ac:dyDescent="0.2">
      <c r="B8411" s="183"/>
    </row>
    <row r="8412" spans="2:2" ht="15" x14ac:dyDescent="0.2">
      <c r="B8412" s="183"/>
    </row>
    <row r="8413" spans="2:2" ht="15" x14ac:dyDescent="0.2">
      <c r="B8413" s="183"/>
    </row>
    <row r="8414" spans="2:2" ht="15" x14ac:dyDescent="0.2">
      <c r="B8414" s="183"/>
    </row>
    <row r="8415" spans="2:2" ht="15" x14ac:dyDescent="0.2">
      <c r="B8415" s="183"/>
    </row>
    <row r="8416" spans="2:2" ht="15" x14ac:dyDescent="0.2">
      <c r="B8416" s="183"/>
    </row>
    <row r="8417" spans="2:2" ht="15" x14ac:dyDescent="0.2">
      <c r="B8417" s="183"/>
    </row>
    <row r="8418" spans="2:2" ht="15" x14ac:dyDescent="0.2">
      <c r="B8418" s="183"/>
    </row>
    <row r="8419" spans="2:2" ht="15" x14ac:dyDescent="0.2">
      <c r="B8419" s="183"/>
    </row>
    <row r="8420" spans="2:2" ht="15" x14ac:dyDescent="0.2">
      <c r="B8420" s="183"/>
    </row>
    <row r="8421" spans="2:2" ht="15" x14ac:dyDescent="0.2">
      <c r="B8421" s="183"/>
    </row>
    <row r="8422" spans="2:2" ht="15" x14ac:dyDescent="0.2">
      <c r="B8422" s="183"/>
    </row>
    <row r="8423" spans="2:2" ht="15" x14ac:dyDescent="0.2">
      <c r="B8423" s="183"/>
    </row>
    <row r="8424" spans="2:2" ht="15" x14ac:dyDescent="0.2">
      <c r="B8424" s="183"/>
    </row>
    <row r="8425" spans="2:2" ht="15" x14ac:dyDescent="0.2">
      <c r="B8425" s="183"/>
    </row>
    <row r="8426" spans="2:2" ht="15" x14ac:dyDescent="0.2">
      <c r="B8426" s="183"/>
    </row>
    <row r="8427" spans="2:2" ht="15" x14ac:dyDescent="0.2">
      <c r="B8427" s="183"/>
    </row>
    <row r="8428" spans="2:2" ht="15" x14ac:dyDescent="0.2">
      <c r="B8428" s="183"/>
    </row>
    <row r="8429" spans="2:2" ht="15" x14ac:dyDescent="0.2">
      <c r="B8429" s="183"/>
    </row>
    <row r="8430" spans="2:2" ht="15" x14ac:dyDescent="0.2">
      <c r="B8430" s="183"/>
    </row>
    <row r="8431" spans="2:2" ht="15" x14ac:dyDescent="0.2">
      <c r="B8431" s="183"/>
    </row>
    <row r="8432" spans="2:2" ht="15" x14ac:dyDescent="0.2">
      <c r="B8432" s="183"/>
    </row>
    <row r="8433" spans="2:2" ht="15" x14ac:dyDescent="0.2">
      <c r="B8433" s="183"/>
    </row>
    <row r="8434" spans="2:2" ht="15" x14ac:dyDescent="0.2">
      <c r="B8434" s="183"/>
    </row>
    <row r="8435" spans="2:2" ht="15" x14ac:dyDescent="0.2">
      <c r="B8435" s="183"/>
    </row>
    <row r="8436" spans="2:2" ht="15" x14ac:dyDescent="0.2">
      <c r="B8436" s="183"/>
    </row>
    <row r="8437" spans="2:2" ht="15" x14ac:dyDescent="0.2">
      <c r="B8437" s="183"/>
    </row>
    <row r="8438" spans="2:2" ht="15" x14ac:dyDescent="0.2">
      <c r="B8438" s="183"/>
    </row>
    <row r="8439" spans="2:2" ht="15" x14ac:dyDescent="0.2">
      <c r="B8439" s="183"/>
    </row>
    <row r="8440" spans="2:2" ht="15" x14ac:dyDescent="0.2">
      <c r="B8440" s="183"/>
    </row>
    <row r="8441" spans="2:2" ht="15" x14ac:dyDescent="0.2">
      <c r="B8441" s="183"/>
    </row>
    <row r="8442" spans="2:2" ht="15" x14ac:dyDescent="0.2">
      <c r="B8442" s="183"/>
    </row>
    <row r="8443" spans="2:2" ht="15" x14ac:dyDescent="0.2">
      <c r="B8443" s="183"/>
    </row>
    <row r="8444" spans="2:2" ht="15" x14ac:dyDescent="0.2">
      <c r="B8444" s="183"/>
    </row>
    <row r="8445" spans="2:2" ht="15" x14ac:dyDescent="0.2">
      <c r="B8445" s="183"/>
    </row>
    <row r="8446" spans="2:2" ht="15" x14ac:dyDescent="0.2">
      <c r="B8446" s="183"/>
    </row>
    <row r="8447" spans="2:2" ht="15" x14ac:dyDescent="0.2">
      <c r="B8447" s="183"/>
    </row>
    <row r="8448" spans="2:2" ht="15" x14ac:dyDescent="0.2">
      <c r="B8448" s="183"/>
    </row>
    <row r="8449" spans="2:2" ht="15" x14ac:dyDescent="0.2">
      <c r="B8449" s="183"/>
    </row>
    <row r="8450" spans="2:2" ht="15" x14ac:dyDescent="0.2">
      <c r="B8450" s="183"/>
    </row>
    <row r="8451" spans="2:2" ht="15" x14ac:dyDescent="0.2">
      <c r="B8451" s="183"/>
    </row>
    <row r="8452" spans="2:2" ht="15" x14ac:dyDescent="0.2">
      <c r="B8452" s="183"/>
    </row>
    <row r="8453" spans="2:2" ht="15" x14ac:dyDescent="0.2">
      <c r="B8453" s="183"/>
    </row>
    <row r="8454" spans="2:2" ht="15" x14ac:dyDescent="0.2">
      <c r="B8454" s="183"/>
    </row>
    <row r="8455" spans="2:2" ht="15" x14ac:dyDescent="0.2">
      <c r="B8455" s="183"/>
    </row>
    <row r="8456" spans="2:2" ht="15" x14ac:dyDescent="0.2">
      <c r="B8456" s="183"/>
    </row>
    <row r="8457" spans="2:2" ht="15" x14ac:dyDescent="0.2">
      <c r="B8457" s="183"/>
    </row>
    <row r="8458" spans="2:2" ht="15" x14ac:dyDescent="0.2">
      <c r="B8458" s="183"/>
    </row>
    <row r="8459" spans="2:2" ht="15" x14ac:dyDescent="0.2">
      <c r="B8459" s="183"/>
    </row>
    <row r="8460" spans="2:2" ht="15" x14ac:dyDescent="0.2">
      <c r="B8460" s="183"/>
    </row>
    <row r="8461" spans="2:2" ht="15" x14ac:dyDescent="0.2">
      <c r="B8461" s="183"/>
    </row>
    <row r="8462" spans="2:2" ht="15" x14ac:dyDescent="0.2">
      <c r="B8462" s="183"/>
    </row>
    <row r="8463" spans="2:2" ht="15" x14ac:dyDescent="0.2">
      <c r="B8463" s="183"/>
    </row>
    <row r="8464" spans="2:2" ht="15" x14ac:dyDescent="0.2">
      <c r="B8464" s="183"/>
    </row>
    <row r="8465" spans="2:2" ht="15" x14ac:dyDescent="0.2">
      <c r="B8465" s="183"/>
    </row>
    <row r="8466" spans="2:2" ht="15" x14ac:dyDescent="0.2">
      <c r="B8466" s="183"/>
    </row>
    <row r="8467" spans="2:2" ht="15" x14ac:dyDescent="0.2">
      <c r="B8467" s="183"/>
    </row>
    <row r="8468" spans="2:2" ht="15" x14ac:dyDescent="0.2">
      <c r="B8468" s="183"/>
    </row>
    <row r="8469" spans="2:2" ht="15" x14ac:dyDescent="0.2">
      <c r="B8469" s="183"/>
    </row>
    <row r="8470" spans="2:2" ht="15" x14ac:dyDescent="0.2">
      <c r="B8470" s="183"/>
    </row>
    <row r="8471" spans="2:2" ht="15" x14ac:dyDescent="0.2">
      <c r="B8471" s="183"/>
    </row>
    <row r="8472" spans="2:2" ht="15" x14ac:dyDescent="0.2">
      <c r="B8472" s="183"/>
    </row>
    <row r="8473" spans="2:2" ht="15" x14ac:dyDescent="0.2">
      <c r="B8473" s="183"/>
    </row>
    <row r="8474" spans="2:2" ht="15" x14ac:dyDescent="0.2">
      <c r="B8474" s="183"/>
    </row>
    <row r="8475" spans="2:2" ht="15" x14ac:dyDescent="0.2">
      <c r="B8475" s="183"/>
    </row>
    <row r="8476" spans="2:2" ht="15" x14ac:dyDescent="0.2">
      <c r="B8476" s="183"/>
    </row>
    <row r="8477" spans="2:2" ht="15" x14ac:dyDescent="0.2">
      <c r="B8477" s="183"/>
    </row>
    <row r="8478" spans="2:2" ht="15" x14ac:dyDescent="0.2">
      <c r="B8478" s="183"/>
    </row>
    <row r="8479" spans="2:2" ht="15" x14ac:dyDescent="0.2">
      <c r="B8479" s="183"/>
    </row>
    <row r="8480" spans="2:2" ht="15" x14ac:dyDescent="0.2">
      <c r="B8480" s="183"/>
    </row>
    <row r="8481" spans="2:2" ht="15" x14ac:dyDescent="0.2">
      <c r="B8481" s="183"/>
    </row>
    <row r="8482" spans="2:2" ht="15" x14ac:dyDescent="0.2">
      <c r="B8482" s="183"/>
    </row>
    <row r="8483" spans="2:2" ht="15" x14ac:dyDescent="0.2">
      <c r="B8483" s="183"/>
    </row>
    <row r="8484" spans="2:2" ht="15" x14ac:dyDescent="0.2">
      <c r="B8484" s="183"/>
    </row>
    <row r="8485" spans="2:2" ht="15" x14ac:dyDescent="0.2">
      <c r="B8485" s="183"/>
    </row>
    <row r="8486" spans="2:2" ht="15" x14ac:dyDescent="0.2">
      <c r="B8486" s="183"/>
    </row>
    <row r="8487" spans="2:2" ht="15" x14ac:dyDescent="0.2">
      <c r="B8487" s="183"/>
    </row>
    <row r="8488" spans="2:2" ht="15" x14ac:dyDescent="0.2">
      <c r="B8488" s="183"/>
    </row>
    <row r="8489" spans="2:2" ht="15" x14ac:dyDescent="0.2">
      <c r="B8489" s="183"/>
    </row>
    <row r="8490" spans="2:2" ht="15" x14ac:dyDescent="0.2">
      <c r="B8490" s="183"/>
    </row>
    <row r="8491" spans="2:2" ht="15" x14ac:dyDescent="0.2">
      <c r="B8491" s="183"/>
    </row>
    <row r="8492" spans="2:2" ht="15" x14ac:dyDescent="0.2">
      <c r="B8492" s="183"/>
    </row>
    <row r="8493" spans="2:2" ht="15" x14ac:dyDescent="0.2">
      <c r="B8493" s="183"/>
    </row>
    <row r="8494" spans="2:2" ht="15" x14ac:dyDescent="0.2">
      <c r="B8494" s="183"/>
    </row>
    <row r="8495" spans="2:2" ht="15" x14ac:dyDescent="0.2">
      <c r="B8495" s="183"/>
    </row>
    <row r="8496" spans="2:2" ht="15" x14ac:dyDescent="0.2">
      <c r="B8496" s="183"/>
    </row>
    <row r="8497" spans="2:2" ht="15" x14ac:dyDescent="0.2">
      <c r="B8497" s="183"/>
    </row>
    <row r="8498" spans="2:2" ht="15" x14ac:dyDescent="0.2">
      <c r="B8498" s="183"/>
    </row>
    <row r="8499" spans="2:2" ht="15" x14ac:dyDescent="0.2">
      <c r="B8499" s="183"/>
    </row>
    <row r="8500" spans="2:2" ht="15" x14ac:dyDescent="0.2">
      <c r="B8500" s="183"/>
    </row>
    <row r="8501" spans="2:2" ht="15" x14ac:dyDescent="0.2">
      <c r="B8501" s="183"/>
    </row>
    <row r="8502" spans="2:2" ht="15" x14ac:dyDescent="0.2">
      <c r="B8502" s="183"/>
    </row>
    <row r="8503" spans="2:2" ht="15" x14ac:dyDescent="0.2">
      <c r="B8503" s="183"/>
    </row>
    <row r="8504" spans="2:2" ht="15" x14ac:dyDescent="0.2">
      <c r="B8504" s="183"/>
    </row>
    <row r="8505" spans="2:2" ht="15" x14ac:dyDescent="0.2">
      <c r="B8505" s="183"/>
    </row>
    <row r="8506" spans="2:2" ht="15" x14ac:dyDescent="0.2">
      <c r="B8506" s="183"/>
    </row>
    <row r="8507" spans="2:2" ht="15" x14ac:dyDescent="0.2">
      <c r="B8507" s="183"/>
    </row>
    <row r="8508" spans="2:2" ht="15" x14ac:dyDescent="0.2">
      <c r="B8508" s="183"/>
    </row>
    <row r="8509" spans="2:2" ht="15" x14ac:dyDescent="0.2">
      <c r="B8509" s="183"/>
    </row>
    <row r="8510" spans="2:2" ht="15" x14ac:dyDescent="0.2">
      <c r="B8510" s="183"/>
    </row>
    <row r="8511" spans="2:2" ht="15" x14ac:dyDescent="0.2">
      <c r="B8511" s="183"/>
    </row>
    <row r="8512" spans="2:2" ht="15" x14ac:dyDescent="0.2">
      <c r="B8512" s="183"/>
    </row>
    <row r="8513" spans="2:2" ht="15" x14ac:dyDescent="0.2">
      <c r="B8513" s="183"/>
    </row>
    <row r="8514" spans="2:2" ht="15" x14ac:dyDescent="0.2">
      <c r="B8514" s="183"/>
    </row>
    <row r="8515" spans="2:2" ht="15" x14ac:dyDescent="0.2">
      <c r="B8515" s="183"/>
    </row>
    <row r="8516" spans="2:2" ht="15" x14ac:dyDescent="0.2">
      <c r="B8516" s="183"/>
    </row>
    <row r="8517" spans="2:2" ht="15" x14ac:dyDescent="0.2">
      <c r="B8517" s="183"/>
    </row>
    <row r="8518" spans="2:2" ht="15" x14ac:dyDescent="0.2">
      <c r="B8518" s="183"/>
    </row>
    <row r="8519" spans="2:2" ht="15" x14ac:dyDescent="0.2">
      <c r="B8519" s="183"/>
    </row>
    <row r="8520" spans="2:2" ht="15" x14ac:dyDescent="0.2">
      <c r="B8520" s="183"/>
    </row>
    <row r="8521" spans="2:2" ht="15" x14ac:dyDescent="0.2">
      <c r="B8521" s="183"/>
    </row>
    <row r="8522" spans="2:2" ht="15" x14ac:dyDescent="0.2">
      <c r="B8522" s="183"/>
    </row>
    <row r="8523" spans="2:2" ht="15" x14ac:dyDescent="0.2">
      <c r="B8523" s="183"/>
    </row>
    <row r="8524" spans="2:2" ht="15" x14ac:dyDescent="0.2">
      <c r="B8524" s="183"/>
    </row>
    <row r="8525" spans="2:2" ht="15" x14ac:dyDescent="0.2">
      <c r="B8525" s="183"/>
    </row>
    <row r="8526" spans="2:2" ht="15" x14ac:dyDescent="0.2">
      <c r="B8526" s="183"/>
    </row>
    <row r="8527" spans="2:2" ht="15" x14ac:dyDescent="0.2">
      <c r="B8527" s="183"/>
    </row>
    <row r="8528" spans="2:2" ht="15" x14ac:dyDescent="0.2">
      <c r="B8528" s="183"/>
    </row>
    <row r="8529" spans="2:2" ht="15" x14ac:dyDescent="0.2">
      <c r="B8529" s="183"/>
    </row>
    <row r="8530" spans="2:2" ht="15" x14ac:dyDescent="0.2">
      <c r="B8530" s="183"/>
    </row>
    <row r="8531" spans="2:2" ht="15" x14ac:dyDescent="0.2">
      <c r="B8531" s="183"/>
    </row>
    <row r="8532" spans="2:2" ht="15" x14ac:dyDescent="0.2">
      <c r="B8532" s="183"/>
    </row>
    <row r="8533" spans="2:2" ht="15" x14ac:dyDescent="0.2">
      <c r="B8533" s="183"/>
    </row>
    <row r="8534" spans="2:2" ht="15" x14ac:dyDescent="0.2">
      <c r="B8534" s="183"/>
    </row>
    <row r="8535" spans="2:2" ht="15" x14ac:dyDescent="0.2">
      <c r="B8535" s="183"/>
    </row>
    <row r="8536" spans="2:2" ht="15" x14ac:dyDescent="0.2">
      <c r="B8536" s="183"/>
    </row>
    <row r="8537" spans="2:2" ht="15" x14ac:dyDescent="0.2">
      <c r="B8537" s="183"/>
    </row>
    <row r="8538" spans="2:2" ht="15" x14ac:dyDescent="0.2">
      <c r="B8538" s="183"/>
    </row>
    <row r="8539" spans="2:2" ht="15" x14ac:dyDescent="0.2">
      <c r="B8539" s="183"/>
    </row>
    <row r="8540" spans="2:2" ht="15" x14ac:dyDescent="0.2">
      <c r="B8540" s="183"/>
    </row>
    <row r="8541" spans="2:2" ht="15" x14ac:dyDescent="0.2">
      <c r="B8541" s="183"/>
    </row>
    <row r="8542" spans="2:2" ht="15" x14ac:dyDescent="0.2">
      <c r="B8542" s="183"/>
    </row>
    <row r="8543" spans="2:2" ht="15" x14ac:dyDescent="0.2">
      <c r="B8543" s="183"/>
    </row>
    <row r="8544" spans="2:2" ht="15" x14ac:dyDescent="0.2">
      <c r="B8544" s="183"/>
    </row>
    <row r="8545" spans="2:2" ht="15" x14ac:dyDescent="0.2">
      <c r="B8545" s="183"/>
    </row>
    <row r="8546" spans="2:2" ht="15" x14ac:dyDescent="0.2">
      <c r="B8546" s="183"/>
    </row>
    <row r="8547" spans="2:2" ht="15" x14ac:dyDescent="0.2">
      <c r="B8547" s="183"/>
    </row>
    <row r="8548" spans="2:2" ht="15" x14ac:dyDescent="0.2">
      <c r="B8548" s="183"/>
    </row>
    <row r="8549" spans="2:2" ht="15" x14ac:dyDescent="0.2">
      <c r="B8549" s="183"/>
    </row>
    <row r="8550" spans="2:2" ht="15" x14ac:dyDescent="0.2">
      <c r="B8550" s="183"/>
    </row>
    <row r="8551" spans="2:2" ht="15" x14ac:dyDescent="0.2">
      <c r="B8551" s="183"/>
    </row>
    <row r="8552" spans="2:2" ht="15" x14ac:dyDescent="0.2">
      <c r="B8552" s="183"/>
    </row>
    <row r="8553" spans="2:2" ht="15" x14ac:dyDescent="0.2">
      <c r="B8553" s="183"/>
    </row>
    <row r="8554" spans="2:2" ht="15" x14ac:dyDescent="0.2">
      <c r="B8554" s="183"/>
    </row>
    <row r="8555" spans="2:2" ht="15" x14ac:dyDescent="0.2">
      <c r="B8555" s="183"/>
    </row>
    <row r="8556" spans="2:2" ht="15" x14ac:dyDescent="0.2">
      <c r="B8556" s="183"/>
    </row>
    <row r="8557" spans="2:2" ht="15" x14ac:dyDescent="0.2">
      <c r="B8557" s="183"/>
    </row>
    <row r="8558" spans="2:2" ht="15" x14ac:dyDescent="0.2">
      <c r="B8558" s="183"/>
    </row>
    <row r="8559" spans="2:2" ht="15" x14ac:dyDescent="0.2">
      <c r="B8559" s="183"/>
    </row>
    <row r="8560" spans="2:2" ht="15" x14ac:dyDescent="0.2">
      <c r="B8560" s="183"/>
    </row>
    <row r="8561" spans="2:2" ht="15" x14ac:dyDescent="0.2">
      <c r="B8561" s="183"/>
    </row>
    <row r="8562" spans="2:2" ht="15" x14ac:dyDescent="0.2">
      <c r="B8562" s="183"/>
    </row>
    <row r="8563" spans="2:2" ht="15" x14ac:dyDescent="0.2">
      <c r="B8563" s="183"/>
    </row>
    <row r="8564" spans="2:2" ht="15" x14ac:dyDescent="0.2">
      <c r="B8564" s="183"/>
    </row>
    <row r="8565" spans="2:2" ht="15" x14ac:dyDescent="0.2">
      <c r="B8565" s="183"/>
    </row>
    <row r="8566" spans="2:2" ht="15" x14ac:dyDescent="0.2">
      <c r="B8566" s="183"/>
    </row>
    <row r="8567" spans="2:2" ht="15" x14ac:dyDescent="0.2">
      <c r="B8567" s="183"/>
    </row>
    <row r="8568" spans="2:2" ht="15" x14ac:dyDescent="0.2">
      <c r="B8568" s="183"/>
    </row>
    <row r="8569" spans="2:2" ht="15" x14ac:dyDescent="0.2">
      <c r="B8569" s="183"/>
    </row>
    <row r="8570" spans="2:2" ht="15" x14ac:dyDescent="0.2">
      <c r="B8570" s="183"/>
    </row>
    <row r="8571" spans="2:2" ht="15" x14ac:dyDescent="0.2">
      <c r="B8571" s="183"/>
    </row>
    <row r="8572" spans="2:2" ht="15" x14ac:dyDescent="0.2">
      <c r="B8572" s="183"/>
    </row>
    <row r="8573" spans="2:2" ht="15" x14ac:dyDescent="0.2">
      <c r="B8573" s="183"/>
    </row>
    <row r="8574" spans="2:2" ht="15" x14ac:dyDescent="0.2">
      <c r="B8574" s="183"/>
    </row>
    <row r="8575" spans="2:2" ht="15" x14ac:dyDescent="0.2">
      <c r="B8575" s="183"/>
    </row>
    <row r="8576" spans="2:2" ht="15" x14ac:dyDescent="0.2">
      <c r="B8576" s="183"/>
    </row>
    <row r="8577" spans="2:2" ht="15" x14ac:dyDescent="0.2">
      <c r="B8577" s="183"/>
    </row>
    <row r="8578" spans="2:2" ht="15" x14ac:dyDescent="0.2">
      <c r="B8578" s="183"/>
    </row>
    <row r="8579" spans="2:2" ht="15" x14ac:dyDescent="0.2">
      <c r="B8579" s="183"/>
    </row>
    <row r="8580" spans="2:2" ht="15" x14ac:dyDescent="0.2">
      <c r="B8580" s="183"/>
    </row>
    <row r="8581" spans="2:2" ht="15" x14ac:dyDescent="0.2">
      <c r="B8581" s="183"/>
    </row>
    <row r="8582" spans="2:2" ht="15" x14ac:dyDescent="0.2">
      <c r="B8582" s="183"/>
    </row>
    <row r="8583" spans="2:2" ht="15" x14ac:dyDescent="0.2">
      <c r="B8583" s="183"/>
    </row>
    <row r="8584" spans="2:2" ht="15" x14ac:dyDescent="0.2">
      <c r="B8584" s="183"/>
    </row>
    <row r="8585" spans="2:2" ht="15" x14ac:dyDescent="0.2">
      <c r="B8585" s="183"/>
    </row>
    <row r="8586" spans="2:2" ht="15" x14ac:dyDescent="0.2">
      <c r="B8586" s="183"/>
    </row>
    <row r="8587" spans="2:2" ht="15" x14ac:dyDescent="0.2">
      <c r="B8587" s="183"/>
    </row>
    <row r="8588" spans="2:2" ht="15" x14ac:dyDescent="0.2">
      <c r="B8588" s="183"/>
    </row>
    <row r="8589" spans="2:2" ht="15" x14ac:dyDescent="0.2">
      <c r="B8589" s="183"/>
    </row>
    <row r="8590" spans="2:2" ht="15" x14ac:dyDescent="0.2">
      <c r="B8590" s="183"/>
    </row>
    <row r="8591" spans="2:2" ht="15" x14ac:dyDescent="0.2">
      <c r="B8591" s="183"/>
    </row>
    <row r="8592" spans="2:2" ht="15" x14ac:dyDescent="0.2">
      <c r="B8592" s="183"/>
    </row>
    <row r="8593" spans="2:2" ht="15" x14ac:dyDescent="0.2">
      <c r="B8593" s="183"/>
    </row>
    <row r="8594" spans="2:2" ht="15" x14ac:dyDescent="0.2">
      <c r="B8594" s="183"/>
    </row>
    <row r="8595" spans="2:2" ht="15" x14ac:dyDescent="0.2">
      <c r="B8595" s="183"/>
    </row>
    <row r="8596" spans="2:2" ht="15" x14ac:dyDescent="0.2">
      <c r="B8596" s="183"/>
    </row>
    <row r="8597" spans="2:2" ht="15" x14ac:dyDescent="0.2">
      <c r="B8597" s="183"/>
    </row>
    <row r="8598" spans="2:2" ht="15" x14ac:dyDescent="0.2">
      <c r="B8598" s="183"/>
    </row>
    <row r="8599" spans="2:2" ht="15" x14ac:dyDescent="0.2">
      <c r="B8599" s="183"/>
    </row>
    <row r="8600" spans="2:2" ht="15" x14ac:dyDescent="0.2">
      <c r="B8600" s="183"/>
    </row>
    <row r="8601" spans="2:2" ht="15" x14ac:dyDescent="0.2">
      <c r="B8601" s="183"/>
    </row>
    <row r="8602" spans="2:2" ht="15" x14ac:dyDescent="0.2">
      <c r="B8602" s="183"/>
    </row>
    <row r="8603" spans="2:2" ht="15" x14ac:dyDescent="0.2">
      <c r="B8603" s="183"/>
    </row>
    <row r="8604" spans="2:2" ht="15" x14ac:dyDescent="0.2">
      <c r="B8604" s="183"/>
    </row>
    <row r="8605" spans="2:2" ht="15" x14ac:dyDescent="0.2">
      <c r="B8605" s="183"/>
    </row>
    <row r="8606" spans="2:2" ht="15" x14ac:dyDescent="0.2">
      <c r="B8606" s="183"/>
    </row>
    <row r="8607" spans="2:2" ht="15" x14ac:dyDescent="0.2">
      <c r="B8607" s="183"/>
    </row>
    <row r="8608" spans="2:2" ht="15" x14ac:dyDescent="0.2">
      <c r="B8608" s="183"/>
    </row>
    <row r="8609" spans="2:2" ht="15" x14ac:dyDescent="0.2">
      <c r="B8609" s="183"/>
    </row>
    <row r="8610" spans="2:2" ht="15" x14ac:dyDescent="0.2">
      <c r="B8610" s="183"/>
    </row>
    <row r="8611" spans="2:2" ht="15" x14ac:dyDescent="0.2">
      <c r="B8611" s="183"/>
    </row>
    <row r="8612" spans="2:2" ht="15" x14ac:dyDescent="0.2">
      <c r="B8612" s="183"/>
    </row>
    <row r="8613" spans="2:2" ht="15" x14ac:dyDescent="0.2">
      <c r="B8613" s="183"/>
    </row>
    <row r="8614" spans="2:2" ht="15" x14ac:dyDescent="0.2">
      <c r="B8614" s="183"/>
    </row>
    <row r="8615" spans="2:2" ht="15" x14ac:dyDescent="0.2">
      <c r="B8615" s="183"/>
    </row>
    <row r="8616" spans="2:2" ht="15" x14ac:dyDescent="0.2">
      <c r="B8616" s="183"/>
    </row>
    <row r="8617" spans="2:2" ht="15" x14ac:dyDescent="0.2">
      <c r="B8617" s="183"/>
    </row>
    <row r="8618" spans="2:2" ht="15" x14ac:dyDescent="0.2">
      <c r="B8618" s="183"/>
    </row>
    <row r="8619" spans="2:2" ht="15" x14ac:dyDescent="0.2">
      <c r="B8619" s="183"/>
    </row>
    <row r="8620" spans="2:2" ht="15" x14ac:dyDescent="0.2">
      <c r="B8620" s="183"/>
    </row>
    <row r="8621" spans="2:2" ht="15" x14ac:dyDescent="0.2">
      <c r="B8621" s="183"/>
    </row>
    <row r="8622" spans="2:2" ht="15" x14ac:dyDescent="0.2">
      <c r="B8622" s="183"/>
    </row>
    <row r="8623" spans="2:2" ht="15" x14ac:dyDescent="0.2">
      <c r="B8623" s="183"/>
    </row>
    <row r="8624" spans="2:2" ht="15" x14ac:dyDescent="0.2">
      <c r="B8624" s="183"/>
    </row>
    <row r="8625" spans="2:2" ht="15" x14ac:dyDescent="0.2">
      <c r="B8625" s="183"/>
    </row>
    <row r="8626" spans="2:2" ht="15" x14ac:dyDescent="0.2">
      <c r="B8626" s="183"/>
    </row>
    <row r="8627" spans="2:2" ht="15" x14ac:dyDescent="0.2">
      <c r="B8627" s="183"/>
    </row>
    <row r="8628" spans="2:2" ht="15" x14ac:dyDescent="0.2">
      <c r="B8628" s="183"/>
    </row>
    <row r="8629" spans="2:2" ht="15" x14ac:dyDescent="0.2">
      <c r="B8629" s="183"/>
    </row>
    <row r="8630" spans="2:2" ht="15" x14ac:dyDescent="0.2">
      <c r="B8630" s="183"/>
    </row>
    <row r="8631" spans="2:2" ht="15" x14ac:dyDescent="0.2">
      <c r="B8631" s="183"/>
    </row>
    <row r="8632" spans="2:2" ht="15" x14ac:dyDescent="0.2">
      <c r="B8632" s="183"/>
    </row>
    <row r="8633" spans="2:2" ht="15" x14ac:dyDescent="0.2">
      <c r="B8633" s="183"/>
    </row>
    <row r="8634" spans="2:2" ht="15" x14ac:dyDescent="0.2">
      <c r="B8634" s="183"/>
    </row>
    <row r="8635" spans="2:2" ht="15" x14ac:dyDescent="0.2">
      <c r="B8635" s="183"/>
    </row>
    <row r="8636" spans="2:2" ht="15" x14ac:dyDescent="0.2">
      <c r="B8636" s="183"/>
    </row>
    <row r="8637" spans="2:2" ht="15" x14ac:dyDescent="0.2">
      <c r="B8637" s="183"/>
    </row>
    <row r="8638" spans="2:2" ht="15" x14ac:dyDescent="0.2">
      <c r="B8638" s="183"/>
    </row>
    <row r="8639" spans="2:2" ht="15" x14ac:dyDescent="0.2">
      <c r="B8639" s="183"/>
    </row>
    <row r="8640" spans="2:2" ht="15" x14ac:dyDescent="0.2">
      <c r="B8640" s="183"/>
    </row>
    <row r="8641" spans="2:2" ht="15" x14ac:dyDescent="0.2">
      <c r="B8641" s="183"/>
    </row>
    <row r="8642" spans="2:2" ht="15" x14ac:dyDescent="0.2">
      <c r="B8642" s="183"/>
    </row>
    <row r="8643" spans="2:2" ht="15" x14ac:dyDescent="0.2">
      <c r="B8643" s="183"/>
    </row>
    <row r="8644" spans="2:2" ht="15" x14ac:dyDescent="0.2">
      <c r="B8644" s="183"/>
    </row>
    <row r="8645" spans="2:2" ht="15" x14ac:dyDescent="0.2">
      <c r="B8645" s="183"/>
    </row>
    <row r="8646" spans="2:2" ht="15" x14ac:dyDescent="0.2">
      <c r="B8646" s="183"/>
    </row>
    <row r="8647" spans="2:2" ht="15" x14ac:dyDescent="0.2">
      <c r="B8647" s="183"/>
    </row>
    <row r="8648" spans="2:2" ht="15" x14ac:dyDescent="0.2">
      <c r="B8648" s="183"/>
    </row>
    <row r="8649" spans="2:2" ht="15" x14ac:dyDescent="0.2">
      <c r="B8649" s="183"/>
    </row>
    <row r="8650" spans="2:2" ht="15" x14ac:dyDescent="0.2">
      <c r="B8650" s="183"/>
    </row>
    <row r="8651" spans="2:2" ht="15" x14ac:dyDescent="0.2">
      <c r="B8651" s="183"/>
    </row>
    <row r="8652" spans="2:2" ht="15" x14ac:dyDescent="0.2">
      <c r="B8652" s="183"/>
    </row>
    <row r="8653" spans="2:2" ht="15" x14ac:dyDescent="0.2">
      <c r="B8653" s="183"/>
    </row>
    <row r="8654" spans="2:2" ht="15" x14ac:dyDescent="0.2">
      <c r="B8654" s="183"/>
    </row>
    <row r="8655" spans="2:2" ht="15" x14ac:dyDescent="0.2">
      <c r="B8655" s="183"/>
    </row>
    <row r="8656" spans="2:2" ht="15" x14ac:dyDescent="0.2">
      <c r="B8656" s="183"/>
    </row>
    <row r="8657" spans="2:2" ht="15" x14ac:dyDescent="0.2">
      <c r="B8657" s="183"/>
    </row>
    <row r="8658" spans="2:2" ht="15" x14ac:dyDescent="0.2">
      <c r="B8658" s="183"/>
    </row>
    <row r="8659" spans="2:2" ht="15" x14ac:dyDescent="0.2">
      <c r="B8659" s="183"/>
    </row>
    <row r="8660" spans="2:2" ht="15" x14ac:dyDescent="0.2">
      <c r="B8660" s="183"/>
    </row>
    <row r="8661" spans="2:2" ht="15" x14ac:dyDescent="0.2">
      <c r="B8661" s="183"/>
    </row>
    <row r="8662" spans="2:2" ht="15" x14ac:dyDescent="0.2">
      <c r="B8662" s="183"/>
    </row>
    <row r="8663" spans="2:2" ht="15" x14ac:dyDescent="0.2">
      <c r="B8663" s="183"/>
    </row>
    <row r="8664" spans="2:2" ht="15" x14ac:dyDescent="0.2">
      <c r="B8664" s="183"/>
    </row>
    <row r="8665" spans="2:2" ht="15" x14ac:dyDescent="0.2">
      <c r="B8665" s="183"/>
    </row>
    <row r="8666" spans="2:2" ht="15" x14ac:dyDescent="0.2">
      <c r="B8666" s="183"/>
    </row>
    <row r="8667" spans="2:2" ht="15" x14ac:dyDescent="0.2">
      <c r="B8667" s="183"/>
    </row>
    <row r="8668" spans="2:2" ht="15" x14ac:dyDescent="0.2">
      <c r="B8668" s="183"/>
    </row>
    <row r="8669" spans="2:2" ht="15" x14ac:dyDescent="0.2">
      <c r="B8669" s="183"/>
    </row>
    <row r="8670" spans="2:2" ht="15" x14ac:dyDescent="0.2">
      <c r="B8670" s="183"/>
    </row>
    <row r="8671" spans="2:2" ht="15" x14ac:dyDescent="0.2">
      <c r="B8671" s="183"/>
    </row>
    <row r="8672" spans="2:2" ht="15" x14ac:dyDescent="0.2">
      <c r="B8672" s="183"/>
    </row>
    <row r="8673" spans="2:2" ht="15" x14ac:dyDescent="0.2">
      <c r="B8673" s="183"/>
    </row>
    <row r="8674" spans="2:2" ht="15" x14ac:dyDescent="0.2">
      <c r="B8674" s="183"/>
    </row>
    <row r="8675" spans="2:2" ht="15" x14ac:dyDescent="0.2">
      <c r="B8675" s="183"/>
    </row>
    <row r="8676" spans="2:2" ht="15" x14ac:dyDescent="0.2">
      <c r="B8676" s="183"/>
    </row>
    <row r="8677" spans="2:2" ht="15" x14ac:dyDescent="0.2">
      <c r="B8677" s="183"/>
    </row>
    <row r="8678" spans="2:2" ht="15" x14ac:dyDescent="0.2">
      <c r="B8678" s="183"/>
    </row>
    <row r="8679" spans="2:2" ht="15" x14ac:dyDescent="0.2">
      <c r="B8679" s="183"/>
    </row>
    <row r="8680" spans="2:2" ht="15" x14ac:dyDescent="0.2">
      <c r="B8680" s="183"/>
    </row>
    <row r="8681" spans="2:2" ht="15" x14ac:dyDescent="0.2">
      <c r="B8681" s="183"/>
    </row>
    <row r="8682" spans="2:2" ht="15" x14ac:dyDescent="0.2">
      <c r="B8682" s="183"/>
    </row>
    <row r="8683" spans="2:2" ht="15" x14ac:dyDescent="0.2">
      <c r="B8683" s="183"/>
    </row>
    <row r="8684" spans="2:2" ht="15" x14ac:dyDescent="0.2">
      <c r="B8684" s="183"/>
    </row>
    <row r="8685" spans="2:2" ht="15" x14ac:dyDescent="0.2">
      <c r="B8685" s="183"/>
    </row>
    <row r="8686" spans="2:2" ht="15" x14ac:dyDescent="0.2">
      <c r="B8686" s="183"/>
    </row>
    <row r="8687" spans="2:2" ht="15" x14ac:dyDescent="0.2">
      <c r="B8687" s="183"/>
    </row>
    <row r="8688" spans="2:2" ht="15" x14ac:dyDescent="0.2">
      <c r="B8688" s="183"/>
    </row>
    <row r="8689" spans="2:2" ht="15" x14ac:dyDescent="0.2">
      <c r="B8689" s="183"/>
    </row>
    <row r="8690" spans="2:2" ht="15" x14ac:dyDescent="0.2">
      <c r="B8690" s="183"/>
    </row>
    <row r="8691" spans="2:2" ht="15" x14ac:dyDescent="0.2">
      <c r="B8691" s="183"/>
    </row>
    <row r="8692" spans="2:2" ht="15" x14ac:dyDescent="0.2">
      <c r="B8692" s="183"/>
    </row>
    <row r="8693" spans="2:2" ht="15" x14ac:dyDescent="0.2">
      <c r="B8693" s="183"/>
    </row>
    <row r="8694" spans="2:2" ht="15" x14ac:dyDescent="0.2">
      <c r="B8694" s="183"/>
    </row>
    <row r="8695" spans="2:2" ht="15" x14ac:dyDescent="0.2">
      <c r="B8695" s="183"/>
    </row>
    <row r="8696" spans="2:2" ht="15" x14ac:dyDescent="0.2">
      <c r="B8696" s="183"/>
    </row>
    <row r="8697" spans="2:2" ht="15" x14ac:dyDescent="0.2">
      <c r="B8697" s="183"/>
    </row>
    <row r="8698" spans="2:2" ht="15" x14ac:dyDescent="0.2">
      <c r="B8698" s="183"/>
    </row>
    <row r="8699" spans="2:2" ht="15" x14ac:dyDescent="0.2">
      <c r="B8699" s="183"/>
    </row>
    <row r="8700" spans="2:2" ht="15" x14ac:dyDescent="0.2">
      <c r="B8700" s="183"/>
    </row>
    <row r="8701" spans="2:2" ht="15" x14ac:dyDescent="0.2">
      <c r="B8701" s="183"/>
    </row>
    <row r="8702" spans="2:2" ht="15" x14ac:dyDescent="0.2">
      <c r="B8702" s="183"/>
    </row>
    <row r="8703" spans="2:2" ht="15" x14ac:dyDescent="0.2">
      <c r="B8703" s="183"/>
    </row>
    <row r="8704" spans="2:2" ht="15" x14ac:dyDescent="0.2">
      <c r="B8704" s="183"/>
    </row>
    <row r="8705" spans="2:2" ht="15" x14ac:dyDescent="0.2">
      <c r="B8705" s="183"/>
    </row>
    <row r="8706" spans="2:2" ht="15" x14ac:dyDescent="0.2">
      <c r="B8706" s="183"/>
    </row>
    <row r="8707" spans="2:2" ht="15" x14ac:dyDescent="0.2">
      <c r="B8707" s="183"/>
    </row>
    <row r="8708" spans="2:2" ht="15" x14ac:dyDescent="0.2">
      <c r="B8708" s="183"/>
    </row>
    <row r="8709" spans="2:2" ht="15" x14ac:dyDescent="0.2">
      <c r="B8709" s="183"/>
    </row>
    <row r="8710" spans="2:2" ht="15" x14ac:dyDescent="0.2">
      <c r="B8710" s="183"/>
    </row>
    <row r="8711" spans="2:2" ht="15" x14ac:dyDescent="0.2">
      <c r="B8711" s="183"/>
    </row>
    <row r="8712" spans="2:2" ht="15" x14ac:dyDescent="0.2">
      <c r="B8712" s="183"/>
    </row>
    <row r="8713" spans="2:2" ht="15" x14ac:dyDescent="0.2">
      <c r="B8713" s="183"/>
    </row>
    <row r="8714" spans="2:2" ht="15" x14ac:dyDescent="0.2">
      <c r="B8714" s="183"/>
    </row>
    <row r="8715" spans="2:2" ht="15" x14ac:dyDescent="0.2">
      <c r="B8715" s="183"/>
    </row>
    <row r="8716" spans="2:2" ht="15" x14ac:dyDescent="0.2">
      <c r="B8716" s="183"/>
    </row>
    <row r="8717" spans="2:2" ht="15" x14ac:dyDescent="0.2">
      <c r="B8717" s="183"/>
    </row>
    <row r="8718" spans="2:2" ht="15" x14ac:dyDescent="0.2">
      <c r="B8718" s="183"/>
    </row>
    <row r="8719" spans="2:2" ht="15" x14ac:dyDescent="0.2">
      <c r="B8719" s="183"/>
    </row>
    <row r="8720" spans="2:2" ht="15" x14ac:dyDescent="0.2">
      <c r="B8720" s="183"/>
    </row>
    <row r="8721" spans="2:2" ht="15" x14ac:dyDescent="0.2">
      <c r="B8721" s="183"/>
    </row>
    <row r="8722" spans="2:2" ht="15" x14ac:dyDescent="0.2">
      <c r="B8722" s="183"/>
    </row>
    <row r="8723" spans="2:2" ht="15" x14ac:dyDescent="0.2">
      <c r="B8723" s="183"/>
    </row>
    <row r="8724" spans="2:2" ht="15" x14ac:dyDescent="0.2">
      <c r="B8724" s="183"/>
    </row>
    <row r="8725" spans="2:2" ht="15" x14ac:dyDescent="0.2">
      <c r="B8725" s="183"/>
    </row>
    <row r="8726" spans="2:2" ht="15" x14ac:dyDescent="0.2">
      <c r="B8726" s="183"/>
    </row>
    <row r="8727" spans="2:2" ht="15" x14ac:dyDescent="0.2">
      <c r="B8727" s="183"/>
    </row>
    <row r="8728" spans="2:2" ht="15" x14ac:dyDescent="0.2">
      <c r="B8728" s="183"/>
    </row>
    <row r="8729" spans="2:2" ht="15" x14ac:dyDescent="0.2">
      <c r="B8729" s="183"/>
    </row>
    <row r="8730" spans="2:2" ht="15" x14ac:dyDescent="0.2">
      <c r="B8730" s="183"/>
    </row>
    <row r="8731" spans="2:2" ht="15" x14ac:dyDescent="0.2">
      <c r="B8731" s="183"/>
    </row>
    <row r="8732" spans="2:2" ht="15" x14ac:dyDescent="0.2">
      <c r="B8732" s="183"/>
    </row>
    <row r="8733" spans="2:2" ht="15" x14ac:dyDescent="0.2">
      <c r="B8733" s="183"/>
    </row>
    <row r="8734" spans="2:2" ht="15" x14ac:dyDescent="0.2">
      <c r="B8734" s="183"/>
    </row>
    <row r="8735" spans="2:2" ht="15" x14ac:dyDescent="0.2">
      <c r="B8735" s="183"/>
    </row>
    <row r="8736" spans="2:2" ht="15" x14ac:dyDescent="0.2">
      <c r="B8736" s="183"/>
    </row>
    <row r="8737" spans="2:2" ht="15" x14ac:dyDescent="0.2">
      <c r="B8737" s="183"/>
    </row>
    <row r="8738" spans="2:2" ht="15" x14ac:dyDescent="0.2">
      <c r="B8738" s="183"/>
    </row>
    <row r="8739" spans="2:2" ht="15" x14ac:dyDescent="0.2">
      <c r="B8739" s="183"/>
    </row>
    <row r="8740" spans="2:2" ht="15" x14ac:dyDescent="0.2">
      <c r="B8740" s="183"/>
    </row>
    <row r="8741" spans="2:2" ht="15" x14ac:dyDescent="0.2">
      <c r="B8741" s="183"/>
    </row>
    <row r="8742" spans="2:2" ht="15" x14ac:dyDescent="0.2">
      <c r="B8742" s="183"/>
    </row>
    <row r="8743" spans="2:2" ht="15" x14ac:dyDescent="0.2">
      <c r="B8743" s="183"/>
    </row>
    <row r="8744" spans="2:2" ht="15" x14ac:dyDescent="0.2">
      <c r="B8744" s="183"/>
    </row>
    <row r="8745" spans="2:2" ht="15" x14ac:dyDescent="0.2">
      <c r="B8745" s="183"/>
    </row>
    <row r="8746" spans="2:2" ht="15" x14ac:dyDescent="0.2">
      <c r="B8746" s="183"/>
    </row>
    <row r="8747" spans="2:2" ht="15" x14ac:dyDescent="0.2">
      <c r="B8747" s="183"/>
    </row>
    <row r="8748" spans="2:2" ht="15" x14ac:dyDescent="0.2">
      <c r="B8748" s="183"/>
    </row>
    <row r="8749" spans="2:2" ht="15" x14ac:dyDescent="0.2">
      <c r="B8749" s="183"/>
    </row>
    <row r="8750" spans="2:2" ht="15" x14ac:dyDescent="0.2">
      <c r="B8750" s="183"/>
    </row>
    <row r="8751" spans="2:2" ht="15" x14ac:dyDescent="0.2">
      <c r="B8751" s="183"/>
    </row>
    <row r="8752" spans="2:2" ht="15" x14ac:dyDescent="0.2">
      <c r="B8752" s="183"/>
    </row>
    <row r="8753" spans="2:2" ht="15" x14ac:dyDescent="0.2">
      <c r="B8753" s="183"/>
    </row>
    <row r="8754" spans="2:2" ht="15" x14ac:dyDescent="0.2">
      <c r="B8754" s="183"/>
    </row>
    <row r="8755" spans="2:2" ht="15" x14ac:dyDescent="0.2">
      <c r="B8755" s="183"/>
    </row>
    <row r="8756" spans="2:2" ht="15" x14ac:dyDescent="0.2">
      <c r="B8756" s="183"/>
    </row>
    <row r="8757" spans="2:2" ht="15" x14ac:dyDescent="0.2">
      <c r="B8757" s="183"/>
    </row>
    <row r="8758" spans="2:2" ht="15" x14ac:dyDescent="0.2">
      <c r="B8758" s="183"/>
    </row>
    <row r="8759" spans="2:2" ht="15" x14ac:dyDescent="0.2">
      <c r="B8759" s="183"/>
    </row>
    <row r="8760" spans="2:2" ht="15" x14ac:dyDescent="0.2">
      <c r="B8760" s="183"/>
    </row>
    <row r="8761" spans="2:2" ht="15" x14ac:dyDescent="0.2">
      <c r="B8761" s="183"/>
    </row>
    <row r="8762" spans="2:2" ht="15" x14ac:dyDescent="0.2">
      <c r="B8762" s="183"/>
    </row>
    <row r="8763" spans="2:2" ht="15" x14ac:dyDescent="0.2">
      <c r="B8763" s="183"/>
    </row>
    <row r="8764" spans="2:2" ht="15" x14ac:dyDescent="0.2">
      <c r="B8764" s="183"/>
    </row>
    <row r="8765" spans="2:2" ht="15" x14ac:dyDescent="0.2">
      <c r="B8765" s="183"/>
    </row>
    <row r="8766" spans="2:2" ht="15" x14ac:dyDescent="0.2">
      <c r="B8766" s="183"/>
    </row>
    <row r="8767" spans="2:2" ht="15" x14ac:dyDescent="0.2">
      <c r="B8767" s="183"/>
    </row>
    <row r="8768" spans="2:2" ht="15" x14ac:dyDescent="0.2">
      <c r="B8768" s="183"/>
    </row>
    <row r="8769" spans="2:2" ht="15" x14ac:dyDescent="0.2">
      <c r="B8769" s="183"/>
    </row>
    <row r="8770" spans="2:2" ht="15" x14ac:dyDescent="0.2">
      <c r="B8770" s="183"/>
    </row>
    <row r="8771" spans="2:2" ht="15" x14ac:dyDescent="0.2">
      <c r="B8771" s="183"/>
    </row>
    <row r="8772" spans="2:2" ht="15" x14ac:dyDescent="0.2">
      <c r="B8772" s="183"/>
    </row>
    <row r="8773" spans="2:2" ht="15" x14ac:dyDescent="0.2">
      <c r="B8773" s="183"/>
    </row>
    <row r="8774" spans="2:2" ht="15" x14ac:dyDescent="0.2">
      <c r="B8774" s="183"/>
    </row>
    <row r="8775" spans="2:2" ht="15" x14ac:dyDescent="0.2">
      <c r="B8775" s="183"/>
    </row>
    <row r="8776" spans="2:2" ht="15" x14ac:dyDescent="0.2">
      <c r="B8776" s="183"/>
    </row>
    <row r="8777" spans="2:2" ht="15" x14ac:dyDescent="0.2">
      <c r="B8777" s="183"/>
    </row>
    <row r="8778" spans="2:2" ht="15" x14ac:dyDescent="0.2">
      <c r="B8778" s="183"/>
    </row>
    <row r="8779" spans="2:2" ht="15" x14ac:dyDescent="0.2">
      <c r="B8779" s="183"/>
    </row>
    <row r="8780" spans="2:2" ht="15" x14ac:dyDescent="0.2">
      <c r="B8780" s="183"/>
    </row>
    <row r="8781" spans="2:2" ht="15" x14ac:dyDescent="0.2">
      <c r="B8781" s="183"/>
    </row>
    <row r="8782" spans="2:2" ht="15" x14ac:dyDescent="0.2">
      <c r="B8782" s="183"/>
    </row>
    <row r="8783" spans="2:2" ht="15" x14ac:dyDescent="0.2">
      <c r="B8783" s="183"/>
    </row>
    <row r="8784" spans="2:2" ht="15" x14ac:dyDescent="0.2">
      <c r="B8784" s="183"/>
    </row>
    <row r="8785" spans="2:2" ht="15" x14ac:dyDescent="0.2">
      <c r="B8785" s="183"/>
    </row>
    <row r="8786" spans="2:2" ht="15" x14ac:dyDescent="0.2">
      <c r="B8786" s="183"/>
    </row>
    <row r="8787" spans="2:2" ht="15" x14ac:dyDescent="0.2">
      <c r="B8787" s="183"/>
    </row>
    <row r="8788" spans="2:2" ht="15" x14ac:dyDescent="0.2">
      <c r="B8788" s="183"/>
    </row>
    <row r="8789" spans="2:2" ht="15" x14ac:dyDescent="0.2">
      <c r="B8789" s="183"/>
    </row>
    <row r="8790" spans="2:2" ht="15" x14ac:dyDescent="0.2">
      <c r="B8790" s="183"/>
    </row>
    <row r="8791" spans="2:2" ht="15" x14ac:dyDescent="0.2">
      <c r="B8791" s="183"/>
    </row>
    <row r="8792" spans="2:2" ht="15" x14ac:dyDescent="0.2">
      <c r="B8792" s="183"/>
    </row>
    <row r="8793" spans="2:2" ht="15" x14ac:dyDescent="0.2">
      <c r="B8793" s="183"/>
    </row>
    <row r="8794" spans="2:2" ht="15" x14ac:dyDescent="0.2">
      <c r="B8794" s="183"/>
    </row>
    <row r="8795" spans="2:2" ht="15" x14ac:dyDescent="0.2">
      <c r="B8795" s="183"/>
    </row>
    <row r="8796" spans="2:2" ht="15" x14ac:dyDescent="0.2">
      <c r="B8796" s="183"/>
    </row>
    <row r="8797" spans="2:2" ht="15" x14ac:dyDescent="0.2">
      <c r="B8797" s="183"/>
    </row>
    <row r="8798" spans="2:2" ht="15" x14ac:dyDescent="0.2">
      <c r="B8798" s="183"/>
    </row>
    <row r="8799" spans="2:2" ht="15" x14ac:dyDescent="0.2">
      <c r="B8799" s="183"/>
    </row>
    <row r="8800" spans="2:2" ht="15" x14ac:dyDescent="0.2">
      <c r="B8800" s="183"/>
    </row>
    <row r="8801" spans="2:2" ht="15" x14ac:dyDescent="0.2">
      <c r="B8801" s="183"/>
    </row>
    <row r="8802" spans="2:2" ht="15" x14ac:dyDescent="0.2">
      <c r="B8802" s="183"/>
    </row>
    <row r="8803" spans="2:2" ht="15" x14ac:dyDescent="0.2">
      <c r="B8803" s="183"/>
    </row>
    <row r="8804" spans="2:2" ht="15" x14ac:dyDescent="0.2">
      <c r="B8804" s="183"/>
    </row>
    <row r="8805" spans="2:2" ht="15" x14ac:dyDescent="0.2">
      <c r="B8805" s="183"/>
    </row>
    <row r="8806" spans="2:2" ht="15" x14ac:dyDescent="0.2">
      <c r="B8806" s="183"/>
    </row>
    <row r="8807" spans="2:2" ht="15" x14ac:dyDescent="0.2">
      <c r="B8807" s="183"/>
    </row>
    <row r="8808" spans="2:2" ht="15" x14ac:dyDescent="0.2">
      <c r="B8808" s="183"/>
    </row>
    <row r="8809" spans="2:2" ht="15" x14ac:dyDescent="0.2">
      <c r="B8809" s="183"/>
    </row>
    <row r="8810" spans="2:2" ht="15" x14ac:dyDescent="0.2">
      <c r="B8810" s="183"/>
    </row>
    <row r="8811" spans="2:2" ht="15" x14ac:dyDescent="0.2">
      <c r="B8811" s="183"/>
    </row>
    <row r="8812" spans="2:2" ht="15" x14ac:dyDescent="0.2">
      <c r="B8812" s="183"/>
    </row>
    <row r="8813" spans="2:2" ht="15" x14ac:dyDescent="0.2">
      <c r="B8813" s="183"/>
    </row>
    <row r="8814" spans="2:2" ht="15" x14ac:dyDescent="0.2">
      <c r="B8814" s="183"/>
    </row>
    <row r="8815" spans="2:2" ht="15" x14ac:dyDescent="0.2">
      <c r="B8815" s="183"/>
    </row>
    <row r="8816" spans="2:2" ht="15" x14ac:dyDescent="0.2">
      <c r="B8816" s="183"/>
    </row>
    <row r="8817" spans="2:2" ht="15" x14ac:dyDescent="0.2">
      <c r="B8817" s="183"/>
    </row>
    <row r="8818" spans="2:2" ht="15" x14ac:dyDescent="0.2">
      <c r="B8818" s="183"/>
    </row>
    <row r="8819" spans="2:2" ht="15" x14ac:dyDescent="0.2">
      <c r="B8819" s="183"/>
    </row>
    <row r="8820" spans="2:2" ht="15" x14ac:dyDescent="0.2">
      <c r="B8820" s="183"/>
    </row>
    <row r="8821" spans="2:2" ht="15" x14ac:dyDescent="0.2">
      <c r="B8821" s="183"/>
    </row>
    <row r="8822" spans="2:2" ht="15" x14ac:dyDescent="0.2">
      <c r="B8822" s="183"/>
    </row>
    <row r="8823" spans="2:2" ht="15" x14ac:dyDescent="0.2">
      <c r="B8823" s="183"/>
    </row>
    <row r="8824" spans="2:2" ht="15" x14ac:dyDescent="0.2">
      <c r="B8824" s="183"/>
    </row>
    <row r="8825" spans="2:2" ht="15" x14ac:dyDescent="0.2">
      <c r="B8825" s="183"/>
    </row>
    <row r="8826" spans="2:2" ht="15" x14ac:dyDescent="0.2">
      <c r="B8826" s="183"/>
    </row>
    <row r="8827" spans="2:2" ht="15" x14ac:dyDescent="0.2">
      <c r="B8827" s="183"/>
    </row>
    <row r="8828" spans="2:2" ht="15" x14ac:dyDescent="0.2">
      <c r="B8828" s="183"/>
    </row>
    <row r="8829" spans="2:2" ht="15" x14ac:dyDescent="0.2">
      <c r="B8829" s="183"/>
    </row>
    <row r="8830" spans="2:2" ht="15" x14ac:dyDescent="0.2">
      <c r="B8830" s="183"/>
    </row>
    <row r="8831" spans="2:2" ht="15" x14ac:dyDescent="0.2">
      <c r="B8831" s="183"/>
    </row>
    <row r="8832" spans="2:2" ht="15" x14ac:dyDescent="0.2">
      <c r="B8832" s="183"/>
    </row>
    <row r="8833" spans="2:2" ht="15" x14ac:dyDescent="0.2">
      <c r="B8833" s="183"/>
    </row>
    <row r="8834" spans="2:2" ht="15" x14ac:dyDescent="0.2">
      <c r="B8834" s="183"/>
    </row>
    <row r="8835" spans="2:2" ht="15" x14ac:dyDescent="0.2">
      <c r="B8835" s="183"/>
    </row>
    <row r="8836" spans="2:2" ht="15" x14ac:dyDescent="0.2">
      <c r="B8836" s="183"/>
    </row>
    <row r="8837" spans="2:2" ht="15" x14ac:dyDescent="0.2">
      <c r="B8837" s="183"/>
    </row>
    <row r="8838" spans="2:2" ht="15" x14ac:dyDescent="0.2">
      <c r="B8838" s="183"/>
    </row>
    <row r="8839" spans="2:2" ht="15" x14ac:dyDescent="0.2">
      <c r="B8839" s="183"/>
    </row>
    <row r="8840" spans="2:2" ht="15" x14ac:dyDescent="0.2">
      <c r="B8840" s="183"/>
    </row>
    <row r="8841" spans="2:2" ht="15" x14ac:dyDescent="0.2">
      <c r="B8841" s="183"/>
    </row>
    <row r="8842" spans="2:2" ht="15" x14ac:dyDescent="0.2">
      <c r="B8842" s="183"/>
    </row>
    <row r="8843" spans="2:2" ht="15" x14ac:dyDescent="0.2">
      <c r="B8843" s="183"/>
    </row>
    <row r="8844" spans="2:2" ht="15" x14ac:dyDescent="0.2">
      <c r="B8844" s="183"/>
    </row>
    <row r="8845" spans="2:2" ht="15" x14ac:dyDescent="0.2">
      <c r="B8845" s="183"/>
    </row>
    <row r="8846" spans="2:2" ht="15" x14ac:dyDescent="0.2">
      <c r="B8846" s="183"/>
    </row>
    <row r="8847" spans="2:2" ht="15" x14ac:dyDescent="0.2">
      <c r="B8847" s="183"/>
    </row>
    <row r="8848" spans="2:2" ht="15" x14ac:dyDescent="0.2">
      <c r="B8848" s="183"/>
    </row>
    <row r="8849" spans="2:2" ht="15" x14ac:dyDescent="0.2">
      <c r="B8849" s="183"/>
    </row>
    <row r="8850" spans="2:2" ht="15" x14ac:dyDescent="0.2">
      <c r="B8850" s="183"/>
    </row>
    <row r="8851" spans="2:2" ht="15" x14ac:dyDescent="0.2">
      <c r="B8851" s="183"/>
    </row>
    <row r="8852" spans="2:2" ht="15" x14ac:dyDescent="0.2">
      <c r="B8852" s="183"/>
    </row>
    <row r="8853" spans="2:2" ht="15" x14ac:dyDescent="0.2">
      <c r="B8853" s="183"/>
    </row>
    <row r="8854" spans="2:2" ht="15" x14ac:dyDescent="0.2">
      <c r="B8854" s="183"/>
    </row>
    <row r="8855" spans="2:2" ht="15" x14ac:dyDescent="0.2">
      <c r="B8855" s="183"/>
    </row>
    <row r="8856" spans="2:2" ht="15" x14ac:dyDescent="0.2">
      <c r="B8856" s="183"/>
    </row>
    <row r="8857" spans="2:2" ht="15" x14ac:dyDescent="0.2">
      <c r="B8857" s="183"/>
    </row>
    <row r="8858" spans="2:2" ht="15" x14ac:dyDescent="0.2">
      <c r="B8858" s="183"/>
    </row>
    <row r="8859" spans="2:2" ht="15" x14ac:dyDescent="0.2">
      <c r="B8859" s="183"/>
    </row>
    <row r="8860" spans="2:2" ht="15" x14ac:dyDescent="0.2">
      <c r="B8860" s="183"/>
    </row>
    <row r="8861" spans="2:2" ht="15" x14ac:dyDescent="0.2">
      <c r="B8861" s="183"/>
    </row>
    <row r="8862" spans="2:2" ht="15" x14ac:dyDescent="0.2">
      <c r="B8862" s="183"/>
    </row>
    <row r="8863" spans="2:2" ht="15" x14ac:dyDescent="0.2">
      <c r="B8863" s="183"/>
    </row>
    <row r="8864" spans="2:2" ht="15" x14ac:dyDescent="0.2">
      <c r="B8864" s="183"/>
    </row>
    <row r="8865" spans="2:2" ht="15" x14ac:dyDescent="0.2">
      <c r="B8865" s="183"/>
    </row>
    <row r="8866" spans="2:2" ht="15" x14ac:dyDescent="0.2">
      <c r="B8866" s="183"/>
    </row>
    <row r="8867" spans="2:2" ht="15" x14ac:dyDescent="0.2">
      <c r="B8867" s="183"/>
    </row>
    <row r="8868" spans="2:2" ht="15" x14ac:dyDescent="0.2">
      <c r="B8868" s="183"/>
    </row>
    <row r="8869" spans="2:2" ht="15" x14ac:dyDescent="0.2">
      <c r="B8869" s="183"/>
    </row>
    <row r="8870" spans="2:2" ht="15" x14ac:dyDescent="0.2">
      <c r="B8870" s="183"/>
    </row>
    <row r="8871" spans="2:2" ht="15" x14ac:dyDescent="0.2">
      <c r="B8871" s="183"/>
    </row>
    <row r="8872" spans="2:2" ht="15" x14ac:dyDescent="0.2">
      <c r="B8872" s="183"/>
    </row>
    <row r="8873" spans="2:2" ht="15" x14ac:dyDescent="0.2">
      <c r="B8873" s="183"/>
    </row>
    <row r="8874" spans="2:2" ht="15" x14ac:dyDescent="0.2">
      <c r="B8874" s="183"/>
    </row>
    <row r="8875" spans="2:2" ht="15" x14ac:dyDescent="0.2">
      <c r="B8875" s="183"/>
    </row>
    <row r="8876" spans="2:2" ht="15" x14ac:dyDescent="0.2">
      <c r="B8876" s="183"/>
    </row>
    <row r="8877" spans="2:2" ht="15" x14ac:dyDescent="0.2">
      <c r="B8877" s="183"/>
    </row>
    <row r="8878" spans="2:2" ht="15" x14ac:dyDescent="0.2">
      <c r="B8878" s="183"/>
    </row>
    <row r="8879" spans="2:2" ht="15" x14ac:dyDescent="0.2">
      <c r="B8879" s="183"/>
    </row>
    <row r="8880" spans="2:2" ht="15" x14ac:dyDescent="0.2">
      <c r="B8880" s="183"/>
    </row>
    <row r="8881" spans="2:2" ht="15" x14ac:dyDescent="0.2">
      <c r="B8881" s="183"/>
    </row>
    <row r="8882" spans="2:2" ht="15" x14ac:dyDescent="0.2">
      <c r="B8882" s="183"/>
    </row>
    <row r="8883" spans="2:2" ht="15" x14ac:dyDescent="0.2">
      <c r="B8883" s="183"/>
    </row>
    <row r="8884" spans="2:2" ht="15" x14ac:dyDescent="0.2">
      <c r="B8884" s="183"/>
    </row>
    <row r="8885" spans="2:2" ht="15" x14ac:dyDescent="0.2">
      <c r="B8885" s="183"/>
    </row>
    <row r="8886" spans="2:2" ht="15" x14ac:dyDescent="0.2">
      <c r="B8886" s="183"/>
    </row>
    <row r="8887" spans="2:2" ht="15" x14ac:dyDescent="0.2">
      <c r="B8887" s="183"/>
    </row>
    <row r="8888" spans="2:2" ht="15" x14ac:dyDescent="0.2">
      <c r="B8888" s="183"/>
    </row>
    <row r="8889" spans="2:2" ht="15" x14ac:dyDescent="0.2">
      <c r="B8889" s="183"/>
    </row>
    <row r="8890" spans="2:2" ht="15" x14ac:dyDescent="0.2">
      <c r="B8890" s="183"/>
    </row>
    <row r="8891" spans="2:2" ht="15" x14ac:dyDescent="0.2">
      <c r="B8891" s="183"/>
    </row>
    <row r="8892" spans="2:2" ht="15" x14ac:dyDescent="0.2">
      <c r="B8892" s="183"/>
    </row>
    <row r="8893" spans="2:2" ht="15" x14ac:dyDescent="0.2">
      <c r="B8893" s="183"/>
    </row>
    <row r="8894" spans="2:2" ht="15" x14ac:dyDescent="0.2">
      <c r="B8894" s="183"/>
    </row>
    <row r="8895" spans="2:2" ht="15" x14ac:dyDescent="0.2">
      <c r="B8895" s="183"/>
    </row>
    <row r="8896" spans="2:2" ht="15" x14ac:dyDescent="0.2">
      <c r="B8896" s="183"/>
    </row>
    <row r="8897" spans="2:2" ht="15" x14ac:dyDescent="0.2">
      <c r="B8897" s="183"/>
    </row>
    <row r="8898" spans="2:2" ht="15" x14ac:dyDescent="0.2">
      <c r="B8898" s="183"/>
    </row>
    <row r="8899" spans="2:2" ht="15" x14ac:dyDescent="0.2">
      <c r="B8899" s="183"/>
    </row>
    <row r="8900" spans="2:2" ht="15" x14ac:dyDescent="0.2">
      <c r="B8900" s="183"/>
    </row>
    <row r="8901" spans="2:2" ht="15" x14ac:dyDescent="0.2">
      <c r="B8901" s="183"/>
    </row>
    <row r="8902" spans="2:2" ht="15" x14ac:dyDescent="0.2">
      <c r="B8902" s="183"/>
    </row>
    <row r="8903" spans="2:2" ht="15" x14ac:dyDescent="0.2">
      <c r="B8903" s="183"/>
    </row>
    <row r="8904" spans="2:2" ht="15" x14ac:dyDescent="0.2">
      <c r="B8904" s="183"/>
    </row>
    <row r="8905" spans="2:2" ht="15" x14ac:dyDescent="0.2">
      <c r="B8905" s="183"/>
    </row>
    <row r="8906" spans="2:2" ht="15" x14ac:dyDescent="0.2">
      <c r="B8906" s="183"/>
    </row>
    <row r="8907" spans="2:2" ht="15" x14ac:dyDescent="0.2">
      <c r="B8907" s="183"/>
    </row>
    <row r="8908" spans="2:2" ht="15" x14ac:dyDescent="0.2">
      <c r="B8908" s="183"/>
    </row>
    <row r="8909" spans="2:2" ht="15" x14ac:dyDescent="0.2">
      <c r="B8909" s="183"/>
    </row>
    <row r="8910" spans="2:2" ht="15" x14ac:dyDescent="0.2">
      <c r="B8910" s="183"/>
    </row>
    <row r="8911" spans="2:2" ht="15" x14ac:dyDescent="0.2">
      <c r="B8911" s="183"/>
    </row>
    <row r="8912" spans="2:2" ht="15" x14ac:dyDescent="0.2">
      <c r="B8912" s="183"/>
    </row>
    <row r="8913" spans="2:2" ht="15" x14ac:dyDescent="0.2">
      <c r="B8913" s="183"/>
    </row>
    <row r="8914" spans="2:2" ht="15" x14ac:dyDescent="0.2">
      <c r="B8914" s="183"/>
    </row>
    <row r="8915" spans="2:2" ht="15" x14ac:dyDescent="0.2">
      <c r="B8915" s="183"/>
    </row>
    <row r="8916" spans="2:2" ht="15" x14ac:dyDescent="0.2">
      <c r="B8916" s="183"/>
    </row>
    <row r="8917" spans="2:2" ht="15" x14ac:dyDescent="0.2">
      <c r="B8917" s="183"/>
    </row>
    <row r="8918" spans="2:2" ht="15" x14ac:dyDescent="0.2">
      <c r="B8918" s="183"/>
    </row>
    <row r="8919" spans="2:2" ht="15" x14ac:dyDescent="0.2">
      <c r="B8919" s="183"/>
    </row>
    <row r="8920" spans="2:2" ht="15" x14ac:dyDescent="0.2">
      <c r="B8920" s="183"/>
    </row>
    <row r="8921" spans="2:2" ht="15" x14ac:dyDescent="0.2">
      <c r="B8921" s="183"/>
    </row>
    <row r="8922" spans="2:2" ht="15" x14ac:dyDescent="0.2">
      <c r="B8922" s="183"/>
    </row>
    <row r="8923" spans="2:2" ht="15" x14ac:dyDescent="0.2">
      <c r="B8923" s="183"/>
    </row>
    <row r="8924" spans="2:2" ht="15" x14ac:dyDescent="0.2">
      <c r="B8924" s="183"/>
    </row>
    <row r="8925" spans="2:2" ht="15" x14ac:dyDescent="0.2">
      <c r="B8925" s="183"/>
    </row>
    <row r="8926" spans="2:2" ht="15" x14ac:dyDescent="0.2">
      <c r="B8926" s="183"/>
    </row>
    <row r="8927" spans="2:2" ht="15" x14ac:dyDescent="0.2">
      <c r="B8927" s="183"/>
    </row>
    <row r="8928" spans="2:2" ht="15" x14ac:dyDescent="0.2">
      <c r="B8928" s="183"/>
    </row>
    <row r="8929" spans="2:2" ht="15" x14ac:dyDescent="0.2">
      <c r="B8929" s="183"/>
    </row>
    <row r="8930" spans="2:2" ht="15" x14ac:dyDescent="0.2">
      <c r="B8930" s="183"/>
    </row>
    <row r="8931" spans="2:2" ht="15" x14ac:dyDescent="0.2">
      <c r="B8931" s="183"/>
    </row>
    <row r="8932" spans="2:2" ht="15" x14ac:dyDescent="0.2">
      <c r="B8932" s="183"/>
    </row>
    <row r="8933" spans="2:2" ht="15" x14ac:dyDescent="0.2">
      <c r="B8933" s="183"/>
    </row>
    <row r="8934" spans="2:2" ht="15" x14ac:dyDescent="0.2">
      <c r="B8934" s="183"/>
    </row>
    <row r="8935" spans="2:2" ht="15" x14ac:dyDescent="0.2">
      <c r="B8935" s="183"/>
    </row>
    <row r="8936" spans="2:2" ht="15" x14ac:dyDescent="0.2">
      <c r="B8936" s="183"/>
    </row>
    <row r="8937" spans="2:2" ht="15" x14ac:dyDescent="0.2">
      <c r="B8937" s="183"/>
    </row>
    <row r="8938" spans="2:2" ht="15" x14ac:dyDescent="0.2">
      <c r="B8938" s="183"/>
    </row>
    <row r="8939" spans="2:2" ht="15" x14ac:dyDescent="0.2">
      <c r="B8939" s="183"/>
    </row>
    <row r="8940" spans="2:2" ht="15" x14ac:dyDescent="0.2">
      <c r="B8940" s="183"/>
    </row>
    <row r="8941" spans="2:2" ht="15" x14ac:dyDescent="0.2">
      <c r="B8941" s="183"/>
    </row>
    <row r="8942" spans="2:2" ht="15" x14ac:dyDescent="0.2">
      <c r="B8942" s="183"/>
    </row>
    <row r="8943" spans="2:2" ht="15" x14ac:dyDescent="0.2">
      <c r="B8943" s="183"/>
    </row>
    <row r="8944" spans="2:2" ht="15" x14ac:dyDescent="0.2">
      <c r="B8944" s="183"/>
    </row>
    <row r="8945" spans="2:2" ht="15" x14ac:dyDescent="0.2">
      <c r="B8945" s="183"/>
    </row>
    <row r="8946" spans="2:2" ht="15" x14ac:dyDescent="0.2">
      <c r="B8946" s="183"/>
    </row>
    <row r="8947" spans="2:2" ht="15" x14ac:dyDescent="0.2">
      <c r="B8947" s="183"/>
    </row>
    <row r="8948" spans="2:2" ht="15" x14ac:dyDescent="0.2">
      <c r="B8948" s="183"/>
    </row>
    <row r="8949" spans="2:2" ht="15" x14ac:dyDescent="0.2">
      <c r="B8949" s="183"/>
    </row>
    <row r="8950" spans="2:2" ht="15" x14ac:dyDescent="0.2">
      <c r="B8950" s="183"/>
    </row>
    <row r="8951" spans="2:2" ht="15" x14ac:dyDescent="0.2">
      <c r="B8951" s="183"/>
    </row>
    <row r="8952" spans="2:2" ht="15" x14ac:dyDescent="0.2">
      <c r="B8952" s="183"/>
    </row>
    <row r="8953" spans="2:2" ht="15" x14ac:dyDescent="0.2">
      <c r="B8953" s="183"/>
    </row>
    <row r="8954" spans="2:2" ht="15" x14ac:dyDescent="0.2">
      <c r="B8954" s="183"/>
    </row>
    <row r="8955" spans="2:2" ht="15" x14ac:dyDescent="0.2">
      <c r="B8955" s="183"/>
    </row>
    <row r="8956" spans="2:2" ht="15" x14ac:dyDescent="0.2">
      <c r="B8956" s="183"/>
    </row>
    <row r="8957" spans="2:2" ht="15" x14ac:dyDescent="0.2">
      <c r="B8957" s="183"/>
    </row>
    <row r="8958" spans="2:2" ht="15" x14ac:dyDescent="0.2">
      <c r="B8958" s="183"/>
    </row>
    <row r="8959" spans="2:2" ht="15" x14ac:dyDescent="0.2">
      <c r="B8959" s="183"/>
    </row>
    <row r="8960" spans="2:2" ht="15" x14ac:dyDescent="0.2">
      <c r="B8960" s="183"/>
    </row>
    <row r="8961" spans="2:2" ht="15" x14ac:dyDescent="0.2">
      <c r="B8961" s="183"/>
    </row>
    <row r="8962" spans="2:2" ht="15" x14ac:dyDescent="0.2">
      <c r="B8962" s="183"/>
    </row>
    <row r="8963" spans="2:2" ht="15" x14ac:dyDescent="0.2">
      <c r="B8963" s="183"/>
    </row>
    <row r="8964" spans="2:2" ht="15" x14ac:dyDescent="0.2">
      <c r="B8964" s="183"/>
    </row>
    <row r="8965" spans="2:2" ht="15" x14ac:dyDescent="0.2">
      <c r="B8965" s="183"/>
    </row>
    <row r="8966" spans="2:2" ht="15" x14ac:dyDescent="0.2">
      <c r="B8966" s="183"/>
    </row>
    <row r="8967" spans="2:2" ht="15" x14ac:dyDescent="0.2">
      <c r="B8967" s="183"/>
    </row>
    <row r="8968" spans="2:2" ht="15" x14ac:dyDescent="0.2">
      <c r="B8968" s="183"/>
    </row>
    <row r="8969" spans="2:2" ht="15" x14ac:dyDescent="0.2">
      <c r="B8969" s="183"/>
    </row>
    <row r="8970" spans="2:2" ht="15" x14ac:dyDescent="0.2">
      <c r="B8970" s="183"/>
    </row>
    <row r="8971" spans="2:2" ht="15" x14ac:dyDescent="0.2">
      <c r="B8971" s="183"/>
    </row>
    <row r="8972" spans="2:2" ht="15" x14ac:dyDescent="0.2">
      <c r="B8972" s="183"/>
    </row>
    <row r="8973" spans="2:2" ht="15" x14ac:dyDescent="0.2">
      <c r="B8973" s="183"/>
    </row>
    <row r="8974" spans="2:2" ht="15" x14ac:dyDescent="0.2">
      <c r="B8974" s="183"/>
    </row>
    <row r="8975" spans="2:2" ht="15" x14ac:dyDescent="0.2">
      <c r="B8975" s="183"/>
    </row>
    <row r="8976" spans="2:2" ht="15" x14ac:dyDescent="0.2">
      <c r="B8976" s="183"/>
    </row>
    <row r="8977" spans="2:2" ht="15" x14ac:dyDescent="0.2">
      <c r="B8977" s="183"/>
    </row>
    <row r="8978" spans="2:2" ht="15" x14ac:dyDescent="0.2">
      <c r="B8978" s="183"/>
    </row>
    <row r="8979" spans="2:2" ht="15" x14ac:dyDescent="0.2">
      <c r="B8979" s="183"/>
    </row>
    <row r="8980" spans="2:2" ht="15" x14ac:dyDescent="0.2">
      <c r="B8980" s="183"/>
    </row>
    <row r="8981" spans="2:2" ht="15" x14ac:dyDescent="0.2">
      <c r="B8981" s="183"/>
    </row>
    <row r="8982" spans="2:2" ht="15" x14ac:dyDescent="0.2">
      <c r="B8982" s="183"/>
    </row>
    <row r="8983" spans="2:2" ht="15" x14ac:dyDescent="0.2">
      <c r="B8983" s="183"/>
    </row>
    <row r="8984" spans="2:2" ht="15" x14ac:dyDescent="0.2">
      <c r="B8984" s="183"/>
    </row>
    <row r="8985" spans="2:2" ht="15" x14ac:dyDescent="0.2">
      <c r="B8985" s="183"/>
    </row>
    <row r="8986" spans="2:2" ht="15" x14ac:dyDescent="0.2">
      <c r="B8986" s="183"/>
    </row>
    <row r="8987" spans="2:2" ht="15" x14ac:dyDescent="0.2">
      <c r="B8987" s="183"/>
    </row>
    <row r="8988" spans="2:2" ht="15" x14ac:dyDescent="0.2">
      <c r="B8988" s="183"/>
    </row>
    <row r="8989" spans="2:2" ht="15" x14ac:dyDescent="0.2">
      <c r="B8989" s="183"/>
    </row>
    <row r="8990" spans="2:2" ht="15" x14ac:dyDescent="0.2">
      <c r="B8990" s="183"/>
    </row>
    <row r="8991" spans="2:2" ht="15" x14ac:dyDescent="0.2">
      <c r="B8991" s="183"/>
    </row>
    <row r="8992" spans="2:2" ht="15" x14ac:dyDescent="0.2">
      <c r="B8992" s="183"/>
    </row>
    <row r="8993" spans="2:2" ht="15" x14ac:dyDescent="0.2">
      <c r="B8993" s="183"/>
    </row>
    <row r="8994" spans="2:2" ht="15" x14ac:dyDescent="0.2">
      <c r="B8994" s="183"/>
    </row>
    <row r="8995" spans="2:2" ht="15" x14ac:dyDescent="0.2">
      <c r="B8995" s="183"/>
    </row>
    <row r="8996" spans="2:2" ht="15" x14ac:dyDescent="0.2">
      <c r="B8996" s="183"/>
    </row>
    <row r="8997" spans="2:2" ht="15" x14ac:dyDescent="0.2">
      <c r="B8997" s="183"/>
    </row>
    <row r="8998" spans="2:2" ht="15" x14ac:dyDescent="0.2">
      <c r="B8998" s="183"/>
    </row>
    <row r="8999" spans="2:2" ht="15" x14ac:dyDescent="0.2">
      <c r="B8999" s="183"/>
    </row>
    <row r="9000" spans="2:2" ht="15" x14ac:dyDescent="0.2">
      <c r="B9000" s="183"/>
    </row>
    <row r="9001" spans="2:2" ht="15" x14ac:dyDescent="0.2">
      <c r="B9001" s="183"/>
    </row>
    <row r="9002" spans="2:2" ht="15" x14ac:dyDescent="0.2">
      <c r="B9002" s="183"/>
    </row>
    <row r="9003" spans="2:2" ht="15" x14ac:dyDescent="0.2">
      <c r="B9003" s="183"/>
    </row>
    <row r="9004" spans="2:2" ht="15" x14ac:dyDescent="0.2">
      <c r="B9004" s="183"/>
    </row>
    <row r="9005" spans="2:2" ht="15" x14ac:dyDescent="0.2">
      <c r="B9005" s="183"/>
    </row>
    <row r="9006" spans="2:2" ht="15" x14ac:dyDescent="0.2">
      <c r="B9006" s="183"/>
    </row>
    <row r="9007" spans="2:2" ht="15" x14ac:dyDescent="0.2">
      <c r="B9007" s="183"/>
    </row>
    <row r="9008" spans="2:2" ht="15" x14ac:dyDescent="0.2">
      <c r="B9008" s="183"/>
    </row>
    <row r="9009" spans="2:2" ht="15" x14ac:dyDescent="0.2">
      <c r="B9009" s="183"/>
    </row>
    <row r="9010" spans="2:2" ht="15" x14ac:dyDescent="0.2">
      <c r="B9010" s="183"/>
    </row>
    <row r="9011" spans="2:2" ht="15" x14ac:dyDescent="0.2">
      <c r="B9011" s="183"/>
    </row>
    <row r="9012" spans="2:2" ht="15" x14ac:dyDescent="0.2">
      <c r="B9012" s="183"/>
    </row>
    <row r="9013" spans="2:2" ht="15" x14ac:dyDescent="0.2">
      <c r="B9013" s="183"/>
    </row>
    <row r="9014" spans="2:2" ht="15" x14ac:dyDescent="0.2">
      <c r="B9014" s="183"/>
    </row>
    <row r="9015" spans="2:2" ht="15" x14ac:dyDescent="0.2">
      <c r="B9015" s="183"/>
    </row>
    <row r="9016" spans="2:2" ht="15" x14ac:dyDescent="0.2">
      <c r="B9016" s="183"/>
    </row>
    <row r="9017" spans="2:2" ht="15" x14ac:dyDescent="0.2">
      <c r="B9017" s="183"/>
    </row>
    <row r="9018" spans="2:2" ht="15" x14ac:dyDescent="0.2">
      <c r="B9018" s="183"/>
    </row>
    <row r="9019" spans="2:2" ht="15" x14ac:dyDescent="0.2">
      <c r="B9019" s="183"/>
    </row>
    <row r="9020" spans="2:2" ht="15" x14ac:dyDescent="0.2">
      <c r="B9020" s="183"/>
    </row>
    <row r="9021" spans="2:2" ht="15" x14ac:dyDescent="0.2">
      <c r="B9021" s="183"/>
    </row>
    <row r="9022" spans="2:2" ht="15" x14ac:dyDescent="0.2">
      <c r="B9022" s="183"/>
    </row>
    <row r="9023" spans="2:2" ht="15" x14ac:dyDescent="0.2">
      <c r="B9023" s="183"/>
    </row>
    <row r="9024" spans="2:2" ht="15" x14ac:dyDescent="0.2">
      <c r="B9024" s="183"/>
    </row>
    <row r="9025" spans="2:2" ht="15" x14ac:dyDescent="0.2">
      <c r="B9025" s="183"/>
    </row>
    <row r="9026" spans="2:2" ht="15" x14ac:dyDescent="0.2">
      <c r="B9026" s="183"/>
    </row>
    <row r="9027" spans="2:2" ht="15" x14ac:dyDescent="0.2">
      <c r="B9027" s="183"/>
    </row>
    <row r="9028" spans="2:2" ht="15" x14ac:dyDescent="0.2">
      <c r="B9028" s="183"/>
    </row>
    <row r="9029" spans="2:2" ht="15" x14ac:dyDescent="0.2">
      <c r="B9029" s="183"/>
    </row>
    <row r="9030" spans="2:2" ht="15" x14ac:dyDescent="0.2">
      <c r="B9030" s="183"/>
    </row>
    <row r="9031" spans="2:2" ht="15" x14ac:dyDescent="0.2">
      <c r="B9031" s="183"/>
    </row>
    <row r="9032" spans="2:2" ht="15" x14ac:dyDescent="0.2">
      <c r="B9032" s="183"/>
    </row>
    <row r="9033" spans="2:2" ht="15" x14ac:dyDescent="0.2">
      <c r="B9033" s="183"/>
    </row>
    <row r="9034" spans="2:2" ht="15" x14ac:dyDescent="0.2">
      <c r="B9034" s="183"/>
    </row>
    <row r="9035" spans="2:2" ht="15" x14ac:dyDescent="0.2">
      <c r="B9035" s="183"/>
    </row>
    <row r="9036" spans="2:2" ht="15" x14ac:dyDescent="0.2">
      <c r="B9036" s="183"/>
    </row>
    <row r="9037" spans="2:2" ht="15" x14ac:dyDescent="0.2">
      <c r="B9037" s="183"/>
    </row>
    <row r="9038" spans="2:2" ht="15" x14ac:dyDescent="0.2">
      <c r="B9038" s="183"/>
    </row>
    <row r="9039" spans="2:2" ht="15" x14ac:dyDescent="0.2">
      <c r="B9039" s="183"/>
    </row>
    <row r="9040" spans="2:2" ht="15" x14ac:dyDescent="0.2">
      <c r="B9040" s="183"/>
    </row>
    <row r="9041" spans="2:2" ht="15" x14ac:dyDescent="0.2">
      <c r="B9041" s="183"/>
    </row>
    <row r="9042" spans="2:2" ht="15" x14ac:dyDescent="0.2">
      <c r="B9042" s="183"/>
    </row>
    <row r="9043" spans="2:2" ht="15" x14ac:dyDescent="0.2">
      <c r="B9043" s="183"/>
    </row>
    <row r="9044" spans="2:2" ht="15" x14ac:dyDescent="0.2">
      <c r="B9044" s="183"/>
    </row>
    <row r="9045" spans="2:2" ht="15" x14ac:dyDescent="0.2">
      <c r="B9045" s="183"/>
    </row>
    <row r="9046" spans="2:2" ht="15" x14ac:dyDescent="0.2">
      <c r="B9046" s="183"/>
    </row>
    <row r="9047" spans="2:2" ht="15" x14ac:dyDescent="0.2">
      <c r="B9047" s="183"/>
    </row>
    <row r="9048" spans="2:2" ht="15" x14ac:dyDescent="0.2">
      <c r="B9048" s="183"/>
    </row>
    <row r="9049" spans="2:2" ht="15" x14ac:dyDescent="0.2">
      <c r="B9049" s="183"/>
    </row>
    <row r="9050" spans="2:2" ht="15" x14ac:dyDescent="0.2">
      <c r="B9050" s="183"/>
    </row>
    <row r="9051" spans="2:2" ht="15" x14ac:dyDescent="0.2">
      <c r="B9051" s="183"/>
    </row>
    <row r="9052" spans="2:2" ht="15" x14ac:dyDescent="0.2">
      <c r="B9052" s="183"/>
    </row>
    <row r="9053" spans="2:2" ht="15" x14ac:dyDescent="0.2">
      <c r="B9053" s="183"/>
    </row>
    <row r="9054" spans="2:2" ht="15" x14ac:dyDescent="0.2">
      <c r="B9054" s="183"/>
    </row>
    <row r="9055" spans="2:2" ht="15" x14ac:dyDescent="0.2">
      <c r="B9055" s="183"/>
    </row>
    <row r="9056" spans="2:2" ht="15" x14ac:dyDescent="0.2">
      <c r="B9056" s="183"/>
    </row>
    <row r="9057" spans="2:2" ht="15" x14ac:dyDescent="0.2">
      <c r="B9057" s="183"/>
    </row>
    <row r="9058" spans="2:2" ht="15" x14ac:dyDescent="0.2">
      <c r="B9058" s="183"/>
    </row>
    <row r="9059" spans="2:2" ht="15" x14ac:dyDescent="0.2">
      <c r="B9059" s="183"/>
    </row>
    <row r="9060" spans="2:2" ht="15" x14ac:dyDescent="0.2">
      <c r="B9060" s="183"/>
    </row>
    <row r="9061" spans="2:2" ht="15" x14ac:dyDescent="0.2">
      <c r="B9061" s="183"/>
    </row>
    <row r="9062" spans="2:2" ht="15" x14ac:dyDescent="0.2">
      <c r="B9062" s="183"/>
    </row>
    <row r="9063" spans="2:2" ht="15" x14ac:dyDescent="0.2">
      <c r="B9063" s="183"/>
    </row>
    <row r="9064" spans="2:2" ht="15" x14ac:dyDescent="0.2">
      <c r="B9064" s="183"/>
    </row>
    <row r="9065" spans="2:2" ht="15" x14ac:dyDescent="0.2">
      <c r="B9065" s="183"/>
    </row>
    <row r="9066" spans="2:2" ht="15" x14ac:dyDescent="0.2">
      <c r="B9066" s="183"/>
    </row>
    <row r="9067" spans="2:2" ht="15" x14ac:dyDescent="0.2">
      <c r="B9067" s="183"/>
    </row>
    <row r="9068" spans="2:2" ht="15" x14ac:dyDescent="0.2">
      <c r="B9068" s="183"/>
    </row>
    <row r="9069" spans="2:2" ht="15" x14ac:dyDescent="0.2">
      <c r="B9069" s="183"/>
    </row>
    <row r="9070" spans="2:2" ht="15" x14ac:dyDescent="0.2">
      <c r="B9070" s="183"/>
    </row>
    <row r="9071" spans="2:2" ht="15" x14ac:dyDescent="0.2">
      <c r="B9071" s="183"/>
    </row>
    <row r="9072" spans="2:2" ht="15" x14ac:dyDescent="0.2">
      <c r="B9072" s="183"/>
    </row>
    <row r="9073" spans="2:2" ht="15" x14ac:dyDescent="0.2">
      <c r="B9073" s="183"/>
    </row>
    <row r="9074" spans="2:2" ht="15" x14ac:dyDescent="0.2">
      <c r="B9074" s="183"/>
    </row>
    <row r="9075" spans="2:2" ht="15" x14ac:dyDescent="0.2">
      <c r="B9075" s="183"/>
    </row>
    <row r="9076" spans="2:2" ht="15" x14ac:dyDescent="0.2">
      <c r="B9076" s="183"/>
    </row>
    <row r="9077" spans="2:2" ht="15" x14ac:dyDescent="0.2">
      <c r="B9077" s="183"/>
    </row>
    <row r="9078" spans="2:2" ht="15" x14ac:dyDescent="0.2">
      <c r="B9078" s="183"/>
    </row>
    <row r="9079" spans="2:2" ht="15" x14ac:dyDescent="0.2">
      <c r="B9079" s="183"/>
    </row>
    <row r="9080" spans="2:2" ht="15" x14ac:dyDescent="0.2">
      <c r="B9080" s="183"/>
    </row>
    <row r="9081" spans="2:2" ht="15" x14ac:dyDescent="0.2">
      <c r="B9081" s="183"/>
    </row>
    <row r="9082" spans="2:2" ht="15" x14ac:dyDescent="0.2">
      <c r="B9082" s="183"/>
    </row>
    <row r="9083" spans="2:2" ht="15" x14ac:dyDescent="0.2">
      <c r="B9083" s="183"/>
    </row>
    <row r="9084" spans="2:2" ht="15" x14ac:dyDescent="0.2">
      <c r="B9084" s="183"/>
    </row>
    <row r="9085" spans="2:2" ht="15" x14ac:dyDescent="0.2">
      <c r="B9085" s="183"/>
    </row>
    <row r="9086" spans="2:2" ht="15" x14ac:dyDescent="0.2">
      <c r="B9086" s="183"/>
    </row>
    <row r="9087" spans="2:2" ht="15" x14ac:dyDescent="0.2">
      <c r="B9087" s="183"/>
    </row>
    <row r="9088" spans="2:2" ht="15" x14ac:dyDescent="0.2">
      <c r="B9088" s="183"/>
    </row>
    <row r="9089" spans="2:2" ht="15" x14ac:dyDescent="0.2">
      <c r="B9089" s="183"/>
    </row>
    <row r="9090" spans="2:2" ht="15" x14ac:dyDescent="0.2">
      <c r="B9090" s="183"/>
    </row>
    <row r="9091" spans="2:2" ht="15" x14ac:dyDescent="0.2">
      <c r="B9091" s="183"/>
    </row>
    <row r="9092" spans="2:2" ht="15" x14ac:dyDescent="0.2">
      <c r="B9092" s="183"/>
    </row>
    <row r="9093" spans="2:2" ht="15" x14ac:dyDescent="0.2">
      <c r="B9093" s="183"/>
    </row>
    <row r="9094" spans="2:2" ht="15" x14ac:dyDescent="0.2">
      <c r="B9094" s="183"/>
    </row>
    <row r="9095" spans="2:2" ht="15" x14ac:dyDescent="0.2">
      <c r="B9095" s="183"/>
    </row>
    <row r="9096" spans="2:2" ht="15" x14ac:dyDescent="0.2">
      <c r="B9096" s="183"/>
    </row>
    <row r="9097" spans="2:2" ht="15" x14ac:dyDescent="0.2">
      <c r="B9097" s="183"/>
    </row>
    <row r="9098" spans="2:2" ht="15" x14ac:dyDescent="0.2">
      <c r="B9098" s="183"/>
    </row>
    <row r="9099" spans="2:2" ht="15" x14ac:dyDescent="0.2">
      <c r="B9099" s="183"/>
    </row>
    <row r="9100" spans="2:2" ht="15" x14ac:dyDescent="0.2">
      <c r="B9100" s="183"/>
    </row>
    <row r="9101" spans="2:2" ht="15" x14ac:dyDescent="0.2">
      <c r="B9101" s="183"/>
    </row>
    <row r="9102" spans="2:2" ht="15" x14ac:dyDescent="0.2">
      <c r="B9102" s="183"/>
    </row>
    <row r="9103" spans="2:2" ht="15" x14ac:dyDescent="0.2">
      <c r="B9103" s="183"/>
    </row>
    <row r="9104" spans="2:2" ht="15" x14ac:dyDescent="0.2">
      <c r="B9104" s="183"/>
    </row>
    <row r="9105" spans="2:2" ht="15" x14ac:dyDescent="0.2">
      <c r="B9105" s="183"/>
    </row>
    <row r="9106" spans="2:2" ht="15" x14ac:dyDescent="0.2">
      <c r="B9106" s="183"/>
    </row>
    <row r="9107" spans="2:2" ht="15" x14ac:dyDescent="0.2">
      <c r="B9107" s="183"/>
    </row>
    <row r="9108" spans="2:2" ht="15" x14ac:dyDescent="0.2">
      <c r="B9108" s="183"/>
    </row>
    <row r="9109" spans="2:2" ht="15" x14ac:dyDescent="0.2">
      <c r="B9109" s="183"/>
    </row>
    <row r="9110" spans="2:2" ht="15" x14ac:dyDescent="0.2">
      <c r="B9110" s="183"/>
    </row>
    <row r="9111" spans="2:2" ht="15" x14ac:dyDescent="0.2">
      <c r="B9111" s="183"/>
    </row>
    <row r="9112" spans="2:2" ht="15" x14ac:dyDescent="0.2">
      <c r="B9112" s="183"/>
    </row>
    <row r="9113" spans="2:2" ht="15" x14ac:dyDescent="0.2">
      <c r="B9113" s="183"/>
    </row>
    <row r="9114" spans="2:2" ht="15" x14ac:dyDescent="0.2">
      <c r="B9114" s="183"/>
    </row>
    <row r="9115" spans="2:2" ht="15" x14ac:dyDescent="0.2">
      <c r="B9115" s="183"/>
    </row>
    <row r="9116" spans="2:2" ht="15" x14ac:dyDescent="0.2">
      <c r="B9116" s="183"/>
    </row>
    <row r="9117" spans="2:2" ht="15" x14ac:dyDescent="0.2">
      <c r="B9117" s="183"/>
    </row>
    <row r="9118" spans="2:2" ht="15" x14ac:dyDescent="0.2">
      <c r="B9118" s="183"/>
    </row>
    <row r="9119" spans="2:2" ht="15" x14ac:dyDescent="0.2">
      <c r="B9119" s="183"/>
    </row>
    <row r="9120" spans="2:2" ht="15" x14ac:dyDescent="0.2">
      <c r="B9120" s="183"/>
    </row>
    <row r="9121" spans="2:2" ht="15" x14ac:dyDescent="0.2">
      <c r="B9121" s="183"/>
    </row>
    <row r="9122" spans="2:2" ht="15" x14ac:dyDescent="0.2">
      <c r="B9122" s="183"/>
    </row>
    <row r="9123" spans="2:2" ht="15" x14ac:dyDescent="0.2">
      <c r="B9123" s="183"/>
    </row>
    <row r="9124" spans="2:2" ht="15" x14ac:dyDescent="0.2">
      <c r="B9124" s="183"/>
    </row>
    <row r="9125" spans="2:2" ht="15" x14ac:dyDescent="0.2">
      <c r="B9125" s="183"/>
    </row>
    <row r="9126" spans="2:2" ht="15" x14ac:dyDescent="0.2">
      <c r="B9126" s="183"/>
    </row>
    <row r="9127" spans="2:2" ht="15" x14ac:dyDescent="0.2">
      <c r="B9127" s="183"/>
    </row>
    <row r="9128" spans="2:2" ht="15" x14ac:dyDescent="0.2">
      <c r="B9128" s="183"/>
    </row>
    <row r="9129" spans="2:2" ht="15" x14ac:dyDescent="0.2">
      <c r="B9129" s="183"/>
    </row>
    <row r="9130" spans="2:2" ht="15" x14ac:dyDescent="0.2">
      <c r="B9130" s="183"/>
    </row>
    <row r="9131" spans="2:2" ht="15" x14ac:dyDescent="0.2">
      <c r="B9131" s="183"/>
    </row>
    <row r="9132" spans="2:2" ht="15" x14ac:dyDescent="0.2">
      <c r="B9132" s="183"/>
    </row>
    <row r="9133" spans="2:2" ht="15" x14ac:dyDescent="0.2">
      <c r="B9133" s="183"/>
    </row>
    <row r="9134" spans="2:2" ht="15" x14ac:dyDescent="0.2">
      <c r="B9134" s="183"/>
    </row>
    <row r="9135" spans="2:2" ht="15" x14ac:dyDescent="0.2">
      <c r="B9135" s="183"/>
    </row>
    <row r="9136" spans="2:2" ht="15" x14ac:dyDescent="0.2">
      <c r="B9136" s="183"/>
    </row>
    <row r="9137" spans="2:2" ht="15" x14ac:dyDescent="0.2">
      <c r="B9137" s="183"/>
    </row>
    <row r="9138" spans="2:2" ht="15" x14ac:dyDescent="0.2">
      <c r="B9138" s="183"/>
    </row>
    <row r="9139" spans="2:2" ht="15" x14ac:dyDescent="0.2">
      <c r="B9139" s="183"/>
    </row>
    <row r="9140" spans="2:2" ht="15" x14ac:dyDescent="0.2">
      <c r="B9140" s="183"/>
    </row>
    <row r="9141" spans="2:2" ht="15" x14ac:dyDescent="0.2">
      <c r="B9141" s="183"/>
    </row>
    <row r="9142" spans="2:2" ht="15" x14ac:dyDescent="0.2">
      <c r="B9142" s="183"/>
    </row>
    <row r="9143" spans="2:2" ht="15" x14ac:dyDescent="0.2">
      <c r="B9143" s="183"/>
    </row>
    <row r="9144" spans="2:2" ht="15" x14ac:dyDescent="0.2">
      <c r="B9144" s="183"/>
    </row>
    <row r="9145" spans="2:2" ht="15" x14ac:dyDescent="0.2">
      <c r="B9145" s="183"/>
    </row>
    <row r="9146" spans="2:2" ht="15" x14ac:dyDescent="0.2">
      <c r="B9146" s="183"/>
    </row>
    <row r="9147" spans="2:2" ht="15" x14ac:dyDescent="0.2">
      <c r="B9147" s="183"/>
    </row>
    <row r="9148" spans="2:2" ht="15" x14ac:dyDescent="0.2">
      <c r="B9148" s="183"/>
    </row>
    <row r="9149" spans="2:2" ht="15" x14ac:dyDescent="0.2">
      <c r="B9149" s="183"/>
    </row>
    <row r="9150" spans="2:2" ht="15" x14ac:dyDescent="0.2">
      <c r="B9150" s="183"/>
    </row>
    <row r="9151" spans="2:2" ht="15" x14ac:dyDescent="0.2">
      <c r="B9151" s="183"/>
    </row>
    <row r="9152" spans="2:2" ht="15" x14ac:dyDescent="0.2">
      <c r="B9152" s="183"/>
    </row>
    <row r="9153" spans="2:2" ht="15" x14ac:dyDescent="0.2">
      <c r="B9153" s="183"/>
    </row>
    <row r="9154" spans="2:2" ht="15" x14ac:dyDescent="0.2">
      <c r="B9154" s="183"/>
    </row>
    <row r="9155" spans="2:2" ht="15" x14ac:dyDescent="0.2">
      <c r="B9155" s="183"/>
    </row>
    <row r="9156" spans="2:2" ht="15" x14ac:dyDescent="0.2">
      <c r="B9156" s="183"/>
    </row>
    <row r="9157" spans="2:2" ht="15" x14ac:dyDescent="0.2">
      <c r="B9157" s="183"/>
    </row>
    <row r="9158" spans="2:2" ht="15" x14ac:dyDescent="0.2">
      <c r="B9158" s="183"/>
    </row>
    <row r="9159" spans="2:2" ht="15" x14ac:dyDescent="0.2">
      <c r="B9159" s="183"/>
    </row>
    <row r="9160" spans="2:2" ht="15" x14ac:dyDescent="0.2">
      <c r="B9160" s="183"/>
    </row>
    <row r="9161" spans="2:2" ht="15" x14ac:dyDescent="0.2">
      <c r="B9161" s="183"/>
    </row>
    <row r="9162" spans="2:2" ht="15" x14ac:dyDescent="0.2">
      <c r="B9162" s="183"/>
    </row>
    <row r="9163" spans="2:2" ht="15" x14ac:dyDescent="0.2">
      <c r="B9163" s="183"/>
    </row>
    <row r="9164" spans="2:2" ht="15" x14ac:dyDescent="0.2">
      <c r="B9164" s="183"/>
    </row>
    <row r="9165" spans="2:2" ht="15" x14ac:dyDescent="0.2">
      <c r="B9165" s="183"/>
    </row>
    <row r="9166" spans="2:2" ht="15" x14ac:dyDescent="0.2">
      <c r="B9166" s="183"/>
    </row>
    <row r="9167" spans="2:2" ht="15" x14ac:dyDescent="0.2">
      <c r="B9167" s="183"/>
    </row>
    <row r="9168" spans="2:2" ht="15" x14ac:dyDescent="0.2">
      <c r="B9168" s="183"/>
    </row>
    <row r="9169" spans="2:2" ht="15" x14ac:dyDescent="0.2">
      <c r="B9169" s="183"/>
    </row>
    <row r="9170" spans="2:2" ht="15" x14ac:dyDescent="0.2">
      <c r="B9170" s="183"/>
    </row>
    <row r="9171" spans="2:2" ht="15" x14ac:dyDescent="0.2">
      <c r="B9171" s="183"/>
    </row>
    <row r="9172" spans="2:2" ht="15" x14ac:dyDescent="0.2">
      <c r="B9172" s="183"/>
    </row>
    <row r="9173" spans="2:2" ht="15" x14ac:dyDescent="0.2">
      <c r="B9173" s="183"/>
    </row>
    <row r="9174" spans="2:2" ht="15" x14ac:dyDescent="0.2">
      <c r="B9174" s="183"/>
    </row>
    <row r="9175" spans="2:2" ht="15" x14ac:dyDescent="0.2">
      <c r="B9175" s="183"/>
    </row>
    <row r="9176" spans="2:2" ht="15" x14ac:dyDescent="0.2">
      <c r="B9176" s="183"/>
    </row>
    <row r="9177" spans="2:2" ht="15" x14ac:dyDescent="0.2">
      <c r="B9177" s="183"/>
    </row>
    <row r="9178" spans="2:2" ht="15" x14ac:dyDescent="0.2">
      <c r="B9178" s="183"/>
    </row>
    <row r="9179" spans="2:2" ht="15" x14ac:dyDescent="0.2">
      <c r="B9179" s="183"/>
    </row>
    <row r="9180" spans="2:2" ht="15" x14ac:dyDescent="0.2">
      <c r="B9180" s="183"/>
    </row>
    <row r="9181" spans="2:2" ht="15" x14ac:dyDescent="0.2">
      <c r="B9181" s="183"/>
    </row>
    <row r="9182" spans="2:2" ht="15" x14ac:dyDescent="0.2">
      <c r="B9182" s="183"/>
    </row>
    <row r="9183" spans="2:2" ht="15" x14ac:dyDescent="0.2">
      <c r="B9183" s="183"/>
    </row>
    <row r="9184" spans="2:2" ht="15" x14ac:dyDescent="0.2">
      <c r="B9184" s="183"/>
    </row>
    <row r="9185" spans="2:2" ht="15" x14ac:dyDescent="0.2">
      <c r="B9185" s="183"/>
    </row>
    <row r="9186" spans="2:2" ht="15" x14ac:dyDescent="0.2">
      <c r="B9186" s="183"/>
    </row>
    <row r="9187" spans="2:2" ht="15" x14ac:dyDescent="0.2">
      <c r="B9187" s="183"/>
    </row>
    <row r="9188" spans="2:2" ht="15" x14ac:dyDescent="0.2">
      <c r="B9188" s="183"/>
    </row>
    <row r="9189" spans="2:2" ht="15" x14ac:dyDescent="0.2">
      <c r="B9189" s="183"/>
    </row>
    <row r="9190" spans="2:2" ht="15" x14ac:dyDescent="0.2">
      <c r="B9190" s="183"/>
    </row>
    <row r="9191" spans="2:2" ht="15" x14ac:dyDescent="0.2">
      <c r="B9191" s="183"/>
    </row>
    <row r="9192" spans="2:2" ht="15" x14ac:dyDescent="0.2">
      <c r="B9192" s="183"/>
    </row>
    <row r="9193" spans="2:2" ht="15" x14ac:dyDescent="0.2">
      <c r="B9193" s="183"/>
    </row>
    <row r="9194" spans="2:2" ht="15" x14ac:dyDescent="0.2">
      <c r="B9194" s="183"/>
    </row>
    <row r="9195" spans="2:2" ht="15" x14ac:dyDescent="0.2">
      <c r="B9195" s="183"/>
    </row>
    <row r="9196" spans="2:2" ht="15" x14ac:dyDescent="0.2">
      <c r="B9196" s="183"/>
    </row>
    <row r="9197" spans="2:2" ht="15" x14ac:dyDescent="0.2">
      <c r="B9197" s="183"/>
    </row>
    <row r="9198" spans="2:2" ht="15" x14ac:dyDescent="0.2">
      <c r="B9198" s="183"/>
    </row>
    <row r="9199" spans="2:2" ht="15" x14ac:dyDescent="0.2">
      <c r="B9199" s="183"/>
    </row>
    <row r="9200" spans="2:2" ht="15" x14ac:dyDescent="0.2">
      <c r="B9200" s="183"/>
    </row>
    <row r="9201" spans="2:2" ht="15" x14ac:dyDescent="0.2">
      <c r="B9201" s="183"/>
    </row>
    <row r="9202" spans="2:2" ht="15" x14ac:dyDescent="0.2">
      <c r="B9202" s="183"/>
    </row>
    <row r="9203" spans="2:2" ht="15" x14ac:dyDescent="0.2">
      <c r="B9203" s="183"/>
    </row>
    <row r="9204" spans="2:2" ht="15" x14ac:dyDescent="0.2">
      <c r="B9204" s="183"/>
    </row>
    <row r="9205" spans="2:2" ht="15" x14ac:dyDescent="0.2">
      <c r="B9205" s="183"/>
    </row>
    <row r="9206" spans="2:2" ht="15" x14ac:dyDescent="0.2">
      <c r="B9206" s="183"/>
    </row>
    <row r="9207" spans="2:2" ht="15" x14ac:dyDescent="0.2">
      <c r="B9207" s="183"/>
    </row>
    <row r="9208" spans="2:2" ht="15" x14ac:dyDescent="0.2">
      <c r="B9208" s="183"/>
    </row>
    <row r="9209" spans="2:2" ht="15" x14ac:dyDescent="0.2">
      <c r="B9209" s="183"/>
    </row>
    <row r="9210" spans="2:2" ht="15" x14ac:dyDescent="0.2">
      <c r="B9210" s="183"/>
    </row>
    <row r="9211" spans="2:2" ht="15" x14ac:dyDescent="0.2">
      <c r="B9211" s="183"/>
    </row>
    <row r="9212" spans="2:2" ht="15" x14ac:dyDescent="0.2">
      <c r="B9212" s="183"/>
    </row>
    <row r="9213" spans="2:2" ht="15" x14ac:dyDescent="0.2">
      <c r="B9213" s="183"/>
    </row>
    <row r="9214" spans="2:2" ht="15" x14ac:dyDescent="0.2">
      <c r="B9214" s="183"/>
    </row>
    <row r="9215" spans="2:2" ht="15" x14ac:dyDescent="0.2">
      <c r="B9215" s="183"/>
    </row>
    <row r="9216" spans="2:2" ht="15" x14ac:dyDescent="0.2">
      <c r="B9216" s="183"/>
    </row>
    <row r="9217" spans="2:2" ht="15" x14ac:dyDescent="0.2">
      <c r="B9217" s="183"/>
    </row>
    <row r="9218" spans="2:2" ht="15" x14ac:dyDescent="0.2">
      <c r="B9218" s="183"/>
    </row>
    <row r="9219" spans="2:2" ht="15" x14ac:dyDescent="0.2">
      <c r="B9219" s="183"/>
    </row>
    <row r="9220" spans="2:2" ht="15" x14ac:dyDescent="0.2">
      <c r="B9220" s="183"/>
    </row>
    <row r="9221" spans="2:2" ht="15" x14ac:dyDescent="0.2">
      <c r="B9221" s="183"/>
    </row>
    <row r="9222" spans="2:2" ht="15" x14ac:dyDescent="0.2">
      <c r="B9222" s="183"/>
    </row>
    <row r="9223" spans="2:2" ht="15" x14ac:dyDescent="0.2">
      <c r="B9223" s="183"/>
    </row>
    <row r="9224" spans="2:2" ht="15" x14ac:dyDescent="0.2">
      <c r="B9224" s="183"/>
    </row>
    <row r="9225" spans="2:2" ht="15" x14ac:dyDescent="0.2">
      <c r="B9225" s="183"/>
    </row>
    <row r="9226" spans="2:2" ht="15" x14ac:dyDescent="0.2">
      <c r="B9226" s="183"/>
    </row>
    <row r="9227" spans="2:2" ht="15" x14ac:dyDescent="0.2">
      <c r="B9227" s="183"/>
    </row>
    <row r="9228" spans="2:2" ht="15" x14ac:dyDescent="0.2">
      <c r="B9228" s="183"/>
    </row>
    <row r="9229" spans="2:2" ht="15" x14ac:dyDescent="0.2">
      <c r="B9229" s="183"/>
    </row>
    <row r="9230" spans="2:2" ht="15" x14ac:dyDescent="0.2">
      <c r="B9230" s="183"/>
    </row>
    <row r="9231" spans="2:2" ht="15" x14ac:dyDescent="0.2">
      <c r="B9231" s="183"/>
    </row>
    <row r="9232" spans="2:2" ht="15" x14ac:dyDescent="0.2">
      <c r="B9232" s="183"/>
    </row>
    <row r="9233" spans="2:2" ht="15" x14ac:dyDescent="0.2">
      <c r="B9233" s="183"/>
    </row>
    <row r="9234" spans="2:2" ht="15" x14ac:dyDescent="0.2">
      <c r="B9234" s="183"/>
    </row>
    <row r="9235" spans="2:2" ht="15" x14ac:dyDescent="0.2">
      <c r="B9235" s="183"/>
    </row>
    <row r="9236" spans="2:2" ht="15" x14ac:dyDescent="0.2">
      <c r="B9236" s="183"/>
    </row>
    <row r="9237" spans="2:2" ht="15" x14ac:dyDescent="0.2">
      <c r="B9237" s="183"/>
    </row>
    <row r="9238" spans="2:2" ht="15" x14ac:dyDescent="0.2">
      <c r="B9238" s="183"/>
    </row>
    <row r="9239" spans="2:2" ht="15" x14ac:dyDescent="0.2">
      <c r="B9239" s="183"/>
    </row>
    <row r="9240" spans="2:2" ht="15" x14ac:dyDescent="0.2">
      <c r="B9240" s="183"/>
    </row>
    <row r="9241" spans="2:2" ht="15" x14ac:dyDescent="0.2">
      <c r="B9241" s="183"/>
    </row>
    <row r="9242" spans="2:2" ht="15" x14ac:dyDescent="0.2">
      <c r="B9242" s="183"/>
    </row>
    <row r="9243" spans="2:2" ht="15" x14ac:dyDescent="0.2">
      <c r="B9243" s="183"/>
    </row>
    <row r="9244" spans="2:2" ht="15" x14ac:dyDescent="0.2">
      <c r="B9244" s="183"/>
    </row>
    <row r="9245" spans="2:2" ht="15" x14ac:dyDescent="0.2">
      <c r="B9245" s="183"/>
    </row>
    <row r="9246" spans="2:2" ht="15" x14ac:dyDescent="0.2">
      <c r="B9246" s="183"/>
    </row>
    <row r="9247" spans="2:2" ht="15" x14ac:dyDescent="0.2">
      <c r="B9247" s="183"/>
    </row>
    <row r="9248" spans="2:2" ht="15" x14ac:dyDescent="0.2">
      <c r="B9248" s="183"/>
    </row>
    <row r="9249" spans="2:2" ht="15" x14ac:dyDescent="0.2">
      <c r="B9249" s="183"/>
    </row>
    <row r="9250" spans="2:2" ht="15" x14ac:dyDescent="0.2">
      <c r="B9250" s="183"/>
    </row>
    <row r="9251" spans="2:2" ht="15" x14ac:dyDescent="0.2">
      <c r="B9251" s="183"/>
    </row>
    <row r="9252" spans="2:2" ht="15" x14ac:dyDescent="0.2">
      <c r="B9252" s="183"/>
    </row>
    <row r="9253" spans="2:2" ht="15" x14ac:dyDescent="0.2">
      <c r="B9253" s="183"/>
    </row>
    <row r="9254" spans="2:2" ht="15" x14ac:dyDescent="0.2">
      <c r="B9254" s="183"/>
    </row>
    <row r="9255" spans="2:2" ht="15" x14ac:dyDescent="0.2">
      <c r="B9255" s="183"/>
    </row>
    <row r="9256" spans="2:2" ht="15" x14ac:dyDescent="0.2">
      <c r="B9256" s="183"/>
    </row>
    <row r="9257" spans="2:2" ht="15" x14ac:dyDescent="0.2">
      <c r="B9257" s="183"/>
    </row>
    <row r="9258" spans="2:2" ht="15" x14ac:dyDescent="0.2">
      <c r="B9258" s="183"/>
    </row>
    <row r="9259" spans="2:2" ht="15" x14ac:dyDescent="0.2">
      <c r="B9259" s="183"/>
    </row>
    <row r="9260" spans="2:2" ht="15" x14ac:dyDescent="0.2">
      <c r="B9260" s="183"/>
    </row>
    <row r="9261" spans="2:2" ht="15" x14ac:dyDescent="0.2">
      <c r="B9261" s="183"/>
    </row>
    <row r="9262" spans="2:2" ht="15" x14ac:dyDescent="0.2">
      <c r="B9262" s="183"/>
    </row>
    <row r="9263" spans="2:2" ht="15" x14ac:dyDescent="0.2">
      <c r="B9263" s="183"/>
    </row>
    <row r="9264" spans="2:2" ht="15" x14ac:dyDescent="0.2">
      <c r="B9264" s="183"/>
    </row>
    <row r="9265" spans="2:2" ht="15" x14ac:dyDescent="0.2">
      <c r="B9265" s="183"/>
    </row>
    <row r="9266" spans="2:2" ht="15" x14ac:dyDescent="0.2">
      <c r="B9266" s="183"/>
    </row>
    <row r="9267" spans="2:2" ht="15" x14ac:dyDescent="0.2">
      <c r="B9267" s="183"/>
    </row>
    <row r="9268" spans="2:2" ht="15" x14ac:dyDescent="0.2">
      <c r="B9268" s="183"/>
    </row>
    <row r="9269" spans="2:2" ht="15" x14ac:dyDescent="0.2">
      <c r="B9269" s="183"/>
    </row>
    <row r="9270" spans="2:2" ht="15" x14ac:dyDescent="0.2">
      <c r="B9270" s="183"/>
    </row>
    <row r="9271" spans="2:2" ht="15" x14ac:dyDescent="0.2">
      <c r="B9271" s="183"/>
    </row>
    <row r="9272" spans="2:2" ht="15" x14ac:dyDescent="0.2">
      <c r="B9272" s="183"/>
    </row>
    <row r="9273" spans="2:2" ht="15" x14ac:dyDescent="0.2">
      <c r="B9273" s="183"/>
    </row>
    <row r="9274" spans="2:2" ht="15" x14ac:dyDescent="0.2">
      <c r="B9274" s="183"/>
    </row>
    <row r="9275" spans="2:2" ht="15" x14ac:dyDescent="0.2">
      <c r="B9275" s="183"/>
    </row>
    <row r="9276" spans="2:2" ht="15" x14ac:dyDescent="0.2">
      <c r="B9276" s="183"/>
    </row>
    <row r="9277" spans="2:2" ht="15" x14ac:dyDescent="0.2">
      <c r="B9277" s="183"/>
    </row>
    <row r="9278" spans="2:2" ht="15" x14ac:dyDescent="0.2">
      <c r="B9278" s="183"/>
    </row>
    <row r="9279" spans="2:2" ht="15" x14ac:dyDescent="0.2">
      <c r="B9279" s="183"/>
    </row>
    <row r="9280" spans="2:2" ht="15" x14ac:dyDescent="0.2">
      <c r="B9280" s="183"/>
    </row>
    <row r="9281" spans="2:2" ht="15" x14ac:dyDescent="0.2">
      <c r="B9281" s="183"/>
    </row>
    <row r="9282" spans="2:2" ht="15" x14ac:dyDescent="0.2">
      <c r="B9282" s="183"/>
    </row>
    <row r="9283" spans="2:2" ht="15" x14ac:dyDescent="0.2">
      <c r="B9283" s="183"/>
    </row>
    <row r="9284" spans="2:2" ht="15" x14ac:dyDescent="0.2">
      <c r="B9284" s="183"/>
    </row>
    <row r="9285" spans="2:2" ht="15" x14ac:dyDescent="0.2">
      <c r="B9285" s="183"/>
    </row>
    <row r="9286" spans="2:2" ht="15" x14ac:dyDescent="0.2">
      <c r="B9286" s="183"/>
    </row>
    <row r="9287" spans="2:2" ht="15" x14ac:dyDescent="0.2">
      <c r="B9287" s="183"/>
    </row>
    <row r="9288" spans="2:2" ht="15" x14ac:dyDescent="0.2">
      <c r="B9288" s="183"/>
    </row>
    <row r="9289" spans="2:2" ht="15" x14ac:dyDescent="0.2">
      <c r="B9289" s="183"/>
    </row>
    <row r="9290" spans="2:2" ht="15" x14ac:dyDescent="0.2">
      <c r="B9290" s="183"/>
    </row>
    <row r="9291" spans="2:2" ht="15" x14ac:dyDescent="0.2">
      <c r="B9291" s="183"/>
    </row>
    <row r="9292" spans="2:2" ht="15" x14ac:dyDescent="0.2">
      <c r="B9292" s="183"/>
    </row>
    <row r="9293" spans="2:2" ht="15" x14ac:dyDescent="0.2">
      <c r="B9293" s="183"/>
    </row>
    <row r="9294" spans="2:2" ht="15" x14ac:dyDescent="0.2">
      <c r="B9294" s="183"/>
    </row>
    <row r="9295" spans="2:2" ht="15" x14ac:dyDescent="0.2">
      <c r="B9295" s="183"/>
    </row>
    <row r="9296" spans="2:2" ht="15" x14ac:dyDescent="0.2">
      <c r="B9296" s="183"/>
    </row>
    <row r="9297" spans="2:2" ht="15" x14ac:dyDescent="0.2">
      <c r="B9297" s="183"/>
    </row>
    <row r="9298" spans="2:2" ht="15" x14ac:dyDescent="0.2">
      <c r="B9298" s="183"/>
    </row>
    <row r="9299" spans="2:2" ht="15" x14ac:dyDescent="0.2">
      <c r="B9299" s="183"/>
    </row>
    <row r="9300" spans="2:2" ht="15" x14ac:dyDescent="0.2">
      <c r="B9300" s="183"/>
    </row>
    <row r="9301" spans="2:2" ht="15" x14ac:dyDescent="0.2">
      <c r="B9301" s="183"/>
    </row>
    <row r="9302" spans="2:2" ht="15" x14ac:dyDescent="0.2">
      <c r="B9302" s="183"/>
    </row>
    <row r="9303" spans="2:2" ht="15" x14ac:dyDescent="0.2">
      <c r="B9303" s="183"/>
    </row>
    <row r="9304" spans="2:2" ht="15" x14ac:dyDescent="0.2">
      <c r="B9304" s="183"/>
    </row>
    <row r="9305" spans="2:2" ht="15" x14ac:dyDescent="0.2">
      <c r="B9305" s="183"/>
    </row>
    <row r="9306" spans="2:2" ht="15" x14ac:dyDescent="0.2">
      <c r="B9306" s="183"/>
    </row>
    <row r="9307" spans="2:2" ht="15" x14ac:dyDescent="0.2">
      <c r="B9307" s="183"/>
    </row>
    <row r="9308" spans="2:2" ht="15" x14ac:dyDescent="0.2">
      <c r="B9308" s="183"/>
    </row>
    <row r="9309" spans="2:2" ht="15" x14ac:dyDescent="0.2">
      <c r="B9309" s="183"/>
    </row>
    <row r="9310" spans="2:2" ht="15" x14ac:dyDescent="0.2">
      <c r="B9310" s="183"/>
    </row>
    <row r="9311" spans="2:2" ht="15" x14ac:dyDescent="0.2">
      <c r="B9311" s="183"/>
    </row>
    <row r="9312" spans="2:2" ht="15" x14ac:dyDescent="0.2">
      <c r="B9312" s="183"/>
    </row>
    <row r="9313" spans="2:2" ht="15" x14ac:dyDescent="0.2">
      <c r="B9313" s="183"/>
    </row>
    <row r="9314" spans="2:2" ht="15" x14ac:dyDescent="0.2">
      <c r="B9314" s="183"/>
    </row>
    <row r="9315" spans="2:2" ht="15" x14ac:dyDescent="0.2">
      <c r="B9315" s="183"/>
    </row>
    <row r="9316" spans="2:2" ht="15" x14ac:dyDescent="0.2">
      <c r="B9316" s="183"/>
    </row>
    <row r="9317" spans="2:2" ht="15" x14ac:dyDescent="0.2">
      <c r="B9317" s="183"/>
    </row>
    <row r="9318" spans="2:2" ht="15" x14ac:dyDescent="0.2">
      <c r="B9318" s="183"/>
    </row>
    <row r="9319" spans="2:2" ht="15" x14ac:dyDescent="0.2">
      <c r="B9319" s="183"/>
    </row>
    <row r="9320" spans="2:2" ht="15" x14ac:dyDescent="0.2">
      <c r="B9320" s="183"/>
    </row>
    <row r="9321" spans="2:2" ht="15" x14ac:dyDescent="0.2">
      <c r="B9321" s="183"/>
    </row>
    <row r="9322" spans="2:2" ht="15" x14ac:dyDescent="0.2">
      <c r="B9322" s="183"/>
    </row>
    <row r="9323" spans="2:2" ht="15" x14ac:dyDescent="0.2">
      <c r="B9323" s="183"/>
    </row>
    <row r="9324" spans="2:2" ht="15" x14ac:dyDescent="0.2">
      <c r="B9324" s="183"/>
    </row>
    <row r="9325" spans="2:2" ht="15" x14ac:dyDescent="0.2">
      <c r="B9325" s="183"/>
    </row>
    <row r="9326" spans="2:2" ht="15" x14ac:dyDescent="0.2">
      <c r="B9326" s="183"/>
    </row>
    <row r="9327" spans="2:2" ht="15" x14ac:dyDescent="0.2">
      <c r="B9327" s="183"/>
    </row>
    <row r="9328" spans="2:2" ht="15" x14ac:dyDescent="0.2">
      <c r="B9328" s="183"/>
    </row>
    <row r="9329" spans="2:2" ht="15" x14ac:dyDescent="0.2">
      <c r="B9329" s="183"/>
    </row>
    <row r="9330" spans="2:2" ht="15" x14ac:dyDescent="0.2">
      <c r="B9330" s="183"/>
    </row>
    <row r="9331" spans="2:2" ht="15" x14ac:dyDescent="0.2">
      <c r="B9331" s="183"/>
    </row>
    <row r="9332" spans="2:2" ht="15" x14ac:dyDescent="0.2">
      <c r="B9332" s="183"/>
    </row>
    <row r="9333" spans="2:2" ht="15" x14ac:dyDescent="0.2">
      <c r="B9333" s="183"/>
    </row>
    <row r="9334" spans="2:2" ht="15" x14ac:dyDescent="0.2">
      <c r="B9334" s="183"/>
    </row>
    <row r="9335" spans="2:2" ht="15" x14ac:dyDescent="0.2">
      <c r="B9335" s="183"/>
    </row>
    <row r="9336" spans="2:2" ht="15" x14ac:dyDescent="0.2">
      <c r="B9336" s="183"/>
    </row>
    <row r="9337" spans="2:2" ht="15" x14ac:dyDescent="0.2">
      <c r="B9337" s="183"/>
    </row>
    <row r="9338" spans="2:2" ht="15" x14ac:dyDescent="0.2">
      <c r="B9338" s="183"/>
    </row>
    <row r="9339" spans="2:2" ht="15" x14ac:dyDescent="0.2">
      <c r="B9339" s="183"/>
    </row>
    <row r="9340" spans="2:2" ht="15" x14ac:dyDescent="0.2">
      <c r="B9340" s="183"/>
    </row>
    <row r="9341" spans="2:2" ht="15" x14ac:dyDescent="0.2">
      <c r="B9341" s="183"/>
    </row>
    <row r="9342" spans="2:2" ht="15" x14ac:dyDescent="0.2">
      <c r="B9342" s="183"/>
    </row>
    <row r="9343" spans="2:2" ht="15" x14ac:dyDescent="0.2">
      <c r="B9343" s="183"/>
    </row>
    <row r="9344" spans="2:2" ht="15" x14ac:dyDescent="0.2">
      <c r="B9344" s="183"/>
    </row>
    <row r="9345" spans="2:2" ht="15" x14ac:dyDescent="0.2">
      <c r="B9345" s="183"/>
    </row>
    <row r="9346" spans="2:2" ht="15" x14ac:dyDescent="0.2">
      <c r="B9346" s="183"/>
    </row>
    <row r="9347" spans="2:2" ht="15" x14ac:dyDescent="0.2">
      <c r="B9347" s="183"/>
    </row>
    <row r="9348" spans="2:2" ht="15" x14ac:dyDescent="0.2">
      <c r="B9348" s="183"/>
    </row>
    <row r="9349" spans="2:2" ht="15" x14ac:dyDescent="0.2">
      <c r="B9349" s="183"/>
    </row>
    <row r="9350" spans="2:2" ht="15" x14ac:dyDescent="0.2">
      <c r="B9350" s="183"/>
    </row>
    <row r="9351" spans="2:2" ht="15" x14ac:dyDescent="0.2">
      <c r="B9351" s="183"/>
    </row>
    <row r="9352" spans="2:2" ht="15" x14ac:dyDescent="0.2">
      <c r="B9352" s="183"/>
    </row>
    <row r="9353" spans="2:2" ht="15" x14ac:dyDescent="0.2">
      <c r="B9353" s="183"/>
    </row>
    <row r="9354" spans="2:2" ht="15" x14ac:dyDescent="0.2">
      <c r="B9354" s="183"/>
    </row>
    <row r="9355" spans="2:2" ht="15" x14ac:dyDescent="0.2">
      <c r="B9355" s="183"/>
    </row>
    <row r="9356" spans="2:2" ht="15" x14ac:dyDescent="0.2">
      <c r="B9356" s="183"/>
    </row>
    <row r="9357" spans="2:2" ht="15" x14ac:dyDescent="0.2">
      <c r="B9357" s="183"/>
    </row>
    <row r="9358" spans="2:2" ht="15" x14ac:dyDescent="0.2">
      <c r="B9358" s="183"/>
    </row>
    <row r="9359" spans="2:2" ht="15" x14ac:dyDescent="0.2">
      <c r="B9359" s="183"/>
    </row>
    <row r="9360" spans="2:2" ht="15" x14ac:dyDescent="0.2">
      <c r="B9360" s="183"/>
    </row>
    <row r="9361" spans="2:2" ht="15" x14ac:dyDescent="0.2">
      <c r="B9361" s="183"/>
    </row>
    <row r="9362" spans="2:2" ht="15" x14ac:dyDescent="0.2">
      <c r="B9362" s="183"/>
    </row>
    <row r="9363" spans="2:2" ht="15" x14ac:dyDescent="0.2">
      <c r="B9363" s="183"/>
    </row>
    <row r="9364" spans="2:2" ht="15" x14ac:dyDescent="0.2">
      <c r="B9364" s="183"/>
    </row>
    <row r="9365" spans="2:2" ht="15" x14ac:dyDescent="0.2">
      <c r="B9365" s="183"/>
    </row>
    <row r="9366" spans="2:2" ht="15" x14ac:dyDescent="0.2">
      <c r="B9366" s="183"/>
    </row>
    <row r="9367" spans="2:2" ht="15" x14ac:dyDescent="0.2">
      <c r="B9367" s="183"/>
    </row>
    <row r="9368" spans="2:2" ht="15" x14ac:dyDescent="0.2">
      <c r="B9368" s="183"/>
    </row>
    <row r="9369" spans="2:2" ht="15" x14ac:dyDescent="0.2">
      <c r="B9369" s="183"/>
    </row>
    <row r="9370" spans="2:2" ht="15" x14ac:dyDescent="0.2">
      <c r="B9370" s="183"/>
    </row>
    <row r="9371" spans="2:2" ht="15" x14ac:dyDescent="0.2">
      <c r="B9371" s="183"/>
    </row>
    <row r="9372" spans="2:2" ht="15" x14ac:dyDescent="0.2">
      <c r="B9372" s="183"/>
    </row>
    <row r="9373" spans="2:2" ht="15" x14ac:dyDescent="0.2">
      <c r="B9373" s="183"/>
    </row>
    <row r="9374" spans="2:2" ht="15" x14ac:dyDescent="0.2">
      <c r="B9374" s="183"/>
    </row>
    <row r="9375" spans="2:2" ht="15" x14ac:dyDescent="0.2">
      <c r="B9375" s="183"/>
    </row>
    <row r="9376" spans="2:2" ht="15" x14ac:dyDescent="0.2">
      <c r="B9376" s="183"/>
    </row>
    <row r="9377" spans="2:2" ht="15" x14ac:dyDescent="0.2">
      <c r="B9377" s="183"/>
    </row>
    <row r="9378" spans="2:2" ht="15" x14ac:dyDescent="0.2">
      <c r="B9378" s="183"/>
    </row>
    <row r="9379" spans="2:2" ht="15" x14ac:dyDescent="0.2">
      <c r="B9379" s="183"/>
    </row>
    <row r="9380" spans="2:2" ht="15" x14ac:dyDescent="0.2">
      <c r="B9380" s="183"/>
    </row>
    <row r="9381" spans="2:2" ht="15" x14ac:dyDescent="0.2">
      <c r="B9381" s="183"/>
    </row>
    <row r="9382" spans="2:2" ht="15" x14ac:dyDescent="0.2">
      <c r="B9382" s="183"/>
    </row>
    <row r="9383" spans="2:2" ht="15" x14ac:dyDescent="0.2">
      <c r="B9383" s="183"/>
    </row>
    <row r="9384" spans="2:2" ht="15" x14ac:dyDescent="0.2">
      <c r="B9384" s="183"/>
    </row>
    <row r="9385" spans="2:2" ht="15" x14ac:dyDescent="0.2">
      <c r="B9385" s="183"/>
    </row>
    <row r="9386" spans="2:2" ht="15" x14ac:dyDescent="0.2">
      <c r="B9386" s="183"/>
    </row>
    <row r="9387" spans="2:2" ht="15" x14ac:dyDescent="0.2">
      <c r="B9387" s="183"/>
    </row>
    <row r="9388" spans="2:2" ht="15" x14ac:dyDescent="0.2">
      <c r="B9388" s="183"/>
    </row>
    <row r="9389" spans="2:2" ht="15" x14ac:dyDescent="0.2">
      <c r="B9389" s="183"/>
    </row>
    <row r="9390" spans="2:2" ht="15" x14ac:dyDescent="0.2">
      <c r="B9390" s="183"/>
    </row>
    <row r="9391" spans="2:2" ht="15" x14ac:dyDescent="0.2">
      <c r="B9391" s="183"/>
    </row>
    <row r="9392" spans="2:2" ht="15" x14ac:dyDescent="0.2">
      <c r="B9392" s="183"/>
    </row>
    <row r="9393" spans="2:2" ht="15" x14ac:dyDescent="0.2">
      <c r="B9393" s="183"/>
    </row>
    <row r="9394" spans="2:2" ht="15" x14ac:dyDescent="0.2">
      <c r="B9394" s="183"/>
    </row>
    <row r="9395" spans="2:2" ht="15" x14ac:dyDescent="0.2">
      <c r="B9395" s="183"/>
    </row>
    <row r="9396" spans="2:2" ht="15" x14ac:dyDescent="0.2">
      <c r="B9396" s="183"/>
    </row>
    <row r="9397" spans="2:2" ht="15" x14ac:dyDescent="0.2">
      <c r="B9397" s="183"/>
    </row>
    <row r="9398" spans="2:2" ht="15" x14ac:dyDescent="0.2">
      <c r="B9398" s="183"/>
    </row>
    <row r="9399" spans="2:2" ht="15" x14ac:dyDescent="0.2">
      <c r="B9399" s="183"/>
    </row>
    <row r="9400" spans="2:2" ht="15" x14ac:dyDescent="0.2">
      <c r="B9400" s="183"/>
    </row>
    <row r="9401" spans="2:2" ht="15" x14ac:dyDescent="0.2">
      <c r="B9401" s="183"/>
    </row>
    <row r="9402" spans="2:2" ht="15" x14ac:dyDescent="0.2">
      <c r="B9402" s="183"/>
    </row>
    <row r="9403" spans="2:2" ht="15" x14ac:dyDescent="0.2">
      <c r="B9403" s="183"/>
    </row>
    <row r="9404" spans="2:2" ht="15" x14ac:dyDescent="0.2">
      <c r="B9404" s="183"/>
    </row>
    <row r="9405" spans="2:2" ht="15" x14ac:dyDescent="0.2">
      <c r="B9405" s="183"/>
    </row>
    <row r="9406" spans="2:2" ht="15" x14ac:dyDescent="0.2">
      <c r="B9406" s="183"/>
    </row>
    <row r="9407" spans="2:2" ht="15" x14ac:dyDescent="0.2">
      <c r="B9407" s="183"/>
    </row>
    <row r="9408" spans="2:2" ht="15" x14ac:dyDescent="0.2">
      <c r="B9408" s="183"/>
    </row>
    <row r="9409" spans="2:2" ht="15" x14ac:dyDescent="0.2">
      <c r="B9409" s="183"/>
    </row>
    <row r="9410" spans="2:2" ht="15" x14ac:dyDescent="0.2">
      <c r="B9410" s="183"/>
    </row>
    <row r="9411" spans="2:2" ht="15" x14ac:dyDescent="0.2">
      <c r="B9411" s="183"/>
    </row>
    <row r="9412" spans="2:2" ht="15" x14ac:dyDescent="0.2">
      <c r="B9412" s="183"/>
    </row>
    <row r="9413" spans="2:2" ht="15" x14ac:dyDescent="0.2">
      <c r="B9413" s="183"/>
    </row>
    <row r="9414" spans="2:2" ht="15" x14ac:dyDescent="0.2">
      <c r="B9414" s="183"/>
    </row>
    <row r="9415" spans="2:2" ht="15" x14ac:dyDescent="0.2">
      <c r="B9415" s="183"/>
    </row>
    <row r="9416" spans="2:2" ht="15" x14ac:dyDescent="0.2">
      <c r="B9416" s="183"/>
    </row>
    <row r="9417" spans="2:2" ht="15" x14ac:dyDescent="0.2">
      <c r="B9417" s="183"/>
    </row>
    <row r="9418" spans="2:2" ht="15" x14ac:dyDescent="0.2">
      <c r="B9418" s="183"/>
    </row>
    <row r="9419" spans="2:2" ht="15" x14ac:dyDescent="0.2">
      <c r="B9419" s="183"/>
    </row>
    <row r="9420" spans="2:2" ht="15" x14ac:dyDescent="0.2">
      <c r="B9420" s="183"/>
    </row>
    <row r="9421" spans="2:2" ht="15" x14ac:dyDescent="0.2">
      <c r="B9421" s="183"/>
    </row>
    <row r="9422" spans="2:2" ht="15" x14ac:dyDescent="0.2">
      <c r="B9422" s="183"/>
    </row>
    <row r="9423" spans="2:2" ht="15" x14ac:dyDescent="0.2">
      <c r="B9423" s="183"/>
    </row>
    <row r="9424" spans="2:2" ht="15" x14ac:dyDescent="0.2">
      <c r="B9424" s="183"/>
    </row>
    <row r="9425" spans="2:2" ht="15" x14ac:dyDescent="0.2">
      <c r="B9425" s="183"/>
    </row>
    <row r="9426" spans="2:2" ht="15" x14ac:dyDescent="0.2">
      <c r="B9426" s="183"/>
    </row>
    <row r="9427" spans="2:2" ht="15" x14ac:dyDescent="0.2">
      <c r="B9427" s="183"/>
    </row>
    <row r="9428" spans="2:2" ht="15" x14ac:dyDescent="0.2">
      <c r="B9428" s="183"/>
    </row>
    <row r="9429" spans="2:2" ht="15" x14ac:dyDescent="0.2">
      <c r="B9429" s="183"/>
    </row>
    <row r="9430" spans="2:2" ht="15" x14ac:dyDescent="0.2">
      <c r="B9430" s="183"/>
    </row>
    <row r="9431" spans="2:2" ht="15" x14ac:dyDescent="0.2">
      <c r="B9431" s="183"/>
    </row>
    <row r="9432" spans="2:2" ht="15" x14ac:dyDescent="0.2">
      <c r="B9432" s="183"/>
    </row>
    <row r="9433" spans="2:2" ht="15" x14ac:dyDescent="0.2">
      <c r="B9433" s="183"/>
    </row>
    <row r="9434" spans="2:2" ht="15" x14ac:dyDescent="0.2">
      <c r="B9434" s="183"/>
    </row>
    <row r="9435" spans="2:2" ht="15" x14ac:dyDescent="0.2">
      <c r="B9435" s="183"/>
    </row>
    <row r="9436" spans="2:2" ht="15" x14ac:dyDescent="0.2">
      <c r="B9436" s="183"/>
    </row>
    <row r="9437" spans="2:2" ht="15" x14ac:dyDescent="0.2">
      <c r="B9437" s="183"/>
    </row>
    <row r="9438" spans="2:2" ht="15" x14ac:dyDescent="0.2">
      <c r="B9438" s="183"/>
    </row>
    <row r="9439" spans="2:2" ht="15" x14ac:dyDescent="0.2">
      <c r="B9439" s="183"/>
    </row>
    <row r="9440" spans="2:2" ht="15" x14ac:dyDescent="0.2">
      <c r="B9440" s="183"/>
    </row>
    <row r="9441" spans="2:2" ht="15" x14ac:dyDescent="0.2">
      <c r="B9441" s="183"/>
    </row>
    <row r="9442" spans="2:2" ht="15" x14ac:dyDescent="0.2">
      <c r="B9442" s="183"/>
    </row>
    <row r="9443" spans="2:2" ht="15" x14ac:dyDescent="0.2">
      <c r="B9443" s="183"/>
    </row>
    <row r="9444" spans="2:2" ht="15" x14ac:dyDescent="0.2">
      <c r="B9444" s="183"/>
    </row>
    <row r="9445" spans="2:2" ht="15" x14ac:dyDescent="0.2">
      <c r="B9445" s="183"/>
    </row>
    <row r="9446" spans="2:2" ht="15" x14ac:dyDescent="0.2">
      <c r="B9446" s="183"/>
    </row>
    <row r="9447" spans="2:2" ht="15" x14ac:dyDescent="0.2">
      <c r="B9447" s="183"/>
    </row>
    <row r="9448" spans="2:2" ht="15" x14ac:dyDescent="0.2">
      <c r="B9448" s="183"/>
    </row>
    <row r="9449" spans="2:2" ht="15" x14ac:dyDescent="0.2">
      <c r="B9449" s="183"/>
    </row>
    <row r="9450" spans="2:2" ht="15" x14ac:dyDescent="0.2">
      <c r="B9450" s="183"/>
    </row>
    <row r="9451" spans="2:2" ht="15" x14ac:dyDescent="0.2">
      <c r="B9451" s="183"/>
    </row>
    <row r="9452" spans="2:2" ht="15" x14ac:dyDescent="0.2">
      <c r="B9452" s="183"/>
    </row>
    <row r="9453" spans="2:2" ht="15" x14ac:dyDescent="0.2">
      <c r="B9453" s="183"/>
    </row>
    <row r="9454" spans="2:2" ht="15" x14ac:dyDescent="0.2">
      <c r="B9454" s="183"/>
    </row>
    <row r="9455" spans="2:2" ht="15" x14ac:dyDescent="0.2">
      <c r="B9455" s="183"/>
    </row>
    <row r="9456" spans="2:2" ht="15" x14ac:dyDescent="0.2">
      <c r="B9456" s="183"/>
    </row>
    <row r="9457" spans="2:2" ht="15" x14ac:dyDescent="0.2">
      <c r="B9457" s="183"/>
    </row>
    <row r="9458" spans="2:2" ht="15" x14ac:dyDescent="0.2">
      <c r="B9458" s="183"/>
    </row>
    <row r="9459" spans="2:2" ht="15" x14ac:dyDescent="0.2">
      <c r="B9459" s="183"/>
    </row>
    <row r="9460" spans="2:2" ht="15" x14ac:dyDescent="0.2">
      <c r="B9460" s="183"/>
    </row>
    <row r="9461" spans="2:2" ht="15" x14ac:dyDescent="0.2">
      <c r="B9461" s="183"/>
    </row>
    <row r="9462" spans="2:2" ht="15" x14ac:dyDescent="0.2">
      <c r="B9462" s="183"/>
    </row>
    <row r="9463" spans="2:2" ht="15" x14ac:dyDescent="0.2">
      <c r="B9463" s="183"/>
    </row>
    <row r="9464" spans="2:2" ht="15" x14ac:dyDescent="0.2">
      <c r="B9464" s="183"/>
    </row>
    <row r="9465" spans="2:2" ht="15" x14ac:dyDescent="0.2">
      <c r="B9465" s="183"/>
    </row>
    <row r="9466" spans="2:2" ht="15" x14ac:dyDescent="0.2">
      <c r="B9466" s="183"/>
    </row>
    <row r="9467" spans="2:2" ht="15" x14ac:dyDescent="0.2">
      <c r="B9467" s="183"/>
    </row>
    <row r="9468" spans="2:2" ht="15" x14ac:dyDescent="0.2">
      <c r="B9468" s="183"/>
    </row>
    <row r="9469" spans="2:2" ht="15" x14ac:dyDescent="0.2">
      <c r="B9469" s="183"/>
    </row>
    <row r="9470" spans="2:2" ht="15" x14ac:dyDescent="0.2">
      <c r="B9470" s="183"/>
    </row>
    <row r="9471" spans="2:2" ht="15" x14ac:dyDescent="0.2">
      <c r="B9471" s="183"/>
    </row>
    <row r="9472" spans="2:2" ht="15" x14ac:dyDescent="0.2">
      <c r="B9472" s="183"/>
    </row>
    <row r="9473" spans="2:2" ht="15" x14ac:dyDescent="0.2">
      <c r="B9473" s="183"/>
    </row>
    <row r="9474" spans="2:2" ht="15" x14ac:dyDescent="0.2">
      <c r="B9474" s="183"/>
    </row>
    <row r="9475" spans="2:2" ht="15" x14ac:dyDescent="0.2">
      <c r="B9475" s="183"/>
    </row>
    <row r="9476" spans="2:2" ht="15" x14ac:dyDescent="0.2">
      <c r="B9476" s="183"/>
    </row>
    <row r="9477" spans="2:2" ht="15" x14ac:dyDescent="0.2">
      <c r="B9477" s="183"/>
    </row>
    <row r="9478" spans="2:2" ht="15" x14ac:dyDescent="0.2">
      <c r="B9478" s="183"/>
    </row>
    <row r="9479" spans="2:2" ht="15" x14ac:dyDescent="0.2">
      <c r="B9479" s="183"/>
    </row>
    <row r="9480" spans="2:2" ht="15" x14ac:dyDescent="0.2">
      <c r="B9480" s="183"/>
    </row>
    <row r="9481" spans="2:2" ht="15" x14ac:dyDescent="0.2">
      <c r="B9481" s="183"/>
    </row>
    <row r="9482" spans="2:2" ht="15" x14ac:dyDescent="0.2">
      <c r="B9482" s="183"/>
    </row>
    <row r="9483" spans="2:2" ht="15" x14ac:dyDescent="0.2">
      <c r="B9483" s="183"/>
    </row>
    <row r="9484" spans="2:2" ht="15" x14ac:dyDescent="0.2">
      <c r="B9484" s="183"/>
    </row>
    <row r="9485" spans="2:2" ht="15" x14ac:dyDescent="0.2">
      <c r="B9485" s="183"/>
    </row>
    <row r="9486" spans="2:2" ht="15" x14ac:dyDescent="0.2">
      <c r="B9486" s="183"/>
    </row>
    <row r="9487" spans="2:2" ht="15" x14ac:dyDescent="0.2">
      <c r="B9487" s="183"/>
    </row>
    <row r="9488" spans="2:2" ht="15" x14ac:dyDescent="0.2">
      <c r="B9488" s="183"/>
    </row>
    <row r="9489" spans="2:2" ht="15" x14ac:dyDescent="0.2">
      <c r="B9489" s="183"/>
    </row>
    <row r="9490" spans="2:2" ht="15" x14ac:dyDescent="0.2">
      <c r="B9490" s="183"/>
    </row>
    <row r="9491" spans="2:2" ht="15" x14ac:dyDescent="0.2">
      <c r="B9491" s="183"/>
    </row>
    <row r="9492" spans="2:2" ht="15" x14ac:dyDescent="0.2">
      <c r="B9492" s="183"/>
    </row>
    <row r="9493" spans="2:2" ht="15" x14ac:dyDescent="0.2">
      <c r="B9493" s="183"/>
    </row>
    <row r="9494" spans="2:2" ht="15" x14ac:dyDescent="0.2">
      <c r="B9494" s="183"/>
    </row>
    <row r="9495" spans="2:2" ht="15" x14ac:dyDescent="0.2">
      <c r="B9495" s="183"/>
    </row>
    <row r="9496" spans="2:2" ht="15" x14ac:dyDescent="0.2">
      <c r="B9496" s="183"/>
    </row>
    <row r="9497" spans="2:2" ht="15" x14ac:dyDescent="0.2">
      <c r="B9497" s="183"/>
    </row>
    <row r="9498" spans="2:2" ht="15" x14ac:dyDescent="0.2">
      <c r="B9498" s="183"/>
    </row>
    <row r="9499" spans="2:2" ht="15" x14ac:dyDescent="0.2">
      <c r="B9499" s="183"/>
    </row>
    <row r="9500" spans="2:2" ht="15" x14ac:dyDescent="0.2">
      <c r="B9500" s="183"/>
    </row>
    <row r="9501" spans="2:2" ht="15" x14ac:dyDescent="0.2">
      <c r="B9501" s="183"/>
    </row>
    <row r="9502" spans="2:2" ht="15" x14ac:dyDescent="0.2">
      <c r="B9502" s="183"/>
    </row>
    <row r="9503" spans="2:2" ht="15" x14ac:dyDescent="0.2">
      <c r="B9503" s="183"/>
    </row>
    <row r="9504" spans="2:2" ht="15" x14ac:dyDescent="0.2">
      <c r="B9504" s="183"/>
    </row>
    <row r="9505" spans="2:2" ht="15" x14ac:dyDescent="0.2">
      <c r="B9505" s="183"/>
    </row>
    <row r="9506" spans="2:2" ht="15" x14ac:dyDescent="0.2">
      <c r="B9506" s="183"/>
    </row>
    <row r="9507" spans="2:2" ht="15" x14ac:dyDescent="0.2">
      <c r="B9507" s="183"/>
    </row>
    <row r="9508" spans="2:2" ht="15" x14ac:dyDescent="0.2">
      <c r="B9508" s="183"/>
    </row>
    <row r="9509" spans="2:2" ht="15" x14ac:dyDescent="0.2">
      <c r="B9509" s="183"/>
    </row>
    <row r="9510" spans="2:2" ht="15" x14ac:dyDescent="0.2">
      <c r="B9510" s="183"/>
    </row>
    <row r="9511" spans="2:2" ht="15" x14ac:dyDescent="0.2">
      <c r="B9511" s="183"/>
    </row>
    <row r="9512" spans="2:2" ht="15" x14ac:dyDescent="0.2">
      <c r="B9512" s="183"/>
    </row>
    <row r="9513" spans="2:2" ht="15" x14ac:dyDescent="0.2">
      <c r="B9513" s="183"/>
    </row>
    <row r="9514" spans="2:2" ht="15" x14ac:dyDescent="0.2">
      <c r="B9514" s="183"/>
    </row>
    <row r="9515" spans="2:2" ht="15" x14ac:dyDescent="0.2">
      <c r="B9515" s="183"/>
    </row>
    <row r="9516" spans="2:2" ht="15" x14ac:dyDescent="0.2">
      <c r="B9516" s="183"/>
    </row>
    <row r="9517" spans="2:2" ht="15" x14ac:dyDescent="0.2">
      <c r="B9517" s="183"/>
    </row>
    <row r="9518" spans="2:2" ht="15" x14ac:dyDescent="0.2">
      <c r="B9518" s="183"/>
    </row>
    <row r="9519" spans="2:2" ht="15" x14ac:dyDescent="0.2">
      <c r="B9519" s="183"/>
    </row>
    <row r="9520" spans="2:2" ht="15" x14ac:dyDescent="0.2">
      <c r="B9520" s="183"/>
    </row>
    <row r="9521" spans="2:2" ht="15" x14ac:dyDescent="0.2">
      <c r="B9521" s="183"/>
    </row>
    <row r="9522" spans="2:2" ht="15" x14ac:dyDescent="0.2">
      <c r="B9522" s="183"/>
    </row>
    <row r="9523" spans="2:2" ht="15" x14ac:dyDescent="0.2">
      <c r="B9523" s="183"/>
    </row>
    <row r="9524" spans="2:2" ht="15" x14ac:dyDescent="0.2">
      <c r="B9524" s="183"/>
    </row>
    <row r="9525" spans="2:2" ht="15" x14ac:dyDescent="0.2">
      <c r="B9525" s="183"/>
    </row>
    <row r="9526" spans="2:2" ht="15" x14ac:dyDescent="0.2">
      <c r="B9526" s="183"/>
    </row>
    <row r="9527" spans="2:2" ht="15" x14ac:dyDescent="0.2">
      <c r="B9527" s="183"/>
    </row>
    <row r="9528" spans="2:2" ht="15" x14ac:dyDescent="0.2">
      <c r="B9528" s="183"/>
    </row>
    <row r="9529" spans="2:2" ht="15" x14ac:dyDescent="0.2">
      <c r="B9529" s="183"/>
    </row>
    <row r="9530" spans="2:2" ht="15" x14ac:dyDescent="0.2">
      <c r="B9530" s="183"/>
    </row>
    <row r="9531" spans="2:2" ht="15" x14ac:dyDescent="0.2">
      <c r="B9531" s="183"/>
    </row>
    <row r="9532" spans="2:2" ht="15" x14ac:dyDescent="0.2">
      <c r="B9532" s="183"/>
    </row>
    <row r="9533" spans="2:2" ht="15" x14ac:dyDescent="0.2">
      <c r="B9533" s="183"/>
    </row>
    <row r="9534" spans="2:2" ht="15" x14ac:dyDescent="0.2">
      <c r="B9534" s="183"/>
    </row>
    <row r="9535" spans="2:2" ht="15" x14ac:dyDescent="0.2">
      <c r="B9535" s="183"/>
    </row>
    <row r="9536" spans="2:2" ht="15" x14ac:dyDescent="0.2">
      <c r="B9536" s="183"/>
    </row>
    <row r="9537" spans="2:2" ht="15" x14ac:dyDescent="0.2">
      <c r="B9537" s="183"/>
    </row>
    <row r="9538" spans="2:2" ht="15" x14ac:dyDescent="0.2">
      <c r="B9538" s="183"/>
    </row>
    <row r="9539" spans="2:2" ht="15" x14ac:dyDescent="0.2">
      <c r="B9539" s="183"/>
    </row>
    <row r="9540" spans="2:2" ht="15" x14ac:dyDescent="0.2">
      <c r="B9540" s="183"/>
    </row>
    <row r="9541" spans="2:2" ht="15" x14ac:dyDescent="0.2">
      <c r="B9541" s="183"/>
    </row>
    <row r="9542" spans="2:2" ht="15" x14ac:dyDescent="0.2">
      <c r="B9542" s="183"/>
    </row>
    <row r="9543" spans="2:2" ht="15" x14ac:dyDescent="0.2">
      <c r="B9543" s="183"/>
    </row>
    <row r="9544" spans="2:2" ht="15" x14ac:dyDescent="0.2">
      <c r="B9544" s="183"/>
    </row>
    <row r="9545" spans="2:2" ht="15" x14ac:dyDescent="0.2">
      <c r="B9545" s="183"/>
    </row>
    <row r="9546" spans="2:2" ht="15" x14ac:dyDescent="0.2">
      <c r="B9546" s="183"/>
    </row>
    <row r="9547" spans="2:2" ht="15" x14ac:dyDescent="0.2">
      <c r="B9547" s="183"/>
    </row>
    <row r="9548" spans="2:2" ht="15" x14ac:dyDescent="0.2">
      <c r="B9548" s="183"/>
    </row>
    <row r="9549" spans="2:2" ht="15" x14ac:dyDescent="0.2">
      <c r="B9549" s="183"/>
    </row>
    <row r="9550" spans="2:2" ht="15" x14ac:dyDescent="0.2">
      <c r="B9550" s="183"/>
    </row>
    <row r="9551" spans="2:2" ht="15" x14ac:dyDescent="0.2">
      <c r="B9551" s="183"/>
    </row>
    <row r="9552" spans="2:2" ht="15" x14ac:dyDescent="0.2">
      <c r="B9552" s="183"/>
    </row>
    <row r="9553" spans="2:2" ht="15" x14ac:dyDescent="0.2">
      <c r="B9553" s="183"/>
    </row>
    <row r="9554" spans="2:2" ht="15" x14ac:dyDescent="0.2">
      <c r="B9554" s="183"/>
    </row>
    <row r="9555" spans="2:2" ht="15" x14ac:dyDescent="0.2">
      <c r="B9555" s="183"/>
    </row>
    <row r="9556" spans="2:2" ht="15" x14ac:dyDescent="0.2">
      <c r="B9556" s="183"/>
    </row>
    <row r="9557" spans="2:2" ht="15" x14ac:dyDescent="0.2">
      <c r="B9557" s="183"/>
    </row>
    <row r="9558" spans="2:2" ht="15" x14ac:dyDescent="0.2">
      <c r="B9558" s="183"/>
    </row>
    <row r="9559" spans="2:2" ht="15" x14ac:dyDescent="0.2">
      <c r="B9559" s="183"/>
    </row>
    <row r="9560" spans="2:2" ht="15" x14ac:dyDescent="0.2">
      <c r="B9560" s="183"/>
    </row>
    <row r="9561" spans="2:2" ht="15" x14ac:dyDescent="0.2">
      <c r="B9561" s="183"/>
    </row>
    <row r="9562" spans="2:2" ht="15" x14ac:dyDescent="0.2">
      <c r="B9562" s="183"/>
    </row>
    <row r="9563" spans="2:2" ht="15" x14ac:dyDescent="0.2">
      <c r="B9563" s="183"/>
    </row>
    <row r="9564" spans="2:2" ht="15" x14ac:dyDescent="0.2">
      <c r="B9564" s="183"/>
    </row>
    <row r="9565" spans="2:2" ht="15" x14ac:dyDescent="0.2">
      <c r="B9565" s="183"/>
    </row>
    <row r="9566" spans="2:2" ht="15" x14ac:dyDescent="0.2">
      <c r="B9566" s="183"/>
    </row>
    <row r="9567" spans="2:2" ht="15" x14ac:dyDescent="0.2">
      <c r="B9567" s="183"/>
    </row>
    <row r="9568" spans="2:2" ht="15" x14ac:dyDescent="0.2">
      <c r="B9568" s="183"/>
    </row>
    <row r="9569" spans="2:2" ht="15" x14ac:dyDescent="0.2">
      <c r="B9569" s="183"/>
    </row>
    <row r="9570" spans="2:2" ht="15" x14ac:dyDescent="0.2">
      <c r="B9570" s="183"/>
    </row>
    <row r="9571" spans="2:2" ht="15" x14ac:dyDescent="0.2">
      <c r="B9571" s="183"/>
    </row>
    <row r="9572" spans="2:2" ht="15" x14ac:dyDescent="0.2">
      <c r="B9572" s="183"/>
    </row>
    <row r="9573" spans="2:2" ht="15" x14ac:dyDescent="0.2">
      <c r="B9573" s="183"/>
    </row>
    <row r="9574" spans="2:2" ht="15" x14ac:dyDescent="0.2">
      <c r="B9574" s="183"/>
    </row>
    <row r="9575" spans="2:2" ht="15" x14ac:dyDescent="0.2">
      <c r="B9575" s="183"/>
    </row>
    <row r="9576" spans="2:2" ht="15" x14ac:dyDescent="0.2">
      <c r="B9576" s="183"/>
    </row>
    <row r="9577" spans="2:2" ht="15" x14ac:dyDescent="0.2">
      <c r="B9577" s="183"/>
    </row>
    <row r="9578" spans="2:2" ht="15" x14ac:dyDescent="0.2">
      <c r="B9578" s="183"/>
    </row>
    <row r="9579" spans="2:2" ht="15" x14ac:dyDescent="0.2">
      <c r="B9579" s="183"/>
    </row>
    <row r="9580" spans="2:2" ht="15" x14ac:dyDescent="0.2">
      <c r="B9580" s="183"/>
    </row>
    <row r="9581" spans="2:2" ht="15" x14ac:dyDescent="0.2">
      <c r="B9581" s="183"/>
    </row>
    <row r="9582" spans="2:2" ht="15" x14ac:dyDescent="0.2">
      <c r="B9582" s="183"/>
    </row>
    <row r="9583" spans="2:2" ht="15" x14ac:dyDescent="0.2">
      <c r="B9583" s="183"/>
    </row>
    <row r="9584" spans="2:2" ht="15" x14ac:dyDescent="0.2">
      <c r="B9584" s="183"/>
    </row>
    <row r="9585" spans="2:2" ht="15" x14ac:dyDescent="0.2">
      <c r="B9585" s="183"/>
    </row>
    <row r="9586" spans="2:2" ht="15" x14ac:dyDescent="0.2">
      <c r="B9586" s="183"/>
    </row>
    <row r="9587" spans="2:2" ht="15" x14ac:dyDescent="0.2">
      <c r="B9587" s="183"/>
    </row>
    <row r="9588" spans="2:2" ht="15" x14ac:dyDescent="0.2">
      <c r="B9588" s="183"/>
    </row>
    <row r="9589" spans="2:2" ht="15" x14ac:dyDescent="0.2">
      <c r="B9589" s="183"/>
    </row>
    <row r="9590" spans="2:2" ht="15" x14ac:dyDescent="0.2">
      <c r="B9590" s="183"/>
    </row>
    <row r="9591" spans="2:2" ht="15" x14ac:dyDescent="0.2">
      <c r="B9591" s="183"/>
    </row>
    <row r="9592" spans="2:2" ht="15" x14ac:dyDescent="0.2">
      <c r="B9592" s="183"/>
    </row>
    <row r="9593" spans="2:2" ht="15" x14ac:dyDescent="0.2">
      <c r="B9593" s="183"/>
    </row>
    <row r="9594" spans="2:2" ht="15" x14ac:dyDescent="0.2">
      <c r="B9594" s="183"/>
    </row>
    <row r="9595" spans="2:2" ht="15" x14ac:dyDescent="0.2">
      <c r="B9595" s="183"/>
    </row>
    <row r="9596" spans="2:2" ht="15" x14ac:dyDescent="0.2">
      <c r="B9596" s="183"/>
    </row>
    <row r="9597" spans="2:2" ht="15" x14ac:dyDescent="0.2">
      <c r="B9597" s="183"/>
    </row>
    <row r="9598" spans="2:2" ht="15" x14ac:dyDescent="0.2">
      <c r="B9598" s="183"/>
    </row>
    <row r="9599" spans="2:2" ht="15" x14ac:dyDescent="0.2">
      <c r="B9599" s="183"/>
    </row>
    <row r="9600" spans="2:2" ht="15" x14ac:dyDescent="0.2">
      <c r="B9600" s="183"/>
    </row>
    <row r="9601" spans="2:2" ht="15" x14ac:dyDescent="0.2">
      <c r="B9601" s="183"/>
    </row>
    <row r="9602" spans="2:2" ht="15" x14ac:dyDescent="0.2">
      <c r="B9602" s="183"/>
    </row>
    <row r="9603" spans="2:2" ht="15" x14ac:dyDescent="0.2">
      <c r="B9603" s="183"/>
    </row>
    <row r="9604" spans="2:2" ht="15" x14ac:dyDescent="0.2">
      <c r="B9604" s="183"/>
    </row>
    <row r="9605" spans="2:2" ht="15" x14ac:dyDescent="0.2">
      <c r="B9605" s="183"/>
    </row>
    <row r="9606" spans="2:2" ht="15" x14ac:dyDescent="0.2">
      <c r="B9606" s="183"/>
    </row>
    <row r="9607" spans="2:2" ht="15" x14ac:dyDescent="0.2">
      <c r="B9607" s="183"/>
    </row>
    <row r="9608" spans="2:2" ht="15" x14ac:dyDescent="0.2">
      <c r="B9608" s="183"/>
    </row>
    <row r="9609" spans="2:2" ht="15" x14ac:dyDescent="0.2">
      <c r="B9609" s="183"/>
    </row>
    <row r="9610" spans="2:2" ht="15" x14ac:dyDescent="0.2">
      <c r="B9610" s="183"/>
    </row>
    <row r="9611" spans="2:2" ht="15" x14ac:dyDescent="0.2">
      <c r="B9611" s="183"/>
    </row>
    <row r="9612" spans="2:2" ht="15" x14ac:dyDescent="0.2">
      <c r="B9612" s="183"/>
    </row>
    <row r="9613" spans="2:2" ht="15" x14ac:dyDescent="0.2">
      <c r="B9613" s="183"/>
    </row>
    <row r="9614" spans="2:2" ht="15" x14ac:dyDescent="0.2">
      <c r="B9614" s="183"/>
    </row>
    <row r="9615" spans="2:2" ht="15" x14ac:dyDescent="0.2">
      <c r="B9615" s="183"/>
    </row>
    <row r="9616" spans="2:2" ht="15" x14ac:dyDescent="0.2">
      <c r="B9616" s="183"/>
    </row>
    <row r="9617" spans="2:2" ht="15" x14ac:dyDescent="0.2">
      <c r="B9617" s="183"/>
    </row>
    <row r="9618" spans="2:2" ht="15" x14ac:dyDescent="0.2">
      <c r="B9618" s="183"/>
    </row>
    <row r="9619" spans="2:2" ht="15" x14ac:dyDescent="0.2">
      <c r="B9619" s="183"/>
    </row>
    <row r="9620" spans="2:2" ht="15" x14ac:dyDescent="0.2">
      <c r="B9620" s="183"/>
    </row>
    <row r="9621" spans="2:2" ht="15" x14ac:dyDescent="0.2">
      <c r="B9621" s="183"/>
    </row>
    <row r="9622" spans="2:2" ht="15" x14ac:dyDescent="0.2">
      <c r="B9622" s="183"/>
    </row>
    <row r="9623" spans="2:2" ht="15" x14ac:dyDescent="0.2">
      <c r="B9623" s="183"/>
    </row>
    <row r="9624" spans="2:2" ht="15" x14ac:dyDescent="0.2">
      <c r="B9624" s="183"/>
    </row>
    <row r="9625" spans="2:2" ht="15" x14ac:dyDescent="0.2">
      <c r="B9625" s="183"/>
    </row>
    <row r="9626" spans="2:2" ht="15" x14ac:dyDescent="0.2">
      <c r="B9626" s="183"/>
    </row>
    <row r="9627" spans="2:2" ht="15" x14ac:dyDescent="0.2">
      <c r="B9627" s="183"/>
    </row>
    <row r="9628" spans="2:2" ht="15" x14ac:dyDescent="0.2">
      <c r="B9628" s="183"/>
    </row>
    <row r="9629" spans="2:2" ht="15" x14ac:dyDescent="0.2">
      <c r="B9629" s="183"/>
    </row>
    <row r="9630" spans="2:2" ht="15" x14ac:dyDescent="0.2">
      <c r="B9630" s="183"/>
    </row>
    <row r="9631" spans="2:2" ht="15" x14ac:dyDescent="0.2">
      <c r="B9631" s="183"/>
    </row>
    <row r="9632" spans="2:2" ht="15" x14ac:dyDescent="0.2">
      <c r="B9632" s="183"/>
    </row>
    <row r="9633" spans="2:2" ht="15" x14ac:dyDescent="0.2">
      <c r="B9633" s="183"/>
    </row>
    <row r="9634" spans="2:2" ht="15" x14ac:dyDescent="0.2">
      <c r="B9634" s="183"/>
    </row>
    <row r="9635" spans="2:2" ht="15" x14ac:dyDescent="0.2">
      <c r="B9635" s="183"/>
    </row>
    <row r="9636" spans="2:2" ht="15" x14ac:dyDescent="0.2">
      <c r="B9636" s="183"/>
    </row>
    <row r="9637" spans="2:2" ht="15" x14ac:dyDescent="0.2">
      <c r="B9637" s="183"/>
    </row>
    <row r="9638" spans="2:2" ht="15" x14ac:dyDescent="0.2">
      <c r="B9638" s="183"/>
    </row>
    <row r="9639" spans="2:2" ht="15" x14ac:dyDescent="0.2">
      <c r="B9639" s="183"/>
    </row>
    <row r="9640" spans="2:2" ht="15" x14ac:dyDescent="0.2">
      <c r="B9640" s="183"/>
    </row>
    <row r="9641" spans="2:2" ht="15" x14ac:dyDescent="0.2">
      <c r="B9641" s="183"/>
    </row>
    <row r="9642" spans="2:2" ht="15" x14ac:dyDescent="0.2">
      <c r="B9642" s="183"/>
    </row>
    <row r="9643" spans="2:2" ht="15" x14ac:dyDescent="0.2">
      <c r="B9643" s="183"/>
    </row>
    <row r="9644" spans="2:2" ht="15" x14ac:dyDescent="0.2">
      <c r="B9644" s="183"/>
    </row>
    <row r="9645" spans="2:2" ht="15" x14ac:dyDescent="0.2">
      <c r="B9645" s="183"/>
    </row>
    <row r="9646" spans="2:2" ht="15" x14ac:dyDescent="0.2">
      <c r="B9646" s="183"/>
    </row>
    <row r="9647" spans="2:2" ht="15" x14ac:dyDescent="0.2">
      <c r="B9647" s="183"/>
    </row>
    <row r="9648" spans="2:2" ht="15" x14ac:dyDescent="0.2">
      <c r="B9648" s="183"/>
    </row>
    <row r="9649" spans="2:2" ht="15" x14ac:dyDescent="0.2">
      <c r="B9649" s="183"/>
    </row>
    <row r="9650" spans="2:2" ht="15" x14ac:dyDescent="0.2">
      <c r="B9650" s="183"/>
    </row>
    <row r="9651" spans="2:2" ht="15" x14ac:dyDescent="0.2">
      <c r="B9651" s="183"/>
    </row>
    <row r="9652" spans="2:2" ht="15" x14ac:dyDescent="0.2">
      <c r="B9652" s="183"/>
    </row>
    <row r="9653" spans="2:2" ht="15" x14ac:dyDescent="0.2">
      <c r="B9653" s="183"/>
    </row>
    <row r="9654" spans="2:2" ht="15" x14ac:dyDescent="0.2">
      <c r="B9654" s="183"/>
    </row>
    <row r="9655" spans="2:2" ht="15" x14ac:dyDescent="0.2">
      <c r="B9655" s="183"/>
    </row>
    <row r="9656" spans="2:2" ht="15" x14ac:dyDescent="0.2">
      <c r="B9656" s="183"/>
    </row>
    <row r="9657" spans="2:2" ht="15" x14ac:dyDescent="0.2">
      <c r="B9657" s="183"/>
    </row>
    <row r="9658" spans="2:2" ht="15" x14ac:dyDescent="0.2">
      <c r="B9658" s="183"/>
    </row>
    <row r="9659" spans="2:2" ht="15" x14ac:dyDescent="0.2">
      <c r="B9659" s="183"/>
    </row>
    <row r="9660" spans="2:2" ht="15" x14ac:dyDescent="0.2">
      <c r="B9660" s="183"/>
    </row>
    <row r="9661" spans="2:2" ht="15" x14ac:dyDescent="0.2">
      <c r="B9661" s="183"/>
    </row>
    <row r="9662" spans="2:2" ht="15" x14ac:dyDescent="0.2">
      <c r="B9662" s="183"/>
    </row>
    <row r="9663" spans="2:2" ht="15" x14ac:dyDescent="0.2">
      <c r="B9663" s="183"/>
    </row>
    <row r="9664" spans="2:2" ht="15" x14ac:dyDescent="0.2">
      <c r="B9664" s="183"/>
    </row>
    <row r="9665" spans="2:2" ht="15" x14ac:dyDescent="0.2">
      <c r="B9665" s="183"/>
    </row>
    <row r="9666" spans="2:2" ht="15" x14ac:dyDescent="0.2">
      <c r="B9666" s="183"/>
    </row>
    <row r="9667" spans="2:2" ht="15" x14ac:dyDescent="0.2">
      <c r="B9667" s="183"/>
    </row>
    <row r="9668" spans="2:2" ht="15" x14ac:dyDescent="0.2">
      <c r="B9668" s="183"/>
    </row>
    <row r="9669" spans="2:2" ht="15" x14ac:dyDescent="0.2">
      <c r="B9669" s="183"/>
    </row>
    <row r="9670" spans="2:2" ht="15" x14ac:dyDescent="0.2">
      <c r="B9670" s="183"/>
    </row>
    <row r="9671" spans="2:2" ht="15" x14ac:dyDescent="0.2">
      <c r="B9671" s="183"/>
    </row>
    <row r="9672" spans="2:2" ht="15" x14ac:dyDescent="0.2">
      <c r="B9672" s="183"/>
    </row>
    <row r="9673" spans="2:2" ht="15" x14ac:dyDescent="0.2">
      <c r="B9673" s="183"/>
    </row>
    <row r="9674" spans="2:2" ht="15" x14ac:dyDescent="0.2">
      <c r="B9674" s="183"/>
    </row>
    <row r="9675" spans="2:2" ht="15" x14ac:dyDescent="0.2">
      <c r="B9675" s="183"/>
    </row>
    <row r="9676" spans="2:2" ht="15" x14ac:dyDescent="0.2">
      <c r="B9676" s="183"/>
    </row>
    <row r="9677" spans="2:2" ht="15" x14ac:dyDescent="0.2">
      <c r="B9677" s="183"/>
    </row>
    <row r="9678" spans="2:2" ht="15" x14ac:dyDescent="0.2">
      <c r="B9678" s="183"/>
    </row>
    <row r="9679" spans="2:2" ht="15" x14ac:dyDescent="0.2">
      <c r="B9679" s="183"/>
    </row>
    <row r="9680" spans="2:2" ht="15" x14ac:dyDescent="0.2">
      <c r="B9680" s="183"/>
    </row>
    <row r="9681" spans="2:2" ht="15" x14ac:dyDescent="0.2">
      <c r="B9681" s="183"/>
    </row>
    <row r="9682" spans="2:2" ht="15" x14ac:dyDescent="0.2">
      <c r="B9682" s="183"/>
    </row>
    <row r="9683" spans="2:2" ht="15" x14ac:dyDescent="0.2">
      <c r="B9683" s="183"/>
    </row>
    <row r="9684" spans="2:2" ht="15" x14ac:dyDescent="0.2">
      <c r="B9684" s="183"/>
    </row>
    <row r="9685" spans="2:2" ht="15" x14ac:dyDescent="0.2">
      <c r="B9685" s="183"/>
    </row>
    <row r="9686" spans="2:2" ht="15" x14ac:dyDescent="0.2">
      <c r="B9686" s="183"/>
    </row>
    <row r="9687" spans="2:2" ht="15" x14ac:dyDescent="0.2">
      <c r="B9687" s="183"/>
    </row>
    <row r="9688" spans="2:2" ht="15" x14ac:dyDescent="0.2">
      <c r="B9688" s="183"/>
    </row>
    <row r="9689" spans="2:2" ht="15" x14ac:dyDescent="0.2">
      <c r="B9689" s="183"/>
    </row>
    <row r="9690" spans="2:2" ht="15" x14ac:dyDescent="0.2">
      <c r="B9690" s="183"/>
    </row>
    <row r="9691" spans="2:2" ht="15" x14ac:dyDescent="0.2">
      <c r="B9691" s="183"/>
    </row>
    <row r="9692" spans="2:2" ht="15" x14ac:dyDescent="0.2">
      <c r="B9692" s="183"/>
    </row>
    <row r="9693" spans="2:2" ht="15" x14ac:dyDescent="0.2">
      <c r="B9693" s="183"/>
    </row>
    <row r="9694" spans="2:2" ht="15" x14ac:dyDescent="0.2">
      <c r="B9694" s="183"/>
    </row>
    <row r="9695" spans="2:2" ht="15" x14ac:dyDescent="0.2">
      <c r="B9695" s="183"/>
    </row>
    <row r="9696" spans="2:2" ht="15" x14ac:dyDescent="0.2">
      <c r="B9696" s="183"/>
    </row>
    <row r="9697" spans="2:2" ht="15" x14ac:dyDescent="0.2">
      <c r="B9697" s="183"/>
    </row>
    <row r="9698" spans="2:2" ht="15" x14ac:dyDescent="0.2">
      <c r="B9698" s="183"/>
    </row>
    <row r="9699" spans="2:2" ht="15" x14ac:dyDescent="0.2">
      <c r="B9699" s="183"/>
    </row>
    <row r="9700" spans="2:2" ht="15" x14ac:dyDescent="0.2">
      <c r="B9700" s="183"/>
    </row>
    <row r="9701" spans="2:2" ht="15" x14ac:dyDescent="0.2">
      <c r="B9701" s="183"/>
    </row>
    <row r="9702" spans="2:2" ht="15" x14ac:dyDescent="0.2">
      <c r="B9702" s="183"/>
    </row>
    <row r="9703" spans="2:2" ht="15" x14ac:dyDescent="0.2">
      <c r="B9703" s="183"/>
    </row>
    <row r="9704" spans="2:2" ht="15" x14ac:dyDescent="0.2">
      <c r="B9704" s="183"/>
    </row>
    <row r="9705" spans="2:2" ht="15" x14ac:dyDescent="0.2">
      <c r="B9705" s="183"/>
    </row>
    <row r="9706" spans="2:2" ht="15" x14ac:dyDescent="0.2">
      <c r="B9706" s="183"/>
    </row>
    <row r="9707" spans="2:2" ht="15" x14ac:dyDescent="0.2">
      <c r="B9707" s="183"/>
    </row>
    <row r="9708" spans="2:2" ht="15" x14ac:dyDescent="0.2">
      <c r="B9708" s="183"/>
    </row>
    <row r="9709" spans="2:2" ht="15" x14ac:dyDescent="0.2">
      <c r="B9709" s="183"/>
    </row>
    <row r="9710" spans="2:2" ht="15" x14ac:dyDescent="0.2">
      <c r="B9710" s="183"/>
    </row>
    <row r="9711" spans="2:2" ht="15" x14ac:dyDescent="0.2">
      <c r="B9711" s="183"/>
    </row>
    <row r="9712" spans="2:2" ht="15" x14ac:dyDescent="0.2">
      <c r="B9712" s="183"/>
    </row>
    <row r="9713" spans="2:2" ht="15" x14ac:dyDescent="0.2">
      <c r="B9713" s="183"/>
    </row>
    <row r="9714" spans="2:2" ht="15" x14ac:dyDescent="0.2">
      <c r="B9714" s="183"/>
    </row>
    <row r="9715" spans="2:2" ht="15" x14ac:dyDescent="0.2">
      <c r="B9715" s="183"/>
    </row>
    <row r="9716" spans="2:2" ht="15" x14ac:dyDescent="0.2">
      <c r="B9716" s="183"/>
    </row>
    <row r="9717" spans="2:2" ht="15" x14ac:dyDescent="0.2">
      <c r="B9717" s="183"/>
    </row>
    <row r="9718" spans="2:2" ht="15" x14ac:dyDescent="0.2">
      <c r="B9718" s="183"/>
    </row>
    <row r="9719" spans="2:2" ht="15" x14ac:dyDescent="0.2">
      <c r="B9719" s="183"/>
    </row>
    <row r="9720" spans="2:2" ht="15" x14ac:dyDescent="0.2">
      <c r="B9720" s="183"/>
    </row>
    <row r="9721" spans="2:2" ht="15" x14ac:dyDescent="0.2">
      <c r="B9721" s="183"/>
    </row>
    <row r="9722" spans="2:2" ht="15" x14ac:dyDescent="0.2">
      <c r="B9722" s="183"/>
    </row>
    <row r="9723" spans="2:2" ht="15" x14ac:dyDescent="0.2">
      <c r="B9723" s="183"/>
    </row>
    <row r="9724" spans="2:2" ht="15" x14ac:dyDescent="0.2">
      <c r="B9724" s="183"/>
    </row>
    <row r="9725" spans="2:2" ht="15" x14ac:dyDescent="0.2">
      <c r="B9725" s="183"/>
    </row>
    <row r="9726" spans="2:2" ht="15" x14ac:dyDescent="0.2">
      <c r="B9726" s="183"/>
    </row>
    <row r="9727" spans="2:2" ht="15" x14ac:dyDescent="0.2">
      <c r="B9727" s="183"/>
    </row>
    <row r="9728" spans="2:2" ht="15" x14ac:dyDescent="0.2">
      <c r="B9728" s="183"/>
    </row>
    <row r="9729" spans="2:2" ht="15" x14ac:dyDescent="0.2">
      <c r="B9729" s="183"/>
    </row>
    <row r="9730" spans="2:2" ht="15" x14ac:dyDescent="0.2">
      <c r="B9730" s="183"/>
    </row>
    <row r="9731" spans="2:2" ht="15" x14ac:dyDescent="0.2">
      <c r="B9731" s="183"/>
    </row>
    <row r="9732" spans="2:2" ht="15" x14ac:dyDescent="0.2">
      <c r="B9732" s="183"/>
    </row>
    <row r="9733" spans="2:2" ht="15" x14ac:dyDescent="0.2">
      <c r="B9733" s="183"/>
    </row>
    <row r="9734" spans="2:2" ht="15" x14ac:dyDescent="0.2">
      <c r="B9734" s="183"/>
    </row>
    <row r="9735" spans="2:2" ht="15" x14ac:dyDescent="0.2">
      <c r="B9735" s="183"/>
    </row>
    <row r="9736" spans="2:2" ht="15" x14ac:dyDescent="0.2">
      <c r="B9736" s="183"/>
    </row>
    <row r="9737" spans="2:2" ht="15" x14ac:dyDescent="0.2">
      <c r="B9737" s="183"/>
    </row>
    <row r="9738" spans="2:2" ht="15" x14ac:dyDescent="0.2">
      <c r="B9738" s="183"/>
    </row>
    <row r="9739" spans="2:2" ht="15" x14ac:dyDescent="0.2">
      <c r="B9739" s="183"/>
    </row>
    <row r="9740" spans="2:2" ht="15" x14ac:dyDescent="0.2">
      <c r="B9740" s="183"/>
    </row>
    <row r="9741" spans="2:2" ht="15" x14ac:dyDescent="0.2">
      <c r="B9741" s="183"/>
    </row>
    <row r="9742" spans="2:2" ht="15" x14ac:dyDescent="0.2">
      <c r="B9742" s="183"/>
    </row>
    <row r="9743" spans="2:2" ht="15" x14ac:dyDescent="0.2">
      <c r="B9743" s="183"/>
    </row>
    <row r="9744" spans="2:2" ht="15" x14ac:dyDescent="0.2">
      <c r="B9744" s="183"/>
    </row>
    <row r="9745" spans="2:2" ht="15" x14ac:dyDescent="0.2">
      <c r="B9745" s="183"/>
    </row>
    <row r="9746" spans="2:2" ht="15" x14ac:dyDescent="0.2">
      <c r="B9746" s="183"/>
    </row>
    <row r="9747" spans="2:2" ht="15" x14ac:dyDescent="0.2">
      <c r="B9747" s="183"/>
    </row>
    <row r="9748" spans="2:2" ht="15" x14ac:dyDescent="0.2">
      <c r="B9748" s="183"/>
    </row>
    <row r="9749" spans="2:2" ht="15" x14ac:dyDescent="0.2">
      <c r="B9749" s="183"/>
    </row>
    <row r="9750" spans="2:2" ht="15" x14ac:dyDescent="0.2">
      <c r="B9750" s="183"/>
    </row>
    <row r="9751" spans="2:2" ht="15" x14ac:dyDescent="0.2">
      <c r="B9751" s="183"/>
    </row>
    <row r="9752" spans="2:2" ht="15" x14ac:dyDescent="0.2">
      <c r="B9752" s="183"/>
    </row>
    <row r="9753" spans="2:2" ht="15" x14ac:dyDescent="0.2">
      <c r="B9753" s="183"/>
    </row>
    <row r="9754" spans="2:2" ht="15" x14ac:dyDescent="0.2">
      <c r="B9754" s="183"/>
    </row>
    <row r="9755" spans="2:2" ht="15" x14ac:dyDescent="0.2">
      <c r="B9755" s="183"/>
    </row>
    <row r="9756" spans="2:2" ht="15" x14ac:dyDescent="0.2">
      <c r="B9756" s="183"/>
    </row>
    <row r="9757" spans="2:2" ht="15" x14ac:dyDescent="0.2">
      <c r="B9757" s="183"/>
    </row>
    <row r="9758" spans="2:2" ht="15" x14ac:dyDescent="0.2">
      <c r="B9758" s="183"/>
    </row>
    <row r="9759" spans="2:2" ht="15" x14ac:dyDescent="0.2">
      <c r="B9759" s="183"/>
    </row>
    <row r="9760" spans="2:2" ht="15" x14ac:dyDescent="0.2">
      <c r="B9760" s="183"/>
    </row>
    <row r="9761" spans="2:2" ht="15" x14ac:dyDescent="0.2">
      <c r="B9761" s="183"/>
    </row>
    <row r="9762" spans="2:2" ht="15" x14ac:dyDescent="0.2">
      <c r="B9762" s="183"/>
    </row>
    <row r="9763" spans="2:2" ht="15" x14ac:dyDescent="0.2">
      <c r="B9763" s="183"/>
    </row>
    <row r="9764" spans="2:2" ht="15" x14ac:dyDescent="0.2">
      <c r="B9764" s="183"/>
    </row>
    <row r="9765" spans="2:2" ht="15" x14ac:dyDescent="0.2">
      <c r="B9765" s="183"/>
    </row>
    <row r="9766" spans="2:2" ht="15" x14ac:dyDescent="0.2">
      <c r="B9766" s="183"/>
    </row>
    <row r="9767" spans="2:2" ht="15" x14ac:dyDescent="0.2">
      <c r="B9767" s="183"/>
    </row>
    <row r="9768" spans="2:2" ht="15" x14ac:dyDescent="0.2">
      <c r="B9768" s="183"/>
    </row>
    <row r="9769" spans="2:2" ht="15" x14ac:dyDescent="0.2">
      <c r="B9769" s="183"/>
    </row>
    <row r="9770" spans="2:2" ht="15" x14ac:dyDescent="0.2">
      <c r="B9770" s="183"/>
    </row>
    <row r="9771" spans="2:2" ht="15" x14ac:dyDescent="0.2">
      <c r="B9771" s="183"/>
    </row>
    <row r="9772" spans="2:2" ht="15" x14ac:dyDescent="0.2">
      <c r="B9772" s="183"/>
    </row>
    <row r="9773" spans="2:2" ht="15" x14ac:dyDescent="0.2">
      <c r="B9773" s="183"/>
    </row>
    <row r="9774" spans="2:2" ht="15" x14ac:dyDescent="0.2">
      <c r="B9774" s="183"/>
    </row>
    <row r="9775" spans="2:2" ht="15" x14ac:dyDescent="0.2">
      <c r="B9775" s="183"/>
    </row>
    <row r="9776" spans="2:2" ht="15" x14ac:dyDescent="0.2">
      <c r="B9776" s="183"/>
    </row>
    <row r="9777" spans="2:2" ht="15" x14ac:dyDescent="0.2">
      <c r="B9777" s="183"/>
    </row>
    <row r="9778" spans="2:2" ht="15" x14ac:dyDescent="0.2">
      <c r="B9778" s="183"/>
    </row>
    <row r="9779" spans="2:2" ht="15" x14ac:dyDescent="0.2">
      <c r="B9779" s="183"/>
    </row>
    <row r="9780" spans="2:2" ht="15" x14ac:dyDescent="0.2">
      <c r="B9780" s="183"/>
    </row>
    <row r="9781" spans="2:2" ht="15" x14ac:dyDescent="0.2">
      <c r="B9781" s="183"/>
    </row>
    <row r="9782" spans="2:2" ht="15" x14ac:dyDescent="0.2">
      <c r="B9782" s="183"/>
    </row>
    <row r="9783" spans="2:2" ht="15" x14ac:dyDescent="0.2">
      <c r="B9783" s="183"/>
    </row>
    <row r="9784" spans="2:2" ht="15" x14ac:dyDescent="0.2">
      <c r="B9784" s="183"/>
    </row>
    <row r="9785" spans="2:2" ht="15" x14ac:dyDescent="0.2">
      <c r="B9785" s="183"/>
    </row>
    <row r="9786" spans="2:2" ht="15" x14ac:dyDescent="0.2">
      <c r="B9786" s="183"/>
    </row>
    <row r="9787" spans="2:2" ht="15" x14ac:dyDescent="0.2">
      <c r="B9787" s="183"/>
    </row>
    <row r="9788" spans="2:2" ht="15" x14ac:dyDescent="0.2">
      <c r="B9788" s="183"/>
    </row>
    <row r="9789" spans="2:2" ht="15" x14ac:dyDescent="0.2">
      <c r="B9789" s="183"/>
    </row>
    <row r="9790" spans="2:2" ht="15" x14ac:dyDescent="0.2">
      <c r="B9790" s="183"/>
    </row>
    <row r="9791" spans="2:2" ht="15" x14ac:dyDescent="0.2">
      <c r="B9791" s="183"/>
    </row>
    <row r="9792" spans="2:2" ht="15" x14ac:dyDescent="0.2">
      <c r="B9792" s="183"/>
    </row>
    <row r="9793" spans="2:2" ht="15" x14ac:dyDescent="0.2">
      <c r="B9793" s="183"/>
    </row>
    <row r="9794" spans="2:2" ht="15" x14ac:dyDescent="0.2">
      <c r="B9794" s="183"/>
    </row>
    <row r="9795" spans="2:2" ht="15" x14ac:dyDescent="0.2">
      <c r="B9795" s="183"/>
    </row>
    <row r="9796" spans="2:2" ht="15" x14ac:dyDescent="0.2">
      <c r="B9796" s="183"/>
    </row>
    <row r="9797" spans="2:2" ht="15" x14ac:dyDescent="0.2">
      <c r="B9797" s="183"/>
    </row>
    <row r="9798" spans="2:2" ht="15" x14ac:dyDescent="0.2">
      <c r="B9798" s="183"/>
    </row>
    <row r="9799" spans="2:2" ht="15" x14ac:dyDescent="0.2">
      <c r="B9799" s="183"/>
    </row>
    <row r="9800" spans="2:2" ht="15" x14ac:dyDescent="0.2">
      <c r="B9800" s="183"/>
    </row>
    <row r="9801" spans="2:2" ht="15" x14ac:dyDescent="0.2">
      <c r="B9801" s="183"/>
    </row>
    <row r="9802" spans="2:2" ht="15" x14ac:dyDescent="0.2">
      <c r="B9802" s="183"/>
    </row>
    <row r="9803" spans="2:2" ht="15" x14ac:dyDescent="0.2">
      <c r="B9803" s="183"/>
    </row>
    <row r="9804" spans="2:2" ht="15" x14ac:dyDescent="0.2">
      <c r="B9804" s="183"/>
    </row>
    <row r="9805" spans="2:2" ht="15" x14ac:dyDescent="0.2">
      <c r="B9805" s="183"/>
    </row>
    <row r="9806" spans="2:2" ht="15" x14ac:dyDescent="0.2">
      <c r="B9806" s="183"/>
    </row>
    <row r="9807" spans="2:2" ht="15" x14ac:dyDescent="0.2">
      <c r="B9807" s="183"/>
    </row>
    <row r="9808" spans="2:2" ht="15" x14ac:dyDescent="0.2">
      <c r="B9808" s="183"/>
    </row>
    <row r="9809" spans="2:2" ht="15" x14ac:dyDescent="0.2">
      <c r="B9809" s="183"/>
    </row>
    <row r="9810" spans="2:2" ht="15" x14ac:dyDescent="0.2">
      <c r="B9810" s="183"/>
    </row>
    <row r="9811" spans="2:2" ht="15" x14ac:dyDescent="0.2">
      <c r="B9811" s="183"/>
    </row>
    <row r="9812" spans="2:2" ht="15" x14ac:dyDescent="0.2">
      <c r="B9812" s="183"/>
    </row>
    <row r="9813" spans="2:2" ht="15" x14ac:dyDescent="0.2">
      <c r="B9813" s="183"/>
    </row>
    <row r="9814" spans="2:2" ht="15" x14ac:dyDescent="0.2">
      <c r="B9814" s="183"/>
    </row>
    <row r="9815" spans="2:2" ht="15" x14ac:dyDescent="0.2">
      <c r="B9815" s="183"/>
    </row>
    <row r="9816" spans="2:2" ht="15" x14ac:dyDescent="0.2">
      <c r="B9816" s="183"/>
    </row>
    <row r="9817" spans="2:2" ht="15" x14ac:dyDescent="0.2">
      <c r="B9817" s="183"/>
    </row>
    <row r="9818" spans="2:2" ht="15" x14ac:dyDescent="0.2">
      <c r="B9818" s="183"/>
    </row>
    <row r="9819" spans="2:2" ht="15" x14ac:dyDescent="0.2">
      <c r="B9819" s="183"/>
    </row>
    <row r="9820" spans="2:2" ht="15" x14ac:dyDescent="0.2">
      <c r="B9820" s="183"/>
    </row>
    <row r="9821" spans="2:2" ht="15" x14ac:dyDescent="0.2">
      <c r="B9821" s="183"/>
    </row>
    <row r="9822" spans="2:2" ht="15" x14ac:dyDescent="0.2">
      <c r="B9822" s="183"/>
    </row>
    <row r="9823" spans="2:2" ht="15" x14ac:dyDescent="0.2">
      <c r="B9823" s="183"/>
    </row>
    <row r="9824" spans="2:2" ht="15" x14ac:dyDescent="0.2">
      <c r="B9824" s="183"/>
    </row>
    <row r="9825" spans="2:2" ht="15" x14ac:dyDescent="0.2">
      <c r="B9825" s="183"/>
    </row>
    <row r="9826" spans="2:2" ht="15" x14ac:dyDescent="0.2">
      <c r="B9826" s="183"/>
    </row>
    <row r="9827" spans="2:2" ht="15" x14ac:dyDescent="0.2">
      <c r="B9827" s="183"/>
    </row>
    <row r="9828" spans="2:2" ht="15" x14ac:dyDescent="0.2">
      <c r="B9828" s="183"/>
    </row>
    <row r="9829" spans="2:2" ht="15" x14ac:dyDescent="0.2">
      <c r="B9829" s="183"/>
    </row>
    <row r="9830" spans="2:2" ht="15" x14ac:dyDescent="0.2">
      <c r="B9830" s="183"/>
    </row>
    <row r="9831" spans="2:2" ht="15" x14ac:dyDescent="0.2">
      <c r="B9831" s="183"/>
    </row>
    <row r="9832" spans="2:2" ht="15" x14ac:dyDescent="0.2">
      <c r="B9832" s="183"/>
    </row>
    <row r="9833" spans="2:2" ht="15" x14ac:dyDescent="0.2">
      <c r="B9833" s="183"/>
    </row>
    <row r="9834" spans="2:2" ht="15" x14ac:dyDescent="0.2">
      <c r="B9834" s="183"/>
    </row>
    <row r="9835" spans="2:2" ht="15" x14ac:dyDescent="0.2">
      <c r="B9835" s="183"/>
    </row>
    <row r="9836" spans="2:2" ht="15" x14ac:dyDescent="0.2">
      <c r="B9836" s="183"/>
    </row>
    <row r="9837" spans="2:2" ht="15" x14ac:dyDescent="0.2">
      <c r="B9837" s="183"/>
    </row>
    <row r="9838" spans="2:2" ht="15" x14ac:dyDescent="0.2">
      <c r="B9838" s="183"/>
    </row>
    <row r="9839" spans="2:2" ht="15" x14ac:dyDescent="0.2">
      <c r="B9839" s="183"/>
    </row>
    <row r="9840" spans="2:2" ht="15" x14ac:dyDescent="0.2">
      <c r="B9840" s="183"/>
    </row>
    <row r="9841" spans="2:2" ht="15" x14ac:dyDescent="0.2">
      <c r="B9841" s="183"/>
    </row>
    <row r="9842" spans="2:2" ht="15" x14ac:dyDescent="0.2">
      <c r="B9842" s="183"/>
    </row>
    <row r="9843" spans="2:2" ht="15" x14ac:dyDescent="0.2">
      <c r="B9843" s="183"/>
    </row>
    <row r="9844" spans="2:2" ht="15" x14ac:dyDescent="0.2">
      <c r="B9844" s="183"/>
    </row>
    <row r="9845" spans="2:2" ht="15" x14ac:dyDescent="0.2">
      <c r="B9845" s="183"/>
    </row>
    <row r="9846" spans="2:2" ht="15" x14ac:dyDescent="0.2">
      <c r="B9846" s="183"/>
    </row>
    <row r="9847" spans="2:2" ht="15" x14ac:dyDescent="0.2">
      <c r="B9847" s="183"/>
    </row>
    <row r="9848" spans="2:2" ht="15" x14ac:dyDescent="0.2">
      <c r="B9848" s="183"/>
    </row>
    <row r="9849" spans="2:2" ht="15" x14ac:dyDescent="0.2">
      <c r="B9849" s="183"/>
    </row>
    <row r="9850" spans="2:2" ht="15" x14ac:dyDescent="0.2">
      <c r="B9850" s="183"/>
    </row>
    <row r="9851" spans="2:2" ht="15" x14ac:dyDescent="0.2">
      <c r="B9851" s="183"/>
    </row>
    <row r="9852" spans="2:2" ht="15" x14ac:dyDescent="0.2">
      <c r="B9852" s="183"/>
    </row>
    <row r="9853" spans="2:2" ht="15" x14ac:dyDescent="0.2">
      <c r="B9853" s="183"/>
    </row>
    <row r="9854" spans="2:2" ht="15" x14ac:dyDescent="0.2">
      <c r="B9854" s="183"/>
    </row>
    <row r="9855" spans="2:2" ht="15" x14ac:dyDescent="0.2">
      <c r="B9855" s="183"/>
    </row>
    <row r="9856" spans="2:2" ht="15" x14ac:dyDescent="0.2">
      <c r="B9856" s="183"/>
    </row>
    <row r="9857" spans="2:2" ht="15" x14ac:dyDescent="0.2">
      <c r="B9857" s="183"/>
    </row>
    <row r="9858" spans="2:2" ht="15" x14ac:dyDescent="0.2">
      <c r="B9858" s="183"/>
    </row>
    <row r="9859" spans="2:2" ht="15" x14ac:dyDescent="0.2">
      <c r="B9859" s="183"/>
    </row>
    <row r="9860" spans="2:2" ht="15" x14ac:dyDescent="0.2">
      <c r="B9860" s="183"/>
    </row>
    <row r="9861" spans="2:2" ht="15" x14ac:dyDescent="0.2">
      <c r="B9861" s="183"/>
    </row>
    <row r="9862" spans="2:2" ht="15" x14ac:dyDescent="0.2">
      <c r="B9862" s="183"/>
    </row>
    <row r="9863" spans="2:2" ht="15" x14ac:dyDescent="0.2">
      <c r="B9863" s="183"/>
    </row>
    <row r="9864" spans="2:2" ht="15" x14ac:dyDescent="0.2">
      <c r="B9864" s="183"/>
    </row>
    <row r="9865" spans="2:2" ht="15" x14ac:dyDescent="0.2">
      <c r="B9865" s="183"/>
    </row>
    <row r="9866" spans="2:2" ht="15" x14ac:dyDescent="0.2">
      <c r="B9866" s="183"/>
    </row>
    <row r="9867" spans="2:2" ht="15" x14ac:dyDescent="0.2">
      <c r="B9867" s="183"/>
    </row>
    <row r="9868" spans="2:2" ht="15" x14ac:dyDescent="0.2">
      <c r="B9868" s="183"/>
    </row>
    <row r="9869" spans="2:2" ht="15" x14ac:dyDescent="0.2">
      <c r="B9869" s="183"/>
    </row>
    <row r="9870" spans="2:2" ht="15" x14ac:dyDescent="0.2">
      <c r="B9870" s="183"/>
    </row>
    <row r="9871" spans="2:2" ht="15" x14ac:dyDescent="0.2">
      <c r="B9871" s="183"/>
    </row>
    <row r="9872" spans="2:2" ht="15" x14ac:dyDescent="0.2">
      <c r="B9872" s="183"/>
    </row>
    <row r="9873" spans="2:2" ht="15" x14ac:dyDescent="0.2">
      <c r="B9873" s="183"/>
    </row>
    <row r="9874" spans="2:2" ht="15" x14ac:dyDescent="0.2">
      <c r="B9874" s="183"/>
    </row>
    <row r="9875" spans="2:2" ht="15" x14ac:dyDescent="0.2">
      <c r="B9875" s="183"/>
    </row>
    <row r="9876" spans="2:2" ht="15" x14ac:dyDescent="0.2">
      <c r="B9876" s="183"/>
    </row>
    <row r="9877" spans="2:2" ht="15" x14ac:dyDescent="0.2">
      <c r="B9877" s="183"/>
    </row>
    <row r="9878" spans="2:2" ht="15" x14ac:dyDescent="0.2">
      <c r="B9878" s="183"/>
    </row>
    <row r="9879" spans="2:2" ht="15" x14ac:dyDescent="0.2">
      <c r="B9879" s="183"/>
    </row>
    <row r="9880" spans="2:2" ht="15" x14ac:dyDescent="0.2">
      <c r="B9880" s="183"/>
    </row>
    <row r="9881" spans="2:2" ht="15" x14ac:dyDescent="0.2">
      <c r="B9881" s="183"/>
    </row>
    <row r="9882" spans="2:2" ht="15" x14ac:dyDescent="0.2">
      <c r="B9882" s="183"/>
    </row>
    <row r="9883" spans="2:2" ht="15" x14ac:dyDescent="0.2">
      <c r="B9883" s="183"/>
    </row>
    <row r="9884" spans="2:2" ht="15" x14ac:dyDescent="0.2">
      <c r="B9884" s="183"/>
    </row>
    <row r="9885" spans="2:2" ht="15" x14ac:dyDescent="0.2">
      <c r="B9885" s="183"/>
    </row>
    <row r="9886" spans="2:2" ht="15" x14ac:dyDescent="0.2">
      <c r="B9886" s="183"/>
    </row>
    <row r="9887" spans="2:2" ht="15" x14ac:dyDescent="0.2">
      <c r="B9887" s="183"/>
    </row>
    <row r="9888" spans="2:2" ht="15" x14ac:dyDescent="0.2">
      <c r="B9888" s="183"/>
    </row>
    <row r="9889" spans="2:2" ht="15" x14ac:dyDescent="0.2">
      <c r="B9889" s="183"/>
    </row>
    <row r="9890" spans="2:2" ht="15" x14ac:dyDescent="0.2">
      <c r="B9890" s="183"/>
    </row>
    <row r="9891" spans="2:2" ht="15" x14ac:dyDescent="0.2">
      <c r="B9891" s="183"/>
    </row>
    <row r="9892" spans="2:2" ht="15" x14ac:dyDescent="0.2">
      <c r="B9892" s="183"/>
    </row>
    <row r="9893" spans="2:2" ht="15" x14ac:dyDescent="0.2">
      <c r="B9893" s="183"/>
    </row>
    <row r="9894" spans="2:2" ht="15" x14ac:dyDescent="0.2">
      <c r="B9894" s="183"/>
    </row>
    <row r="9895" spans="2:2" ht="15" x14ac:dyDescent="0.2">
      <c r="B9895" s="183"/>
    </row>
    <row r="9896" spans="2:2" ht="15" x14ac:dyDescent="0.2">
      <c r="B9896" s="183"/>
    </row>
    <row r="9897" spans="2:2" ht="15" x14ac:dyDescent="0.2">
      <c r="B9897" s="183"/>
    </row>
    <row r="9898" spans="2:2" ht="15" x14ac:dyDescent="0.2">
      <c r="B9898" s="183"/>
    </row>
    <row r="9899" spans="2:2" ht="15" x14ac:dyDescent="0.2">
      <c r="B9899" s="183"/>
    </row>
    <row r="9900" spans="2:2" ht="15" x14ac:dyDescent="0.2">
      <c r="B9900" s="183"/>
    </row>
    <row r="9901" spans="2:2" ht="15" x14ac:dyDescent="0.2">
      <c r="B9901" s="183"/>
    </row>
    <row r="9902" spans="2:2" ht="15" x14ac:dyDescent="0.2">
      <c r="B9902" s="183"/>
    </row>
    <row r="9903" spans="2:2" ht="15" x14ac:dyDescent="0.2">
      <c r="B9903" s="183"/>
    </row>
    <row r="9904" spans="2:2" ht="15" x14ac:dyDescent="0.2">
      <c r="B9904" s="183"/>
    </row>
    <row r="9905" spans="2:2" ht="15" x14ac:dyDescent="0.2">
      <c r="B9905" s="183"/>
    </row>
    <row r="9906" spans="2:2" ht="15" x14ac:dyDescent="0.2">
      <c r="B9906" s="183"/>
    </row>
    <row r="9907" spans="2:2" ht="15" x14ac:dyDescent="0.2">
      <c r="B9907" s="183"/>
    </row>
    <row r="9908" spans="2:2" ht="15" x14ac:dyDescent="0.2">
      <c r="B9908" s="183"/>
    </row>
    <row r="9909" spans="2:2" ht="15" x14ac:dyDescent="0.2">
      <c r="B9909" s="183"/>
    </row>
    <row r="9910" spans="2:2" ht="15" x14ac:dyDescent="0.2">
      <c r="B9910" s="183"/>
    </row>
    <row r="9911" spans="2:2" ht="15" x14ac:dyDescent="0.2">
      <c r="B9911" s="183"/>
    </row>
    <row r="9912" spans="2:2" ht="15" x14ac:dyDescent="0.2">
      <c r="B9912" s="183"/>
    </row>
    <row r="9913" spans="2:2" ht="15" x14ac:dyDescent="0.2">
      <c r="B9913" s="183"/>
    </row>
    <row r="9914" spans="2:2" ht="15" x14ac:dyDescent="0.2">
      <c r="B9914" s="183"/>
    </row>
    <row r="9915" spans="2:2" ht="15" x14ac:dyDescent="0.2">
      <c r="B9915" s="183"/>
    </row>
    <row r="9916" spans="2:2" ht="15" x14ac:dyDescent="0.2">
      <c r="B9916" s="183"/>
    </row>
    <row r="9917" spans="2:2" ht="15" x14ac:dyDescent="0.2">
      <c r="B9917" s="183"/>
    </row>
    <row r="9918" spans="2:2" ht="15" x14ac:dyDescent="0.2">
      <c r="B9918" s="183"/>
    </row>
    <row r="9919" spans="2:2" ht="15" x14ac:dyDescent="0.2">
      <c r="B9919" s="183"/>
    </row>
    <row r="9920" spans="2:2" ht="15" x14ac:dyDescent="0.2">
      <c r="B9920" s="183"/>
    </row>
    <row r="9921" spans="2:2" ht="15" x14ac:dyDescent="0.2">
      <c r="B9921" s="183"/>
    </row>
    <row r="9922" spans="2:2" ht="15" x14ac:dyDescent="0.2">
      <c r="B9922" s="183"/>
    </row>
    <row r="9923" spans="2:2" ht="15" x14ac:dyDescent="0.2">
      <c r="B9923" s="183"/>
    </row>
    <row r="9924" spans="2:2" ht="15" x14ac:dyDescent="0.2">
      <c r="B9924" s="183"/>
    </row>
    <row r="9925" spans="2:2" ht="15" x14ac:dyDescent="0.2">
      <c r="B9925" s="183"/>
    </row>
    <row r="9926" spans="2:2" ht="15" x14ac:dyDescent="0.2">
      <c r="B9926" s="183"/>
    </row>
    <row r="9927" spans="2:2" ht="15" x14ac:dyDescent="0.2">
      <c r="B9927" s="183"/>
    </row>
    <row r="9928" spans="2:2" ht="15" x14ac:dyDescent="0.2">
      <c r="B9928" s="183"/>
    </row>
    <row r="9929" spans="2:2" ht="15" x14ac:dyDescent="0.2">
      <c r="B9929" s="183"/>
    </row>
    <row r="9930" spans="2:2" ht="15" x14ac:dyDescent="0.2">
      <c r="B9930" s="183"/>
    </row>
    <row r="9931" spans="2:2" ht="15" x14ac:dyDescent="0.2">
      <c r="B9931" s="183"/>
    </row>
    <row r="9932" spans="2:2" ht="15" x14ac:dyDescent="0.2">
      <c r="B9932" s="183"/>
    </row>
    <row r="9933" spans="2:2" ht="15" x14ac:dyDescent="0.2">
      <c r="B9933" s="183"/>
    </row>
    <row r="9934" spans="2:2" ht="15" x14ac:dyDescent="0.2">
      <c r="B9934" s="183"/>
    </row>
    <row r="9935" spans="2:2" ht="15" x14ac:dyDescent="0.2">
      <c r="B9935" s="183"/>
    </row>
    <row r="9936" spans="2:2" ht="15" x14ac:dyDescent="0.2">
      <c r="B9936" s="183"/>
    </row>
    <row r="9937" spans="2:2" ht="15" x14ac:dyDescent="0.2">
      <c r="B9937" s="183"/>
    </row>
    <row r="9938" spans="2:2" ht="15" x14ac:dyDescent="0.2">
      <c r="B9938" s="183"/>
    </row>
    <row r="9939" spans="2:2" ht="15" x14ac:dyDescent="0.2">
      <c r="B9939" s="183"/>
    </row>
    <row r="9940" spans="2:2" ht="15" x14ac:dyDescent="0.2">
      <c r="B9940" s="183"/>
    </row>
    <row r="9941" spans="2:2" ht="15" x14ac:dyDescent="0.2">
      <c r="B9941" s="183"/>
    </row>
    <row r="9942" spans="2:2" ht="15" x14ac:dyDescent="0.2">
      <c r="B9942" s="183"/>
    </row>
    <row r="9943" spans="2:2" ht="15" x14ac:dyDescent="0.2">
      <c r="B9943" s="183"/>
    </row>
    <row r="9944" spans="2:2" ht="15" x14ac:dyDescent="0.2">
      <c r="B9944" s="183"/>
    </row>
    <row r="9945" spans="2:2" ht="15" x14ac:dyDescent="0.2">
      <c r="B9945" s="183"/>
    </row>
    <row r="9946" spans="2:2" ht="15" x14ac:dyDescent="0.2">
      <c r="B9946" s="183"/>
    </row>
    <row r="9947" spans="2:2" ht="15" x14ac:dyDescent="0.2">
      <c r="B9947" s="183"/>
    </row>
    <row r="9948" spans="2:2" ht="15" x14ac:dyDescent="0.2">
      <c r="B9948" s="183"/>
    </row>
    <row r="9949" spans="2:2" ht="15" x14ac:dyDescent="0.2">
      <c r="B9949" s="183"/>
    </row>
    <row r="9950" spans="2:2" ht="15" x14ac:dyDescent="0.2">
      <c r="B9950" s="183"/>
    </row>
    <row r="9951" spans="2:2" ht="15" x14ac:dyDescent="0.2">
      <c r="B9951" s="183"/>
    </row>
    <row r="9952" spans="2:2" ht="15" x14ac:dyDescent="0.2">
      <c r="B9952" s="183"/>
    </row>
    <row r="9953" spans="2:2" ht="15" x14ac:dyDescent="0.2">
      <c r="B9953" s="183"/>
    </row>
    <row r="9954" spans="2:2" ht="15" x14ac:dyDescent="0.2">
      <c r="B9954" s="183"/>
    </row>
    <row r="9955" spans="2:2" ht="15" x14ac:dyDescent="0.2">
      <c r="B9955" s="183"/>
    </row>
    <row r="9956" spans="2:2" ht="15" x14ac:dyDescent="0.2">
      <c r="B9956" s="183"/>
    </row>
    <row r="9957" spans="2:2" ht="15" x14ac:dyDescent="0.2">
      <c r="B9957" s="183"/>
    </row>
    <row r="9958" spans="2:2" ht="15" x14ac:dyDescent="0.2">
      <c r="B9958" s="183"/>
    </row>
    <row r="9959" spans="2:2" ht="15" x14ac:dyDescent="0.2">
      <c r="B9959" s="183"/>
    </row>
    <row r="9960" spans="2:2" ht="15" x14ac:dyDescent="0.2">
      <c r="B9960" s="183"/>
    </row>
    <row r="9961" spans="2:2" ht="15" x14ac:dyDescent="0.2">
      <c r="B9961" s="183"/>
    </row>
    <row r="9962" spans="2:2" ht="15" x14ac:dyDescent="0.2">
      <c r="B9962" s="183"/>
    </row>
    <row r="9963" spans="2:2" ht="15" x14ac:dyDescent="0.2">
      <c r="B9963" s="183"/>
    </row>
    <row r="9964" spans="2:2" ht="15" x14ac:dyDescent="0.2">
      <c r="B9964" s="183"/>
    </row>
    <row r="9965" spans="2:2" ht="15" x14ac:dyDescent="0.2">
      <c r="B9965" s="183"/>
    </row>
    <row r="9966" spans="2:2" ht="15" x14ac:dyDescent="0.2">
      <c r="B9966" s="183"/>
    </row>
    <row r="9967" spans="2:2" ht="15" x14ac:dyDescent="0.2">
      <c r="B9967" s="183"/>
    </row>
    <row r="9968" spans="2:2" ht="15" x14ac:dyDescent="0.2">
      <c r="B9968" s="183"/>
    </row>
    <row r="9969" spans="2:2" ht="15" x14ac:dyDescent="0.2">
      <c r="B9969" s="183"/>
    </row>
    <row r="9970" spans="2:2" ht="15" x14ac:dyDescent="0.2">
      <c r="B9970" s="183"/>
    </row>
    <row r="9971" spans="2:2" ht="15" x14ac:dyDescent="0.2">
      <c r="B9971" s="183"/>
    </row>
    <row r="9972" spans="2:2" ht="15" x14ac:dyDescent="0.2">
      <c r="B9972" s="183"/>
    </row>
    <row r="9973" spans="2:2" ht="15" x14ac:dyDescent="0.2">
      <c r="B9973" s="183"/>
    </row>
    <row r="9974" spans="2:2" ht="15" x14ac:dyDescent="0.2">
      <c r="B9974" s="183"/>
    </row>
    <row r="9975" spans="2:2" ht="15" x14ac:dyDescent="0.2">
      <c r="B9975" s="183"/>
    </row>
    <row r="9976" spans="2:2" ht="15" x14ac:dyDescent="0.2">
      <c r="B9976" s="183"/>
    </row>
    <row r="9977" spans="2:2" ht="15" x14ac:dyDescent="0.2">
      <c r="B9977" s="183"/>
    </row>
    <row r="9978" spans="2:2" ht="15" x14ac:dyDescent="0.2">
      <c r="B9978" s="183"/>
    </row>
    <row r="9979" spans="2:2" ht="15" x14ac:dyDescent="0.2">
      <c r="B9979" s="183"/>
    </row>
    <row r="9980" spans="2:2" ht="15" x14ac:dyDescent="0.2">
      <c r="B9980" s="183"/>
    </row>
    <row r="9981" spans="2:2" ht="15" x14ac:dyDescent="0.2">
      <c r="B9981" s="183"/>
    </row>
    <row r="9982" spans="2:2" ht="15" x14ac:dyDescent="0.2">
      <c r="B9982" s="183"/>
    </row>
    <row r="9983" spans="2:2" ht="15" x14ac:dyDescent="0.2">
      <c r="B9983" s="183"/>
    </row>
    <row r="9984" spans="2:2" ht="15" x14ac:dyDescent="0.2">
      <c r="B9984" s="183"/>
    </row>
    <row r="9985" spans="2:2" ht="15" x14ac:dyDescent="0.2">
      <c r="B9985" s="183"/>
    </row>
    <row r="9986" spans="2:2" ht="15" x14ac:dyDescent="0.2">
      <c r="B9986" s="183"/>
    </row>
    <row r="9987" spans="2:2" ht="15" x14ac:dyDescent="0.2">
      <c r="B9987" s="183"/>
    </row>
    <row r="9988" spans="2:2" ht="15" x14ac:dyDescent="0.2">
      <c r="B9988" s="183"/>
    </row>
    <row r="9989" spans="2:2" ht="15" x14ac:dyDescent="0.2">
      <c r="B9989" s="183"/>
    </row>
    <row r="9990" spans="2:2" ht="15" x14ac:dyDescent="0.2">
      <c r="B9990" s="183"/>
    </row>
    <row r="9991" spans="2:2" ht="15" x14ac:dyDescent="0.2">
      <c r="B9991" s="183"/>
    </row>
    <row r="9992" spans="2:2" ht="15" x14ac:dyDescent="0.2">
      <c r="B9992" s="183"/>
    </row>
    <row r="9993" spans="2:2" ht="15" x14ac:dyDescent="0.2">
      <c r="B9993" s="183"/>
    </row>
    <row r="9994" spans="2:2" ht="15" x14ac:dyDescent="0.2">
      <c r="B9994" s="183"/>
    </row>
    <row r="9995" spans="2:2" ht="15" x14ac:dyDescent="0.2">
      <c r="B9995" s="183"/>
    </row>
    <row r="9996" spans="2:2" ht="15" x14ac:dyDescent="0.2">
      <c r="B9996" s="183"/>
    </row>
    <row r="9997" spans="2:2" ht="15" x14ac:dyDescent="0.2">
      <c r="B9997" s="183"/>
    </row>
    <row r="9998" spans="2:2" ht="15" x14ac:dyDescent="0.2">
      <c r="B9998" s="183"/>
    </row>
    <row r="9999" spans="2:2" ht="15" x14ac:dyDescent="0.2">
      <c r="B9999" s="183"/>
    </row>
    <row r="10000" spans="2:2" ht="15" x14ac:dyDescent="0.2">
      <c r="B10000" s="183"/>
    </row>
    <row r="10001" spans="2:2" ht="15" x14ac:dyDescent="0.2">
      <c r="B10001" s="183"/>
    </row>
    <row r="10002" spans="2:2" ht="15" x14ac:dyDescent="0.2">
      <c r="B10002" s="183"/>
    </row>
    <row r="10003" spans="2:2" ht="15" x14ac:dyDescent="0.2">
      <c r="B10003" s="183"/>
    </row>
    <row r="10004" spans="2:2" ht="15" x14ac:dyDescent="0.2">
      <c r="B10004" s="183"/>
    </row>
    <row r="10005" spans="2:2" ht="15" x14ac:dyDescent="0.2">
      <c r="B10005" s="183"/>
    </row>
    <row r="10006" spans="2:2" ht="15" x14ac:dyDescent="0.2">
      <c r="B10006" s="183"/>
    </row>
    <row r="10007" spans="2:2" ht="15" x14ac:dyDescent="0.2">
      <c r="B10007" s="183"/>
    </row>
    <row r="10008" spans="2:2" ht="15" x14ac:dyDescent="0.2">
      <c r="B10008" s="183"/>
    </row>
    <row r="10009" spans="2:2" ht="15" x14ac:dyDescent="0.2">
      <c r="B10009" s="183"/>
    </row>
    <row r="10010" spans="2:2" ht="15" x14ac:dyDescent="0.2">
      <c r="B10010" s="183"/>
    </row>
    <row r="10011" spans="2:2" ht="15" x14ac:dyDescent="0.2">
      <c r="B10011" s="183"/>
    </row>
    <row r="10012" spans="2:2" ht="15" x14ac:dyDescent="0.2">
      <c r="B10012" s="183"/>
    </row>
    <row r="10013" spans="2:2" ht="15" x14ac:dyDescent="0.2">
      <c r="B10013" s="183"/>
    </row>
    <row r="10014" spans="2:2" ht="15" x14ac:dyDescent="0.2">
      <c r="B10014" s="183"/>
    </row>
    <row r="10015" spans="2:2" ht="15" x14ac:dyDescent="0.2">
      <c r="B10015" s="183"/>
    </row>
    <row r="10016" spans="2:2" ht="15" x14ac:dyDescent="0.2">
      <c r="B10016" s="183"/>
    </row>
    <row r="10017" spans="2:2" ht="15" x14ac:dyDescent="0.2">
      <c r="B10017" s="183"/>
    </row>
    <row r="10018" spans="2:2" ht="15" x14ac:dyDescent="0.2">
      <c r="B10018" s="183"/>
    </row>
    <row r="10019" spans="2:2" ht="15" x14ac:dyDescent="0.2">
      <c r="B10019" s="183"/>
    </row>
    <row r="10020" spans="2:2" ht="15" x14ac:dyDescent="0.2">
      <c r="B10020" s="183"/>
    </row>
    <row r="10021" spans="2:2" ht="15" x14ac:dyDescent="0.2">
      <c r="B10021" s="183"/>
    </row>
    <row r="10022" spans="2:2" ht="15" x14ac:dyDescent="0.2">
      <c r="B10022" s="183"/>
    </row>
    <row r="10023" spans="2:2" ht="15" x14ac:dyDescent="0.2">
      <c r="B10023" s="183"/>
    </row>
    <row r="10024" spans="2:2" ht="15" x14ac:dyDescent="0.2">
      <c r="B10024" s="183"/>
    </row>
    <row r="10025" spans="2:2" ht="15" x14ac:dyDescent="0.2">
      <c r="B10025" s="183"/>
    </row>
    <row r="10026" spans="2:2" ht="15" x14ac:dyDescent="0.2">
      <c r="B10026" s="183"/>
    </row>
    <row r="10027" spans="2:2" ht="15" x14ac:dyDescent="0.2">
      <c r="B10027" s="183"/>
    </row>
    <row r="10028" spans="2:2" ht="15" x14ac:dyDescent="0.2">
      <c r="B10028" s="183"/>
    </row>
    <row r="10029" spans="2:2" ht="15" x14ac:dyDescent="0.2">
      <c r="B10029" s="183"/>
    </row>
    <row r="10030" spans="2:2" ht="15" x14ac:dyDescent="0.2">
      <c r="B10030" s="183"/>
    </row>
    <row r="10031" spans="2:2" ht="15" x14ac:dyDescent="0.2">
      <c r="B10031" s="183"/>
    </row>
    <row r="10032" spans="2:2" ht="15" x14ac:dyDescent="0.2">
      <c r="B10032" s="183"/>
    </row>
    <row r="10033" spans="2:2" ht="15" x14ac:dyDescent="0.2">
      <c r="B10033" s="183"/>
    </row>
    <row r="10034" spans="2:2" ht="15" x14ac:dyDescent="0.2">
      <c r="B10034" s="183"/>
    </row>
    <row r="10035" spans="2:2" ht="15" x14ac:dyDescent="0.2">
      <c r="B10035" s="183"/>
    </row>
    <row r="10036" spans="2:2" ht="15" x14ac:dyDescent="0.2">
      <c r="B10036" s="183"/>
    </row>
    <row r="10037" spans="2:2" ht="15" x14ac:dyDescent="0.2">
      <c r="B10037" s="183"/>
    </row>
    <row r="10038" spans="2:2" ht="15" x14ac:dyDescent="0.2">
      <c r="B10038" s="183"/>
    </row>
    <row r="10039" spans="2:2" ht="15" x14ac:dyDescent="0.2">
      <c r="B10039" s="183"/>
    </row>
    <row r="10040" spans="2:2" ht="15" x14ac:dyDescent="0.2">
      <c r="B10040" s="183"/>
    </row>
    <row r="10041" spans="2:2" ht="15" x14ac:dyDescent="0.2">
      <c r="B10041" s="183"/>
    </row>
    <row r="10042" spans="2:2" ht="15" x14ac:dyDescent="0.2">
      <c r="B10042" s="183"/>
    </row>
    <row r="10043" spans="2:2" ht="15" x14ac:dyDescent="0.2">
      <c r="B10043" s="183"/>
    </row>
    <row r="10044" spans="2:2" ht="15" x14ac:dyDescent="0.2">
      <c r="B10044" s="183"/>
    </row>
    <row r="10045" spans="2:2" ht="15" x14ac:dyDescent="0.2">
      <c r="B10045" s="183"/>
    </row>
    <row r="10046" spans="2:2" ht="15" x14ac:dyDescent="0.2">
      <c r="B10046" s="183"/>
    </row>
    <row r="10047" spans="2:2" ht="15" x14ac:dyDescent="0.2">
      <c r="B10047" s="183"/>
    </row>
    <row r="10048" spans="2:2" ht="15" x14ac:dyDescent="0.2">
      <c r="B10048" s="183"/>
    </row>
    <row r="10049" spans="2:2" ht="15" x14ac:dyDescent="0.2">
      <c r="B10049" s="183"/>
    </row>
    <row r="10050" spans="2:2" ht="15" x14ac:dyDescent="0.2">
      <c r="B10050" s="183"/>
    </row>
    <row r="10051" spans="2:2" ht="15" x14ac:dyDescent="0.2">
      <c r="B10051" s="183"/>
    </row>
    <row r="10052" spans="2:2" ht="15" x14ac:dyDescent="0.2">
      <c r="B10052" s="183"/>
    </row>
    <row r="10053" spans="2:2" ht="15" x14ac:dyDescent="0.2">
      <c r="B10053" s="183"/>
    </row>
    <row r="10054" spans="2:2" ht="15" x14ac:dyDescent="0.2">
      <c r="B10054" s="183"/>
    </row>
    <row r="10055" spans="2:2" ht="15" x14ac:dyDescent="0.2">
      <c r="B10055" s="183"/>
    </row>
  </sheetData>
  <conditionalFormatting sqref="D17:F20 F26 E21:F22 L4:L5 D33:F40 E27:F32 L12:L16">
    <cfRule type="colorScale" priority="2">
      <colorScale>
        <cfvo type="num" val="-0.5"/>
        <cfvo type="num" val="0"/>
        <cfvo type="num" val="0.5"/>
        <color rgb="FFF8696B"/>
        <color theme="0"/>
        <color rgb="FF63BE7B"/>
      </colorScale>
    </cfRule>
  </conditionalFormatting>
  <conditionalFormatting sqref="D7:H11">
    <cfRule type="colorScale" priority="1">
      <colorScale>
        <cfvo type="num" val="-0.5"/>
        <cfvo type="num" val="0"/>
        <cfvo type="num" val="0.5"/>
        <color rgb="FFF8696B"/>
        <color theme="0"/>
        <color rgb="FF63BE7B"/>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79CB92-5331-4E6D-BCCA-3ED810C77402}">
  <ds:schemaRefs>
    <ds:schemaRef ds:uri="http://purl.org/dc/dcmitype/"/>
    <ds:schemaRef ds:uri="6ba73c8a-1af7-4183-b158-1cd1291da2b6"/>
    <ds:schemaRef ds:uri="http://schemas.microsoft.com/office/2006/documentManagement/types"/>
    <ds:schemaRef ds:uri="http://purl.org/dc/elements/1.1/"/>
    <ds:schemaRef ds:uri="http://schemas.microsoft.com/office/2006/metadata/properties"/>
    <ds:schemaRef ds:uri="8c89d0e4-a8d9-42ba-a773-c59a56f7723e"/>
    <ds:schemaRef ds:uri="http://purl.org/dc/terms/"/>
    <ds:schemaRef ds:uri="http://schemas.openxmlformats.org/package/2006/metadata/core-properti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64BB988D-8D01-4A93-B497-E21446BB3F17}">
  <ds:schemaRefs>
    <ds:schemaRef ds:uri="http://schemas.microsoft.com/sharepoint/v3/contenttype/forms"/>
  </ds:schemaRefs>
</ds:datastoreItem>
</file>

<file path=customXml/itemProps3.xml><?xml version="1.0" encoding="utf-8"?>
<ds:datastoreItem xmlns:ds="http://schemas.openxmlformats.org/officeDocument/2006/customXml" ds:itemID="{A04E3618-D491-4F6F-BB80-95ED90E277F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a73c8a-1af7-4183-b158-1cd1291da2b6"/>
    <ds:schemaRef ds:uri="8c89d0e4-a8d9-42ba-a773-c59a56f772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Segments</vt:lpstr>
      <vt:lpstr>Industry</vt:lpstr>
      <vt:lpstr>Peers</vt:lpstr>
      <vt:lpstr>ESG</vt:lpstr>
      <vt:lpstr>ESG Inputs</vt:lpstr>
      <vt:lpstr>DCF</vt:lpstr>
      <vt:lpstr>Inputs</vt:lpstr>
      <vt:lpstr>WACC</vt:lpstr>
      <vt:lpstr>Multiples</vt:lpstr>
      <vt:lpstr>Sensitivity</vt:lpstr>
    </vt:vector>
  </TitlesOfParts>
  <Manager/>
  <Company>Bloomberg LP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bloomberg-alunos</dc:creator>
  <cp:keywords/>
  <dc:description/>
  <cp:lastModifiedBy>bloomberg-alunos</cp:lastModifiedBy>
  <cp:revision/>
  <dcterms:created xsi:type="dcterms:W3CDTF">2025-02-25T16:23:47Z</dcterms:created>
  <dcterms:modified xsi:type="dcterms:W3CDTF">2025-05-26T18:36:39Z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MediaServiceImageTags">
    <vt:lpwstr/>
  </property>
</Properties>
</file>