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comments/comment2.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580" tabRatio="777" firstSheet="0" activeTab="3" autoFilterDateGrouping="1"/>
  </bookViews>
  <sheets>
    <sheet name="Summary" sheetId="1" state="visible" r:id="rId1"/>
    <sheet name="Segments" sheetId="2" state="visible" r:id="rId2"/>
    <sheet name="Industry" sheetId="3" state="visible" r:id="rId3"/>
    <sheet name="Peers" sheetId="4" state="visible" r:id="rId4"/>
    <sheet name="ESG" sheetId="5" state="visible" r:id="rId5"/>
    <sheet name="ESG Inputs" sheetId="6" state="visible" r:id="rId6"/>
    <sheet name="DCF" sheetId="7" state="visible" r:id="rId7"/>
    <sheet name="Inputs" sheetId="8" state="visible" r:id="rId8"/>
    <sheet name="WACC" sheetId="9" state="visible" r:id="rId9"/>
    <sheet name="Multiples" sheetId="10" state="visible" r:id="rId10"/>
    <sheet name="Sensitivity" sheetId="11" state="visible" r:id="rId11"/>
  </sheets>
  <definedNames>
    <definedName name="_xlchart.v1.0" hidden="1">Sensitivity!$B$56:$B$10055</definedName>
    <definedName name="_xlchart.v5.0" hidden="1">Segments!$B$5</definedName>
    <definedName name="_xlchart.v5.1" hidden="1">Segments!$B$6:$B$10</definedName>
    <definedName name="_xlchart.v5.2" hidden="1">Segments!$D$6:$D$10</definedName>
    <definedName name="COOLFUCNTION" comment="No description available">_xlfn.LAMBDA(_xldudf_BOARDFLARE_EXEC("workbook-settings:coolfucntion"))</definedName>
    <definedName name="HTML_CodePage" hidden="1">1252</definedName>
    <definedName name="HTML_Control" hidden="1">{"'Sheet1'!$A$1:$H$145"}</definedName>
    <definedName name="HTML_Description" hidden="1">""</definedName>
    <definedName name="HTML_Email" hidden="1">""</definedName>
    <definedName name="HTML_Header" hidden="1">"Country Risk Premiums"</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hidden="1">"Macintosh HD:HomePageStuff:New_Home_Page:datafile:ctryprem.html"</definedName>
    <definedName name="HTML_Title" hidden="1">"Country Risk Premiums"</definedName>
    <definedName name="Sectors">#REF!</definedName>
    <definedName name="COOLFUCNTION" comment="No description available" localSheetId="0">_xlfn.LAMBDA(_xldudf_BOARDFLARE_EXEC("workbook-settings:coolfucntion"))</definedName>
    <definedName name="COOLFUCNTION" comment="No description available" localSheetId="1">_xlfn.LAMBDA(_xldudf_BOARDFLARE_EXEC("workbook-settings:coolfucntion"))</definedName>
    <definedName name="HTML_Control" localSheetId="1" hidden="1">{"'Sheet1'!$A$1:$H$145"}</definedName>
    <definedName name="COOLFUCNTION" comment="No description available" localSheetId="2">_xlfn.LAMBDA(_xldudf_BOARDFLARE_EXEC("workbook-settings:coolfucntion"))</definedName>
    <definedName name="HTML_Control" localSheetId="2" hidden="1">{"'Sheet1'!$A$1:$H$145"}</definedName>
    <definedName name="COOLFUCNTION" comment="No description available" localSheetId="3">_xlfn.LAMBDA(_xldudf_BOARDFLARE_EXEC("workbook-settings:coolfucntion"))</definedName>
    <definedName name="HTML_Control" localSheetId="3" hidden="1">{"'Sheet1'!$A$1:$H$145"}</definedName>
    <definedName name="Sectors" localSheetId="3">#REF!</definedName>
    <definedName name="COOLFUCNTION" comment="No description available" localSheetId="4">_xlfn.LAMBDA(_xldudf_BOARDFLARE_EXEC("workbook-settings:coolfucntion"))</definedName>
    <definedName name="HTML_Control" localSheetId="4" hidden="1">{"'Sheet1'!$A$1:$H$145"}</definedName>
    <definedName name="Sectors" localSheetId="4">#REF!</definedName>
    <definedName name="COOLFUCNTION" comment="No description available" localSheetId="6">_xlfn.LAMBDA(_xldudf_BOARDFLARE_EXEC("workbook-settings:coolfucntion"))</definedName>
    <definedName name="HTML_Control" localSheetId="6" hidden="1">{"'Sheet1'!$A$1:$H$145"}</definedName>
    <definedName name="COOLFUCNTION" comment="No description available" localSheetId="7">_xlfn.LAMBDA(_xldudf_BOARDFLARE_EXEC("workbook-settings:coolfucntion"))</definedName>
    <definedName name="HTML_Control" localSheetId="7" hidden="1">{"'Sheet1'!$A$1:$H$145"}</definedName>
    <definedName name="COOLFUCNTION" comment="No description available" localSheetId="8">_xlfn.LAMBDA(_xldudf_BOARDFLARE_EXEC("workbook-settings:coolfucntion"))</definedName>
    <definedName name="HTML_Control" localSheetId="8" hidden="1">{"'Sheet1'!$A$1:$H$145"}</definedName>
    <definedName name="COOLFUCNTION" comment="No description available" localSheetId="9">_xlfn.LAMBDA(_xldudf_BOARDFLARE_EXEC("workbook-settings:coolfucntion"))</definedName>
    <definedName name="HTML_Control" localSheetId="9" hidden="1">{"'Sheet1'!$A$1:$H$145"}</definedName>
  </definedNames>
  <calcPr calcId="162913" fullCalcOnLoad="1"/>
</workbook>
</file>

<file path=xl/styles.xml><?xml version="1.0" encoding="utf-8"?>
<styleSheet xmlns="http://schemas.openxmlformats.org/spreadsheetml/2006/main">
  <numFmts count="17">
    <numFmt numFmtId="164" formatCode="0&quot;A&quot;"/>
    <numFmt numFmtId="165" formatCode="0&quot;E&quot;"/>
    <numFmt numFmtId="166" formatCode="0.00\x"/>
    <numFmt numFmtId="167" formatCode="0.0%"/>
    <numFmt numFmtId="168" formatCode="0.0"/>
    <numFmt numFmtId="169" formatCode="_([$$-409]* #,##0_);_([$$-409]* \(#,##0\);_([$$-409]* &quot;-&quot;??_);_(@_)"/>
    <numFmt numFmtId="170" formatCode="_(* #,##0_);_(* \(#,##0\);_(* &quot;-&quot;??_);_(@_)"/>
    <numFmt numFmtId="171" formatCode="_([$$-409]* #,##0.00_);_([$$-409]* \(#,##0.00\);_([$$-409]* &quot;-&quot;??_);_(@_)"/>
    <numFmt numFmtId="172" formatCode="#,##0.0"/>
    <numFmt numFmtId="173" formatCode="&quot;$&quot;#,##0.00"/>
    <numFmt numFmtId="174" formatCode="&quot;$&quot;#,##0"/>
    <numFmt numFmtId="175" formatCode="[$-409]d\-mmm;@"/>
    <numFmt numFmtId="176" formatCode="0.00&quot;M&quot;"/>
    <numFmt numFmtId="177" formatCode="0.000%"/>
    <numFmt numFmtId="178" formatCode="0&quot;+&quot;"/>
    <numFmt numFmtId="179" formatCode="_-* #,##0.00\ _€_-;\-* #,##0.00\ _€_-;_-* &quot;-&quot;??\ _€_-;_-@_-"/>
    <numFmt numFmtId="180" formatCode="_-* #,##0.00\ &quot;€&quot;_-;\-* #,##0.00\ &quot;€&quot;_-;_-* &quot;-&quot;??\ &quot;€&quot;_-;_-@_-"/>
  </numFmts>
  <fonts count="75">
    <font>
      <name val="Arial"/>
      <family val="2"/>
      <color theme="1"/>
      <sz val="11"/>
    </font>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b val="1"/>
      <color theme="0"/>
      <sz val="12"/>
    </font>
    <font>
      <name val="Arial"/>
      <family val="2"/>
      <color rgb="FF000000"/>
      <sz val="11"/>
    </font>
    <font>
      <name val="Arial"/>
      <family val="2"/>
      <b val="1"/>
      <color rgb="FF000000"/>
      <sz val="11"/>
    </font>
    <font>
      <name val="Arial"/>
      <family val="2"/>
      <color theme="10"/>
      <sz val="11"/>
      <u val="single"/>
    </font>
    <font>
      <name val="Arial"/>
      <family val="2"/>
      <sz val="11"/>
    </font>
    <font>
      <name val="Arial"/>
      <family val="2"/>
      <color theme="1"/>
      <sz val="10"/>
    </font>
    <font>
      <name val="Arial"/>
      <family val="2"/>
      <sz val="12"/>
    </font>
    <font>
      <name val="Arial"/>
      <family val="2"/>
      <color theme="1"/>
      <sz val="12"/>
    </font>
    <font>
      <name val="Arial"/>
      <family val="2"/>
      <sz val="10"/>
    </font>
    <font>
      <name val="Arial"/>
      <family val="2"/>
      <i val="1"/>
      <color rgb="FF000000"/>
      <sz val="9"/>
    </font>
    <font>
      <name val="Arial"/>
      <family val="2"/>
      <b val="1"/>
      <color theme="1"/>
      <sz val="10"/>
    </font>
    <font>
      <name val="Arial"/>
      <family val="2"/>
      <b val="1"/>
      <color rgb="FF7B1314"/>
      <sz val="11"/>
    </font>
    <font>
      <name val="Arial"/>
      <family val="2"/>
      <b val="1"/>
      <color theme="1"/>
      <sz val="16"/>
    </font>
    <font>
      <name val="Arial"/>
      <family val="2"/>
      <b val="1"/>
      <sz val="10"/>
    </font>
    <font>
      <name val="Arial"/>
      <family val="2"/>
      <color theme="0"/>
      <sz val="12"/>
    </font>
    <font>
      <name val="Arial"/>
      <family val="2"/>
      <b val="1"/>
      <i val="1"/>
      <color theme="0"/>
      <sz val="12"/>
    </font>
    <font>
      <name val="Arial"/>
      <family val="2"/>
      <b val="1"/>
      <color rgb="FF7B1314"/>
      <sz val="12"/>
    </font>
    <font>
      <name val="Arial"/>
      <family val="2"/>
      <b val="1"/>
      <color rgb="FFFFFFFF"/>
      <sz val="12"/>
    </font>
    <font>
      <name val="Arial"/>
      <family val="2"/>
      <i val="1"/>
      <color theme="0"/>
      <sz val="8"/>
    </font>
    <font>
      <name val="Arial"/>
      <family val="2"/>
      <i val="1"/>
      <color theme="1"/>
      <sz val="11"/>
    </font>
    <font>
      <name val="Tahoma"/>
      <family val="2"/>
      <color indexed="81"/>
      <sz val="9"/>
    </font>
    <font>
      <name val="Tahoma"/>
      <family val="2"/>
      <b val="1"/>
      <color indexed="81"/>
      <sz val="9"/>
    </font>
    <font>
      <name val="Arial"/>
      <family val="2"/>
      <color rgb="FF00B050"/>
      <sz val="11"/>
    </font>
    <font>
      <name val="Arial"/>
      <family val="2"/>
      <b val="1"/>
      <sz val="11"/>
    </font>
    <font>
      <name val="Arial"/>
      <family val="2"/>
      <color theme="1"/>
      <sz val="11"/>
    </font>
    <font>
      <name val="Arial"/>
      <family val="2"/>
      <b val="1"/>
      <color rgb="FF000000"/>
      <sz val="12"/>
    </font>
    <font>
      <name val="Arial"/>
      <family val="2"/>
      <color rgb="FF0070C0"/>
      <sz val="11"/>
    </font>
    <font>
      <name val="Arial"/>
      <family val="2"/>
      <color rgb="FF000000"/>
      <sz val="9"/>
    </font>
    <font>
      <name val="Arial"/>
      <family val="2"/>
      <b val="1"/>
      <sz val="12"/>
      <u val="single"/>
    </font>
    <font>
      <name val="Arial"/>
      <family val="2"/>
      <color rgb="FF0070C0"/>
      <sz val="12"/>
    </font>
    <font>
      <name val="Arial"/>
      <family val="2"/>
      <color rgb="FF000000"/>
      <sz val="12"/>
    </font>
    <font>
      <name val="Arial"/>
      <family val="2"/>
      <color rgb="FF00B050"/>
      <sz val="12"/>
    </font>
    <font>
      <name val="Arial"/>
      <family val="2"/>
      <b val="1"/>
      <sz val="12"/>
    </font>
    <font>
      <name val="Arial"/>
      <family val="2"/>
      <i val="1"/>
      <sz val="12"/>
    </font>
    <font>
      <name val="Arial"/>
      <family val="2"/>
      <i val="1"/>
      <color theme="1"/>
      <sz val="8"/>
    </font>
    <font>
      <name val="Arial"/>
      <family val="2"/>
      <b val="1"/>
      <color theme="1"/>
      <sz val="12"/>
    </font>
    <font>
      <name val="Arial"/>
      <family val="2"/>
      <i val="1"/>
      <color theme="1"/>
      <sz val="12"/>
    </font>
    <font>
      <name val="Arial"/>
      <family val="2"/>
      <b val="1"/>
      <color rgb="FF00B050"/>
      <sz val="11"/>
    </font>
    <font>
      <name val="Arial"/>
      <family val="2"/>
      <b val="1"/>
      <color rgb="FF00B050"/>
      <sz val="12"/>
    </font>
    <font>
      <name val="Arial"/>
      <family val="2"/>
      <b val="1"/>
      <color indexed="9"/>
      <sz val="10"/>
    </font>
    <font>
      <name val="Arial"/>
      <family val="2"/>
      <i val="1"/>
      <color rgb="FF00B050"/>
      <sz val="11"/>
    </font>
    <font>
      <name val="Arial"/>
      <family val="2"/>
      <i val="1"/>
      <color rgb="FF000000"/>
      <sz val="11"/>
    </font>
    <font>
      <name val="Arial"/>
      <family val="2"/>
      <i val="1"/>
      <color rgb="FF0070C0"/>
      <sz val="11"/>
    </font>
    <font>
      <name val="Arial"/>
      <family val="2"/>
      <i val="1"/>
      <color theme="1" tint="0.499984740745262"/>
      <sz val="11"/>
    </font>
    <font>
      <name val="Arial"/>
      <family val="2"/>
      <color theme="1" tint="0.499984740745262"/>
      <sz val="11"/>
    </font>
    <font>
      <name val="Arial"/>
      <family val="2"/>
      <i val="1"/>
      <color rgb="FF00B050"/>
      <sz val="12"/>
    </font>
    <font>
      <name val="Arial"/>
      <family val="2"/>
      <color theme="1" tint="0.499984740745262"/>
      <sz val="12"/>
    </font>
    <font>
      <name val="Consolas"/>
      <family val="3"/>
      <color theme="0"/>
      <sz val="11"/>
    </font>
    <font>
      <name val="Arial"/>
      <family val="2"/>
      <sz val="11"/>
    </font>
    <font>
      <name val="Arial"/>
      <family val="2"/>
      <b val="1"/>
      <color theme="0"/>
      <sz val="9"/>
    </font>
    <font>
      <name val="Arial"/>
      <family val="2"/>
      <color theme="0"/>
      <sz val="9"/>
    </font>
    <font>
      <name val="Arial"/>
      <family val="2"/>
      <sz val="9"/>
    </font>
    <font>
      <name val="Arial"/>
      <family val="2"/>
      <color rgb="FFFF0000"/>
      <sz val="10"/>
    </font>
    <font>
      <name val="Arial"/>
      <family val="2"/>
      <color theme="1" tint="0.249977111117893"/>
      <sz val="10"/>
    </font>
    <font>
      <name val="Arial"/>
      <family val="2"/>
      <color theme="1"/>
      <sz val="11"/>
    </font>
    <font>
      <name val="Arial"/>
      <family val="2"/>
      <color theme="1"/>
      <sz val="14"/>
    </font>
    <font>
      <name val="Arial"/>
      <family val="2"/>
      <i val="1"/>
      <color theme="0" tint="-0.3499862666707358"/>
      <sz val="10"/>
    </font>
    <font>
      <name val="Arial"/>
      <family val="2"/>
      <color theme="1" tint="0.249977111117893"/>
      <sz val="11"/>
    </font>
    <font>
      <name val="Arial"/>
      <family val="2"/>
      <b val="1"/>
      <color rgb="FF7B1314"/>
      <sz val="14"/>
    </font>
    <font>
      <name val="Arial"/>
      <family val="2"/>
      <color theme="1" tint="0.249977111117893"/>
      <sz val="9"/>
    </font>
    <font>
      <name val="Arial"/>
      <family val="2"/>
      <color theme="1"/>
      <sz val="9"/>
    </font>
    <font>
      <name val="Arial"/>
      <family val="2"/>
      <b val="1"/>
      <color rgb="FF000000"/>
      <sz val="16"/>
    </font>
    <font>
      <name val="Arial"/>
      <family val="2"/>
      <b val="1"/>
      <color rgb="FFFFFFFF"/>
      <sz val="11"/>
    </font>
    <font>
      <name val="Arial"/>
      <family val="2"/>
      <color rgb="FFFFFFFF"/>
      <sz val="11"/>
    </font>
    <font>
      <name val="Arial"/>
      <family val="2"/>
      <color theme="1"/>
      <sz val="16"/>
    </font>
    <font>
      <name val="Arial"/>
      <family val="2"/>
      <b val="1"/>
      <sz val="16"/>
    </font>
    <font>
      <name val="Arial"/>
      <family val="2"/>
      <b val="1"/>
      <color rgb="FF7B1314"/>
      <sz val="16"/>
    </font>
    <font>
      <name val="Calibri"/>
      <family val="2"/>
      <b val="1"/>
      <color indexed="9"/>
      <sz val="11"/>
    </font>
  </fonts>
  <fills count="16">
    <fill>
      <patternFill/>
    </fill>
    <fill>
      <patternFill patternType="gray125"/>
    </fill>
    <fill>
      <patternFill patternType="solid">
        <fgColor rgb="FF7B1314"/>
        <bgColor indexed="64"/>
      </patternFill>
    </fill>
    <fill>
      <patternFill patternType="solid">
        <fgColor theme="0" tint="-0.0499893185216834"/>
        <bgColor indexed="64"/>
      </patternFill>
    </fill>
    <fill>
      <patternFill patternType="solid">
        <fgColor theme="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D9D9D9"/>
        <bgColor indexed="64"/>
      </patternFill>
    </fill>
    <fill>
      <patternFill patternType="solid">
        <fgColor rgb="FF4F81BD"/>
        <bgColor indexed="64"/>
      </patternFill>
    </fill>
    <fill>
      <patternFill patternType="solid">
        <fgColor rgb="FF7B1314"/>
        <bgColor rgb="FF000000"/>
      </patternFill>
    </fill>
    <fill>
      <patternFill patternType="solid">
        <fgColor rgb="FFD9D9D9"/>
        <bgColor rgb="FF000000"/>
      </patternFill>
    </fill>
    <fill>
      <patternFill patternType="solid">
        <fgColor rgb="FFFFFFFF"/>
        <bgColor indexed="64"/>
      </patternFill>
    </fill>
  </fills>
  <borders count="83">
    <border>
      <left/>
      <right/>
      <top/>
      <bottom/>
      <diagonal/>
    </border>
    <border>
      <left/>
      <right style="dotted">
        <color indexed="64"/>
      </right>
      <top/>
      <bottom/>
      <diagonal/>
    </border>
    <border>
      <left/>
      <right style="dotted">
        <color rgb="FF000000"/>
      </right>
      <top/>
      <bottom/>
      <diagonal/>
    </border>
    <border>
      <left/>
      <right/>
      <top/>
      <bottom style="thick">
        <color indexed="64"/>
      </bottom>
      <diagonal/>
    </border>
    <border>
      <left/>
      <right style="thin">
        <color rgb="FF7B1314"/>
      </right>
      <top/>
      <bottom/>
      <diagonal/>
    </border>
    <border>
      <left style="thin">
        <color rgb="FF7B1314"/>
      </left>
      <right/>
      <top/>
      <bottom/>
      <diagonal/>
    </border>
    <border>
      <left/>
      <right style="thin">
        <color rgb="FF7B1314"/>
      </right>
      <top/>
      <bottom style="dotted">
        <color indexed="64"/>
      </bottom>
      <diagonal/>
    </border>
    <border>
      <left/>
      <right/>
      <top/>
      <bottom style="dotted">
        <color indexed="64"/>
      </bottom>
      <diagonal/>
    </border>
    <border>
      <left/>
      <right/>
      <top/>
      <bottom style="thin">
        <color rgb="FF000000"/>
      </bottom>
      <diagonal/>
    </border>
    <border>
      <left/>
      <right/>
      <top/>
      <bottom style="thin">
        <color indexed="64"/>
      </bottom>
      <diagonal/>
    </border>
    <border>
      <left/>
      <right style="medium">
        <color rgb="FF7B1314"/>
      </right>
      <top/>
      <bottom/>
      <diagonal/>
    </border>
    <border>
      <left/>
      <right/>
      <top style="thick">
        <color indexed="64"/>
      </top>
      <bottom/>
      <diagonal/>
    </border>
    <border>
      <left/>
      <right/>
      <top style="medium">
        <color auto="1"/>
      </top>
      <bottom/>
      <diagonal/>
    </border>
    <border>
      <left/>
      <right/>
      <top style="medium">
        <color auto="1"/>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thin">
        <color indexed="64"/>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style="thin">
        <color rgb="FF000000"/>
      </bottom>
      <diagonal/>
    </border>
    <border>
      <left style="hair">
        <color indexed="64"/>
      </left>
      <right style="hair">
        <color indexed="64"/>
      </right>
      <top style="hair">
        <color indexed="64"/>
      </top>
      <bottom style="hair">
        <color indexed="64"/>
      </bottom>
      <diagonal/>
    </border>
    <border>
      <left style="hair">
        <color indexed="64"/>
      </left>
      <right style="dotted">
        <color indexed="64"/>
      </right>
      <top style="hair">
        <color indexed="64"/>
      </top>
      <bottom style="hair">
        <color indexed="64"/>
      </bottom>
      <diagonal/>
    </border>
    <border>
      <left/>
      <right style="thin">
        <color rgb="FF000000"/>
      </right>
      <top/>
      <bottom/>
      <diagonal/>
    </border>
    <border>
      <left/>
      <right style="hair">
        <color indexed="64"/>
      </right>
      <top style="dotted">
        <color rgb="FF000000"/>
      </top>
      <bottom style="hair">
        <color indexed="64"/>
      </bottom>
      <diagonal/>
    </border>
    <border>
      <left/>
      <right style="dotted">
        <color rgb="FF000000"/>
      </right>
      <top style="dotted">
        <color rgb="FF000000"/>
      </top>
      <bottom style="hair">
        <color indexed="64"/>
      </bottom>
      <diagonal/>
    </border>
    <border>
      <left/>
      <right style="hair">
        <color indexed="64"/>
      </right>
      <top style="hair">
        <color indexed="64"/>
      </top>
      <bottom style="hair">
        <color indexed="64"/>
      </bottom>
      <diagonal/>
    </border>
    <border>
      <left/>
      <right style="dotted">
        <color rgb="FF000000"/>
      </right>
      <top style="hair">
        <color indexed="64"/>
      </top>
      <bottom style="hair">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rgb="FF000000"/>
      </right>
      <top style="dotted">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thin">
        <color rgb="FF000000"/>
      </right>
      <top style="dotted">
        <color indexed="64"/>
      </top>
      <bottom/>
      <diagonal/>
    </border>
    <border>
      <left style="dotted">
        <color indexed="64"/>
      </left>
      <right/>
      <top/>
      <bottom style="dotted">
        <color indexed="64"/>
      </bottom>
      <diagonal/>
    </border>
    <border>
      <left/>
      <right style="thin">
        <color rgb="FF000000"/>
      </right>
      <top/>
      <bottom style="dotted">
        <color indexed="64"/>
      </bottom>
      <diagonal/>
    </border>
    <border>
      <left/>
      <right style="dotted">
        <color rgb="FF000000"/>
      </right>
      <top/>
      <bottom style="dotted">
        <color indexed="64"/>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bottom/>
      <diagonal/>
    </border>
    <border>
      <left/>
      <right/>
      <top style="thin">
        <color indexed="64"/>
      </top>
      <bottom/>
      <diagonal/>
    </border>
    <border>
      <left/>
      <right/>
      <top/>
      <bottom style="medium">
        <color rgb="FF000000"/>
      </bottom>
      <diagonal/>
    </border>
    <border>
      <left/>
      <right style="thin">
        <color rgb="FF000000"/>
      </right>
      <top style="dotted">
        <color indexed="64"/>
      </top>
      <bottom style="dotted">
        <color indexed="64"/>
      </bottom>
      <diagonal/>
    </border>
    <border>
      <left/>
      <right style="dotted">
        <color rgb="FF000000"/>
      </right>
      <top style="dotted">
        <color indexed="64"/>
      </top>
      <bottom/>
      <diagonal/>
    </border>
    <border>
      <left/>
      <right style="thin">
        <color rgb="FF000000"/>
      </right>
      <top style="thin">
        <color rgb="FF000000"/>
      </top>
      <bottom/>
      <diagonal/>
    </border>
    <border>
      <left style="thin">
        <color rgb="FF7B1314"/>
      </left>
      <right/>
      <top/>
      <bottom style="dotted">
        <color rgb="FF000000"/>
      </bottom>
      <diagonal/>
    </border>
    <border>
      <left/>
      <right style="thin">
        <color rgb="FF7B1314"/>
      </right>
      <top/>
      <bottom style="dotted">
        <color rgb="FF000000"/>
      </bottom>
      <diagonal/>
    </border>
    <border>
      <left/>
      <right/>
      <top/>
      <bottom style="medium">
        <color theme="0"/>
      </bottom>
      <diagonal/>
    </border>
    <border>
      <left/>
      <right/>
      <top/>
      <bottom style="thin">
        <color theme="0"/>
      </bottom>
      <diagonal/>
    </border>
    <border>
      <left/>
      <right style="thin">
        <color theme="1"/>
      </right>
      <top/>
      <bottom/>
      <diagonal/>
    </border>
    <border>
      <left/>
      <right style="thin">
        <color theme="1"/>
      </right>
      <top/>
      <bottom style="thin">
        <color rgb="FF000000"/>
      </bottom>
      <diagonal/>
    </border>
    <border>
      <left/>
      <right style="dotted">
        <color indexed="64"/>
      </right>
      <top style="dotted">
        <color rgb="FF000000"/>
      </top>
      <bottom style="dotted">
        <color rgb="FF000000"/>
      </bottom>
      <diagonal/>
    </border>
    <border>
      <left/>
      <right style="dotted">
        <color theme="0"/>
      </right>
      <top/>
      <bottom/>
      <diagonal/>
    </border>
    <border>
      <left/>
      <right style="dotted">
        <color theme="0"/>
      </right>
      <top/>
      <bottom style="thin">
        <color theme="0"/>
      </bottom>
      <diagonal/>
    </border>
    <border>
      <left/>
      <right style="dotted">
        <color theme="0"/>
      </right>
      <top/>
      <bottom style="medium">
        <color theme="0"/>
      </bottom>
      <diagonal/>
    </border>
    <border>
      <left style="dotted">
        <color theme="0"/>
      </left>
      <right/>
      <top/>
      <bottom/>
      <diagonal/>
    </border>
    <border>
      <left style="dotted">
        <color theme="0"/>
      </left>
      <right/>
      <top/>
      <bottom style="thin">
        <color theme="0"/>
      </bottom>
      <diagonal/>
    </border>
    <border>
      <left style="dotted">
        <color theme="0"/>
      </left>
      <right/>
      <top/>
      <bottom style="medium">
        <color theme="0"/>
      </bottom>
      <diagonal/>
    </border>
    <border>
      <left style="dotted">
        <color indexed="64"/>
      </left>
      <right style="dotted">
        <color indexed="64"/>
      </right>
      <top/>
      <bottom/>
      <diagonal/>
    </border>
    <border>
      <left style="thin">
        <color rgb="FF7B1314"/>
      </left>
      <right style="thin">
        <color rgb="FF7B1314"/>
      </right>
      <top/>
      <bottom/>
      <diagonal/>
    </border>
    <border>
      <left/>
      <right/>
      <top/>
      <bottom style="thin">
        <color theme="4"/>
      </bottom>
      <diagonal/>
    </border>
    <border>
      <left/>
      <right style="thin">
        <color theme="4"/>
      </right>
      <top/>
      <bottom style="thin">
        <color theme="4"/>
      </bottom>
      <diagonal/>
    </border>
    <border>
      <left/>
      <right style="thin">
        <color theme="4"/>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4"/>
      </left>
      <right/>
      <top/>
      <bottom/>
      <diagonal/>
    </border>
    <border>
      <left/>
      <right style="dotted">
        <color indexed="64"/>
      </right>
      <top style="dotted">
        <color indexed="64"/>
      </top>
      <bottom/>
      <diagonal/>
    </border>
    <border>
      <left/>
      <right style="dotted">
        <color indexed="64"/>
      </right>
      <top/>
      <bottom style="dotted">
        <color indexed="64"/>
      </bottom>
      <diagonal/>
    </border>
    <border>
      <left/>
      <right style="medium">
        <color indexed="64"/>
      </right>
      <top style="medium">
        <color auto="1"/>
      </top>
      <bottom/>
      <diagonal/>
    </border>
    <border>
      <left style="medium">
        <color indexed="64"/>
      </left>
      <right/>
      <top style="medium">
        <color indexed="64"/>
      </top>
      <bottom/>
      <diagonal/>
    </border>
    <border>
      <left/>
      <right/>
      <top/>
      <bottom style="thin">
        <color theme="0" tint="-0.1499984740745262"/>
      </bottom>
      <diagonal/>
    </border>
    <border>
      <left style="thin">
        <color rgb="FF000000"/>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dotted">
        <color theme="0"/>
      </left>
      <right style="dotted">
        <color theme="0"/>
      </right>
      <top/>
      <bottom style="thin">
        <color theme="0"/>
      </bottom>
      <diagonal/>
    </border>
  </borders>
  <cellStyleXfs count="16">
    <xf numFmtId="0" fontId="61" fillId="0" borderId="0"/>
    <xf numFmtId="179" fontId="61" fillId="0" borderId="0"/>
    <xf numFmtId="9" fontId="61" fillId="0" borderId="0"/>
    <xf numFmtId="0" fontId="10" fillId="0" borderId="0"/>
    <xf numFmtId="9" fontId="15" fillId="0" borderId="0"/>
    <xf numFmtId="0" fontId="15" fillId="0" borderId="0"/>
    <xf numFmtId="0" fontId="15" fillId="0" borderId="0"/>
    <xf numFmtId="9" fontId="2" fillId="0" borderId="0"/>
    <xf numFmtId="0" fontId="2" fillId="0" borderId="0"/>
    <xf numFmtId="180" fontId="61" fillId="0" borderId="0"/>
    <xf numFmtId="0" fontId="2" fillId="0" borderId="0"/>
    <xf numFmtId="0" fontId="46" fillId="12" borderId="44" applyAlignment="1">
      <alignment horizontal="right"/>
    </xf>
    <xf numFmtId="0" fontId="74" fillId="12" borderId="0"/>
    <xf numFmtId="9" fontId="2" fillId="0" borderId="0"/>
    <xf numFmtId="0" fontId="2" fillId="0" borderId="0"/>
    <xf numFmtId="0" fontId="2" fillId="0" borderId="0"/>
  </cellStyleXfs>
  <cellXfs count="1013">
    <xf numFmtId="0" fontId="0" fillId="0" borderId="0" pivotButton="0" quotePrefix="0" xfId="0"/>
    <xf numFmtId="0" fontId="4" fillId="0" borderId="0" pivotButton="0" quotePrefix="0" xfId="0"/>
    <xf numFmtId="0" fontId="5" fillId="2" borderId="0" pivotButton="0" quotePrefix="0" xfId="0"/>
    <xf numFmtId="0" fontId="6" fillId="2" borderId="0" pivotButton="0" quotePrefix="0" xfId="0"/>
    <xf numFmtId="164" fontId="5" fillId="2" borderId="0" pivotButton="0" quotePrefix="0" xfId="0"/>
    <xf numFmtId="165" fontId="5" fillId="2" borderId="0" pivotButton="0" quotePrefix="0" xfId="0"/>
    <xf numFmtId="0" fontId="0" fillId="0" borderId="0" applyAlignment="1" pivotButton="0" quotePrefix="0" xfId="0">
      <alignment horizontal="center"/>
    </xf>
    <xf numFmtId="0" fontId="7" fillId="2" borderId="0" applyAlignment="1" pivotButton="0" quotePrefix="0" xfId="0">
      <alignment horizontal="left"/>
    </xf>
    <xf numFmtId="0" fontId="0" fillId="0" borderId="0" applyAlignment="1" pivotButton="0" quotePrefix="0" xfId="0">
      <alignment horizontal="left"/>
    </xf>
    <xf numFmtId="164" fontId="5" fillId="2" borderId="1" pivotButton="0" quotePrefix="0" xfId="0"/>
    <xf numFmtId="0" fontId="11" fillId="0" borderId="0" pivotButton="0" quotePrefix="0" xfId="0"/>
    <xf numFmtId="0" fontId="12" fillId="0" borderId="0" pivotButton="0" quotePrefix="0" xfId="0"/>
    <xf numFmtId="3" fontId="12" fillId="0" borderId="0" applyAlignment="1" pivotButton="0" quotePrefix="0" xfId="1">
      <alignment horizontal="right"/>
    </xf>
    <xf numFmtId="3" fontId="12" fillId="0" borderId="2" applyAlignment="1" pivotButton="0" quotePrefix="0" xfId="1">
      <alignment horizontal="right"/>
    </xf>
    <xf numFmtId="3" fontId="12" fillId="3" borderId="0" applyAlignment="1" pivotButton="0" quotePrefix="0" xfId="1">
      <alignment horizontal="right"/>
    </xf>
    <xf numFmtId="0" fontId="13" fillId="0" borderId="0" applyAlignment="1" pivotButton="0" quotePrefix="0" xfId="0">
      <alignment horizontal="left"/>
    </xf>
    <xf numFmtId="166" fontId="0" fillId="0" borderId="0" applyAlignment="1" pivotButton="0" quotePrefix="0" xfId="1">
      <alignment horizontal="right"/>
    </xf>
    <xf numFmtId="10" fontId="0" fillId="0" borderId="0" pivotButton="0" quotePrefix="0" xfId="2"/>
    <xf numFmtId="3" fontId="14" fillId="0" borderId="0" applyAlignment="1" pivotButton="0" quotePrefix="0" xfId="0">
      <alignment horizontal="left"/>
    </xf>
    <xf numFmtId="4" fontId="12" fillId="0" borderId="0" applyAlignment="1" pivotButton="0" quotePrefix="0" xfId="1">
      <alignment horizontal="right"/>
    </xf>
    <xf numFmtId="4" fontId="12" fillId="0" borderId="2" applyAlignment="1" pivotButton="0" quotePrefix="0" xfId="1">
      <alignment horizontal="right"/>
    </xf>
    <xf numFmtId="4" fontId="12" fillId="3" borderId="0" applyAlignment="1" pivotButton="0" quotePrefix="0" xfId="1">
      <alignment horizontal="right"/>
    </xf>
    <xf numFmtId="167" fontId="13" fillId="0" borderId="0" applyAlignment="1" pivotButton="0" quotePrefix="0" xfId="4">
      <alignment horizontal="left"/>
    </xf>
    <xf numFmtId="0" fontId="4" fillId="0" borderId="0" applyAlignment="1" pivotButton="0" quotePrefix="0" xfId="0">
      <alignment horizontal="left" indent="1"/>
    </xf>
    <xf numFmtId="0" fontId="4" fillId="0" borderId="0" applyAlignment="1" pivotButton="0" quotePrefix="0" xfId="0">
      <alignment horizontal="right"/>
    </xf>
    <xf numFmtId="0" fontId="0" fillId="0" borderId="0" applyAlignment="1" pivotButton="0" quotePrefix="0" xfId="0">
      <alignment horizontal="left" indent="1"/>
    </xf>
    <xf numFmtId="0" fontId="0" fillId="0" borderId="0" applyAlignment="1" pivotButton="0" quotePrefix="0" xfId="0">
      <alignment horizontal="right"/>
    </xf>
    <xf numFmtId="3" fontId="0" fillId="0" borderId="0" pivotButton="0" quotePrefix="0" xfId="0"/>
    <xf numFmtId="0" fontId="5" fillId="2" borderId="4" applyAlignment="1" pivotButton="0" quotePrefix="0" xfId="0">
      <alignment horizontal="center"/>
    </xf>
    <xf numFmtId="164" fontId="17" fillId="0" borderId="4" applyAlignment="1" pivotButton="0" quotePrefix="0" xfId="0">
      <alignment horizontal="center"/>
    </xf>
    <xf numFmtId="165" fontId="17" fillId="3" borderId="4" applyAlignment="1" pivotButton="0" quotePrefix="0" xfId="0">
      <alignment horizontal="center"/>
    </xf>
    <xf numFmtId="167" fontId="13" fillId="4" borderId="0" applyAlignment="1" pivotButton="0" quotePrefix="0" xfId="4">
      <alignment horizontal="left"/>
    </xf>
    <xf numFmtId="10" fontId="0" fillId="0" borderId="0" pivotButton="0" quotePrefix="0" xfId="0"/>
    <xf numFmtId="0" fontId="14" fillId="0" borderId="0" applyAlignment="1" pivotButton="0" quotePrefix="0" xfId="0">
      <alignment horizontal="left"/>
    </xf>
    <xf numFmtId="43" fontId="0" fillId="0" borderId="0" pivotButton="0" quotePrefix="0" xfId="0"/>
    <xf numFmtId="0" fontId="0" fillId="0" borderId="0" applyAlignment="1" pivotButton="0" quotePrefix="0" xfId="0">
      <alignment indent="1"/>
    </xf>
    <xf numFmtId="0" fontId="0" fillId="0" borderId="8" applyAlignment="1" pivotButton="0" quotePrefix="0" xfId="0">
      <alignment horizontal="left" indent="1"/>
    </xf>
    <xf numFmtId="0" fontId="0" fillId="0" borderId="9" pivotButton="0" quotePrefix="0" xfId="0"/>
    <xf numFmtId="0" fontId="0" fillId="0" borderId="8" pivotButton="0" quotePrefix="0" xfId="0"/>
    <xf numFmtId="1" fontId="0" fillId="0" borderId="0" pivotButton="0" quotePrefix="0" xfId="0"/>
    <xf numFmtId="0" fontId="19" fillId="0" borderId="9" pivotButton="0" quotePrefix="0" xfId="0"/>
    <xf numFmtId="0" fontId="14" fillId="0" borderId="9" pivotButton="0" quotePrefix="0" xfId="0"/>
    <xf numFmtId="0" fontId="14" fillId="0" borderId="9" applyAlignment="1" pivotButton="0" quotePrefix="0" xfId="0">
      <alignment horizontal="center"/>
    </xf>
    <xf numFmtId="0" fontId="20" fillId="0" borderId="0" applyAlignment="1" pivotButton="0" quotePrefix="0" xfId="5">
      <alignment vertical="center"/>
    </xf>
    <xf numFmtId="0" fontId="15" fillId="0" borderId="0" applyAlignment="1" pivotButton="0" quotePrefix="0" xfId="5">
      <alignment vertical="center"/>
    </xf>
    <xf numFmtId="0" fontId="0" fillId="0" borderId="11" applyAlignment="1" pivotButton="0" quotePrefix="0" xfId="0">
      <alignment horizontal="left" indent="1"/>
    </xf>
    <xf numFmtId="14" fontId="4" fillId="0" borderId="11" pivotButton="0" quotePrefix="0" xfId="0"/>
    <xf numFmtId="0" fontId="4" fillId="0" borderId="11" applyAlignment="1" pivotButton="0" quotePrefix="0" xfId="0">
      <alignment horizontal="left" indent="1"/>
    </xf>
    <xf numFmtId="14" fontId="0" fillId="0" borderId="11" pivotButton="0" quotePrefix="0" xfId="0"/>
    <xf numFmtId="168" fontId="4" fillId="9" borderId="0" pivotButton="0" quotePrefix="0" xfId="0"/>
    <xf numFmtId="0" fontId="4" fillId="6" borderId="0" applyAlignment="1" pivotButton="0" quotePrefix="0" xfId="0">
      <alignment horizontal="right"/>
    </xf>
    <xf numFmtId="9" fontId="4" fillId="10" borderId="0" applyAlignment="1" pivotButton="0" quotePrefix="0" xfId="0">
      <alignment horizontal="right"/>
    </xf>
    <xf numFmtId="0" fontId="7" fillId="2" borderId="0" pivotButton="0" quotePrefix="0" xfId="0"/>
    <xf numFmtId="0" fontId="14" fillId="11" borderId="0" pivotButton="0" quotePrefix="0" xfId="0"/>
    <xf numFmtId="0" fontId="15" fillId="0" borderId="3" applyAlignment="1" pivotButton="0" quotePrefix="0" xfId="5">
      <alignment vertical="center"/>
    </xf>
    <xf numFmtId="0" fontId="20" fillId="0" borderId="3" applyAlignment="1" pivotButton="0" quotePrefix="0" xfId="5">
      <alignment vertical="center"/>
    </xf>
    <xf numFmtId="0" fontId="21" fillId="2" borderId="0" pivotButton="0" quotePrefix="0" xfId="0"/>
    <xf numFmtId="1" fontId="7" fillId="2" borderId="0" pivotButton="0" quotePrefix="0" xfId="0"/>
    <xf numFmtId="1" fontId="7" fillId="2" borderId="0" applyAlignment="1" pivotButton="0" quotePrefix="0" xfId="0">
      <alignment horizontal="center"/>
    </xf>
    <xf numFmtId="1" fontId="22" fillId="2" borderId="0" pivotButton="0" quotePrefix="0" xfId="0"/>
    <xf numFmtId="0" fontId="14" fillId="11" borderId="0" applyAlignment="1" pivotButton="0" quotePrefix="0" xfId="0">
      <alignment horizontal="center"/>
    </xf>
    <xf numFmtId="0" fontId="10" fillId="0" borderId="0" pivotButton="0" quotePrefix="0" xfId="3"/>
    <xf numFmtId="10" fontId="0" fillId="3" borderId="0" pivotButton="0" quotePrefix="0" xfId="2"/>
    <xf numFmtId="2" fontId="0" fillId="3" borderId="0" pivotButton="0" quotePrefix="0" xfId="2"/>
    <xf numFmtId="10" fontId="0" fillId="0" borderId="0" applyAlignment="1" pivotButton="0" quotePrefix="0" xfId="2">
      <alignment horizontal="center"/>
    </xf>
    <xf numFmtId="167" fontId="0" fillId="0" borderId="0" pivotButton="0" quotePrefix="0" xfId="2"/>
    <xf numFmtId="10" fontId="4" fillId="0" borderId="0" pivotButton="0" quotePrefix="0" xfId="2"/>
    <xf numFmtId="10" fontId="4" fillId="0" borderId="0" applyAlignment="1" pivotButton="0" quotePrefix="0" xfId="2">
      <alignment horizontal="center"/>
    </xf>
    <xf numFmtId="167" fontId="4" fillId="0" borderId="0" pivotButton="0" quotePrefix="0" xfId="2"/>
    <xf numFmtId="0" fontId="23" fillId="5" borderId="0" pivotButton="0" quotePrefix="0" xfId="0"/>
    <xf numFmtId="0" fontId="14" fillId="5" borderId="0" pivotButton="0" quotePrefix="0" xfId="0"/>
    <xf numFmtId="0" fontId="14" fillId="2" borderId="0" pivotButton="0" quotePrefix="0" xfId="0"/>
    <xf numFmtId="0" fontId="0" fillId="0" borderId="0" applyAlignment="1" pivotButton="0" quotePrefix="0" xfId="0">
      <alignment horizontal="left" vertical="center"/>
    </xf>
    <xf numFmtId="37" fontId="0" fillId="0" borderId="0" pivotButton="0" quotePrefix="0" xfId="0"/>
    <xf numFmtId="1" fontId="24" fillId="2" borderId="0" applyAlignment="1" pivotButton="0" quotePrefix="0" xfId="0">
      <alignment horizontal="center"/>
    </xf>
    <xf numFmtId="1" fontId="25" fillId="2" borderId="0" pivotButton="0" quotePrefix="0" xfId="0"/>
    <xf numFmtId="0" fontId="4" fillId="0" borderId="8" pivotButton="0" quotePrefix="0" xfId="0"/>
    <xf numFmtId="0" fontId="4" fillId="4" borderId="8" pivotButton="0" quotePrefix="0" xfId="0"/>
    <xf numFmtId="3" fontId="4" fillId="3" borderId="8" applyAlignment="1" pivotButton="0" quotePrefix="0" xfId="0">
      <alignment horizontal="center"/>
    </xf>
    <xf numFmtId="9" fontId="4" fillId="0" borderId="8" applyAlignment="1" pivotButton="0" quotePrefix="0" xfId="0">
      <alignment horizontal="center"/>
    </xf>
    <xf numFmtId="0" fontId="0" fillId="4" borderId="0" pivotButton="0" quotePrefix="0" xfId="0"/>
    <xf numFmtId="3" fontId="0" fillId="3" borderId="0" applyAlignment="1" pivotButton="0" quotePrefix="0" xfId="0">
      <alignment horizontal="center"/>
    </xf>
    <xf numFmtId="9" fontId="0" fillId="0" borderId="0" applyAlignment="1" pivotButton="0" quotePrefix="0" xfId="0">
      <alignment horizontal="center"/>
    </xf>
    <xf numFmtId="10" fontId="0" fillId="0" borderId="0" applyAlignment="1" pivotButton="0" quotePrefix="0" xfId="0">
      <alignment horizontal="center"/>
    </xf>
    <xf numFmtId="0" fontId="0" fillId="4" borderId="8" pivotButton="0" quotePrefix="1" xfId="0"/>
    <xf numFmtId="3" fontId="0" fillId="0" borderId="8" applyAlignment="1" pivotButton="0" quotePrefix="0" xfId="0">
      <alignment horizontal="center"/>
    </xf>
    <xf numFmtId="9" fontId="0" fillId="0" borderId="8" applyAlignment="1" pivotButton="0" quotePrefix="0" xfId="0">
      <alignment horizontal="center"/>
    </xf>
    <xf numFmtId="0" fontId="0" fillId="0" borderId="0" pivotButton="0" quotePrefix="1" xfId="0"/>
    <xf numFmtId="9" fontId="4" fillId="0" borderId="0" applyAlignment="1" pivotButton="0" quotePrefix="0" xfId="0">
      <alignment horizontal="center"/>
    </xf>
    <xf numFmtId="0" fontId="26" fillId="0" borderId="0" pivotButton="0" quotePrefix="0" xfId="0"/>
    <xf numFmtId="0" fontId="4" fillId="0" borderId="0" applyAlignment="1" pivotButton="0" quotePrefix="0" xfId="0">
      <alignment horizontal="center"/>
    </xf>
    <xf numFmtId="0" fontId="0" fillId="3" borderId="0" applyAlignment="1" pivotButton="0" quotePrefix="0" xfId="0">
      <alignment horizontal="center"/>
    </xf>
    <xf numFmtId="37" fontId="0" fillId="3" borderId="0" applyAlignment="1" pivotButton="0" quotePrefix="0" xfId="0">
      <alignment horizontal="center" vertical="center"/>
    </xf>
    <xf numFmtId="37" fontId="29" fillId="3" borderId="0" applyAlignment="1" pivotButton="0" quotePrefix="0" xfId="0">
      <alignment horizontal="center" vertical="center"/>
    </xf>
    <xf numFmtId="9" fontId="0" fillId="0" borderId="0" pivotButton="0" quotePrefix="0" xfId="2"/>
    <xf numFmtId="37" fontId="0" fillId="3" borderId="0" pivotButton="0" quotePrefix="0" xfId="0"/>
    <xf numFmtId="167" fontId="4" fillId="0" borderId="0" pivotButton="0" quotePrefix="0" xfId="2"/>
    <xf numFmtId="37" fontId="4" fillId="0" borderId="0" pivotButton="0" quotePrefix="0" xfId="0"/>
    <xf numFmtId="9" fontId="0" fillId="0" borderId="0" pivotButton="0" quotePrefix="0" xfId="0"/>
    <xf numFmtId="9" fontId="0" fillId="0" borderId="0" pivotButton="0" quotePrefix="0" xfId="2"/>
    <xf numFmtId="0" fontId="23" fillId="5" borderId="0" applyAlignment="1" pivotButton="0" quotePrefix="0" xfId="0">
      <alignment horizontal="center"/>
    </xf>
    <xf numFmtId="0" fontId="14" fillId="5" borderId="0" applyAlignment="1" pivotButton="0" quotePrefix="0" xfId="0">
      <alignment horizontal="center"/>
    </xf>
    <xf numFmtId="0" fontId="14" fillId="2" borderId="0" applyAlignment="1" pivotButton="0" quotePrefix="0" xfId="0">
      <alignment horizontal="center"/>
    </xf>
    <xf numFmtId="10" fontId="0" fillId="0" borderId="0" applyAlignment="1" pivotButton="0" quotePrefix="0" xfId="2">
      <alignment horizontal="center"/>
    </xf>
    <xf numFmtId="1" fontId="7" fillId="2" borderId="4" pivotButton="0" quotePrefix="0" xfId="0"/>
    <xf numFmtId="165" fontId="7" fillId="2" borderId="0" pivotButton="0" quotePrefix="0" xfId="0"/>
    <xf numFmtId="0" fontId="14" fillId="11" borderId="4" pivotButton="0" quotePrefix="0" xfId="0"/>
    <xf numFmtId="37" fontId="0" fillId="3" borderId="17" pivotButton="0" quotePrefix="0" xfId="0"/>
    <xf numFmtId="1" fontId="0" fillId="0" borderId="0" applyAlignment="1" pivotButton="0" quotePrefix="0" xfId="2">
      <alignment horizontal="right"/>
    </xf>
    <xf numFmtId="167" fontId="0" fillId="0" borderId="0" pivotButton="0" quotePrefix="0" xfId="2"/>
    <xf numFmtId="167" fontId="0" fillId="0" borderId="0" pivotButton="0" quotePrefix="0" xfId="2"/>
    <xf numFmtId="167" fontId="0" fillId="0" borderId="4" pivotButton="0" quotePrefix="0" xfId="2"/>
    <xf numFmtId="167" fontId="0" fillId="3" borderId="0" pivotButton="0" quotePrefix="0" xfId="2"/>
    <xf numFmtId="167" fontId="0" fillId="0" borderId="17" pivotButton="0" quotePrefix="0" xfId="2"/>
    <xf numFmtId="37" fontId="0" fillId="3" borderId="4" pivotButton="0" quotePrefix="0" xfId="0"/>
    <xf numFmtId="37" fontId="4" fillId="0" borderId="4" pivotButton="0" quotePrefix="0" xfId="0"/>
    <xf numFmtId="0" fontId="0" fillId="0" borderId="0" applyAlignment="1" pivotButton="0" quotePrefix="0" xfId="0">
      <alignment vertical="center"/>
    </xf>
    <xf numFmtId="0" fontId="0" fillId="2" borderId="0" pivotButton="0" quotePrefix="0" xfId="0"/>
    <xf numFmtId="0" fontId="6" fillId="2" borderId="0" applyAlignment="1" pivotButton="0" quotePrefix="0" xfId="0">
      <alignment horizontal="right"/>
    </xf>
    <xf numFmtId="0" fontId="5" fillId="11" borderId="0" pivotButton="0" quotePrefix="0" xfId="0"/>
    <xf numFmtId="0" fontId="6" fillId="11" borderId="0" pivotButton="0" quotePrefix="0" xfId="0"/>
    <xf numFmtId="0" fontId="0" fillId="11" borderId="0" pivotButton="0" quotePrefix="0" xfId="0"/>
    <xf numFmtId="0" fontId="6" fillId="11" borderId="0" applyAlignment="1" pivotButton="0" quotePrefix="0" xfId="0">
      <alignment horizontal="right"/>
    </xf>
    <xf numFmtId="0" fontId="6" fillId="5" borderId="0" applyAlignment="1" pivotButton="0" quotePrefix="0" xfId="0">
      <alignment horizontal="right"/>
    </xf>
    <xf numFmtId="0" fontId="8" fillId="0" borderId="0" pivotButton="0" quotePrefix="0" xfId="0"/>
    <xf numFmtId="169" fontId="0" fillId="0" borderId="0" applyAlignment="1" pivotButton="0" quotePrefix="0" xfId="9">
      <alignment horizontal="right"/>
    </xf>
    <xf numFmtId="10" fontId="29" fillId="4" borderId="0" pivotButton="0" quotePrefix="0" xfId="0"/>
    <xf numFmtId="10" fontId="33" fillId="3" borderId="0" pivotButton="0" quotePrefix="0" xfId="0"/>
    <xf numFmtId="10" fontId="0" fillId="3" borderId="24" pivotButton="0" quotePrefix="0" xfId="2"/>
    <xf numFmtId="2" fontId="0" fillId="0" borderId="0" pivotButton="0" quotePrefix="0" xfId="0"/>
    <xf numFmtId="3" fontId="0" fillId="3" borderId="24" pivotButton="0" quotePrefix="0" xfId="0"/>
    <xf numFmtId="10" fontId="4" fillId="0" borderId="0" pivotButton="0" quotePrefix="0" xfId="2"/>
    <xf numFmtId="0" fontId="14" fillId="0" borderId="0" pivotButton="0" quotePrefix="0" xfId="0"/>
    <xf numFmtId="0" fontId="21" fillId="0" borderId="0" pivotButton="0" quotePrefix="0" xfId="0"/>
    <xf numFmtId="0" fontId="7" fillId="11" borderId="0" pivotButton="0" quotePrefix="0" xfId="0"/>
    <xf numFmtId="0" fontId="21" fillId="11" borderId="0" pivotButton="0" quotePrefix="0" xfId="0"/>
    <xf numFmtId="0" fontId="35" fillId="0" borderId="0" pivotButton="0" quotePrefix="0" xfId="0"/>
    <xf numFmtId="0" fontId="13" fillId="0" borderId="0" pivotButton="0" quotePrefix="0" xfId="0"/>
    <xf numFmtId="0" fontId="14" fillId="0" borderId="0" applyAlignment="1" pivotButton="0" quotePrefix="0" xfId="0">
      <alignment wrapText="1"/>
    </xf>
    <xf numFmtId="10" fontId="14" fillId="0" borderId="0" pivotButton="0" quotePrefix="0" xfId="0"/>
    <xf numFmtId="9" fontId="13" fillId="0" borderId="0" pivotButton="0" quotePrefix="0" xfId="2"/>
    <xf numFmtId="10" fontId="13" fillId="0" borderId="0" applyAlignment="1" pivotButton="0" quotePrefix="0" xfId="2">
      <alignment horizontal="center"/>
    </xf>
    <xf numFmtId="43" fontId="13" fillId="0" borderId="0" pivotButton="0" quotePrefix="0" xfId="0"/>
    <xf numFmtId="164" fontId="7" fillId="2" borderId="0" pivotButton="0" quotePrefix="0" xfId="0"/>
    <xf numFmtId="164" fontId="7" fillId="2" borderId="26" pivotButton="0" quotePrefix="0" xfId="0"/>
    <xf numFmtId="0" fontId="14" fillId="5" borderId="26" pivotButton="0" quotePrefix="0" xfId="0"/>
    <xf numFmtId="3" fontId="38" fillId="0" borderId="0" pivotButton="0" quotePrefix="0" xfId="0"/>
    <xf numFmtId="3" fontId="38" fillId="0" borderId="26" pivotButton="0" quotePrefix="0" xfId="0"/>
    <xf numFmtId="3" fontId="13" fillId="0" borderId="0" pivotButton="0" quotePrefix="0" xfId="0"/>
    <xf numFmtId="3" fontId="36" fillId="5" borderId="0" pivotButton="0" quotePrefix="0" xfId="0"/>
    <xf numFmtId="0" fontId="40" fillId="0" borderId="0" pivotButton="0" quotePrefix="0" xfId="0"/>
    <xf numFmtId="4" fontId="37" fillId="0" borderId="0" pivotButton="0" quotePrefix="0" xfId="0"/>
    <xf numFmtId="4" fontId="37" fillId="0" borderId="26" pivotButton="0" quotePrefix="0" xfId="0"/>
    <xf numFmtId="4" fontId="36" fillId="5" borderId="0" pivotButton="0" quotePrefix="0" xfId="0"/>
    <xf numFmtId="4" fontId="38" fillId="0" borderId="0" pivotButton="0" quotePrefix="0" xfId="0"/>
    <xf numFmtId="4" fontId="38" fillId="0" borderId="26" pivotButton="0" quotePrefix="0" xfId="0"/>
    <xf numFmtId="2" fontId="13" fillId="0" borderId="0" pivotButton="0" quotePrefix="0" xfId="0"/>
    <xf numFmtId="167" fontId="36" fillId="5" borderId="0" pivotButton="0" quotePrefix="0" xfId="0"/>
    <xf numFmtId="3" fontId="14" fillId="0" borderId="0" pivotButton="0" quotePrefix="0" xfId="0"/>
    <xf numFmtId="3" fontId="14" fillId="0" borderId="26" pivotButton="0" quotePrefix="0" xfId="0"/>
    <xf numFmtId="3" fontId="13" fillId="0" borderId="26" pivotButton="0" quotePrefix="0" xfId="0"/>
    <xf numFmtId="0" fontId="41" fillId="0" borderId="0" pivotButton="0" quotePrefix="0" xfId="0"/>
    <xf numFmtId="0" fontId="14" fillId="0" borderId="26" pivotButton="0" quotePrefix="0" xfId="0"/>
    <xf numFmtId="165" fontId="7" fillId="0" borderId="0" pivotButton="0" quotePrefix="0" xfId="0"/>
    <xf numFmtId="0" fontId="42" fillId="0" borderId="0" pivotButton="0" quotePrefix="0" xfId="0"/>
    <xf numFmtId="170" fontId="38" fillId="0" borderId="0" pivotButton="0" quotePrefix="0" xfId="1"/>
    <xf numFmtId="170" fontId="13" fillId="0" borderId="0" pivotButton="0" quotePrefix="0" xfId="1"/>
    <xf numFmtId="0" fontId="43" fillId="0" borderId="0" pivotButton="0" quotePrefix="0" xfId="0"/>
    <xf numFmtId="167" fontId="13" fillId="0" borderId="0" pivotButton="0" quotePrefix="0" xfId="2"/>
    <xf numFmtId="167" fontId="14" fillId="0" borderId="0" pivotButton="0" quotePrefix="0" xfId="2"/>
    <xf numFmtId="167" fontId="14" fillId="0" borderId="17" pivotButton="0" quotePrefix="0" xfId="2"/>
    <xf numFmtId="167" fontId="13" fillId="0" borderId="0" pivotButton="0" quotePrefix="0" xfId="2"/>
    <xf numFmtId="170" fontId="13" fillId="0" borderId="0" pivotButton="0" quotePrefix="0" xfId="1"/>
    <xf numFmtId="0" fontId="14" fillId="0" borderId="17" pivotButton="0" quotePrefix="0" xfId="0"/>
    <xf numFmtId="9" fontId="13" fillId="0" borderId="0" pivotButton="0" quotePrefix="0" xfId="2"/>
    <xf numFmtId="167" fontId="36" fillId="0" borderId="0" pivotButton="0" quotePrefix="0" xfId="2"/>
    <xf numFmtId="37" fontId="13" fillId="0" borderId="0" applyAlignment="1" pivotButton="0" quotePrefix="0" xfId="1">
      <alignment wrapText="1"/>
    </xf>
    <xf numFmtId="167" fontId="14" fillId="0" borderId="26" pivotButton="0" quotePrefix="0" xfId="2"/>
    <xf numFmtId="164" fontId="7" fillId="2" borderId="17" pivotButton="0" quotePrefix="0" xfId="0"/>
    <xf numFmtId="0" fontId="43" fillId="11" borderId="0" pivotButton="0" quotePrefix="0" xfId="0"/>
    <xf numFmtId="0" fontId="14" fillId="11" borderId="17" pivotButton="0" quotePrefix="0" xfId="0"/>
    <xf numFmtId="37" fontId="38" fillId="0" borderId="0" applyAlignment="1" pivotButton="0" quotePrefix="0" xfId="1">
      <alignment wrapText="1"/>
    </xf>
    <xf numFmtId="37" fontId="38" fillId="0" borderId="17" pivotButton="0" quotePrefix="0" xfId="1"/>
    <xf numFmtId="170" fontId="14" fillId="0" borderId="0" pivotButton="0" quotePrefix="0" xfId="0"/>
    <xf numFmtId="3" fontId="36" fillId="0" borderId="0" pivotButton="0" quotePrefix="0" xfId="0"/>
    <xf numFmtId="3" fontId="36" fillId="0" borderId="17" pivotButton="0" quotePrefix="0" xfId="0"/>
    <xf numFmtId="167" fontId="13" fillId="0" borderId="0" pivotButton="0" quotePrefix="0" xfId="0"/>
    <xf numFmtId="0" fontId="38" fillId="11" borderId="0" pivotButton="0" quotePrefix="0" xfId="0"/>
    <xf numFmtId="0" fontId="38" fillId="11" borderId="17" pivotButton="0" quotePrefix="0" xfId="0"/>
    <xf numFmtId="170" fontId="37" fillId="0" borderId="0" pivotButton="0" quotePrefix="0" xfId="1"/>
    <xf numFmtId="170" fontId="13" fillId="0" borderId="17" pivotButton="0" quotePrefix="0" xfId="1"/>
    <xf numFmtId="170" fontId="14" fillId="0" borderId="0" pivotButton="0" quotePrefix="0" xfId="1"/>
    <xf numFmtId="167" fontId="14" fillId="0" borderId="0" pivotButton="0" quotePrefix="0" xfId="2"/>
    <xf numFmtId="0" fontId="14" fillId="0" borderId="31" pivotButton="0" quotePrefix="0" xfId="0"/>
    <xf numFmtId="0" fontId="14" fillId="0" borderId="32" pivotButton="0" quotePrefix="0" xfId="0"/>
    <xf numFmtId="170" fontId="14" fillId="0" borderId="32" pivotButton="0" quotePrefix="0" xfId="0"/>
    <xf numFmtId="170" fontId="14" fillId="0" borderId="0" pivotButton="0" quotePrefix="0" xfId="1"/>
    <xf numFmtId="170" fontId="13" fillId="0" borderId="26" pivotButton="0" quotePrefix="0" xfId="1"/>
    <xf numFmtId="0" fontId="14" fillId="0" borderId="34" pivotButton="0" quotePrefix="0" xfId="0"/>
    <xf numFmtId="0" fontId="14" fillId="0" borderId="35" pivotButton="0" quotePrefix="0" xfId="0"/>
    <xf numFmtId="170" fontId="14" fillId="0" borderId="35" pivotButton="0" quotePrefix="0" xfId="0"/>
    <xf numFmtId="170" fontId="14" fillId="0" borderId="36" pivotButton="0" quotePrefix="0" xfId="0"/>
    <xf numFmtId="0" fontId="14" fillId="0" borderId="37" pivotButton="0" quotePrefix="0" xfId="0"/>
    <xf numFmtId="0" fontId="14" fillId="0" borderId="7" pivotButton="0" quotePrefix="0" xfId="0"/>
    <xf numFmtId="0" fontId="14" fillId="0" borderId="38" pivotButton="0" quotePrefix="0" xfId="0"/>
    <xf numFmtId="170" fontId="14" fillId="0" borderId="7" pivotButton="0" quotePrefix="0" xfId="0"/>
    <xf numFmtId="170" fontId="14" fillId="0" borderId="39" pivotButton="0" quotePrefix="0" xfId="0"/>
    <xf numFmtId="2" fontId="14" fillId="0" borderId="0" pivotButton="0" quotePrefix="0" xfId="0"/>
    <xf numFmtId="14" fontId="21" fillId="0" borderId="0" pivotButton="0" quotePrefix="0" xfId="0"/>
    <xf numFmtId="0" fontId="21" fillId="0" borderId="26" pivotButton="0" quotePrefix="0" xfId="0"/>
    <xf numFmtId="170" fontId="37" fillId="0" borderId="0" pivotButton="0" quotePrefix="0" xfId="1"/>
    <xf numFmtId="14" fontId="14" fillId="0" borderId="0" pivotButton="0" quotePrefix="0" xfId="0"/>
    <xf numFmtId="170" fontId="14" fillId="0" borderId="0" pivotButton="0" quotePrefix="0" xfId="1"/>
    <xf numFmtId="0" fontId="37" fillId="0" borderId="0" pivotButton="0" quotePrefix="0" xfId="0"/>
    <xf numFmtId="0" fontId="33" fillId="0" borderId="0" pivotButton="0" quotePrefix="0" xfId="0"/>
    <xf numFmtId="170" fontId="14" fillId="4" borderId="0" pivotButton="0" quotePrefix="0" xfId="0"/>
    <xf numFmtId="43" fontId="14" fillId="0" borderId="0" pivotButton="0" quotePrefix="0" xfId="0"/>
    <xf numFmtId="171" fontId="14" fillId="0" borderId="0" pivotButton="0" quotePrefix="0" xfId="0"/>
    <xf numFmtId="0" fontId="42" fillId="0" borderId="26" pivotButton="0" quotePrefix="0" xfId="0"/>
    <xf numFmtId="10" fontId="42" fillId="0" borderId="0" pivotButton="0" quotePrefix="0" xfId="0"/>
    <xf numFmtId="0" fontId="14" fillId="11" borderId="26" pivotButton="0" quotePrefix="0" xfId="0"/>
    <xf numFmtId="170" fontId="14" fillId="0" borderId="26" pivotButton="0" quotePrefix="0" xfId="0"/>
    <xf numFmtId="37" fontId="14" fillId="0" borderId="0" pivotButton="0" quotePrefix="0" xfId="0"/>
    <xf numFmtId="37" fontId="14" fillId="0" borderId="26" pivotButton="0" quotePrefix="0" xfId="0"/>
    <xf numFmtId="9" fontId="14" fillId="0" borderId="0" pivotButton="0" quotePrefix="0" xfId="0"/>
    <xf numFmtId="9" fontId="14" fillId="0" borderId="26" pivotButton="0" quotePrefix="0" xfId="0"/>
    <xf numFmtId="9" fontId="36" fillId="0" borderId="0" pivotButton="0" quotePrefix="0" xfId="0"/>
    <xf numFmtId="170" fontId="14" fillId="0" borderId="0" applyAlignment="1" pivotButton="0" quotePrefix="0" xfId="0">
      <alignment horizontal="left"/>
    </xf>
    <xf numFmtId="0" fontId="14" fillId="0" borderId="40" pivotButton="0" quotePrefix="0" xfId="0"/>
    <xf numFmtId="0" fontId="14" fillId="0" borderId="41" pivotButton="0" quotePrefix="0" xfId="0"/>
    <xf numFmtId="0" fontId="14" fillId="0" borderId="42" pivotButton="0" quotePrefix="0" xfId="0"/>
    <xf numFmtId="170" fontId="14" fillId="0" borderId="41" pivotButton="0" quotePrefix="0" xfId="0"/>
    <xf numFmtId="9" fontId="42" fillId="0" borderId="0" pivotButton="0" quotePrefix="0" xfId="0"/>
    <xf numFmtId="0" fontId="14" fillId="0" borderId="9" applyAlignment="1" pivotButton="0" quotePrefix="0" xfId="0">
      <alignment horizontal="right"/>
    </xf>
    <xf numFmtId="0" fontId="24" fillId="2" borderId="0" pivotButton="0" quotePrefix="0" xfId="0"/>
    <xf numFmtId="1" fontId="7" fillId="2" borderId="0" applyAlignment="1" pivotButton="0" quotePrefix="0" xfId="0">
      <alignment horizontal="right"/>
    </xf>
    <xf numFmtId="0" fontId="14" fillId="11" borderId="0" applyAlignment="1" pivotButton="0" quotePrefix="0" xfId="0">
      <alignment horizontal="right"/>
    </xf>
    <xf numFmtId="37" fontId="29" fillId="3" borderId="0" applyAlignment="1" pivotButton="0" quotePrefix="0" xfId="0">
      <alignment horizontal="right"/>
    </xf>
    <xf numFmtId="37" fontId="4" fillId="4" borderId="0" applyAlignment="1" pivotButton="0" quotePrefix="0" xfId="0">
      <alignment horizontal="right"/>
    </xf>
    <xf numFmtId="37" fontId="4" fillId="0" borderId="0" applyAlignment="1" pivotButton="0" quotePrefix="0" xfId="0">
      <alignment horizontal="right"/>
    </xf>
    <xf numFmtId="39" fontId="44" fillId="3" borderId="0" applyAlignment="1" pivotButton="0" quotePrefix="0" xfId="0">
      <alignment horizontal="right"/>
    </xf>
    <xf numFmtId="9" fontId="14" fillId="11" borderId="0" pivotButton="0" quotePrefix="0" xfId="2"/>
    <xf numFmtId="9" fontId="14" fillId="11" borderId="0" applyAlignment="1" pivotButton="0" quotePrefix="0" xfId="2">
      <alignment horizontal="right"/>
    </xf>
    <xf numFmtId="37" fontId="8" fillId="4" borderId="8" applyAlignment="1" pivotButton="0" quotePrefix="0" xfId="0">
      <alignment horizontal="right"/>
    </xf>
    <xf numFmtId="10" fontId="4" fillId="0" borderId="8" applyAlignment="1" pivotButton="0" quotePrefix="0" xfId="2">
      <alignment horizontal="center"/>
    </xf>
    <xf numFmtId="37" fontId="8" fillId="4" borderId="0" applyAlignment="1" pivotButton="0" quotePrefix="0" xfId="0">
      <alignment horizontal="right"/>
    </xf>
    <xf numFmtId="37" fontId="44" fillId="3" borderId="0" applyAlignment="1" pivotButton="0" quotePrefix="0" xfId="0">
      <alignment horizontal="right"/>
    </xf>
    <xf numFmtId="0" fontId="4" fillId="0" borderId="20" pivotButton="0" quotePrefix="0" xfId="0"/>
    <xf numFmtId="37" fontId="4" fillId="0" borderId="20" applyAlignment="1" pivotButton="0" quotePrefix="0" xfId="0">
      <alignment horizontal="right"/>
    </xf>
    <xf numFmtId="37" fontId="8" fillId="0" borderId="8" applyAlignment="1" pivotButton="0" quotePrefix="0" xfId="0">
      <alignment horizontal="right"/>
    </xf>
    <xf numFmtId="37" fontId="0" fillId="0" borderId="0" applyAlignment="1" pivotButton="0" quotePrefix="0" xfId="0">
      <alignment horizontal="right"/>
    </xf>
    <xf numFmtId="2" fontId="0" fillId="0" borderId="0" applyAlignment="1" pivotButton="0" quotePrefix="0" xfId="0">
      <alignment horizontal="right"/>
    </xf>
    <xf numFmtId="0" fontId="33" fillId="3" borderId="0" applyAlignment="1" pivotButton="0" quotePrefix="0" xfId="0">
      <alignment horizontal="right"/>
    </xf>
    <xf numFmtId="170" fontId="0" fillId="0" borderId="0" applyAlignment="1" pivotButton="0" quotePrefix="0" xfId="0">
      <alignment horizontal="right"/>
    </xf>
    <xf numFmtId="0" fontId="7" fillId="2" borderId="0" applyAlignment="1" pivotButton="0" quotePrefix="0" xfId="0">
      <alignment horizontal="right"/>
    </xf>
    <xf numFmtId="0" fontId="14" fillId="0" borderId="0" applyAlignment="1" pivotButton="0" quotePrefix="0" xfId="0">
      <alignment horizontal="center"/>
    </xf>
    <xf numFmtId="0" fontId="14" fillId="4" borderId="0" pivotButton="0" quotePrefix="0" xfId="0"/>
    <xf numFmtId="0" fontId="19" fillId="0" borderId="9" applyAlignment="1" pivotButton="0" quotePrefix="0" xfId="10">
      <alignment horizontal="left"/>
    </xf>
    <xf numFmtId="0" fontId="31" fillId="0" borderId="9" pivotButton="0" quotePrefix="0" xfId="10"/>
    <xf numFmtId="0" fontId="0" fillId="0" borderId="9" applyAlignment="1" pivotButton="0" quotePrefix="0" xfId="10">
      <alignment horizontal="right"/>
    </xf>
    <xf numFmtId="0" fontId="14" fillId="11" borderId="0" applyAlignment="1" pivotButton="0" quotePrefix="0" xfId="0">
      <alignment horizontal="left"/>
    </xf>
    <xf numFmtId="167" fontId="13" fillId="0" borderId="0" applyAlignment="1" pivotButton="0" quotePrefix="0" xfId="4">
      <alignment horizontal="left"/>
    </xf>
    <xf numFmtId="167" fontId="39" fillId="0" borderId="0" applyAlignment="1" pivotButton="0" quotePrefix="0" xfId="4">
      <alignment horizontal="left"/>
    </xf>
    <xf numFmtId="0" fontId="14" fillId="0" borderId="0" applyAlignment="1" pivotButton="0" quotePrefix="0" xfId="0">
      <alignment horizontal="right"/>
    </xf>
    <xf numFmtId="167" fontId="13" fillId="4" borderId="0" applyAlignment="1" pivotButton="0" quotePrefix="0" xfId="4">
      <alignment horizontal="left"/>
    </xf>
    <xf numFmtId="10" fontId="0" fillId="0" borderId="0" applyAlignment="1" pivotButton="0" quotePrefix="0" xfId="2">
      <alignment horizontal="right"/>
    </xf>
    <xf numFmtId="10" fontId="14" fillId="0" borderId="0" applyAlignment="1" pivotButton="0" quotePrefix="0" xfId="0">
      <alignment horizontal="right"/>
    </xf>
    <xf numFmtId="39" fontId="0" fillId="0" borderId="0" applyAlignment="1" pivotButton="0" quotePrefix="0" xfId="1">
      <alignment horizontal="right"/>
    </xf>
    <xf numFmtId="0" fontId="0" fillId="0" borderId="0" applyAlignment="1" pivotButton="0" quotePrefix="1" xfId="0">
      <alignment horizontal="right"/>
    </xf>
    <xf numFmtId="37" fontId="44" fillId="3" borderId="8" applyAlignment="1" pivotButton="0" quotePrefix="0" xfId="0">
      <alignment horizontal="right"/>
    </xf>
    <xf numFmtId="37" fontId="8" fillId="0" borderId="0" applyAlignment="1" pivotButton="0" quotePrefix="0" xfId="0">
      <alignment horizontal="right"/>
    </xf>
    <xf numFmtId="0" fontId="26" fillId="0" borderId="0" applyAlignment="1" pivotButton="0" quotePrefix="0" xfId="0">
      <alignment horizontal="left" indent="1"/>
    </xf>
    <xf numFmtId="37" fontId="47" fillId="3" borderId="0" applyAlignment="1" pivotButton="0" quotePrefix="0" xfId="0">
      <alignment horizontal="right"/>
    </xf>
    <xf numFmtId="37" fontId="48" fillId="4" borderId="0" applyAlignment="1" pivotButton="0" quotePrefix="0" xfId="0">
      <alignment horizontal="right"/>
    </xf>
    <xf numFmtId="0" fontId="4" fillId="0" borderId="19" pivotButton="0" quotePrefix="0" xfId="0"/>
    <xf numFmtId="37" fontId="44" fillId="3" borderId="19" applyAlignment="1" pivotButton="0" quotePrefix="0" xfId="0">
      <alignment horizontal="right"/>
    </xf>
    <xf numFmtId="0" fontId="4" fillId="0" borderId="48" pivotButton="0" quotePrefix="0" xfId="0"/>
    <xf numFmtId="37" fontId="44" fillId="0" borderId="19" applyAlignment="1" pivotButton="0" quotePrefix="0" xfId="0">
      <alignment horizontal="right"/>
    </xf>
    <xf numFmtId="0" fontId="0" fillId="0" borderId="48" pivotButton="0" quotePrefix="0" xfId="0"/>
    <xf numFmtId="37" fontId="44" fillId="3" borderId="48" applyAlignment="1" pivotButton="0" quotePrefix="0" xfId="0">
      <alignment horizontal="right"/>
    </xf>
    <xf numFmtId="170" fontId="38" fillId="0" borderId="26" pivotButton="0" quotePrefix="0" xfId="1"/>
    <xf numFmtId="0" fontId="43" fillId="4" borderId="0" pivotButton="0" quotePrefix="0" xfId="0"/>
    <xf numFmtId="167" fontId="14" fillId="4" borderId="0" pivotButton="0" quotePrefix="0" xfId="2"/>
    <xf numFmtId="167" fontId="14" fillId="4" borderId="17" pivotButton="0" quotePrefix="0" xfId="2"/>
    <xf numFmtId="167" fontId="36" fillId="4" borderId="0" pivotButton="0" quotePrefix="0" xfId="2"/>
    <xf numFmtId="9" fontId="13" fillId="4" borderId="0" pivotButton="0" quotePrefix="0" xfId="2"/>
    <xf numFmtId="37" fontId="49" fillId="3" borderId="0" applyAlignment="1" pivotButton="0" quotePrefix="0" xfId="0">
      <alignment horizontal="right"/>
    </xf>
    <xf numFmtId="0" fontId="14" fillId="0" borderId="0" applyAlignment="1" pivotButton="0" quotePrefix="0" xfId="0">
      <alignment horizontal="left" indent="1"/>
    </xf>
    <xf numFmtId="0" fontId="50" fillId="0" borderId="0" pivotButton="0" quotePrefix="0" xfId="0"/>
    <xf numFmtId="0" fontId="50" fillId="0" borderId="0" applyAlignment="1" pivotButton="0" quotePrefix="0" xfId="0">
      <alignment horizontal="left"/>
    </xf>
    <xf numFmtId="167" fontId="50" fillId="0" borderId="0" pivotButton="0" quotePrefix="0" xfId="2"/>
    <xf numFmtId="167" fontId="50" fillId="0" borderId="0" pivotButton="0" quotePrefix="0" xfId="1"/>
    <xf numFmtId="167" fontId="50" fillId="0" borderId="17" pivotButton="0" quotePrefix="0" xfId="1"/>
    <xf numFmtId="167" fontId="50" fillId="4" borderId="0" pivotButton="0" quotePrefix="0" xfId="1"/>
    <xf numFmtId="167" fontId="50" fillId="0" borderId="26" pivotButton="0" quotePrefix="0" xfId="2"/>
    <xf numFmtId="167" fontId="50" fillId="0" borderId="17" pivotButton="0" quotePrefix="0" xfId="2"/>
    <xf numFmtId="167" fontId="51" fillId="0" borderId="0" pivotButton="0" quotePrefix="0" xfId="2"/>
    <xf numFmtId="0" fontId="50" fillId="0" borderId="0" applyAlignment="1" pivotButton="0" quotePrefix="0" xfId="0">
      <alignment horizontal="left" indent="1"/>
    </xf>
    <xf numFmtId="0" fontId="51" fillId="0" borderId="0" pivotButton="0" quotePrefix="0" xfId="0"/>
    <xf numFmtId="37" fontId="33" fillId="3" borderId="0" applyAlignment="1" pivotButton="0" quotePrefix="0" xfId="0">
      <alignment horizontal="right"/>
    </xf>
    <xf numFmtId="37" fontId="38" fillId="0" borderId="17" pivotButton="0" quotePrefix="0" xfId="1"/>
    <xf numFmtId="37" fontId="38" fillId="0" borderId="0" applyAlignment="1" pivotButton="0" quotePrefix="0" xfId="1">
      <alignment wrapText="1"/>
    </xf>
    <xf numFmtId="3" fontId="37" fillId="0" borderId="0" pivotButton="0" quotePrefix="0" xfId="0"/>
    <xf numFmtId="3" fontId="37" fillId="0" borderId="26" pivotButton="0" quotePrefix="0" xfId="0"/>
    <xf numFmtId="167" fontId="50" fillId="0" borderId="0" pivotButton="0" quotePrefix="0" xfId="2"/>
    <xf numFmtId="167" fontId="50" fillId="0" borderId="26" pivotButton="0" quotePrefix="0" xfId="2"/>
    <xf numFmtId="170" fontId="38" fillId="0" borderId="0" pivotButton="0" quotePrefix="0" xfId="1"/>
    <xf numFmtId="170" fontId="38" fillId="0" borderId="26" pivotButton="0" quotePrefix="0" xfId="1"/>
    <xf numFmtId="167" fontId="36" fillId="0" borderId="0" pivotButton="0" quotePrefix="0" xfId="0"/>
    <xf numFmtId="167" fontId="50" fillId="0" borderId="0" pivotButton="0" quotePrefix="0" xfId="2"/>
    <xf numFmtId="0" fontId="14" fillId="0" borderId="0" applyAlignment="1" pivotButton="0" quotePrefix="0" xfId="0">
      <alignment horizontal="left" indent="2"/>
    </xf>
    <xf numFmtId="0" fontId="50" fillId="0" borderId="0" applyAlignment="1" pivotButton="0" quotePrefix="0" xfId="0">
      <alignment horizontal="left" indent="2"/>
    </xf>
    <xf numFmtId="0" fontId="43" fillId="0" borderId="0" applyAlignment="1" pivotButton="0" quotePrefix="0" xfId="0">
      <alignment horizontal="left" indent="2"/>
    </xf>
    <xf numFmtId="170" fontId="52" fillId="0" borderId="0" pivotButton="0" quotePrefix="0" xfId="1"/>
    <xf numFmtId="170" fontId="52" fillId="0" borderId="26" pivotButton="0" quotePrefix="0" xfId="1"/>
    <xf numFmtId="170" fontId="40" fillId="0" borderId="0" pivotButton="0" quotePrefix="0" xfId="1"/>
    <xf numFmtId="170" fontId="21" fillId="0" borderId="0" pivotButton="0" quotePrefix="0" xfId="1"/>
    <xf numFmtId="167" fontId="49" fillId="5" borderId="0" pivotButton="0" quotePrefix="0" xfId="2"/>
    <xf numFmtId="37" fontId="13" fillId="0" borderId="0" applyAlignment="1" pivotButton="0" quotePrefix="0" xfId="1">
      <alignment wrapText="1"/>
    </xf>
    <xf numFmtId="167" fontId="33" fillId="5" borderId="0" pivotButton="0" quotePrefix="0" xfId="2"/>
    <xf numFmtId="167" fontId="49" fillId="5" borderId="0" pivotButton="0" quotePrefix="0" xfId="0"/>
    <xf numFmtId="167" fontId="50" fillId="0" borderId="0" pivotButton="0" quotePrefix="0" xfId="0"/>
    <xf numFmtId="167" fontId="50" fillId="0" borderId="17" pivotButton="0" quotePrefix="0" xfId="0"/>
    <xf numFmtId="1" fontId="49" fillId="5" borderId="0" pivotButton="0" quotePrefix="0" xfId="0"/>
    <xf numFmtId="172" fontId="50" fillId="0" borderId="0" pivotButton="0" quotePrefix="0" xfId="0"/>
    <xf numFmtId="172" fontId="50" fillId="0" borderId="17" pivotButton="0" quotePrefix="0" xfId="0"/>
    <xf numFmtId="172" fontId="49" fillId="5" borderId="0" pivotButton="0" quotePrefix="0" xfId="0"/>
    <xf numFmtId="0" fontId="43" fillId="0" borderId="0" applyAlignment="1" pivotButton="0" quotePrefix="0" xfId="0">
      <alignment horizontal="left" indent="1"/>
    </xf>
    <xf numFmtId="167" fontId="51" fillId="0" borderId="17" pivotButton="0" quotePrefix="0" xfId="2"/>
    <xf numFmtId="170" fontId="52" fillId="0" borderId="0" applyAlignment="1" pivotButton="0" quotePrefix="0" xfId="1">
      <alignment horizontal="right"/>
    </xf>
    <xf numFmtId="170" fontId="52" fillId="0" borderId="26" applyAlignment="1" pivotButton="0" quotePrefix="0" xfId="1">
      <alignment horizontal="right"/>
    </xf>
    <xf numFmtId="170" fontId="43" fillId="0" borderId="0" applyAlignment="1" pivotButton="0" quotePrefix="0" xfId="0">
      <alignment horizontal="right"/>
    </xf>
    <xf numFmtId="170" fontId="52" fillId="0" borderId="0" pivotButton="0" quotePrefix="0" xfId="1"/>
    <xf numFmtId="170" fontId="52" fillId="0" borderId="26" pivotButton="0" quotePrefix="0" xfId="1"/>
    <xf numFmtId="170" fontId="43" fillId="0" borderId="0" pivotButton="0" quotePrefix="0" xfId="0"/>
    <xf numFmtId="170" fontId="38" fillId="0" borderId="0" pivotButton="0" quotePrefix="0" xfId="1"/>
    <xf numFmtId="170" fontId="52" fillId="0" borderId="26" applyAlignment="1" pivotButton="0" quotePrefix="0" xfId="1">
      <alignment horizontal="right"/>
    </xf>
    <xf numFmtId="0" fontId="26" fillId="0" borderId="0" applyAlignment="1" pivotButton="0" quotePrefix="0" xfId="0">
      <alignment horizontal="left" indent="2"/>
    </xf>
    <xf numFmtId="167" fontId="13" fillId="4" borderId="0" pivotButton="0" quotePrefix="0" xfId="0"/>
    <xf numFmtId="167" fontId="13" fillId="4" borderId="17" pivotButton="0" quotePrefix="0" xfId="0"/>
    <xf numFmtId="167" fontId="36" fillId="4" borderId="0" pivotButton="0" quotePrefix="0" xfId="0"/>
    <xf numFmtId="167" fontId="13" fillId="0" borderId="26" pivotButton="0" quotePrefix="0" xfId="0"/>
    <xf numFmtId="0" fontId="53" fillId="0" borderId="0" pivotButton="0" quotePrefix="0" xfId="0"/>
    <xf numFmtId="170" fontId="14" fillId="0" borderId="33" pivotButton="0" quotePrefix="0" xfId="0"/>
    <xf numFmtId="170" fontId="14" fillId="0" borderId="49" pivotButton="0" quotePrefix="0" xfId="0"/>
    <xf numFmtId="170" fontId="14" fillId="0" borderId="50" pivotButton="0" quotePrefix="0" xfId="0"/>
    <xf numFmtId="167" fontId="49" fillId="0" borderId="0" pivotButton="0" quotePrefix="0" xfId="0"/>
    <xf numFmtId="170" fontId="36" fillId="5" borderId="0" pivotButton="0" quotePrefix="0" xfId="1"/>
    <xf numFmtId="170" fontId="36" fillId="5" borderId="0" pivotButton="0" quotePrefix="0" xfId="0"/>
    <xf numFmtId="170" fontId="52" fillId="0" borderId="0" pivotButton="0" quotePrefix="0" xfId="1"/>
    <xf numFmtId="9" fontId="50" fillId="0" borderId="0" pivotButton="0" quotePrefix="0" xfId="0"/>
    <xf numFmtId="9" fontId="50" fillId="0" borderId="26" pivotButton="0" quotePrefix="0" xfId="0"/>
    <xf numFmtId="9" fontId="49" fillId="5" borderId="0" pivotButton="0" quotePrefix="0" xfId="0"/>
    <xf numFmtId="170" fontId="38" fillId="0" borderId="0" pivotButton="0" quotePrefix="0" xfId="1"/>
    <xf numFmtId="0" fontId="14" fillId="0" borderId="22" pivotButton="0" quotePrefix="0" xfId="0"/>
    <xf numFmtId="170" fontId="38" fillId="0" borderId="22" pivotButton="0" quotePrefix="0" xfId="1"/>
    <xf numFmtId="170" fontId="38" fillId="0" borderId="51" pivotButton="0" quotePrefix="0" xfId="1"/>
    <xf numFmtId="170" fontId="14" fillId="0" borderId="22" pivotButton="0" quotePrefix="0" xfId="0"/>
    <xf numFmtId="170" fontId="45" fillId="0" borderId="0" pivotButton="0" quotePrefix="0" xfId="1"/>
    <xf numFmtId="170" fontId="45" fillId="0" borderId="26" pivotButton="0" quotePrefix="0" xfId="1"/>
    <xf numFmtId="170" fontId="45" fillId="0" borderId="22" pivotButton="0" quotePrefix="0" xfId="1"/>
    <xf numFmtId="170" fontId="45" fillId="0" borderId="51" pivotButton="0" quotePrefix="0" xfId="1"/>
    <xf numFmtId="170" fontId="42" fillId="0" borderId="22" pivotButton="0" quotePrefix="0" xfId="0"/>
    <xf numFmtId="170" fontId="42" fillId="0" borderId="0" pivotButton="0" quotePrefix="0" xfId="0"/>
    <xf numFmtId="0" fontId="36" fillId="5" borderId="0" applyAlignment="1" pivotButton="0" quotePrefix="0" xfId="0">
      <alignment horizontal="right"/>
    </xf>
    <xf numFmtId="14" fontId="36" fillId="5" borderId="0" applyAlignment="1" pivotButton="0" quotePrefix="0" xfId="0">
      <alignment horizontal="right"/>
    </xf>
    <xf numFmtId="164" fontId="5" fillId="2" borderId="2" pivotButton="0" quotePrefix="0" xfId="0"/>
    <xf numFmtId="166" fontId="0" fillId="0" borderId="2" applyAlignment="1" pivotButton="0" quotePrefix="0" xfId="1">
      <alignment horizontal="right"/>
    </xf>
    <xf numFmtId="0" fontId="0" fillId="0" borderId="2" applyAlignment="1" pivotButton="0" quotePrefix="0" xfId="0">
      <alignment horizontal="right"/>
    </xf>
    <xf numFmtId="0" fontId="14" fillId="11" borderId="2" applyAlignment="1" pivotButton="0" quotePrefix="0" xfId="0">
      <alignment horizontal="right"/>
    </xf>
    <xf numFmtId="0" fontId="14" fillId="0" borderId="2" applyAlignment="1" pivotButton="0" quotePrefix="0" xfId="0">
      <alignment horizontal="right"/>
    </xf>
    <xf numFmtId="10" fontId="0" fillId="0" borderId="2" applyAlignment="1" pivotButton="0" quotePrefix="0" xfId="2">
      <alignment horizontal="right"/>
    </xf>
    <xf numFmtId="10" fontId="14" fillId="0" borderId="2" applyAlignment="1" pivotButton="0" quotePrefix="0" xfId="0">
      <alignment horizontal="right"/>
    </xf>
    <xf numFmtId="39" fontId="0" fillId="0" borderId="2" applyAlignment="1" pivotButton="0" quotePrefix="0" xfId="1">
      <alignment horizontal="right"/>
    </xf>
    <xf numFmtId="166" fontId="0" fillId="3" borderId="0" applyAlignment="1" pivotButton="0" quotePrefix="0" xfId="1">
      <alignment horizontal="right"/>
    </xf>
    <xf numFmtId="0" fontId="14" fillId="3" borderId="0" applyAlignment="1" pivotButton="0" quotePrefix="0" xfId="0">
      <alignment horizontal="right"/>
    </xf>
    <xf numFmtId="10" fontId="0" fillId="3" borderId="0" applyAlignment="1" pivotButton="0" quotePrefix="0" xfId="2">
      <alignment horizontal="right"/>
    </xf>
    <xf numFmtId="10" fontId="14" fillId="3" borderId="0" applyAlignment="1" pivotButton="0" quotePrefix="0" xfId="0">
      <alignment horizontal="right"/>
    </xf>
    <xf numFmtId="39" fontId="0" fillId="3" borderId="0" applyAlignment="1" pivotButton="0" quotePrefix="0" xfId="1">
      <alignment horizontal="right"/>
    </xf>
    <xf numFmtId="0" fontId="0" fillId="3" borderId="0" applyAlignment="1" pivotButton="0" quotePrefix="0" xfId="0">
      <alignment horizontal="right"/>
    </xf>
    <xf numFmtId="0" fontId="54" fillId="0" borderId="0" pivotButton="0" quotePrefix="0" xfId="0"/>
    <xf numFmtId="37" fontId="47" fillId="0" borderId="0" pivotButton="0" quotePrefix="0" xfId="1"/>
    <xf numFmtId="37" fontId="47" fillId="0" borderId="26" pivotButton="0" quotePrefix="0" xfId="1"/>
    <xf numFmtId="37" fontId="47" fillId="0" borderId="0" pivotButton="0" quotePrefix="0" xfId="1"/>
    <xf numFmtId="37" fontId="47" fillId="0" borderId="17" pivotButton="0" quotePrefix="0" xfId="1"/>
    <xf numFmtId="10" fontId="0" fillId="0" borderId="0" applyAlignment="1" pivotButton="0" quotePrefix="0" xfId="1">
      <alignment horizontal="right"/>
    </xf>
    <xf numFmtId="10" fontId="0" fillId="0" borderId="2" applyAlignment="1" pivotButton="0" quotePrefix="0" xfId="1">
      <alignment horizontal="right"/>
    </xf>
    <xf numFmtId="10" fontId="0" fillId="3" borderId="0" applyAlignment="1" pivotButton="0" quotePrefix="0" xfId="1">
      <alignment horizontal="right"/>
    </xf>
    <xf numFmtId="165" fontId="7" fillId="2" borderId="0" applyAlignment="1" pivotButton="0" quotePrefix="0" xfId="0">
      <alignment horizontal="right"/>
    </xf>
    <xf numFmtId="164" fontId="7" fillId="2" borderId="0" applyAlignment="1" pivotButton="0" quotePrefix="0" xfId="0">
      <alignment horizontal="right"/>
    </xf>
    <xf numFmtId="164" fontId="7" fillId="2" borderId="2" applyAlignment="1" pivotButton="0" quotePrefix="0" xfId="0">
      <alignment horizontal="right"/>
    </xf>
    <xf numFmtId="166" fontId="0" fillId="0" borderId="0" applyAlignment="1" pivotButton="0" quotePrefix="0" xfId="1">
      <alignment horizontal="right"/>
    </xf>
    <xf numFmtId="0" fontId="55" fillId="0" borderId="0" pivotButton="0" quotePrefix="0" xfId="5"/>
    <xf numFmtId="0" fontId="30" fillId="0" borderId="0" pivotButton="0" quotePrefix="0" xfId="5"/>
    <xf numFmtId="0" fontId="30" fillId="5" borderId="0" pivotButton="0" quotePrefix="0" xfId="5"/>
    <xf numFmtId="0" fontId="55" fillId="0" borderId="0" applyAlignment="1" pivotButton="0" quotePrefix="0" xfId="5">
      <alignment vertical="center"/>
    </xf>
    <xf numFmtId="0" fontId="14" fillId="0" borderId="8" pivotButton="0" quotePrefix="0" xfId="0"/>
    <xf numFmtId="170" fontId="38" fillId="0" borderId="8" pivotButton="0" quotePrefix="0" xfId="1"/>
    <xf numFmtId="170" fontId="38" fillId="0" borderId="23" pivotButton="0" quotePrefix="0" xfId="1"/>
    <xf numFmtId="170" fontId="14" fillId="0" borderId="8" pivotButton="0" quotePrefix="0" xfId="0"/>
    <xf numFmtId="170" fontId="43" fillId="0" borderId="8" pivotButton="0" quotePrefix="0" xfId="0"/>
    <xf numFmtId="0" fontId="30" fillId="0" borderId="0" applyAlignment="1" pivotButton="0" quotePrefix="0" xfId="5">
      <alignment vertical="center"/>
    </xf>
    <xf numFmtId="0" fontId="56" fillId="2" borderId="0" applyAlignment="1" pivotButton="0" quotePrefix="0" xfId="5">
      <alignment horizontal="center" vertical="center"/>
    </xf>
    <xf numFmtId="0" fontId="57" fillId="2" borderId="21" applyAlignment="1" pivotButton="0" quotePrefix="0" xfId="5">
      <alignment horizontal="center" vertical="center" wrapText="1"/>
    </xf>
    <xf numFmtId="0" fontId="57" fillId="2" borderId="56" applyAlignment="1" pivotButton="0" quotePrefix="0" xfId="5">
      <alignment horizontal="center" vertical="center" wrapText="1"/>
    </xf>
    <xf numFmtId="0" fontId="57" fillId="2" borderId="0" applyAlignment="1" pivotButton="0" quotePrefix="0" xfId="5">
      <alignment horizontal="center" vertical="center" wrapText="1"/>
    </xf>
    <xf numFmtId="0" fontId="57" fillId="2" borderId="26" applyAlignment="1" pivotButton="0" quotePrefix="0" xfId="5">
      <alignment horizontal="center" vertical="center" wrapText="1"/>
    </xf>
    <xf numFmtId="0" fontId="58" fillId="5" borderId="21" pivotButton="0" quotePrefix="0" xfId="5"/>
    <xf numFmtId="0" fontId="58" fillId="5" borderId="56" pivotButton="0" quotePrefix="0" xfId="5"/>
    <xf numFmtId="0" fontId="58" fillId="5" borderId="0" pivotButton="0" quotePrefix="0" xfId="5"/>
    <xf numFmtId="0" fontId="58" fillId="5" borderId="26" pivotButton="0" quotePrefix="0" xfId="5"/>
    <xf numFmtId="2" fontId="30" fillId="5" borderId="0" applyAlignment="1" pivotButton="0" quotePrefix="0" xfId="2">
      <alignment horizontal="center" vertical="center"/>
    </xf>
    <xf numFmtId="10" fontId="8" fillId="3" borderId="24" pivotButton="0" quotePrefix="0" xfId="2"/>
    <xf numFmtId="43" fontId="42" fillId="0" borderId="0" pivotButton="0" quotePrefix="0" xfId="0"/>
    <xf numFmtId="0" fontId="32" fillId="0" borderId="0" pivotButton="0" quotePrefix="0" xfId="0"/>
    <xf numFmtId="164" fontId="17" fillId="0" borderId="38" applyAlignment="1" pivotButton="0" quotePrefix="0" xfId="0">
      <alignment horizontal="center"/>
    </xf>
    <xf numFmtId="2" fontId="4" fillId="0" borderId="0" applyAlignment="1" pivotButton="0" quotePrefix="0" xfId="0">
      <alignment horizontal="center"/>
    </xf>
    <xf numFmtId="0" fontId="11" fillId="0" borderId="0" pivotButton="0" quotePrefix="0" xfId="5"/>
    <xf numFmtId="0" fontId="5" fillId="4" borderId="0" applyAlignment="1" pivotButton="0" quotePrefix="0" xfId="5">
      <alignment vertical="center" wrapText="1"/>
    </xf>
    <xf numFmtId="0" fontId="5" fillId="2" borderId="0" pivotButton="0" quotePrefix="0" xfId="5"/>
    <xf numFmtId="0" fontId="5" fillId="2" borderId="0" applyAlignment="1" pivotButton="0" quotePrefix="0" xfId="5">
      <alignment horizontal="center"/>
    </xf>
    <xf numFmtId="0" fontId="5" fillId="0" borderId="0" pivotButton="0" quotePrefix="0" xfId="5"/>
    <xf numFmtId="0" fontId="5" fillId="0" borderId="55" pivotButton="0" quotePrefix="0" xfId="5"/>
    <xf numFmtId="0" fontId="6" fillId="0" borderId="55" pivotButton="0" quotePrefix="0" xfId="5"/>
    <xf numFmtId="0" fontId="5" fillId="5" borderId="54" pivotButton="0" quotePrefix="0" xfId="5"/>
    <xf numFmtId="0" fontId="5" fillId="0" borderId="54" pivotButton="0" quotePrefix="0" xfId="5"/>
    <xf numFmtId="0" fontId="11" fillId="0" borderId="0" applyAlignment="1" pivotButton="0" quotePrefix="0" xfId="5">
      <alignment vertical="center"/>
    </xf>
    <xf numFmtId="0" fontId="8" fillId="0" borderId="0" applyAlignment="1" pivotButton="0" quotePrefix="0" xfId="5">
      <alignment vertical="center"/>
    </xf>
    <xf numFmtId="0" fontId="33" fillId="0" borderId="0" applyAlignment="1" pivotButton="0" quotePrefix="0" xfId="5">
      <alignment vertical="center"/>
    </xf>
    <xf numFmtId="168" fontId="11" fillId="0" borderId="0" applyAlignment="1" pivotButton="0" quotePrefix="0" xfId="5">
      <alignment vertical="center"/>
    </xf>
    <xf numFmtId="4" fontId="11" fillId="0" borderId="0" applyAlignment="1" pivotButton="0" quotePrefix="0" xfId="5">
      <alignment vertical="center"/>
    </xf>
    <xf numFmtId="4" fontId="11" fillId="0" borderId="0" applyAlignment="1" pivotButton="0" quotePrefix="0" xfId="5">
      <alignment horizontal="center" vertical="center"/>
    </xf>
    <xf numFmtId="2" fontId="11" fillId="0" borderId="0" applyAlignment="1" pivotButton="0" quotePrefix="0" xfId="2">
      <alignment horizontal="center" vertical="center"/>
    </xf>
    <xf numFmtId="2" fontId="11" fillId="0" borderId="0" applyAlignment="1" pivotButton="0" quotePrefix="0" xfId="5">
      <alignment vertical="center"/>
    </xf>
    <xf numFmtId="3" fontId="11" fillId="0" borderId="0" applyAlignment="1" pivotButton="0" quotePrefix="0" xfId="5">
      <alignment vertical="center"/>
    </xf>
    <xf numFmtId="10" fontId="11" fillId="0" borderId="0" applyAlignment="1" pivotButton="0" quotePrefix="0" xfId="5">
      <alignment vertical="center"/>
    </xf>
    <xf numFmtId="173" fontId="33" fillId="0" borderId="0" applyAlignment="1" pivotButton="0" quotePrefix="0" xfId="5">
      <alignment vertical="center"/>
    </xf>
    <xf numFmtId="167" fontId="11" fillId="0" borderId="0" applyAlignment="1" pivotButton="0" quotePrefix="0" xfId="5">
      <alignment vertical="center"/>
    </xf>
    <xf numFmtId="0" fontId="8" fillId="0" borderId="0" pivotButton="0" quotePrefix="0" xfId="5"/>
    <xf numFmtId="0" fontId="33" fillId="0" borderId="0" pivotButton="0" quotePrefix="0" xfId="5"/>
    <xf numFmtId="168" fontId="11" fillId="0" borderId="0" pivotButton="0" quotePrefix="0" xfId="5"/>
    <xf numFmtId="4" fontId="11" fillId="0" borderId="0" pivotButton="0" quotePrefix="0" xfId="5"/>
    <xf numFmtId="4" fontId="11" fillId="0" borderId="0" applyAlignment="1" pivotButton="0" quotePrefix="0" xfId="5">
      <alignment horizontal="center"/>
    </xf>
    <xf numFmtId="9" fontId="11" fillId="0" borderId="0" pivotButton="0" quotePrefix="0" xfId="2"/>
    <xf numFmtId="3" fontId="11" fillId="0" borderId="0" pivotButton="0" quotePrefix="0" xfId="5"/>
    <xf numFmtId="2" fontId="11" fillId="0" borderId="0" pivotButton="0" quotePrefix="0" xfId="5"/>
    <xf numFmtId="10" fontId="11" fillId="0" borderId="0" pivotButton="0" quotePrefix="0" xfId="5"/>
    <xf numFmtId="173" fontId="33" fillId="0" borderId="0" pivotButton="0" quotePrefix="0" xfId="5"/>
    <xf numFmtId="167" fontId="11" fillId="0" borderId="0" pivotButton="0" quotePrefix="0" xfId="5"/>
    <xf numFmtId="0" fontId="8" fillId="0" borderId="0" applyAlignment="1" pivotButton="0" quotePrefix="0" xfId="5">
      <alignment vertical="center" wrapText="1"/>
    </xf>
    <xf numFmtId="2" fontId="11" fillId="0" borderId="0" pivotButton="0" quotePrefix="0" xfId="2"/>
    <xf numFmtId="9" fontId="11" fillId="0" borderId="0" pivotButton="0" quotePrefix="0" xfId="2"/>
    <xf numFmtId="0" fontId="11" fillId="5" borderId="0" pivotButton="0" quotePrefix="0" xfId="5"/>
    <xf numFmtId="9" fontId="11" fillId="0" borderId="0" pivotButton="0" quotePrefix="0" xfId="5"/>
    <xf numFmtId="0" fontId="6" fillId="2" borderId="0" pivotButton="0" quotePrefix="0" xfId="5"/>
    <xf numFmtId="0" fontId="6" fillId="0" borderId="0" pivotButton="0" quotePrefix="0" xfId="5"/>
    <xf numFmtId="0" fontId="5" fillId="2" borderId="0" applyAlignment="1" pivotButton="0" quotePrefix="0" xfId="5">
      <alignment horizontal="left"/>
    </xf>
    <xf numFmtId="0" fontId="5" fillId="5" borderId="0" applyAlignment="1" pivotButton="0" quotePrefix="0" xfId="5">
      <alignment horizontal="left"/>
    </xf>
    <xf numFmtId="0" fontId="6" fillId="5" borderId="0" pivotButton="0" quotePrefix="0" xfId="5"/>
    <xf numFmtId="3" fontId="11" fillId="0" borderId="0" applyAlignment="1" pivotButton="0" quotePrefix="0" xfId="5">
      <alignment horizontal="center"/>
    </xf>
    <xf numFmtId="173" fontId="11" fillId="0" borderId="0" applyAlignment="1" pivotButton="0" quotePrefix="0" xfId="5">
      <alignment horizontal="center"/>
    </xf>
    <xf numFmtId="0" fontId="11" fillId="0" borderId="0" applyAlignment="1" pivotButton="0" quotePrefix="0" xfId="5">
      <alignment horizontal="center"/>
    </xf>
    <xf numFmtId="0" fontId="5" fillId="2" borderId="0" applyAlignment="1" pivotButton="0" quotePrefix="0" xfId="5">
      <alignment horizontal="center" vertical="center"/>
    </xf>
    <xf numFmtId="0" fontId="11" fillId="5" borderId="0" applyAlignment="1" pivotButton="0" quotePrefix="0" xfId="5">
      <alignment horizontal="center"/>
    </xf>
    <xf numFmtId="0" fontId="3" fillId="0" borderId="0" pivotButton="0" quotePrefix="0" xfId="0"/>
    <xf numFmtId="167" fontId="11" fillId="0" borderId="0" applyAlignment="1" pivotButton="0" quotePrefix="0" xfId="5">
      <alignment horizontal="center"/>
    </xf>
    <xf numFmtId="166" fontId="3" fillId="0" borderId="0" applyAlignment="1" pivotButton="0" quotePrefix="0" xfId="1">
      <alignment horizontal="center"/>
    </xf>
    <xf numFmtId="10" fontId="33" fillId="3" borderId="0" applyAlignment="1" pivotButton="0" quotePrefix="0" xfId="5">
      <alignment horizontal="center"/>
    </xf>
    <xf numFmtId="10" fontId="11" fillId="0" borderId="0" applyAlignment="1" pivotButton="0" quotePrefix="0" xfId="5">
      <alignment horizontal="center"/>
    </xf>
    <xf numFmtId="0" fontId="6" fillId="2" borderId="0" applyAlignment="1" pivotButton="0" quotePrefix="0" xfId="5">
      <alignment horizontal="left"/>
    </xf>
    <xf numFmtId="0" fontId="6" fillId="5" borderId="0" applyAlignment="1" pivotButton="0" quotePrefix="0" xfId="5">
      <alignment horizontal="left"/>
    </xf>
    <xf numFmtId="1" fontId="11" fillId="4" borderId="8" applyAlignment="1" pivotButton="0" quotePrefix="0" xfId="8">
      <alignment horizontal="left" vertical="center"/>
    </xf>
    <xf numFmtId="0" fontId="11" fillId="0" borderId="8" pivotButton="0" quotePrefix="0" xfId="5"/>
    <xf numFmtId="37" fontId="29" fillId="0" borderId="18" applyAlignment="1" pivotButton="0" quotePrefix="0" xfId="8">
      <alignment horizontal="center"/>
    </xf>
    <xf numFmtId="37" fontId="33" fillId="3" borderId="57" applyAlignment="1" pivotButton="0" quotePrefix="0" xfId="8">
      <alignment horizontal="center"/>
    </xf>
    <xf numFmtId="1" fontId="11" fillId="4" borderId="0" applyAlignment="1" pivotButton="0" quotePrefix="0" xfId="8">
      <alignment horizontal="left" vertical="center"/>
    </xf>
    <xf numFmtId="37" fontId="29" fillId="0" borderId="21" applyAlignment="1" pivotButton="0" quotePrefix="0" xfId="8">
      <alignment horizontal="center"/>
    </xf>
    <xf numFmtId="37" fontId="33" fillId="3" borderId="56" applyAlignment="1" pivotButton="0" quotePrefix="0" xfId="8">
      <alignment horizontal="center"/>
    </xf>
    <xf numFmtId="37" fontId="33" fillId="3" borderId="0" applyAlignment="1" pivotButton="0" quotePrefix="0" xfId="5">
      <alignment horizontal="center"/>
    </xf>
    <xf numFmtId="37" fontId="33" fillId="3" borderId="56" applyAlignment="1" pivotButton="0" quotePrefix="0" xfId="8">
      <alignment horizontal="center" wrapText="1"/>
    </xf>
    <xf numFmtId="1" fontId="3" fillId="4" borderId="0" applyAlignment="1" pivotButton="0" quotePrefix="0" xfId="8">
      <alignment horizontal="left"/>
    </xf>
    <xf numFmtId="1" fontId="3" fillId="0" borderId="0" applyAlignment="1" pivotButton="0" quotePrefix="0" xfId="8">
      <alignment horizontal="left"/>
    </xf>
    <xf numFmtId="37" fontId="8" fillId="0" borderId="56" applyAlignment="1" pivotButton="0" quotePrefix="0" xfId="8">
      <alignment horizontal="center" wrapText="1"/>
    </xf>
    <xf numFmtId="37" fontId="8" fillId="0" borderId="26" applyAlignment="1" pivotButton="0" quotePrefix="0" xfId="8">
      <alignment horizontal="center" wrapText="1"/>
    </xf>
    <xf numFmtId="39" fontId="33" fillId="3" borderId="56" applyAlignment="1" pivotButton="0" quotePrefix="0" xfId="8">
      <alignment horizontal="center" wrapText="1"/>
    </xf>
    <xf numFmtId="1" fontId="29" fillId="0" borderId="21" applyAlignment="1" pivotButton="0" quotePrefix="0" xfId="8">
      <alignment horizontal="center" wrapText="1"/>
    </xf>
    <xf numFmtId="1" fontId="29" fillId="0" borderId="56" applyAlignment="1" pivotButton="0" quotePrefix="0" xfId="8">
      <alignment horizontal="center" wrapText="1"/>
    </xf>
    <xf numFmtId="1" fontId="29" fillId="0" borderId="26" applyAlignment="1" pivotButton="0" quotePrefix="0" xfId="8">
      <alignment horizontal="center" wrapText="1"/>
    </xf>
    <xf numFmtId="0" fontId="11" fillId="2" borderId="21" pivotButton="0" quotePrefix="0" xfId="5"/>
    <xf numFmtId="0" fontId="11" fillId="2" borderId="56" pivotButton="0" quotePrefix="0" xfId="5"/>
    <xf numFmtId="0" fontId="11" fillId="2" borderId="26" pivotButton="0" quotePrefix="0" xfId="5"/>
    <xf numFmtId="0" fontId="11" fillId="2" borderId="0" applyAlignment="1" pivotButton="0" quotePrefix="0" xfId="5">
      <alignment horizontal="center"/>
    </xf>
    <xf numFmtId="0" fontId="11" fillId="5" borderId="21" pivotButton="0" quotePrefix="0" xfId="5"/>
    <xf numFmtId="0" fontId="11" fillId="5" borderId="56" pivotButton="0" quotePrefix="0" xfId="5"/>
    <xf numFmtId="0" fontId="11" fillId="5" borderId="26" pivotButton="0" quotePrefix="0" xfId="5"/>
    <xf numFmtId="0" fontId="11" fillId="0" borderId="56" pivotButton="0" quotePrefix="0" xfId="5"/>
    <xf numFmtId="37" fontId="29" fillId="0" borderId="56" applyAlignment="1" pivotButton="0" quotePrefix="0" xfId="8">
      <alignment horizontal="center"/>
    </xf>
    <xf numFmtId="0" fontId="37" fillId="0" borderId="0" applyAlignment="1" pivotButton="0" quotePrefix="0" xfId="0">
      <alignment horizontal="left" indent="1"/>
    </xf>
    <xf numFmtId="170" fontId="32" fillId="0" borderId="0" pivotButton="0" quotePrefix="0" xfId="1"/>
    <xf numFmtId="0" fontId="37" fillId="0" borderId="22" pivotButton="0" quotePrefix="0" xfId="0"/>
    <xf numFmtId="37" fontId="9" fillId="4" borderId="0" applyAlignment="1" pivotButton="0" quotePrefix="0" xfId="0">
      <alignment horizontal="right"/>
    </xf>
    <xf numFmtId="0" fontId="3" fillId="0" borderId="9" pivotButton="0" quotePrefix="0" xfId="10"/>
    <xf numFmtId="0" fontId="3" fillId="0" borderId="9" applyAlignment="1" pivotButton="0" quotePrefix="0" xfId="10">
      <alignment horizontal="right"/>
    </xf>
    <xf numFmtId="14" fontId="5" fillId="2" borderId="0" applyAlignment="1" pivotButton="0" quotePrefix="0" xfId="0">
      <alignment horizontal="right"/>
    </xf>
    <xf numFmtId="39" fontId="8" fillId="0" borderId="0" applyAlignment="1" pivotButton="0" quotePrefix="0" xfId="0">
      <alignment horizontal="right"/>
    </xf>
    <xf numFmtId="170" fontId="14" fillId="0" borderId="58" pivotButton="0" quotePrefix="0" xfId="0"/>
    <xf numFmtId="0" fontId="5" fillId="2" borderId="59" applyAlignment="1" pivotButton="0" quotePrefix="0" xfId="5">
      <alignment horizontal="center"/>
    </xf>
    <xf numFmtId="0" fontId="5" fillId="5" borderId="61" pivotButton="0" quotePrefix="0" xfId="5"/>
    <xf numFmtId="167" fontId="30" fillId="0" borderId="0" applyAlignment="1" pivotButton="0" quotePrefix="0" xfId="5">
      <alignment horizontal="center" vertical="center"/>
    </xf>
    <xf numFmtId="167" fontId="30" fillId="0" borderId="59" applyAlignment="1" pivotButton="0" quotePrefix="0" xfId="5">
      <alignment horizontal="center" vertical="center"/>
    </xf>
    <xf numFmtId="0" fontId="30" fillId="0" borderId="59" pivotButton="0" quotePrefix="0" xfId="5"/>
    <xf numFmtId="167" fontId="11" fillId="0" borderId="0" applyAlignment="1" pivotButton="0" quotePrefix="0" xfId="5">
      <alignment horizontal="center" vertical="center"/>
    </xf>
    <xf numFmtId="167" fontId="11" fillId="0" borderId="59" applyAlignment="1" pivotButton="0" quotePrefix="0" xfId="5">
      <alignment horizontal="center" vertical="center"/>
    </xf>
    <xf numFmtId="167" fontId="30" fillId="5" borderId="0" applyAlignment="1" pivotButton="0" quotePrefix="0" xfId="5">
      <alignment horizontal="center" vertical="center"/>
    </xf>
    <xf numFmtId="167" fontId="30" fillId="5" borderId="59" applyAlignment="1" pivotButton="0" quotePrefix="0" xfId="5">
      <alignment horizontal="center" vertical="center"/>
    </xf>
    <xf numFmtId="167" fontId="11" fillId="5" borderId="0" applyAlignment="1" pivotButton="0" quotePrefix="0" xfId="5">
      <alignment horizontal="center" vertical="center"/>
    </xf>
    <xf numFmtId="167" fontId="11" fillId="5" borderId="59" applyAlignment="1" pivotButton="0" quotePrefix="0" xfId="5">
      <alignment horizontal="center" vertical="center"/>
    </xf>
    <xf numFmtId="0" fontId="5" fillId="2" borderId="62" applyAlignment="1" pivotButton="0" quotePrefix="0" xfId="5">
      <alignment horizontal="center"/>
    </xf>
    <xf numFmtId="0" fontId="5" fillId="5" borderId="64" pivotButton="0" quotePrefix="0" xfId="5"/>
    <xf numFmtId="167" fontId="30" fillId="4" borderId="62" applyAlignment="1" pivotButton="0" quotePrefix="0" xfId="5">
      <alignment horizontal="center" vertical="center"/>
    </xf>
    <xf numFmtId="167" fontId="30" fillId="4" borderId="59" applyAlignment="1" pivotButton="0" quotePrefix="0" xfId="5">
      <alignment horizontal="center" vertical="center"/>
    </xf>
    <xf numFmtId="168" fontId="11" fillId="4" borderId="62" pivotButton="0" quotePrefix="0" xfId="5"/>
    <xf numFmtId="168" fontId="11" fillId="4" borderId="59" pivotButton="0" quotePrefix="0" xfId="5"/>
    <xf numFmtId="167" fontId="11" fillId="0" borderId="62" applyAlignment="1" pivotButton="0" quotePrefix="0" xfId="5">
      <alignment horizontal="center" vertical="center"/>
    </xf>
    <xf numFmtId="167" fontId="30" fillId="5" borderId="62" applyAlignment="1" pivotButton="0" quotePrefix="0" xfId="5">
      <alignment horizontal="center" vertical="center"/>
    </xf>
    <xf numFmtId="167" fontId="11" fillId="5" borderId="62" applyAlignment="1" pivotButton="0" quotePrefix="0" xfId="5">
      <alignment horizontal="center" vertical="center"/>
    </xf>
    <xf numFmtId="167" fontId="30" fillId="0" borderId="62" applyAlignment="1" pivotButton="0" quotePrefix="0" xfId="5">
      <alignment horizontal="center" vertical="center"/>
    </xf>
    <xf numFmtId="168" fontId="11" fillId="0" borderId="62" pivotButton="0" quotePrefix="0" xfId="5"/>
    <xf numFmtId="168" fontId="11" fillId="0" borderId="59" pivotButton="0" quotePrefix="0" xfId="5"/>
    <xf numFmtId="167" fontId="11" fillId="0" borderId="62" applyAlignment="1" pivotButton="0" quotePrefix="0" xfId="2">
      <alignment horizontal="center" vertical="center"/>
    </xf>
    <xf numFmtId="9" fontId="30" fillId="5" borderId="62" applyAlignment="1" pivotButton="0" quotePrefix="0" xfId="2">
      <alignment horizontal="center" vertical="center"/>
    </xf>
    <xf numFmtId="9" fontId="30" fillId="5" borderId="59" applyAlignment="1" pivotButton="0" quotePrefix="0" xfId="2">
      <alignment horizontal="center" vertical="center"/>
    </xf>
    <xf numFmtId="0" fontId="5" fillId="2" borderId="59" pivotButton="0" quotePrefix="0" xfId="5"/>
    <xf numFmtId="2" fontId="11" fillId="0" borderId="62" applyAlignment="1" pivotButton="0" quotePrefix="0" xfId="5">
      <alignment horizontal="center" vertical="center"/>
    </xf>
    <xf numFmtId="2" fontId="11" fillId="0" borderId="59" applyAlignment="1" pivotButton="0" quotePrefix="0" xfId="5">
      <alignment horizontal="center" vertical="center"/>
    </xf>
    <xf numFmtId="2" fontId="30" fillId="5" borderId="62" applyAlignment="1" pivotButton="0" quotePrefix="0" xfId="2">
      <alignment horizontal="center" vertical="center"/>
    </xf>
    <xf numFmtId="2" fontId="30" fillId="5" borderId="59" applyAlignment="1" pivotButton="0" quotePrefix="0" xfId="2">
      <alignment horizontal="center" vertical="center"/>
    </xf>
    <xf numFmtId="2" fontId="11" fillId="5" borderId="59" applyAlignment="1" pivotButton="0" quotePrefix="0" xfId="5">
      <alignment horizontal="center" vertical="center"/>
    </xf>
    <xf numFmtId="0" fontId="5" fillId="2" borderId="62" pivotButton="0" quotePrefix="0" xfId="5"/>
    <xf numFmtId="4" fontId="11" fillId="0" borderId="62" applyAlignment="1" pivotButton="0" quotePrefix="0" xfId="5">
      <alignment horizontal="center" vertical="center"/>
    </xf>
    <xf numFmtId="2" fontId="11" fillId="0" borderId="59" applyAlignment="1" pivotButton="0" quotePrefix="0" xfId="2">
      <alignment horizontal="center" vertical="center"/>
    </xf>
    <xf numFmtId="4" fontId="11" fillId="0" borderId="62" applyAlignment="1" pivotButton="0" quotePrefix="0" xfId="5">
      <alignment horizontal="center"/>
    </xf>
    <xf numFmtId="2" fontId="11" fillId="0" borderId="59" applyAlignment="1" pivotButton="0" quotePrefix="0" xfId="2">
      <alignment horizontal="center"/>
    </xf>
    <xf numFmtId="0" fontId="6" fillId="5" borderId="4" pivotButton="0" quotePrefix="0" xfId="5"/>
    <xf numFmtId="2" fontId="11" fillId="0" borderId="4" applyAlignment="1" pivotButton="0" quotePrefix="0" xfId="5">
      <alignment horizontal="center"/>
    </xf>
    <xf numFmtId="3" fontId="11" fillId="0" borderId="4" applyAlignment="1" pivotButton="0" quotePrefix="0" xfId="5">
      <alignment horizontal="center"/>
    </xf>
    <xf numFmtId="0" fontId="6" fillId="5" borderId="1" pivotButton="0" quotePrefix="0" xfId="5"/>
    <xf numFmtId="2" fontId="11" fillId="0" borderId="1" applyAlignment="1" pivotButton="0" quotePrefix="0" xfId="5">
      <alignment horizontal="center"/>
    </xf>
    <xf numFmtId="0" fontId="6" fillId="5" borderId="65" pivotButton="0" quotePrefix="0" xfId="5"/>
    <xf numFmtId="2" fontId="11" fillId="0" borderId="65" applyAlignment="1" pivotButton="0" quotePrefix="0" xfId="5">
      <alignment horizontal="center"/>
    </xf>
    <xf numFmtId="167" fontId="11" fillId="0" borderId="0" applyAlignment="1" pivotButton="0" quotePrefix="0" xfId="2">
      <alignment horizontal="center"/>
    </xf>
    <xf numFmtId="0" fontId="5" fillId="0" borderId="0" applyAlignment="1" pivotButton="0" quotePrefix="0" xfId="5">
      <alignment horizontal="center"/>
    </xf>
    <xf numFmtId="0" fontId="6" fillId="0" borderId="0" applyAlignment="1" pivotButton="0" quotePrefix="0" xfId="5">
      <alignment horizontal="center"/>
    </xf>
    <xf numFmtId="2" fontId="6" fillId="0" borderId="0" pivotButton="0" quotePrefix="0" xfId="2"/>
    <xf numFmtId="2" fontId="6" fillId="0" borderId="0" pivotButton="0" quotePrefix="0" xfId="5"/>
    <xf numFmtId="173" fontId="6" fillId="0" borderId="0" applyAlignment="1" pivotButton="0" quotePrefix="0" xfId="5">
      <alignment horizontal="center"/>
    </xf>
    <xf numFmtId="2" fontId="30" fillId="0" borderId="62" applyAlignment="1" pivotButton="0" quotePrefix="0" xfId="5">
      <alignment horizontal="center" vertical="center"/>
    </xf>
    <xf numFmtId="2" fontId="30" fillId="0" borderId="59" applyAlignment="1" pivotButton="0" quotePrefix="0" xfId="5">
      <alignment horizontal="center" vertical="center"/>
    </xf>
    <xf numFmtId="4" fontId="30" fillId="0" borderId="62" applyAlignment="1" pivotButton="0" quotePrefix="0" xfId="5">
      <alignment horizontal="center" vertical="center"/>
    </xf>
    <xf numFmtId="2" fontId="30" fillId="0" borderId="59" applyAlignment="1" pivotButton="0" quotePrefix="0" xfId="2">
      <alignment horizontal="center" vertical="center"/>
    </xf>
    <xf numFmtId="2" fontId="30" fillId="0" borderId="0" applyAlignment="1" pivotButton="0" quotePrefix="0" xfId="2">
      <alignment horizontal="center" vertical="center"/>
    </xf>
    <xf numFmtId="4" fontId="30" fillId="0" borderId="0" applyAlignment="1" pivotButton="0" quotePrefix="0" xfId="5">
      <alignment horizontal="center" vertical="center"/>
    </xf>
    <xf numFmtId="2" fontId="11" fillId="5" borderId="0" applyAlignment="1" pivotButton="0" quotePrefix="0" xfId="5">
      <alignment horizontal="center" vertical="center"/>
    </xf>
    <xf numFmtId="0" fontId="8" fillId="0" borderId="55" applyAlignment="1" pivotButton="0" quotePrefix="0" xfId="5">
      <alignment vertical="center"/>
    </xf>
    <xf numFmtId="0" fontId="33" fillId="0" borderId="55" applyAlignment="1" pivotButton="0" quotePrefix="0" xfId="5">
      <alignment vertical="center"/>
    </xf>
    <xf numFmtId="167" fontId="11" fillId="0" borderId="55" applyAlignment="1" pivotButton="0" quotePrefix="0" xfId="5">
      <alignment horizontal="center" vertical="center"/>
    </xf>
    <xf numFmtId="167" fontId="11" fillId="0" borderId="60" applyAlignment="1" pivotButton="0" quotePrefix="0" xfId="5">
      <alignment horizontal="center" vertical="center"/>
    </xf>
    <xf numFmtId="167" fontId="11" fillId="0" borderId="63" applyAlignment="1" pivotButton="0" quotePrefix="0" xfId="5">
      <alignment horizontal="center" vertical="center"/>
    </xf>
    <xf numFmtId="167" fontId="11" fillId="0" borderId="63" applyAlignment="1" pivotButton="0" quotePrefix="0" xfId="2">
      <alignment horizontal="center" vertical="center"/>
    </xf>
    <xf numFmtId="2" fontId="11" fillId="0" borderId="63" applyAlignment="1" pivotButton="0" quotePrefix="0" xfId="5">
      <alignment horizontal="center" vertical="center"/>
    </xf>
    <xf numFmtId="2" fontId="11" fillId="0" borderId="60" applyAlignment="1" pivotButton="0" quotePrefix="0" xfId="5">
      <alignment horizontal="center" vertical="center"/>
    </xf>
    <xf numFmtId="4" fontId="11" fillId="0" borderId="63" applyAlignment="1" pivotButton="0" quotePrefix="0" xfId="5">
      <alignment horizontal="center" vertical="center"/>
    </xf>
    <xf numFmtId="2" fontId="11" fillId="0" borderId="60" applyAlignment="1" pivotButton="0" quotePrefix="0" xfId="2">
      <alignment horizontal="center" vertical="center"/>
    </xf>
    <xf numFmtId="2" fontId="11" fillId="0" borderId="55" applyAlignment="1" pivotButton="0" quotePrefix="0" xfId="2">
      <alignment horizontal="center" vertical="center"/>
    </xf>
    <xf numFmtId="4" fontId="11" fillId="0" borderId="55" applyAlignment="1" pivotButton="0" quotePrefix="0" xfId="5">
      <alignment horizontal="center" vertical="center"/>
    </xf>
    <xf numFmtId="10" fontId="12" fillId="3" borderId="0" applyAlignment="1" pivotButton="0" quotePrefix="0" xfId="1">
      <alignment horizontal="right"/>
    </xf>
    <xf numFmtId="10" fontId="12" fillId="0" borderId="2" applyAlignment="1" pivotButton="0" quotePrefix="0" xfId="1">
      <alignment horizontal="right"/>
    </xf>
    <xf numFmtId="10" fontId="12" fillId="0" borderId="0" applyAlignment="1" pivotButton="0" quotePrefix="0" xfId="1">
      <alignment horizontal="right"/>
    </xf>
    <xf numFmtId="0" fontId="61" fillId="0" borderId="0" pivotButton="0" quotePrefix="0" xfId="0"/>
    <xf numFmtId="0" fontId="62" fillId="0" borderId="0" pivotButton="0" quotePrefix="0" xfId="0"/>
    <xf numFmtId="0" fontId="61" fillId="5" borderId="0" pivotButton="0" quotePrefix="0" xfId="0"/>
    <xf numFmtId="0" fontId="63" fillId="0" borderId="0" applyAlignment="1" pivotButton="0" quotePrefix="0" xfId="0">
      <alignment horizontal="left" indent="2"/>
    </xf>
    <xf numFmtId="0" fontId="61" fillId="2" borderId="0" pivotButton="0" quotePrefix="0" xfId="0"/>
    <xf numFmtId="0" fontId="62" fillId="2" borderId="0" pivotButton="0" quotePrefix="0" xfId="0"/>
    <xf numFmtId="0" fontId="62" fillId="5" borderId="0" pivotButton="0" quotePrefix="0" xfId="0"/>
    <xf numFmtId="0" fontId="64" fillId="0" borderId="0" pivotButton="0" quotePrefix="0" xfId="0"/>
    <xf numFmtId="0" fontId="65" fillId="0" borderId="0" pivotButton="0" quotePrefix="0" xfId="0"/>
    <xf numFmtId="0" fontId="5" fillId="2" borderId="0" applyAlignment="1" pivotButton="0" quotePrefix="0" xfId="0">
      <alignment horizontal="right"/>
    </xf>
    <xf numFmtId="0" fontId="5" fillId="2" borderId="5" applyAlignment="1" pivotButton="0" quotePrefix="0" xfId="0">
      <alignment horizontal="right"/>
    </xf>
    <xf numFmtId="165" fontId="5" fillId="2" borderId="5" applyAlignment="1" pivotButton="0" quotePrefix="0" xfId="0">
      <alignment horizontal="right"/>
    </xf>
    <xf numFmtId="174" fontId="12" fillId="0" borderId="0" applyAlignment="1" pivotButton="0" quotePrefix="0" xfId="0">
      <alignment horizontal="right"/>
    </xf>
    <xf numFmtId="167" fontId="12" fillId="0" borderId="5" applyAlignment="1" pivotButton="0" quotePrefix="0" xfId="2">
      <alignment horizontal="right"/>
    </xf>
    <xf numFmtId="174" fontId="12" fillId="0" borderId="5" applyAlignment="1" pivotButton="0" quotePrefix="0" xfId="2">
      <alignment horizontal="right"/>
    </xf>
    <xf numFmtId="174" fontId="12" fillId="0" borderId="5" applyAlignment="1" pivotButton="0" quotePrefix="0" xfId="1">
      <alignment horizontal="right"/>
    </xf>
    <xf numFmtId="3" fontId="12" fillId="0" borderId="5" applyAlignment="1" pivotButton="0" quotePrefix="0" xfId="0">
      <alignment horizontal="right"/>
    </xf>
    <xf numFmtId="167" fontId="12" fillId="0" borderId="66" applyAlignment="1" pivotButton="0" quotePrefix="0" xfId="2">
      <alignment horizontal="right"/>
    </xf>
    <xf numFmtId="3" fontId="12" fillId="0" borderId="4" applyAlignment="1" pivotButton="0" quotePrefix="0" xfId="2">
      <alignment horizontal="right"/>
    </xf>
    <xf numFmtId="3" fontId="12" fillId="0" borderId="0" applyAlignment="1" pivotButton="0" quotePrefix="0" xfId="2">
      <alignment horizontal="right"/>
    </xf>
    <xf numFmtId="3" fontId="12" fillId="0" borderId="53" applyAlignment="1" pivotButton="0" quotePrefix="0" xfId="0">
      <alignment horizontal="right"/>
    </xf>
    <xf numFmtId="167" fontId="12" fillId="0" borderId="6" applyAlignment="1" pivotButton="0" quotePrefix="0" xfId="2">
      <alignment horizontal="right"/>
    </xf>
    <xf numFmtId="3" fontId="12" fillId="0" borderId="53" applyAlignment="1" pivotButton="0" quotePrefix="0" xfId="2">
      <alignment horizontal="right"/>
    </xf>
    <xf numFmtId="3" fontId="12" fillId="0" borderId="7" applyAlignment="1" pivotButton="0" quotePrefix="0" xfId="2">
      <alignment horizontal="right"/>
    </xf>
    <xf numFmtId="3" fontId="12" fillId="3" borderId="0" applyAlignment="1" pivotButton="0" quotePrefix="0" xfId="0">
      <alignment horizontal="right"/>
    </xf>
    <xf numFmtId="167" fontId="12" fillId="3" borderId="66" applyAlignment="1" pivotButton="0" quotePrefix="0" xfId="2">
      <alignment horizontal="right"/>
    </xf>
    <xf numFmtId="3" fontId="12" fillId="3" borderId="4" applyAlignment="1" pivotButton="0" quotePrefix="0" xfId="2">
      <alignment horizontal="right"/>
    </xf>
    <xf numFmtId="175" fontId="0" fillId="0" borderId="0" pivotButton="0" quotePrefix="0" xfId="0"/>
    <xf numFmtId="0" fontId="18" fillId="5" borderId="67" pivotButton="0" quotePrefix="0" xfId="0"/>
    <xf numFmtId="0" fontId="18" fillId="5" borderId="68" pivotButton="0" quotePrefix="0" xfId="0"/>
    <xf numFmtId="0" fontId="5" fillId="2" borderId="0" applyAlignment="1" pivotButton="0" quotePrefix="0" xfId="0">
      <alignment horizontal="left"/>
    </xf>
    <xf numFmtId="0" fontId="8" fillId="0" borderId="0" applyAlignment="1" pivotButton="0" quotePrefix="0" xfId="0">
      <alignment vertical="center" wrapText="1"/>
    </xf>
    <xf numFmtId="10" fontId="0" fillId="0" borderId="8" pivotButton="0" quotePrefix="0" xfId="0"/>
    <xf numFmtId="176" fontId="6" fillId="0" borderId="0" pivotButton="0" quotePrefix="0" xfId="0"/>
    <xf numFmtId="167" fontId="14" fillId="5" borderId="27" pivotButton="0" quotePrefix="0" xfId="2"/>
    <xf numFmtId="167" fontId="14" fillId="5" borderId="28" pivotButton="0" quotePrefix="0" xfId="2"/>
    <xf numFmtId="167" fontId="13" fillId="5" borderId="29" pivotButton="0" quotePrefix="0" xfId="2"/>
    <xf numFmtId="167" fontId="13" fillId="5" borderId="30" pivotButton="0" quotePrefix="0" xfId="2"/>
    <xf numFmtId="167" fontId="14" fillId="5" borderId="29" pivotButton="0" quotePrefix="0" xfId="2"/>
    <xf numFmtId="167" fontId="14" fillId="5" borderId="30" pivotButton="0" quotePrefix="0" xfId="2"/>
    <xf numFmtId="1" fontId="36" fillId="5" borderId="25" applyAlignment="1" pivotButton="0" quotePrefix="0" xfId="0">
      <alignment horizontal="center"/>
    </xf>
    <xf numFmtId="10" fontId="13" fillId="5" borderId="25" applyAlignment="1" pivotButton="0" quotePrefix="0" xfId="2">
      <alignment horizontal="center"/>
    </xf>
    <xf numFmtId="10" fontId="37" fillId="5" borderId="25" applyAlignment="1" pivotButton="0" quotePrefix="0" xfId="0">
      <alignment horizontal="center"/>
    </xf>
    <xf numFmtId="10" fontId="38" fillId="5" borderId="25" applyAlignment="1" pivotButton="0" quotePrefix="0" xfId="0">
      <alignment horizontal="center"/>
    </xf>
    <xf numFmtId="10" fontId="36" fillId="5" borderId="25" applyAlignment="1" pivotButton="0" quotePrefix="0" xfId="0">
      <alignment horizontal="center"/>
    </xf>
    <xf numFmtId="10" fontId="37" fillId="5" borderId="25" applyAlignment="1" pivotButton="0" quotePrefix="0" xfId="2">
      <alignment horizontal="center"/>
    </xf>
    <xf numFmtId="10" fontId="0" fillId="0" borderId="8" pivotButton="0" quotePrefix="0" xfId="2"/>
    <xf numFmtId="0" fontId="66" fillId="0" borderId="0" applyAlignment="1" pivotButton="0" quotePrefix="0" xfId="0">
      <alignment horizontal="left" vertical="top" indent="1"/>
    </xf>
    <xf numFmtId="0" fontId="9" fillId="0" borderId="0" pivotButton="0" quotePrefix="0" xfId="5"/>
    <xf numFmtId="174" fontId="12" fillId="0" borderId="52" applyAlignment="1" pivotButton="0" quotePrefix="0" xfId="1">
      <alignment horizontal="right"/>
    </xf>
    <xf numFmtId="0" fontId="5" fillId="2" borderId="0" applyAlignment="1" pivotButton="0" quotePrefix="0" xfId="5">
      <alignment horizontal="left" vertical="center"/>
    </xf>
    <xf numFmtId="0" fontId="5" fillId="2" borderId="0" applyAlignment="1" pivotButton="0" quotePrefix="0" xfId="5">
      <alignment vertical="center"/>
    </xf>
    <xf numFmtId="0" fontId="3" fillId="0" borderId="0" applyAlignment="1" pivotButton="0" quotePrefix="0" xfId="0">
      <alignment vertical="center"/>
    </xf>
    <xf numFmtId="0" fontId="5" fillId="2" borderId="0" applyAlignment="1" pivotButton="0" quotePrefix="0" xfId="5">
      <alignment horizontal="center" wrapText="1"/>
    </xf>
    <xf numFmtId="167" fontId="47" fillId="0" borderId="0" pivotButton="0" quotePrefix="0" xfId="0"/>
    <xf numFmtId="167" fontId="47" fillId="0" borderId="26" pivotButton="0" quotePrefix="0" xfId="0"/>
    <xf numFmtId="0" fontId="13" fillId="0" borderId="0" applyAlignment="1" pivotButton="0" quotePrefix="0" xfId="0">
      <alignment horizontal="left" indent="1"/>
    </xf>
    <xf numFmtId="3" fontId="47" fillId="0" borderId="0" pivotButton="0" quotePrefix="0" xfId="0"/>
    <xf numFmtId="3" fontId="47" fillId="0" borderId="26" pivotButton="0" quotePrefix="0" xfId="0"/>
    <xf numFmtId="0" fontId="61" fillId="0" borderId="10" pivotButton="0" quotePrefix="0" xfId="0"/>
    <xf numFmtId="165" fontId="5" fillId="0" borderId="10" pivotButton="0" quotePrefix="0" xfId="0"/>
    <xf numFmtId="166" fontId="0" fillId="0" borderId="10" applyAlignment="1" pivotButton="0" quotePrefix="0" xfId="1">
      <alignment horizontal="right"/>
    </xf>
    <xf numFmtId="0" fontId="0" fillId="0" borderId="10" pivotButton="0" quotePrefix="0" xfId="0"/>
    <xf numFmtId="164" fontId="5" fillId="0" borderId="10" pivotButton="0" quotePrefix="0" xfId="0"/>
    <xf numFmtId="0" fontId="68" fillId="0" borderId="0" pivotButton="0" quotePrefix="0" xfId="3"/>
    <xf numFmtId="49" fontId="60" fillId="0" borderId="0" pivotButton="0" quotePrefix="0" xfId="0"/>
    <xf numFmtId="0" fontId="0" fillId="0" borderId="47" pivotButton="0" quotePrefix="0" xfId="0"/>
    <xf numFmtId="0" fontId="0" fillId="0" borderId="43" pivotButton="0" quotePrefix="0" xfId="0"/>
    <xf numFmtId="0" fontId="0" fillId="0" borderId="13" pivotButton="0" quotePrefix="0" xfId="0"/>
    <xf numFmtId="0" fontId="0" fillId="0" borderId="15" pivotButton="0" quotePrefix="0" xfId="0"/>
    <xf numFmtId="170" fontId="14" fillId="0" borderId="74" pivotButton="0" quotePrefix="0" xfId="0"/>
    <xf numFmtId="170" fontId="14" fillId="0" borderId="75" pivotButton="0" quotePrefix="0" xfId="0"/>
    <xf numFmtId="170" fontId="13" fillId="0" borderId="0" pivotButton="0" quotePrefix="0" xfId="0"/>
    <xf numFmtId="9" fontId="13" fillId="0" borderId="0" pivotButton="0" quotePrefix="0" xfId="0"/>
    <xf numFmtId="10" fontId="0" fillId="0" borderId="14" pivotButton="0" quotePrefix="0" xfId="2"/>
    <xf numFmtId="10" fontId="0" fillId="0" borderId="16" pivotButton="0" quotePrefix="0" xfId="2"/>
    <xf numFmtId="0" fontId="0" fillId="0" borderId="16" pivotButton="0" quotePrefix="0" xfId="0"/>
    <xf numFmtId="0" fontId="0" fillId="0" borderId="12" pivotButton="0" quotePrefix="0" xfId="0"/>
    <xf numFmtId="0" fontId="0" fillId="0" borderId="76" pivotButton="0" quotePrefix="0" xfId="0"/>
    <xf numFmtId="0" fontId="18" fillId="0" borderId="0" pivotButton="0" quotePrefix="0" xfId="0"/>
    <xf numFmtId="2" fontId="0" fillId="0" borderId="0" applyAlignment="1" pivotButton="0" quotePrefix="0" xfId="0">
      <alignment horizontal="center"/>
    </xf>
    <xf numFmtId="2" fontId="0" fillId="0" borderId="15" applyAlignment="1" pivotButton="0" quotePrefix="0" xfId="0">
      <alignment horizontal="center"/>
    </xf>
    <xf numFmtId="10" fontId="0" fillId="0" borderId="15" pivotButton="0" quotePrefix="0" xfId="2"/>
    <xf numFmtId="0" fontId="4" fillId="0" borderId="12" pivotButton="0" quotePrefix="0" xfId="0"/>
    <xf numFmtId="10" fontId="3" fillId="0" borderId="14" pivotButton="0" quotePrefix="0" xfId="2"/>
    <xf numFmtId="10" fontId="3" fillId="0" borderId="16" pivotButton="0" quotePrefix="0" xfId="2"/>
    <xf numFmtId="177" fontId="0" fillId="0" borderId="0" pivotButton="0" quotePrefix="0" xfId="0"/>
    <xf numFmtId="0" fontId="18" fillId="0" borderId="9" pivotButton="0" quotePrefix="0" xfId="0"/>
    <xf numFmtId="0" fontId="0" fillId="0" borderId="0" applyAlignment="1" pivotButton="0" quotePrefix="0" xfId="0">
      <alignment horizontal="left" vertical="top" wrapText="1"/>
    </xf>
    <xf numFmtId="0" fontId="19" fillId="0" borderId="8" pivotButton="0" quotePrefix="0" xfId="0"/>
    <xf numFmtId="9" fontId="14" fillId="11" borderId="0" pivotButton="0" quotePrefix="0" xfId="0"/>
    <xf numFmtId="9" fontId="14" fillId="11" borderId="0" applyAlignment="1" pivotButton="0" quotePrefix="0" xfId="0">
      <alignment horizontal="right"/>
    </xf>
    <xf numFmtId="9" fontId="14" fillId="11" borderId="0" applyAlignment="1" pivotButton="0" quotePrefix="0" xfId="0">
      <alignment horizontal="center"/>
    </xf>
    <xf numFmtId="4" fontId="33" fillId="0" borderId="0" pivotButton="0" quotePrefix="0" xfId="0"/>
    <xf numFmtId="0" fontId="0" fillId="3" borderId="0" pivotButton="0" quotePrefix="0" xfId="0"/>
    <xf numFmtId="0" fontId="33" fillId="3" borderId="0" pivotButton="0" quotePrefix="0" xfId="0"/>
    <xf numFmtId="4" fontId="33" fillId="3" borderId="0" pivotButton="0" quotePrefix="0" xfId="0"/>
    <xf numFmtId="9" fontId="0" fillId="3" borderId="0" pivotButton="0" quotePrefix="0" xfId="2"/>
    <xf numFmtId="0" fontId="0" fillId="0" borderId="0" applyAlignment="1" pivotButton="0" quotePrefix="0" xfId="0">
      <alignment vertical="top"/>
    </xf>
    <xf numFmtId="37" fontId="29" fillId="0" borderId="0" applyAlignment="1" pivotButton="0" quotePrefix="0" xfId="8">
      <alignment horizontal="center"/>
    </xf>
    <xf numFmtId="37" fontId="33" fillId="0" borderId="0" applyAlignment="1" pivotButton="0" quotePrefix="0" xfId="8">
      <alignment horizontal="center" wrapText="1"/>
    </xf>
    <xf numFmtId="37" fontId="33" fillId="0" borderId="0" applyAlignment="1" pivotButton="0" quotePrefix="0" xfId="5">
      <alignment horizontal="center"/>
    </xf>
    <xf numFmtId="37" fontId="29" fillId="0" borderId="17" applyAlignment="1" pivotButton="0" quotePrefix="0" xfId="8">
      <alignment horizontal="center"/>
    </xf>
    <xf numFmtId="0" fontId="11" fillId="2" borderId="46" pivotButton="0" quotePrefix="0" xfId="5"/>
    <xf numFmtId="0" fontId="11" fillId="5" borderId="17" pivotButton="0" quotePrefix="0" xfId="5"/>
    <xf numFmtId="37" fontId="33" fillId="3" borderId="45" applyAlignment="1" pivotButton="0" quotePrefix="0" xfId="8">
      <alignment horizontal="center" wrapText="1"/>
    </xf>
    <xf numFmtId="0" fontId="11" fillId="2" borderId="45" pivotButton="0" quotePrefix="0" xfId="5"/>
    <xf numFmtId="0" fontId="11" fillId="5" borderId="45" pivotButton="0" quotePrefix="0" xfId="5"/>
    <xf numFmtId="0" fontId="57" fillId="2" borderId="17" applyAlignment="1" pivotButton="0" quotePrefix="0" xfId="5">
      <alignment horizontal="center" vertical="center" wrapText="1"/>
    </xf>
    <xf numFmtId="0" fontId="58" fillId="5" borderId="17" pivotButton="0" quotePrefix="0" xfId="5"/>
    <xf numFmtId="37" fontId="33" fillId="3" borderId="17" applyAlignment="1" pivotButton="0" quotePrefix="0" xfId="8">
      <alignment horizontal="center" wrapText="1"/>
    </xf>
    <xf numFmtId="37" fontId="3" fillId="0" borderId="17" applyAlignment="1" pivotButton="0" quotePrefix="0" xfId="8">
      <alignment horizontal="center" wrapText="1"/>
    </xf>
    <xf numFmtId="1" fontId="29" fillId="0" borderId="17" applyAlignment="1" pivotButton="0" quotePrefix="0" xfId="8">
      <alignment horizontal="center" wrapText="1"/>
    </xf>
    <xf numFmtId="0" fontId="11" fillId="2" borderId="17" pivotButton="0" quotePrefix="0" xfId="5"/>
    <xf numFmtId="0" fontId="57" fillId="2" borderId="45" applyAlignment="1" pivotButton="0" quotePrefix="0" xfId="5">
      <alignment horizontal="center" vertical="center" wrapText="1"/>
    </xf>
    <xf numFmtId="0" fontId="58" fillId="5" borderId="45" pivotButton="0" quotePrefix="0" xfId="5"/>
    <xf numFmtId="37" fontId="33" fillId="3" borderId="45" applyAlignment="1" pivotButton="0" quotePrefix="0" xfId="8">
      <alignment horizontal="center"/>
    </xf>
    <xf numFmtId="37" fontId="3" fillId="4" borderId="45" applyAlignment="1" pivotButton="0" quotePrefix="0" xfId="8">
      <alignment horizontal="center" wrapText="1"/>
    </xf>
    <xf numFmtId="1" fontId="29" fillId="0" borderId="45" applyAlignment="1" pivotButton="0" quotePrefix="0" xfId="8">
      <alignment horizontal="center" wrapText="1"/>
    </xf>
    <xf numFmtId="37" fontId="8" fillId="0" borderId="45" applyAlignment="1" pivotButton="0" quotePrefix="0" xfId="8">
      <alignment horizontal="center"/>
    </xf>
    <xf numFmtId="166" fontId="11" fillId="0" borderId="0" applyAlignment="1" pivotButton="0" quotePrefix="0" xfId="5">
      <alignment horizontal="center"/>
    </xf>
    <xf numFmtId="10" fontId="11" fillId="0" borderId="0" applyAlignment="1" pivotButton="0" quotePrefix="0" xfId="2">
      <alignment horizontal="center"/>
    </xf>
    <xf numFmtId="2" fontId="11" fillId="0" borderId="0" applyAlignment="1" pivotButton="0" quotePrefix="0" xfId="2">
      <alignment horizontal="center"/>
    </xf>
    <xf numFmtId="0" fontId="11" fillId="3" borderId="0" pivotButton="0" quotePrefix="0" xfId="0"/>
    <xf numFmtId="0" fontId="0" fillId="0" borderId="8" applyAlignment="1" pivotButton="0" quotePrefix="0" xfId="0">
      <alignment horizontal="center"/>
    </xf>
    <xf numFmtId="9" fontId="0" fillId="0" borderId="0" applyAlignment="1" pivotButton="0" quotePrefix="0" xfId="2">
      <alignment horizontal="center"/>
    </xf>
    <xf numFmtId="9" fontId="0" fillId="3" borderId="0" applyAlignment="1" pivotButton="0" quotePrefix="0" xfId="2">
      <alignment horizontal="center"/>
    </xf>
    <xf numFmtId="170" fontId="21" fillId="0" borderId="0" pivotButton="0" quotePrefix="0" xfId="0"/>
    <xf numFmtId="0" fontId="20" fillId="8" borderId="0" applyAlignment="1" pivotButton="0" quotePrefix="0" xfId="5">
      <alignment horizontal="center" vertical="center"/>
    </xf>
    <xf numFmtId="0" fontId="69" fillId="13" borderId="0" pivotButton="0" quotePrefix="0" xfId="0"/>
    <xf numFmtId="0" fontId="70" fillId="13" borderId="0" pivotButton="0" quotePrefix="0" xfId="0"/>
    <xf numFmtId="0" fontId="70" fillId="14" borderId="0" pivotButton="0" quotePrefix="0" xfId="0"/>
    <xf numFmtId="0" fontId="9" fillId="0" borderId="0" pivotButton="0" quotePrefix="0" xfId="0"/>
    <xf numFmtId="4" fontId="0" fillId="0" borderId="0" pivotButton="0" quotePrefix="0" xfId="0"/>
    <xf numFmtId="4" fontId="9" fillId="0" borderId="0" pivotButton="0" quotePrefix="0" xfId="0"/>
    <xf numFmtId="0" fontId="3" fillId="2" borderId="0" pivotButton="0" quotePrefix="0" xfId="0"/>
    <xf numFmtId="0" fontId="3" fillId="5" borderId="0" pivotButton="0" quotePrefix="0" xfId="0"/>
    <xf numFmtId="0" fontId="3" fillId="0" borderId="10" pivotButton="0" quotePrefix="0" xfId="0"/>
    <xf numFmtId="0" fontId="3" fillId="0" borderId="10" applyAlignment="1" pivotButton="0" quotePrefix="0" xfId="0">
      <alignment horizontal="left" vertical="top" wrapText="1"/>
    </xf>
    <xf numFmtId="0" fontId="9" fillId="0" borderId="0" pivotButton="0" quotePrefix="0" xfId="3"/>
    <xf numFmtId="0" fontId="3" fillId="0" borderId="0" applyAlignment="1" pivotButton="0" quotePrefix="0" xfId="0">
      <alignment vertical="top" wrapText="1"/>
    </xf>
    <xf numFmtId="0" fontId="3" fillId="0" borderId="10" applyAlignment="1" pivotButton="0" quotePrefix="0" xfId="0">
      <alignment vertical="top" wrapText="1"/>
    </xf>
    <xf numFmtId="0" fontId="17" fillId="5" borderId="0" pivotButton="0" quotePrefix="0" xfId="0"/>
    <xf numFmtId="0" fontId="3" fillId="0" borderId="0" applyAlignment="1" pivotButton="0" quotePrefix="0" xfId="0">
      <alignment wrapText="1"/>
    </xf>
    <xf numFmtId="0" fontId="9" fillId="0" borderId="0" applyAlignment="1" pivotButton="0" quotePrefix="0" xfId="0">
      <alignment horizontal="left" indent="1"/>
    </xf>
    <xf numFmtId="0" fontId="3" fillId="0" borderId="8" pivotButton="0" quotePrefix="0" xfId="0"/>
    <xf numFmtId="10" fontId="3" fillId="0" borderId="0" pivotButton="0" quotePrefix="0" xfId="0"/>
    <xf numFmtId="0" fontId="3" fillId="0" borderId="0" applyAlignment="1" pivotButton="0" quotePrefix="0" xfId="0">
      <alignment indent="1"/>
    </xf>
    <xf numFmtId="3" fontId="3" fillId="0" borderId="0" pivotButton="0" quotePrefix="0" xfId="0"/>
    <xf numFmtId="0" fontId="3" fillId="0" borderId="0" applyAlignment="1" pivotButton="0" quotePrefix="0" xfId="0">
      <alignment horizontal="left" indent="1"/>
    </xf>
    <xf numFmtId="3" fontId="12" fillId="0" borderId="0" applyAlignment="1" pivotButton="0" quotePrefix="0" xfId="1">
      <alignment horizontal="right"/>
    </xf>
    <xf numFmtId="0" fontId="5" fillId="0" borderId="0" pivotButton="0" quotePrefix="0" xfId="0"/>
    <xf numFmtId="0" fontId="6" fillId="0" borderId="0" pivotButton="0" quotePrefix="0" xfId="0"/>
    <xf numFmtId="164" fontId="5" fillId="0" borderId="0" pivotButton="0" quotePrefix="0" xfId="0"/>
    <xf numFmtId="0" fontId="4" fillId="0" borderId="0" applyAlignment="1" pivotButton="0" quotePrefix="0" xfId="0">
      <alignment vertical="center"/>
    </xf>
    <xf numFmtId="167" fontId="13" fillId="0" borderId="0" pivotButton="0" quotePrefix="0" xfId="4"/>
    <xf numFmtId="0" fontId="30" fillId="2" borderId="0" pivotButton="0" quotePrefix="0" xfId="5"/>
    <xf numFmtId="1" fontId="15" fillId="0" borderId="0" applyAlignment="1" pivotButton="0" quotePrefix="0" xfId="5">
      <alignment vertical="center"/>
    </xf>
    <xf numFmtId="1" fontId="4" fillId="8" borderId="11" pivotButton="0" quotePrefix="0" xfId="0"/>
    <xf numFmtId="0" fontId="4" fillId="6" borderId="0" pivotButton="0" quotePrefix="0" xfId="0"/>
    <xf numFmtId="0" fontId="71" fillId="0" borderId="0" pivotButton="0" quotePrefix="0" xfId="0"/>
    <xf numFmtId="0" fontId="72" fillId="0" borderId="9" pivotButton="0" quotePrefix="0" xfId="0"/>
    <xf numFmtId="0" fontId="0" fillId="0" borderId="77" pivotButton="0" quotePrefix="0" xfId="0"/>
    <xf numFmtId="0" fontId="4" fillId="0" borderId="12" applyAlignment="1" pivotButton="0" quotePrefix="0" xfId="0">
      <alignment horizontal="center"/>
    </xf>
    <xf numFmtId="1" fontId="0" fillId="0" borderId="15" pivotButton="0" quotePrefix="0" xfId="2"/>
    <xf numFmtId="1" fontId="3" fillId="0" borderId="14" pivotButton="0" quotePrefix="0" xfId="2"/>
    <xf numFmtId="1" fontId="3" fillId="0" borderId="16" pivotButton="0" quotePrefix="0" xfId="2"/>
    <xf numFmtId="1" fontId="3" fillId="0" borderId="14" pivotButton="0" quotePrefix="0" xfId="2"/>
    <xf numFmtId="0" fontId="17" fillId="5" borderId="0" applyAlignment="1" pivotButton="0" quotePrefix="0" xfId="0">
      <alignment vertical="center"/>
    </xf>
    <xf numFmtId="0" fontId="73" fillId="0" borderId="0" pivotButton="0" quotePrefix="0" xfId="0"/>
    <xf numFmtId="171" fontId="0" fillId="0" borderId="16" pivotButton="0" quotePrefix="0" xfId="0"/>
    <xf numFmtId="0" fontId="18" fillId="5" borderId="0" pivotButton="0" quotePrefix="0" xfId="0"/>
    <xf numFmtId="10" fontId="0" fillId="0" borderId="14" pivotButton="0" quotePrefix="0" xfId="2"/>
    <xf numFmtId="167" fontId="0" fillId="0" borderId="0" applyAlignment="1" pivotButton="0" quotePrefix="0" xfId="2">
      <alignment horizontal="center"/>
    </xf>
    <xf numFmtId="167" fontId="0" fillId="0" borderId="15" applyAlignment="1" pivotButton="0" quotePrefix="0" xfId="2">
      <alignment horizontal="center"/>
    </xf>
    <xf numFmtId="167" fontId="0" fillId="0" borderId="15" pivotButton="0" quotePrefix="0" xfId="2"/>
    <xf numFmtId="174" fontId="12" fillId="3" borderId="5" applyAlignment="1" pivotButton="0" quotePrefix="0" xfId="1">
      <alignment horizontal="right"/>
    </xf>
    <xf numFmtId="2" fontId="3" fillId="0" borderId="0" applyAlignment="1" pivotButton="0" quotePrefix="0" xfId="1">
      <alignment horizontal="center"/>
    </xf>
    <xf numFmtId="2" fontId="11" fillId="0" borderId="0" applyAlignment="1" pivotButton="0" quotePrefix="0" xfId="5">
      <alignment horizontal="center"/>
    </xf>
    <xf numFmtId="2" fontId="33" fillId="3" borderId="0" applyAlignment="1" pivotButton="0" quotePrefix="0" xfId="0">
      <alignment horizontal="right"/>
    </xf>
    <xf numFmtId="178" fontId="7" fillId="2" borderId="0" applyAlignment="1" pivotButton="0" quotePrefix="0" xfId="0">
      <alignment horizontal="right"/>
    </xf>
    <xf numFmtId="9" fontId="4" fillId="7" borderId="0" applyAlignment="1" pivotButton="0" quotePrefix="0" xfId="0">
      <alignment horizontal="right"/>
    </xf>
    <xf numFmtId="0" fontId="3" fillId="0" borderId="0" applyAlignment="1" pivotButton="0" quotePrefix="0" xfId="0">
      <alignment horizontal="center"/>
    </xf>
    <xf numFmtId="171" fontId="0" fillId="0" borderId="0" pivotButton="0" quotePrefix="0" xfId="0"/>
    <xf numFmtId="0" fontId="4" fillId="0" borderId="13" pivotButton="0" quotePrefix="0" xfId="0"/>
    <xf numFmtId="10" fontId="0" fillId="0" borderId="0" pivotButton="0" quotePrefix="0" xfId="2"/>
    <xf numFmtId="0" fontId="0" fillId="0" borderId="14" pivotButton="0" quotePrefix="0" xfId="0"/>
    <xf numFmtId="171" fontId="0" fillId="0" borderId="15" pivotButton="0" quotePrefix="0" xfId="0"/>
    <xf numFmtId="0" fontId="4" fillId="0" borderId="14" pivotButton="0" quotePrefix="0" xfId="0"/>
    <xf numFmtId="171" fontId="4" fillId="0" borderId="0" pivotButton="0" quotePrefix="0" xfId="0"/>
    <xf numFmtId="167" fontId="3" fillId="0" borderId="0" pivotButton="0" quotePrefix="0" xfId="2"/>
    <xf numFmtId="3" fontId="11" fillId="0" borderId="0" pivotButton="0" quotePrefix="0" xfId="0"/>
    <xf numFmtId="0" fontId="0" fillId="3" borderId="24" pivotButton="0" quotePrefix="0" xfId="2"/>
    <xf numFmtId="0" fontId="60" fillId="0" borderId="0" applyAlignment="1" pivotButton="0" quotePrefix="0" xfId="0">
      <alignment horizontal="left" indent="1"/>
    </xf>
    <xf numFmtId="9" fontId="33" fillId="3" borderId="0" applyAlignment="1" pivotButton="0" quotePrefix="0" xfId="2">
      <alignment horizontal="center"/>
    </xf>
    <xf numFmtId="9" fontId="11" fillId="0" borderId="0" applyAlignment="1" pivotButton="0" quotePrefix="0" xfId="2">
      <alignment horizontal="center"/>
    </xf>
    <xf numFmtId="177" fontId="33" fillId="3" borderId="0" applyAlignment="1" pivotButton="0" quotePrefix="0" xfId="2">
      <alignment horizontal="center"/>
    </xf>
    <xf numFmtId="177" fontId="11" fillId="0" borderId="0" applyAlignment="1" pivotButton="0" quotePrefix="0" xfId="2">
      <alignment horizontal="center"/>
    </xf>
    <xf numFmtId="37" fontId="29" fillId="0" borderId="79" applyAlignment="1" pivotButton="0" quotePrefix="0" xfId="8">
      <alignment horizontal="center"/>
    </xf>
    <xf numFmtId="37" fontId="33" fillId="3" borderId="80" applyAlignment="1" pivotButton="0" quotePrefix="0" xfId="8">
      <alignment horizontal="center"/>
    </xf>
    <xf numFmtId="37" fontId="8" fillId="0" borderId="45" applyAlignment="1" pivotButton="0" quotePrefix="0" xfId="5">
      <alignment horizontal="center"/>
    </xf>
    <xf numFmtId="0" fontId="14" fillId="0" borderId="81" pivotButton="0" quotePrefix="0" xfId="0"/>
    <xf numFmtId="37" fontId="44" fillId="3" borderId="0" applyAlignment="1" pivotButton="0" quotePrefix="0" xfId="0">
      <alignment horizontal="right"/>
    </xf>
    <xf numFmtId="0" fontId="26" fillId="0" borderId="0" applyAlignment="1" pivotButton="0" quotePrefix="0" xfId="0">
      <alignment horizontal="left" indent="1"/>
    </xf>
    <xf numFmtId="0" fontId="48" fillId="0" borderId="0" applyAlignment="1" pivotButton="0" quotePrefix="0" xfId="0">
      <alignment horizontal="left" indent="1"/>
    </xf>
    <xf numFmtId="0" fontId="0" fillId="0" borderId="0" pivotButton="0" quotePrefix="0" xfId="0"/>
    <xf numFmtId="0" fontId="8" fillId="15" borderId="0" applyAlignment="1" pivotButton="0" quotePrefix="0" xfId="0">
      <alignment horizontal="left" vertical="top" wrapText="1"/>
    </xf>
    <xf numFmtId="0" fontId="8" fillId="0" borderId="0" applyAlignment="1" pivotButton="0" quotePrefix="0" xfId="0">
      <alignment horizontal="center" vertical="center" wrapText="1"/>
    </xf>
    <xf numFmtId="0" fontId="8" fillId="0" borderId="8" applyAlignment="1" pivotButton="0" quotePrefix="0" xfId="0">
      <alignment horizontal="center" vertical="center" wrapText="1"/>
    </xf>
    <xf numFmtId="0" fontId="67" fillId="0" borderId="70" applyAlignment="1" pivotButton="0" quotePrefix="0" xfId="0">
      <alignment horizontal="left" vertical="center" wrapText="1"/>
    </xf>
    <xf numFmtId="0" fontId="67" fillId="0" borderId="71" applyAlignment="1" pivotButton="0" quotePrefix="0" xfId="0">
      <alignment horizontal="left" vertical="center" wrapText="1"/>
    </xf>
    <xf numFmtId="0" fontId="67" fillId="0" borderId="0" applyAlignment="1" pivotButton="0" quotePrefix="0" xfId="0">
      <alignment horizontal="left" vertical="center" wrapText="1"/>
    </xf>
    <xf numFmtId="0" fontId="67" fillId="0" borderId="69" applyAlignment="1" pivotButton="0" quotePrefix="0" xfId="0">
      <alignment horizontal="left" vertical="center" wrapText="1"/>
    </xf>
    <xf numFmtId="0" fontId="34" fillId="0" borderId="72" applyAlignment="1" pivotButton="0" quotePrefix="0" xfId="0">
      <alignment horizontal="left" vertical="center" wrapText="1"/>
    </xf>
    <xf numFmtId="0" fontId="67" fillId="0" borderId="73" applyAlignment="1" pivotButton="0" quotePrefix="0" xfId="0">
      <alignment horizontal="left" vertical="center" wrapText="1"/>
    </xf>
    <xf numFmtId="0" fontId="3" fillId="0" borderId="0" applyAlignment="1" pivotButton="0" quotePrefix="0" xfId="0">
      <alignment horizontal="left" vertical="top" wrapText="1"/>
    </xf>
    <xf numFmtId="0" fontId="3" fillId="0" borderId="78" applyAlignment="1" pivotButton="0" quotePrefix="0" xfId="0">
      <alignment horizontal="center"/>
    </xf>
    <xf numFmtId="0" fontId="3" fillId="0" borderId="0" applyAlignment="1" pivotButton="0" quotePrefix="0" xfId="0">
      <alignment horizontal="center"/>
    </xf>
    <xf numFmtId="0" fontId="0" fillId="0" borderId="0" applyAlignment="1" pivotButton="0" quotePrefix="0" xfId="0">
      <alignment horizontal="center" wrapText="1" indent="1"/>
    </xf>
    <xf numFmtId="0" fontId="0" fillId="0" borderId="0" applyAlignment="1" pivotButton="0" quotePrefix="0" xfId="0">
      <alignment horizontal="left" vertical="center"/>
    </xf>
    <xf numFmtId="0" fontId="0" fillId="0" borderId="0"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horizontal="left" vertical="center" wrapText="1"/>
    </xf>
    <xf numFmtId="0" fontId="7" fillId="2" borderId="0" applyAlignment="1" pivotButton="0" quotePrefix="0" xfId="0">
      <alignment horizontal="center"/>
    </xf>
    <xf numFmtId="0" fontId="5" fillId="2" borderId="0" applyAlignment="1" pivotButton="0" quotePrefix="0" xfId="5">
      <alignment horizontal="center" wrapText="1"/>
    </xf>
    <xf numFmtId="0" fontId="5" fillId="2" borderId="0" applyAlignment="1" pivotButton="0" quotePrefix="0" xfId="5">
      <alignment horizontal="center"/>
    </xf>
    <xf numFmtId="0" fontId="5" fillId="2" borderId="59" applyAlignment="1" pivotButton="0" quotePrefix="0" xfId="5">
      <alignment horizontal="center"/>
    </xf>
    <xf numFmtId="0" fontId="5" fillId="2" borderId="63" applyAlignment="1" pivotButton="0" quotePrefix="0" xfId="5">
      <alignment horizontal="center"/>
    </xf>
    <xf numFmtId="0" fontId="5" fillId="2" borderId="60" applyAlignment="1" pivotButton="0" quotePrefix="0" xfId="5">
      <alignment horizontal="center"/>
    </xf>
    <xf numFmtId="0" fontId="5" fillId="2" borderId="55" applyAlignment="1" pivotButton="0" quotePrefix="0" xfId="5">
      <alignment horizontal="center"/>
    </xf>
    <xf numFmtId="0" fontId="0" fillId="0" borderId="11" applyAlignment="1" pivotButton="0" quotePrefix="0" xfId="0">
      <alignment horizontal="left" vertical="top" wrapText="1"/>
    </xf>
    <xf numFmtId="0" fontId="4" fillId="0" borderId="11" applyAlignment="1" pivotButton="0" quotePrefix="0" xfId="0">
      <alignment horizontal="center" vertical="center" wrapText="1"/>
    </xf>
    <xf numFmtId="0" fontId="4"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0" applyAlignment="1" pivotButton="0" quotePrefix="0" xfId="0">
      <alignment horizontal="center" vertical="center" wrapText="1"/>
    </xf>
    <xf numFmtId="0" fontId="15" fillId="0" borderId="0" applyAlignment="1" pivotButton="0" quotePrefix="0" xfId="5">
      <alignment horizontal="center" vertical="center"/>
    </xf>
    <xf numFmtId="0" fontId="15" fillId="0" borderId="0" applyAlignment="1" pivotButton="0" quotePrefix="0" xfId="5">
      <alignment horizontal="center" vertical="center" wrapText="1"/>
    </xf>
    <xf numFmtId="0" fontId="15" fillId="0" borderId="12" applyAlignment="1" pivotButton="0" quotePrefix="0" xfId="5">
      <alignment horizontal="center" vertical="center"/>
    </xf>
    <xf numFmtId="0" fontId="15" fillId="0" borderId="12" applyAlignment="1" pivotButton="0" quotePrefix="0" xfId="5">
      <alignment horizontal="center" vertical="center" wrapText="1"/>
    </xf>
    <xf numFmtId="0" fontId="59" fillId="0" borderId="0" applyAlignment="1" pivotButton="0" quotePrefix="0" xfId="5">
      <alignment horizontal="center" vertical="center"/>
    </xf>
    <xf numFmtId="0" fontId="4" fillId="0" borderId="0" applyAlignment="1" pivotButton="0" quotePrefix="0" xfId="0">
      <alignment horizontal="left" vertical="center"/>
    </xf>
    <xf numFmtId="164" fontId="5" fillId="2" borderId="0" pivotButton="0" quotePrefix="0" xfId="0"/>
    <xf numFmtId="164" fontId="5" fillId="2" borderId="1" pivotButton="0" quotePrefix="0" xfId="0"/>
    <xf numFmtId="165" fontId="5" fillId="2" borderId="0" pivotButton="0" quotePrefix="0" xfId="0"/>
    <xf numFmtId="164" fontId="5" fillId="2" borderId="2" pivotButton="0" quotePrefix="0" xfId="0"/>
    <xf numFmtId="165" fontId="5" fillId="0" borderId="10" pivotButton="0" quotePrefix="0" xfId="0"/>
    <xf numFmtId="166" fontId="0" fillId="0" borderId="0" applyAlignment="1" pivotButton="0" quotePrefix="0" xfId="1">
      <alignment horizontal="right"/>
    </xf>
    <xf numFmtId="166" fontId="0" fillId="0" borderId="2" applyAlignment="1" pivotButton="0" quotePrefix="0" xfId="1">
      <alignment horizontal="right"/>
    </xf>
    <xf numFmtId="166" fontId="0" fillId="3" borderId="0" applyAlignment="1" pivotButton="0" quotePrefix="0" xfId="1">
      <alignment horizontal="right"/>
    </xf>
    <xf numFmtId="166" fontId="0" fillId="0" borderId="10" applyAlignment="1" pivotButton="0" quotePrefix="0" xfId="1">
      <alignment horizontal="right"/>
    </xf>
    <xf numFmtId="167" fontId="13" fillId="0" borderId="0" applyAlignment="1" pivotButton="0" quotePrefix="0" xfId="4">
      <alignment horizontal="left"/>
    </xf>
    <xf numFmtId="165" fontId="5" fillId="2" borderId="5" applyAlignment="1" pivotButton="0" quotePrefix="0" xfId="0">
      <alignment horizontal="right"/>
    </xf>
    <xf numFmtId="164" fontId="17" fillId="0" borderId="4" applyAlignment="1" pivotButton="0" quotePrefix="0" xfId="0">
      <alignment horizontal="center"/>
    </xf>
    <xf numFmtId="174" fontId="12" fillId="0" borderId="0" applyAlignment="1" pivotButton="0" quotePrefix="0" xfId="0">
      <alignment horizontal="right"/>
    </xf>
    <xf numFmtId="167" fontId="12" fillId="0" borderId="5" applyAlignment="1" pivotButton="0" quotePrefix="0" xfId="2">
      <alignment horizontal="right"/>
    </xf>
    <xf numFmtId="174" fontId="12" fillId="0" borderId="5" applyAlignment="1" pivotButton="0" quotePrefix="0" xfId="2">
      <alignment horizontal="right"/>
    </xf>
    <xf numFmtId="174" fontId="12" fillId="0" borderId="5" applyAlignment="1" pivotButton="0" quotePrefix="0" xfId="1">
      <alignment horizontal="right"/>
    </xf>
    <xf numFmtId="167" fontId="12" fillId="0" borderId="66" applyAlignment="1" pivotButton="0" quotePrefix="0" xfId="2">
      <alignment horizontal="right"/>
    </xf>
    <xf numFmtId="164" fontId="17" fillId="0" borderId="38" applyAlignment="1" pivotButton="0" quotePrefix="0" xfId="0">
      <alignment horizontal="center"/>
    </xf>
    <xf numFmtId="167" fontId="12" fillId="0" borderId="6" applyAlignment="1" pivotButton="0" quotePrefix="0" xfId="2">
      <alignment horizontal="right"/>
    </xf>
    <xf numFmtId="174" fontId="12" fillId="0" borderId="52" applyAlignment="1" pivotButton="0" quotePrefix="0" xfId="1">
      <alignment horizontal="right"/>
    </xf>
    <xf numFmtId="165" fontId="17" fillId="3" borderId="4" applyAlignment="1" pivotButton="0" quotePrefix="0" xfId="0">
      <alignment horizontal="center"/>
    </xf>
    <xf numFmtId="167" fontId="12" fillId="3" borderId="66" applyAlignment="1" pivotButton="0" quotePrefix="0" xfId="2">
      <alignment horizontal="right"/>
    </xf>
    <xf numFmtId="174" fontId="12" fillId="3" borderId="5" applyAlignment="1" pivotButton="0" quotePrefix="0" xfId="1">
      <alignment horizontal="right"/>
    </xf>
    <xf numFmtId="167" fontId="13" fillId="4" borderId="0" applyAlignment="1" pivotButton="0" quotePrefix="0" xfId="4">
      <alignment horizontal="left"/>
    </xf>
    <xf numFmtId="176" fontId="6" fillId="0" borderId="0" pivotButton="0" quotePrefix="0" xfId="0"/>
    <xf numFmtId="0" fontId="0" fillId="0" borderId="70" pivotButton="0" quotePrefix="0" xfId="0"/>
    <xf numFmtId="0" fontId="0" fillId="0" borderId="71" pivotButton="0" quotePrefix="0" xfId="0"/>
    <xf numFmtId="0" fontId="0" fillId="0" borderId="69" pivotButton="0" quotePrefix="0" xfId="0"/>
    <xf numFmtId="0" fontId="0" fillId="0" borderId="73" pivotButton="0" quotePrefix="0" xfId="0"/>
    <xf numFmtId="164" fontId="5" fillId="0" borderId="0" pivotButton="0" quotePrefix="0" xfId="0"/>
    <xf numFmtId="167" fontId="13" fillId="0" borderId="0" pivotButton="0" quotePrefix="0" xfId="4"/>
    <xf numFmtId="164" fontId="5" fillId="0" borderId="10" pivotButton="0" quotePrefix="0" xfId="0"/>
    <xf numFmtId="168" fontId="4" fillId="9" borderId="0" pivotButton="0" quotePrefix="0" xfId="0"/>
    <xf numFmtId="0" fontId="0" fillId="0" borderId="78" pivotButton="0" quotePrefix="0" xfId="0"/>
    <xf numFmtId="167" fontId="0" fillId="0" borderId="0" pivotButton="0" quotePrefix="0" xfId="2"/>
    <xf numFmtId="167" fontId="4" fillId="0" borderId="0" pivotButton="0" quotePrefix="0" xfId="2"/>
    <xf numFmtId="165" fontId="7" fillId="2" borderId="0" pivotButton="0" quotePrefix="0" xfId="0"/>
    <xf numFmtId="167" fontId="0" fillId="0" borderId="4" pivotButton="0" quotePrefix="0" xfId="2"/>
    <xf numFmtId="167" fontId="0" fillId="3" borderId="0" pivotButton="0" quotePrefix="0" xfId="2"/>
    <xf numFmtId="167" fontId="0" fillId="0" borderId="17" pivotButton="0" quotePrefix="0" xfId="2"/>
    <xf numFmtId="0" fontId="0" fillId="0" borderId="59" pivotButton="0" quotePrefix="0" xfId="0"/>
    <xf numFmtId="0" fontId="0" fillId="0" borderId="60" pivotButton="0" quotePrefix="0" xfId="0"/>
    <xf numFmtId="0" fontId="5" fillId="2" borderId="82" applyAlignment="1" pivotButton="0" quotePrefix="0" xfId="5">
      <alignment horizontal="center"/>
    </xf>
    <xf numFmtId="0" fontId="0" fillId="0" borderId="55" pivotButton="0" quotePrefix="0" xfId="0"/>
    <xf numFmtId="167" fontId="30" fillId="0" borderId="0" applyAlignment="1" pivotButton="0" quotePrefix="0" xfId="5">
      <alignment horizontal="center" vertical="center"/>
    </xf>
    <xf numFmtId="167" fontId="30" fillId="0" borderId="59" applyAlignment="1" pivotButton="0" quotePrefix="0" xfId="5">
      <alignment horizontal="center" vertical="center"/>
    </xf>
    <xf numFmtId="167" fontId="30" fillId="4" borderId="62" applyAlignment="1" pivotButton="0" quotePrefix="0" xfId="5">
      <alignment horizontal="center" vertical="center"/>
    </xf>
    <xf numFmtId="167" fontId="30" fillId="4" borderId="59" applyAlignment="1" pivotButton="0" quotePrefix="0" xfId="5">
      <alignment horizontal="center" vertical="center"/>
    </xf>
    <xf numFmtId="167" fontId="30" fillId="0" borderId="62" applyAlignment="1" pivotButton="0" quotePrefix="0" xfId="5">
      <alignment horizontal="center" vertical="center"/>
    </xf>
    <xf numFmtId="168" fontId="11" fillId="0" borderId="0" applyAlignment="1" pivotButton="0" quotePrefix="0" xfId="5">
      <alignment vertical="center"/>
    </xf>
    <xf numFmtId="173" fontId="33" fillId="0" borderId="0" applyAlignment="1" pivotButton="0" quotePrefix="0" xfId="5">
      <alignment vertical="center"/>
    </xf>
    <xf numFmtId="167" fontId="11" fillId="0" borderId="0" applyAlignment="1" pivotButton="0" quotePrefix="0" xfId="5">
      <alignment vertical="center"/>
    </xf>
    <xf numFmtId="168" fontId="11" fillId="4" borderId="62" pivotButton="0" quotePrefix="0" xfId="5"/>
    <xf numFmtId="168" fontId="11" fillId="4" borderId="59" pivotButton="0" quotePrefix="0" xfId="5"/>
    <xf numFmtId="168" fontId="11" fillId="0" borderId="62" pivotButton="0" quotePrefix="0" xfId="5"/>
    <xf numFmtId="168" fontId="11" fillId="0" borderId="59" pivotButton="0" quotePrefix="0" xfId="5"/>
    <xf numFmtId="168" fontId="11" fillId="0" borderId="0" pivotButton="0" quotePrefix="0" xfId="5"/>
    <xf numFmtId="173" fontId="33" fillId="0" borderId="0" pivotButton="0" quotePrefix="0" xfId="5"/>
    <xf numFmtId="167" fontId="11" fillId="0" borderId="0" pivotButton="0" quotePrefix="0" xfId="5"/>
    <xf numFmtId="167" fontId="11" fillId="0" borderId="0" applyAlignment="1" pivotButton="0" quotePrefix="0" xfId="5">
      <alignment horizontal="center" vertical="center"/>
    </xf>
    <xf numFmtId="167" fontId="11" fillId="0" borderId="59" applyAlignment="1" pivotButton="0" quotePrefix="0" xfId="5">
      <alignment horizontal="center" vertical="center"/>
    </xf>
    <xf numFmtId="167" fontId="11" fillId="0" borderId="62" applyAlignment="1" pivotButton="0" quotePrefix="0" xfId="5">
      <alignment horizontal="center" vertical="center"/>
    </xf>
    <xf numFmtId="167" fontId="11" fillId="0" borderId="62" applyAlignment="1" pivotButton="0" quotePrefix="0" xfId="2">
      <alignment horizontal="center" vertical="center"/>
    </xf>
    <xf numFmtId="167" fontId="11" fillId="0" borderId="55" applyAlignment="1" pivotButton="0" quotePrefix="0" xfId="5">
      <alignment horizontal="center" vertical="center"/>
    </xf>
    <xf numFmtId="167" fontId="11" fillId="0" borderId="60" applyAlignment="1" pivotButton="0" quotePrefix="0" xfId="5">
      <alignment horizontal="center" vertical="center"/>
    </xf>
    <xf numFmtId="167" fontId="11" fillId="0" borderId="63" applyAlignment="1" pivotButton="0" quotePrefix="0" xfId="5">
      <alignment horizontal="center" vertical="center"/>
    </xf>
    <xf numFmtId="167" fontId="11" fillId="0" borderId="63" applyAlignment="1" pivotButton="0" quotePrefix="0" xfId="2">
      <alignment horizontal="center" vertical="center"/>
    </xf>
    <xf numFmtId="167" fontId="30" fillId="5" borderId="0" applyAlignment="1" pivotButton="0" quotePrefix="0" xfId="5">
      <alignment horizontal="center" vertical="center"/>
    </xf>
    <xf numFmtId="167" fontId="30" fillId="5" borderId="59" applyAlignment="1" pivotButton="0" quotePrefix="0" xfId="5">
      <alignment horizontal="center" vertical="center"/>
    </xf>
    <xf numFmtId="167" fontId="30" fillId="5" borderId="62" applyAlignment="1" pivotButton="0" quotePrefix="0" xfId="5">
      <alignment horizontal="center" vertical="center"/>
    </xf>
    <xf numFmtId="167" fontId="11" fillId="5" borderId="0" applyAlignment="1" pivotButton="0" quotePrefix="0" xfId="5">
      <alignment horizontal="center" vertical="center"/>
    </xf>
    <xf numFmtId="167" fontId="11" fillId="5" borderId="59" applyAlignment="1" pivotButton="0" quotePrefix="0" xfId="5">
      <alignment horizontal="center" vertical="center"/>
    </xf>
    <xf numFmtId="167" fontId="11" fillId="5" borderId="62" applyAlignment="1" pivotButton="0" quotePrefix="0" xfId="5">
      <alignment horizontal="center" vertical="center"/>
    </xf>
    <xf numFmtId="167" fontId="11" fillId="0" borderId="0" applyAlignment="1" pivotButton="0" quotePrefix="0" xfId="2">
      <alignment horizontal="center"/>
    </xf>
    <xf numFmtId="173" fontId="6" fillId="0" borderId="0" applyAlignment="1" pivotButton="0" quotePrefix="0" xfId="5">
      <alignment horizontal="center"/>
    </xf>
    <xf numFmtId="167" fontId="11" fillId="0" borderId="0" applyAlignment="1" pivotButton="0" quotePrefix="0" xfId="5">
      <alignment horizontal="center"/>
    </xf>
    <xf numFmtId="166" fontId="3" fillId="0" borderId="0" applyAlignment="1" pivotButton="0" quotePrefix="0" xfId="1">
      <alignment horizontal="center"/>
    </xf>
    <xf numFmtId="166" fontId="11" fillId="0" borderId="0" applyAlignment="1" pivotButton="0" quotePrefix="0" xfId="5">
      <alignment horizontal="center"/>
    </xf>
    <xf numFmtId="177" fontId="33" fillId="3" borderId="0" applyAlignment="1" pivotButton="0" quotePrefix="0" xfId="2">
      <alignment horizontal="center"/>
    </xf>
    <xf numFmtId="177" fontId="11" fillId="0" borderId="0" applyAlignment="1" pivotButton="0" quotePrefix="0" xfId="2">
      <alignment horizontal="center"/>
    </xf>
    <xf numFmtId="173" fontId="11" fillId="0" borderId="0" applyAlignment="1" pivotButton="0" quotePrefix="0" xfId="5">
      <alignment horizontal="center"/>
    </xf>
    <xf numFmtId="0" fontId="0" fillId="0" borderId="11" pivotButton="0" quotePrefix="0" xfId="0"/>
    <xf numFmtId="170" fontId="14" fillId="0" borderId="0" pivotButton="0" quotePrefix="0" xfId="0"/>
    <xf numFmtId="164" fontId="7" fillId="2" borderId="0" pivotButton="0" quotePrefix="0" xfId="0"/>
    <xf numFmtId="164" fontId="7" fillId="2" borderId="26" pivotButton="0" quotePrefix="0" xfId="0"/>
    <xf numFmtId="167" fontId="47" fillId="0" borderId="0" pivotButton="0" quotePrefix="0" xfId="0"/>
    <xf numFmtId="167" fontId="47" fillId="0" borderId="26" pivotButton="0" quotePrefix="0" xfId="0"/>
    <xf numFmtId="167" fontId="49" fillId="5" borderId="0" pivotButton="0" quotePrefix="0" xfId="0"/>
    <xf numFmtId="167" fontId="13" fillId="0" borderId="0" pivotButton="0" quotePrefix="0" xfId="0"/>
    <xf numFmtId="165" fontId="7" fillId="0" borderId="0" pivotButton="0" quotePrefix="0" xfId="0"/>
    <xf numFmtId="170" fontId="21" fillId="0" borderId="0" pivotButton="0" quotePrefix="0" xfId="1"/>
    <xf numFmtId="170" fontId="38" fillId="0" borderId="0" pivotButton="0" quotePrefix="0" xfId="1"/>
    <xf numFmtId="170" fontId="38" fillId="0" borderId="26" pivotButton="0" quotePrefix="0" xfId="1"/>
    <xf numFmtId="170" fontId="13" fillId="0" borderId="0" pivotButton="0" quotePrefix="0" xfId="1"/>
    <xf numFmtId="167" fontId="50" fillId="0" borderId="0" pivotButton="0" quotePrefix="0" xfId="1"/>
    <xf numFmtId="167" fontId="50" fillId="0" borderId="17" pivotButton="0" quotePrefix="0" xfId="1"/>
    <xf numFmtId="167" fontId="50" fillId="4" borderId="0" pivotButton="0" quotePrefix="0" xfId="1"/>
    <xf numFmtId="167" fontId="14" fillId="0" borderId="0" pivotButton="0" quotePrefix="0" xfId="2"/>
    <xf numFmtId="167" fontId="14" fillId="0" borderId="17" pivotButton="0" quotePrefix="0" xfId="2"/>
    <xf numFmtId="167" fontId="13" fillId="0" borderId="0" pivotButton="0" quotePrefix="0" xfId="2"/>
    <xf numFmtId="167" fontId="50" fillId="0" borderId="0" pivotButton="0" quotePrefix="0" xfId="2"/>
    <xf numFmtId="167" fontId="50" fillId="0" borderId="26" pivotButton="0" quotePrefix="0" xfId="2"/>
    <xf numFmtId="167" fontId="49" fillId="5" borderId="0" pivotButton="0" quotePrefix="0" xfId="2"/>
    <xf numFmtId="167" fontId="36" fillId="0" borderId="0" pivotButton="0" quotePrefix="0" xfId="2"/>
    <xf numFmtId="167" fontId="50" fillId="0" borderId="17" pivotButton="0" quotePrefix="0" xfId="2"/>
    <xf numFmtId="167" fontId="14" fillId="4" borderId="0" pivotButton="0" quotePrefix="0" xfId="2"/>
    <xf numFmtId="167" fontId="14" fillId="4" borderId="17" pivotButton="0" quotePrefix="0" xfId="2"/>
    <xf numFmtId="167" fontId="36" fillId="4" borderId="0" pivotButton="0" quotePrefix="0" xfId="2"/>
    <xf numFmtId="167" fontId="14" fillId="0" borderId="26" pivotButton="0" quotePrefix="0" xfId="2"/>
    <xf numFmtId="170" fontId="37" fillId="0" borderId="0" pivotButton="0" quotePrefix="0" xfId="1"/>
    <xf numFmtId="170" fontId="52" fillId="0" borderId="0" pivotButton="0" quotePrefix="0" xfId="1"/>
    <xf numFmtId="170" fontId="52" fillId="0" borderId="26" pivotButton="0" quotePrefix="0" xfId="1"/>
    <xf numFmtId="170" fontId="40" fillId="0" borderId="0" pivotButton="0" quotePrefix="0" xfId="1"/>
    <xf numFmtId="167" fontId="33" fillId="5" borderId="0" pivotButton="0" quotePrefix="0" xfId="2"/>
    <xf numFmtId="167" fontId="51" fillId="0" borderId="0" pivotButton="0" quotePrefix="0" xfId="2"/>
    <xf numFmtId="172" fontId="50" fillId="0" borderId="0" pivotButton="0" quotePrefix="0" xfId="0"/>
    <xf numFmtId="172" fontId="50" fillId="0" borderId="17" pivotButton="0" quotePrefix="0" xfId="0"/>
    <xf numFmtId="172" fontId="49" fillId="5" borderId="0" pivotButton="0" quotePrefix="0" xfId="0"/>
    <xf numFmtId="167" fontId="50" fillId="0" borderId="0" pivotButton="0" quotePrefix="0" xfId="0"/>
    <xf numFmtId="167" fontId="50" fillId="0" borderId="17" pivotButton="0" quotePrefix="0" xfId="0"/>
    <xf numFmtId="170" fontId="52" fillId="0" borderId="0" applyAlignment="1" pivotButton="0" quotePrefix="0" xfId="1">
      <alignment horizontal="right"/>
    </xf>
    <xf numFmtId="170" fontId="52" fillId="0" borderId="26" applyAlignment="1" pivotButton="0" quotePrefix="0" xfId="1">
      <alignment horizontal="right"/>
    </xf>
    <xf numFmtId="170" fontId="43" fillId="0" borderId="0" pivotButton="0" quotePrefix="0" xfId="0"/>
    <xf numFmtId="170" fontId="43" fillId="0" borderId="0" applyAlignment="1" pivotButton="0" quotePrefix="0" xfId="0">
      <alignment horizontal="right"/>
    </xf>
    <xf numFmtId="167" fontId="49" fillId="0" borderId="0" pivotButton="0" quotePrefix="0" xfId="0"/>
    <xf numFmtId="167" fontId="13" fillId="4" borderId="0" pivotButton="0" quotePrefix="0" xfId="0"/>
    <xf numFmtId="167" fontId="13" fillId="4" borderId="17" pivotButton="0" quotePrefix="0" xfId="0"/>
    <xf numFmtId="167" fontId="36" fillId="4" borderId="0" pivotButton="0" quotePrefix="0" xfId="0"/>
    <xf numFmtId="167" fontId="13" fillId="0" borderId="26" pivotButton="0" quotePrefix="0" xfId="0"/>
    <xf numFmtId="167" fontId="36" fillId="0" borderId="0" pivotButton="0" quotePrefix="0" xfId="0"/>
    <xf numFmtId="167" fontId="36" fillId="5" borderId="0" pivotButton="0" quotePrefix="0" xfId="0"/>
    <xf numFmtId="164" fontId="7" fillId="2" borderId="17" pivotButton="0" quotePrefix="0" xfId="0"/>
    <xf numFmtId="170" fontId="38" fillId="0" borderId="8" pivotButton="0" quotePrefix="0" xfId="1"/>
    <xf numFmtId="170" fontId="38" fillId="0" borderId="23" pivotButton="0" quotePrefix="0" xfId="1"/>
    <xf numFmtId="170" fontId="14" fillId="0" borderId="8" pivotButton="0" quotePrefix="0" xfId="0"/>
    <xf numFmtId="170" fontId="45" fillId="0" borderId="0" pivotButton="0" quotePrefix="0" xfId="1"/>
    <xf numFmtId="170" fontId="45" fillId="0" borderId="26" pivotButton="0" quotePrefix="0" xfId="1"/>
    <xf numFmtId="170" fontId="32" fillId="0" borderId="0" pivotButton="0" quotePrefix="0" xfId="1"/>
    <xf numFmtId="170" fontId="38" fillId="0" borderId="22" pivotButton="0" quotePrefix="0" xfId="1"/>
    <xf numFmtId="170" fontId="38" fillId="0" borderId="51" pivotButton="0" quotePrefix="0" xfId="1"/>
    <xf numFmtId="170" fontId="14" fillId="0" borderId="22" pivotButton="0" quotePrefix="0" xfId="0"/>
    <xf numFmtId="167" fontId="51" fillId="0" borderId="17" pivotButton="0" quotePrefix="0" xfId="2"/>
    <xf numFmtId="170" fontId="36" fillId="5" borderId="0" pivotButton="0" quotePrefix="0" xfId="0"/>
    <xf numFmtId="170" fontId="42" fillId="0" borderId="0" pivotButton="0" quotePrefix="0" xfId="0"/>
    <xf numFmtId="170" fontId="43" fillId="0" borderId="8" pivotButton="0" quotePrefix="0" xfId="0"/>
    <xf numFmtId="170" fontId="45" fillId="0" borderId="22" pivotButton="0" quotePrefix="0" xfId="1"/>
    <xf numFmtId="170" fontId="45" fillId="0" borderId="51" pivotButton="0" quotePrefix="0" xfId="1"/>
    <xf numFmtId="170" fontId="42" fillId="0" borderId="22" pivotButton="0" quotePrefix="0" xfId="0"/>
    <xf numFmtId="170" fontId="13" fillId="0" borderId="17" pivotButton="0" quotePrefix="0" xfId="1"/>
    <xf numFmtId="167" fontId="14" fillId="5" borderId="27" pivotButton="0" quotePrefix="0" xfId="2"/>
    <xf numFmtId="167" fontId="14" fillId="5" borderId="28" pivotButton="0" quotePrefix="0" xfId="2"/>
    <xf numFmtId="167" fontId="13" fillId="5" borderId="29" pivotButton="0" quotePrefix="0" xfId="2"/>
    <xf numFmtId="167" fontId="13" fillId="5" borderId="30" pivotButton="0" quotePrefix="0" xfId="2"/>
    <xf numFmtId="167" fontId="14" fillId="5" borderId="29" pivotButton="0" quotePrefix="0" xfId="2"/>
    <xf numFmtId="167" fontId="14" fillId="5" borderId="30" pivotButton="0" quotePrefix="0" xfId="2"/>
    <xf numFmtId="170" fontId="14" fillId="0" borderId="0" pivotButton="0" quotePrefix="0" xfId="1"/>
    <xf numFmtId="170" fontId="14" fillId="0" borderId="32" pivotButton="0" quotePrefix="0" xfId="0"/>
    <xf numFmtId="170" fontId="14" fillId="0" borderId="49" pivotButton="0" quotePrefix="0" xfId="0"/>
    <xf numFmtId="170" fontId="14" fillId="0" borderId="33" pivotButton="0" quotePrefix="0" xfId="0"/>
    <xf numFmtId="170" fontId="13" fillId="0" borderId="26" pivotButton="0" quotePrefix="0" xfId="1"/>
    <xf numFmtId="170" fontId="14" fillId="0" borderId="35" pivotButton="0" quotePrefix="0" xfId="0"/>
    <xf numFmtId="170" fontId="14" fillId="0" borderId="36" pivotButton="0" quotePrefix="0" xfId="0"/>
    <xf numFmtId="170" fontId="14" fillId="0" borderId="50" pivotButton="0" quotePrefix="0" xfId="0"/>
    <xf numFmtId="170" fontId="14" fillId="0" borderId="7" pivotButton="0" quotePrefix="0" xfId="0"/>
    <xf numFmtId="170" fontId="14" fillId="0" borderId="39" pivotButton="0" quotePrefix="0" xfId="0"/>
    <xf numFmtId="170" fontId="13" fillId="0" borderId="0" pivotButton="0" quotePrefix="0" xfId="0"/>
    <xf numFmtId="170" fontId="21" fillId="0" borderId="0" pivotButton="0" quotePrefix="0" xfId="0"/>
    <xf numFmtId="170" fontId="36" fillId="5" borderId="0" pivotButton="0" quotePrefix="0" xfId="1"/>
    <xf numFmtId="170" fontId="14" fillId="4" borderId="0" pivotButton="0" quotePrefix="0" xfId="0"/>
    <xf numFmtId="171" fontId="14" fillId="0" borderId="0" pivotButton="0" quotePrefix="0" xfId="0"/>
    <xf numFmtId="170" fontId="14" fillId="0" borderId="74" pivotButton="0" quotePrefix="0" xfId="0"/>
    <xf numFmtId="170" fontId="14" fillId="0" borderId="75" pivotButton="0" quotePrefix="0" xfId="0"/>
    <xf numFmtId="170" fontId="14" fillId="0" borderId="26" pivotButton="0" quotePrefix="0" xfId="0"/>
    <xf numFmtId="170" fontId="14" fillId="0" borderId="0" applyAlignment="1" pivotButton="0" quotePrefix="0" xfId="0">
      <alignment horizontal="left"/>
    </xf>
    <xf numFmtId="170" fontId="14" fillId="0" borderId="41" pivotButton="0" quotePrefix="0" xfId="0"/>
    <xf numFmtId="170" fontId="14" fillId="0" borderId="58" pivotButton="0" quotePrefix="0" xfId="0"/>
    <xf numFmtId="171" fontId="0" fillId="0" borderId="16" pivotButton="0" quotePrefix="0" xfId="0"/>
    <xf numFmtId="168" fontId="0" fillId="0" borderId="0" applyAlignment="1" pivotButton="0" quotePrefix="0" xfId="0">
      <alignment horizontal="right"/>
    </xf>
    <xf numFmtId="170" fontId="0" fillId="0" borderId="0" applyAlignment="1" pivotButton="0" quotePrefix="0" xfId="0">
      <alignment horizontal="right"/>
    </xf>
    <xf numFmtId="178" fontId="7" fillId="2" borderId="0" applyAlignment="1" pivotButton="0" quotePrefix="0" xfId="0">
      <alignment horizontal="right"/>
    </xf>
    <xf numFmtId="175" fontId="0" fillId="0" borderId="0" pivotButton="0" quotePrefix="0" xfId="0"/>
    <xf numFmtId="169" fontId="0" fillId="0" borderId="0" applyAlignment="1" pivotButton="0" quotePrefix="0" xfId="9">
      <alignment horizontal="right"/>
    </xf>
    <xf numFmtId="164" fontId="7" fillId="2" borderId="0" applyAlignment="1" pivotButton="0" quotePrefix="0" xfId="0">
      <alignment horizontal="right"/>
    </xf>
    <xf numFmtId="164" fontId="7" fillId="2" borderId="2" applyAlignment="1" pivotButton="0" quotePrefix="0" xfId="0">
      <alignment horizontal="right"/>
    </xf>
    <xf numFmtId="165" fontId="7" fillId="2" borderId="0" applyAlignment="1" pivotButton="0" quotePrefix="0" xfId="0">
      <alignment horizontal="right"/>
    </xf>
    <xf numFmtId="167" fontId="39" fillId="0" borderId="0" applyAlignment="1" pivotButton="0" quotePrefix="0" xfId="4">
      <alignment horizontal="left"/>
    </xf>
    <xf numFmtId="167" fontId="0" fillId="0" borderId="0" applyAlignment="1" pivotButton="0" quotePrefix="0" xfId="2">
      <alignment horizontal="center"/>
    </xf>
    <xf numFmtId="167" fontId="0" fillId="0" borderId="15" applyAlignment="1" pivotButton="0" quotePrefix="0" xfId="2">
      <alignment horizontal="center"/>
    </xf>
    <xf numFmtId="171" fontId="0" fillId="0" borderId="0" pivotButton="0" quotePrefix="0" xfId="0"/>
    <xf numFmtId="171" fontId="4" fillId="0" borderId="0" pivotButton="0" quotePrefix="0" xfId="0"/>
    <xf numFmtId="167" fontId="3" fillId="0" borderId="0" pivotButton="0" quotePrefix="0" xfId="2"/>
    <xf numFmtId="171" fontId="0" fillId="0" borderId="15" pivotButton="0" quotePrefix="0" xfId="0"/>
    <xf numFmtId="167" fontId="0" fillId="0" borderId="15" pivotButton="0" quotePrefix="0" xfId="2"/>
    <xf numFmtId="177" fontId="0" fillId="0" borderId="0" pivotButton="0" quotePrefix="0" xfId="0"/>
  </cellXfs>
  <cellStyles count="16">
    <cellStyle name="Normal" xfId="0" builtinId="0"/>
    <cellStyle name="Comma" xfId="1" builtinId="3"/>
    <cellStyle name="Percent" xfId="2" builtinId="5"/>
    <cellStyle name="Hyperlink" xfId="3"/>
    <cellStyle name="Percent 2" xfId="4"/>
    <cellStyle name="Normal 2 2" xfId="5"/>
    <cellStyle name="Normal 3 2" xfId="6"/>
    <cellStyle name="Porcentaje 3" xfId="7"/>
    <cellStyle name="Normal 2" xfId="8"/>
    <cellStyle name="Currency 2" xfId="9"/>
    <cellStyle name="Normal 6" xfId="10"/>
    <cellStyle name="fa_column_header_bottom" xfId="11"/>
    <cellStyle name="blp_column_header" xfId="12"/>
    <cellStyle name="Porcentaje 3 2" xfId="13"/>
    <cellStyle name="Normal 2 3" xfId="14"/>
    <cellStyle name="Normal 6 2" xfId="15"/>
  </cellStyles>
  <dxfs count="5">
    <dxf>
      <font>
        <color rgb="FFC00000"/>
      </font>
    </dxf>
    <dxf>
      <font>
        <color rgb="FFFF0000"/>
      </font>
    </dxf>
    <dxf>
      <font>
        <color rgb="FF00B050"/>
      </font>
    </dxf>
    <dxf>
      <font>
        <color rgb="FF92D050"/>
      </font>
      <fill>
        <patternFill>
          <bgColor auto="1"/>
        </patternFill>
      </fill>
    </dxf>
    <dxf>
      <font>
        <color rgb="FFFFC000"/>
      </font>
      <fill>
        <patternFill>
          <bgColor auto="1"/>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Segment</a:t>
            </a:r>
          </a:p>
        </rich>
      </tx>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236093921990225"/>
          <y val="0.1759186344298777"/>
          <w val="0.4807301059906041"/>
          <h val="0.5879791166773491"/>
        </manualLayout>
      </layout>
      <doughnutChart>
        <varyColors val="1"/>
        <dLbls>
          <showLegendKey val="0"/>
          <showVal val="0"/>
          <showCatName val="0"/>
          <showSerName val="0"/>
          <showPercent val="0"/>
          <showBubbleSize val="0"/>
          <showLeaderLines val="0"/>
        </dLbls>
        <firstSliceAng val="0"/>
        <holeSize val="50"/>
      </doughnutChart>
    </plotArea>
    <legend>
      <legendPos val="b"/>
      <layout>
        <manualLayout>
          <xMode val="edge"/>
          <yMode val="edge"/>
          <wMode val="factor"/>
          <hMode val="factor"/>
          <x val="0"/>
          <y val="0.7854759361680353"/>
          <w val="0.9119391704287075"/>
          <h val="0.2145240638319647"/>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plotArea>
      <layout>
        <manualLayout>
          <layoutTarget val="inner"/>
          <xMode val="edge"/>
          <yMode val="edge"/>
          <wMode val="factor"/>
          <hMode val="factor"/>
          <x val="0.0778270800056053"/>
          <y val="0.0124445689990108"/>
          <w val="0.818276963839996"/>
          <h val="0.7753098771172303"/>
        </manualLayout>
      </layout>
      <doughnutChart>
        <varyColors val="1"/>
        <ser>
          <idx val="0"/>
          <order val="0"/>
          <tx>
            <v>Weights</v>
          </tx>
          <spPr>
            <a:solidFill>
              <a:srgbClr val="7B1314"/>
            </a:solidFill>
            <a:ln>
              <a:prstDash val="solid"/>
            </a:ln>
          </spPr>
          <dPt>
            <idx val="0"/>
            <bubble3D val="0"/>
            <spPr>
              <a:solidFill>
                <a:srgbClr val="7B1314"/>
              </a:solidFill>
              <a:ln w="19050">
                <a:solidFill>
                  <a:schemeClr val="lt1"/>
                </a:solidFill>
                <a:prstDash val="solid"/>
              </a:ln>
            </spPr>
          </dPt>
          <dPt>
            <idx val="1"/>
            <bubble3D val="0"/>
            <spPr>
              <a:solidFill>
                <a:srgbClr val="002060"/>
              </a:solidFill>
              <a:ln w="19050">
                <a:solidFill>
                  <a:schemeClr val="lt1"/>
                </a:solidFill>
                <a:prstDash val="solid"/>
              </a:ln>
            </spPr>
          </dPt>
          <dPt>
            <idx val="2"/>
            <bubble3D val="0"/>
            <spPr>
              <a:solidFill>
                <a:srgbClr val="7B1314"/>
              </a:solidFill>
              <a:ln w="19050">
                <a:solidFill>
                  <a:schemeClr val="lt1"/>
                </a:solidFill>
                <a:prstDash val="solid"/>
              </a:ln>
            </spPr>
          </dPt>
          <dPt>
            <idx val="3"/>
            <bubble3D val="0"/>
            <spPr>
              <a:solidFill>
                <a:srgbClr val="7B1314"/>
              </a:solidFill>
              <a:ln w="19050">
                <a:solidFill>
                  <a:schemeClr val="lt1"/>
                </a:solidFill>
                <a:prstDash val="solid"/>
              </a:ln>
            </spPr>
          </dPt>
          <dPt>
            <idx val="4"/>
            <bubble3D val="0"/>
            <spPr>
              <a:solidFill>
                <a:srgbClr val="7B1314"/>
              </a:solidFill>
              <a:ln w="19050">
                <a:solidFill>
                  <a:schemeClr val="lt1"/>
                </a:solidFill>
                <a:prstDash val="solid"/>
              </a:ln>
            </spPr>
          </dPt>
          <cat>
            <strLit>
              <ptCount val="5"/>
              <pt idx="0">
                <v>United States</v>
              </pt>
              <pt idx="1">
                <v>Canada and Europe</v>
              </pt>
              <pt idx="2">
                <v>-</v>
              </pt>
              <pt idx="3">
                <v>-</v>
              </pt>
              <pt idx="4">
                <v>-</v>
              </pt>
            </strLit>
          </cat>
          <val>
            <numLit>
              <formatCode>0.0%</formatCode>
              <ptCount val="5"/>
              <pt idx="0">
                <v>0.9821350869593233</v>
              </pt>
              <pt idx="1">
                <v>0.01786491304067677</v>
              </pt>
              <pt idx="2">
                <formatCode>General</formatCode>
                <v>0</v>
              </pt>
              <pt idx="3">
                <formatCode>General</formatCode>
                <v>0</v>
              </pt>
              <pt idx="4">
                <formatCode>General</formatCode>
                <v>0</v>
              </pt>
            </numLit>
          </val>
        </ser>
        <dLbls>
          <showLegendKey val="0"/>
          <showVal val="0"/>
          <showCatName val="0"/>
          <showSerName val="0"/>
          <showPercent val="0"/>
          <showBubbleSize val="0"/>
          <showLeaderLines val="1"/>
        </dLbls>
        <firstSliceAng val="0"/>
        <holeSize val="50"/>
      </doughnutChart>
    </plotArea>
    <legend>
      <legendPos val="b"/>
      <layout>
        <manualLayout>
          <xMode val="edge"/>
          <yMode val="edge"/>
          <wMode val="factor"/>
          <hMode val="factor"/>
          <x val="0"/>
          <y val="0.8403941456470485"/>
          <w val="0.9668245758905937"/>
          <h val="0.1596061868739556"/>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plotArea>
      <layout>
        <manualLayout>
          <layoutTarget val="inner"/>
          <xMode val="edge"/>
          <yMode val="edge"/>
          <wMode val="factor"/>
          <hMode val="factor"/>
          <x val="0.1838373454924668"/>
          <y val="0.02827726080599556"/>
          <w val="0.6099888513439454"/>
          <h val="0.7387587873087272"/>
        </manualLayout>
      </layout>
      <doughnutChart>
        <varyColors val="1"/>
        <ser>
          <idx val="0"/>
          <order val="0"/>
          <tx>
            <v>Weights</v>
          </tx>
          <spPr>
            <a:solidFill>
              <a:srgbClr val="7B1314"/>
            </a:solidFill>
            <a:ln>
              <a:prstDash val="solid"/>
            </a:ln>
          </spPr>
          <dPt>
            <idx val="0"/>
            <bubble3D val="0"/>
            <spPr>
              <a:solidFill>
                <a:srgbClr val="7B1314"/>
              </a:solidFill>
              <a:ln w="19050">
                <a:solidFill>
                  <a:schemeClr val="lt1"/>
                </a:solidFill>
                <a:prstDash val="solid"/>
              </a:ln>
            </spPr>
          </dPt>
          <dPt>
            <idx val="1"/>
            <bubble3D val="0"/>
            <spPr>
              <a:solidFill>
                <a:srgbClr val="FFA3A3"/>
              </a:solidFill>
              <a:ln w="19050">
                <a:solidFill>
                  <a:schemeClr val="lt1"/>
                </a:solidFill>
                <a:prstDash val="solid"/>
              </a:ln>
            </spPr>
          </dPt>
          <dPt>
            <idx val="2"/>
            <bubble3D val="0"/>
            <spPr>
              <a:solidFill>
                <a:srgbClr val="002060"/>
              </a:solidFill>
              <a:ln w="19050">
                <a:solidFill>
                  <a:schemeClr val="lt1"/>
                </a:solidFill>
                <a:prstDash val="solid"/>
              </a:ln>
            </spPr>
          </dPt>
          <dPt>
            <idx val="3"/>
            <bubble3D val="0"/>
            <spPr>
              <a:solidFill>
                <a:srgbClr val="7B1314"/>
              </a:solidFill>
              <a:ln w="19050">
                <a:solidFill>
                  <a:schemeClr val="lt1"/>
                </a:solidFill>
                <a:prstDash val="solid"/>
              </a:ln>
            </spPr>
          </dPt>
          <dPt>
            <idx val="4"/>
            <bubble3D val="0"/>
            <spPr>
              <a:solidFill>
                <a:srgbClr val="7B1314"/>
              </a:solidFill>
              <a:ln w="19050">
                <a:solidFill>
                  <a:schemeClr val="lt1"/>
                </a:solidFill>
                <a:prstDash val="solid"/>
              </a:ln>
            </spPr>
          </dPt>
          <cat>
            <strLit>
              <ptCount val="5"/>
              <pt idx="0">
                <v>Food and beverage</v>
              </pt>
              <pt idx="1">
                <v>Delivery service</v>
              </pt>
              <pt idx="2">
                <v>International/Royalties</v>
              </pt>
              <pt idx="3">
                <v>-</v>
              </pt>
              <pt idx="4">
                <v>-</v>
              </pt>
            </strLit>
          </cat>
          <val>
            <numLit>
              <formatCode>0.0%</formatCode>
              <ptCount val="5"/>
              <pt idx="0">
                <v>0.9762766053262316</v>
              </pt>
              <pt idx="1">
                <v>0.00585848163309175</v>
              </pt>
              <pt idx="2">
                <v>0.01786491304067677</v>
              </pt>
              <pt idx="3">
                <formatCode>General</formatCode>
                <v>0</v>
              </pt>
              <pt idx="4">
                <formatCode>General</formatCode>
                <v>0</v>
              </pt>
            </numLit>
          </val>
        </ser>
        <dLbls>
          <showLegendKey val="0"/>
          <showVal val="0"/>
          <showCatName val="0"/>
          <showSerName val="0"/>
          <showPercent val="0"/>
          <showBubbleSize val="0"/>
          <showLeaderLines val="1"/>
        </dLbls>
        <firstSliceAng val="0"/>
        <holeSize val="50"/>
      </doughnutChart>
    </plotArea>
    <legend>
      <legendPos val="b"/>
      <layout>
        <manualLayout>
          <xMode val="edge"/>
          <yMode val="edge"/>
          <wMode val="factor"/>
          <hMode val="factor"/>
          <x val="0"/>
          <y val="0.7854758847992596"/>
          <w val="1"/>
          <h val="0.2145240638319647"/>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plotArea>
      <layout/>
      <barChart>
        <barDir val="col"/>
        <grouping val="stacked"/>
        <varyColors val="0"/>
        <ser>
          <idx val="0"/>
          <order val="0"/>
          <tx>
            <strRef>
              <f>Inputs!$B$109</f>
              <strCache>
                <ptCount val="1"/>
                <pt idx="0">
                  <v>Fixed</v>
                </pt>
              </strCache>
            </strRef>
          </tx>
          <spPr>
            <a:solidFill>
              <a:schemeClr val="accent1"/>
            </a:solidFill>
            <a:ln>
              <a:noFill/>
              <a:prstDash val="solid"/>
            </a:ln>
          </spPr>
          <invertIfNegative val="0"/>
          <cat>
            <numRef>
              <f>Inputs!$H$106:$Q$106</f>
              <numCache>
                <formatCode>0</formatCode>
                <ptCount val="10"/>
                <pt idx="0">
                  <v>2025</v>
                </pt>
                <pt idx="1">
                  <v>2026</v>
                </pt>
                <pt idx="2">
                  <v>2027</v>
                </pt>
                <pt idx="3">
                  <v>2028</v>
                </pt>
                <pt idx="4">
                  <v>2029</v>
                </pt>
                <pt idx="5">
                  <v>2030</v>
                </pt>
                <pt idx="6">
                  <v>2031</v>
                </pt>
                <pt idx="7">
                  <v>2032</v>
                </pt>
                <pt idx="8">
                  <v>2033</v>
                </pt>
                <pt idx="9">
                  <formatCode>0"+"</formatCode>
                  <v>2034</v>
                </pt>
              </numCache>
            </numRef>
          </cat>
          <val>
            <numRef>
              <f>Inputs!$H$109:$Q$109</f>
              <numCache>
                <formatCode>General</formatCode>
                <ptCount val="10"/>
                <pt idx="9">
                  <v>0</v>
                </pt>
              </numCache>
            </numRef>
          </val>
        </ser>
        <ser>
          <idx val="1"/>
          <order val="1"/>
          <tx>
            <strRef>
              <f>Inputs!$B$109</f>
              <strCache>
                <ptCount val="1"/>
                <pt idx="0">
                  <v>Fixed</v>
                </pt>
              </strCache>
            </strRef>
          </tx>
          <spPr>
            <a:solidFill>
              <a:srgbClr val="002060"/>
            </a:solidFill>
            <a:ln>
              <a:noFill/>
              <a:prstDash val="solid"/>
            </a:ln>
          </spPr>
          <invertIfNegative val="0"/>
          <cat>
            <numRef>
              <f>Inputs!$H$106:$Q$106</f>
              <numCache>
                <formatCode>0</formatCode>
                <ptCount val="10"/>
                <pt idx="0">
                  <v>2025</v>
                </pt>
                <pt idx="1">
                  <v>2026</v>
                </pt>
                <pt idx="2">
                  <v>2027</v>
                </pt>
                <pt idx="3">
                  <v>2028</v>
                </pt>
                <pt idx="4">
                  <v>2029</v>
                </pt>
                <pt idx="5">
                  <v>2030</v>
                </pt>
                <pt idx="6">
                  <v>2031</v>
                </pt>
                <pt idx="7">
                  <v>2032</v>
                </pt>
                <pt idx="8">
                  <v>2033</v>
                </pt>
                <pt idx="9">
                  <formatCode>0"+"</formatCode>
                  <v>2034</v>
                </pt>
              </numCache>
            </numRef>
          </cat>
          <val>
            <numRef>
              <f>Inputs!$H$110:$Q$110</f>
              <numCache>
                <formatCode>General</formatCode>
                <ptCount val="10"/>
              </numCache>
            </numRef>
          </val>
        </ser>
        <dLbls>
          <showLegendKey val="0"/>
          <showVal val="0"/>
          <showCatName val="0"/>
          <showSerName val="0"/>
          <showPercent val="0"/>
          <showBubbleSize val="0"/>
        </dLbls>
        <gapWidth val="150"/>
        <overlap val="100"/>
        <axId val="1004925920"/>
        <axId val="1004924280"/>
      </barChart>
      <catAx>
        <axId val="1004925920"/>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04924280"/>
        <crosses val="autoZero"/>
        <auto val="1"/>
        <lblAlgn val="ctr"/>
        <lblOffset val="100"/>
        <noMultiLvlLbl val="0"/>
      </catAx>
      <valAx>
        <axId val="1004924280"/>
        <scaling>
          <orientation val="minMax"/>
        </scaling>
        <delete val="0"/>
        <axPos val="l"/>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04925920"/>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Region</a:t>
            </a:r>
          </a:p>
        </rich>
      </tx>
      <layout>
        <manualLayout>
          <xMode val="edge"/>
          <yMode val="edge"/>
          <wMode val="factor"/>
          <hMode val="factor"/>
          <x val="0.1961818617598792"/>
          <y val="0"/>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0546549027666"/>
          <y val="0.1613048760407466"/>
          <w val="0.5800081479705703"/>
          <h val="0.6328856664729429"/>
        </manualLayout>
      </layout>
      <pieChart>
        <varyColors val="1"/>
        <ser>
          <idx val="0"/>
          <order val="0"/>
          <tx>
            <v>Weights</v>
          </tx>
          <spPr>
            <a:solidFill>
              <a:srgbClr val="C00000"/>
            </a:solidFill>
            <a:ln>
              <a:prstDash val="solid"/>
            </a:ln>
          </spPr>
          <dPt>
            <idx val="0"/>
            <bubble3D val="0"/>
            <spPr>
              <a:solidFill>
                <a:srgbClr val="7B1314"/>
              </a:solidFill>
              <a:ln w="19050">
                <a:solidFill>
                  <a:schemeClr val="lt1"/>
                </a:solidFill>
                <a:prstDash val="solid"/>
              </a:ln>
            </spPr>
          </dPt>
          <dPt>
            <idx val="1"/>
            <bubble3D val="0"/>
            <spPr>
              <a:solidFill>
                <a:srgbClr val="C00000"/>
              </a:solidFill>
              <a:ln w="19050">
                <a:solidFill>
                  <a:schemeClr val="lt1"/>
                </a:solidFill>
                <a:prstDash val="solid"/>
              </a:ln>
            </spPr>
          </dPt>
          <dPt>
            <idx val="2"/>
            <bubble3D val="0"/>
            <spPr>
              <a:solidFill>
                <a:srgbClr val="C00000"/>
              </a:solidFill>
              <a:ln w="19050">
                <a:solidFill>
                  <a:schemeClr val="lt1"/>
                </a:solidFill>
                <a:prstDash val="solid"/>
              </a:ln>
            </spPr>
          </dPt>
          <dPt>
            <idx val="3"/>
            <bubble3D val="0"/>
            <spPr>
              <a:solidFill>
                <a:srgbClr val="C00000"/>
              </a:solidFill>
              <a:ln w="19050">
                <a:solidFill>
                  <a:schemeClr val="lt1"/>
                </a:solidFill>
                <a:prstDash val="solid"/>
              </a:ln>
            </spPr>
          </dPt>
          <dPt>
            <idx val="4"/>
            <bubble3D val="0"/>
            <spPr>
              <a:solidFill>
                <a:srgbClr val="C00000"/>
              </a:solidFill>
              <a:ln w="19050">
                <a:solidFill>
                  <a:schemeClr val="lt1"/>
                </a:solidFill>
                <a:prstDash val="solid"/>
              </a:ln>
            </spPr>
          </dPt>
          <cat>
            <numRef>
              <f>Segments!$B$6:$B$10</f>
              <numCache>
                <formatCode>General</formatCode>
                <ptCount val="5"/>
              </numCache>
            </numRef>
          </cat>
          <val>
            <numRef>
              <f>Segments!$D$6:$D$10</f>
              <numCache>
                <formatCode>0.0%</formatCode>
                <ptCount val="5"/>
                <pt idx="0">
                  <v>0</v>
                </pt>
                <pt idx="1">
                  <v>0</v>
                </pt>
                <pt idx="2">
                  <v>0</v>
                </pt>
                <pt idx="3">
                  <v>0</v>
                </pt>
                <pt idx="4">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
          <y val="0.8403941456470485"/>
          <w val="1"/>
          <h val="0.1257075492682059"/>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Segment</a:t>
            </a:r>
          </a:p>
        </rich>
      </tx>
      <layout>
        <manualLayout>
          <xMode val="edge"/>
          <yMode val="edge"/>
          <wMode val="factor"/>
          <hMode val="factor"/>
          <x val="0.2088019160724208"/>
          <y val="0.01461083259461166"/>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236093921990225"/>
          <y val="0.1759186344298777"/>
          <w val="0.5663618488966961"/>
          <h val="0.6184891175340577"/>
        </manualLayout>
      </layout>
      <pieChart>
        <varyColors val="1"/>
        <ser>
          <idx val="0"/>
          <order val="0"/>
          <tx>
            <v>Weights</v>
          </tx>
          <spPr>
            <a:solidFill>
              <a:srgbClr val="FF0000"/>
            </a:solidFill>
            <a:ln>
              <a:prstDash val="solid"/>
            </a:ln>
          </spPr>
          <dPt>
            <idx val="0"/>
            <bubble3D val="0"/>
            <spPr>
              <a:solidFill>
                <a:srgbClr val="7B1314"/>
              </a:solidFill>
              <a:ln w="19050">
                <a:solidFill>
                  <a:schemeClr val="lt1"/>
                </a:solidFill>
                <a:prstDash val="solid"/>
              </a:ln>
            </spPr>
          </dPt>
          <dPt>
            <idx val="1"/>
            <bubble3D val="0"/>
            <spPr>
              <a:solidFill>
                <a:srgbClr val="FF0000"/>
              </a:solidFill>
              <a:ln w="19050">
                <a:solidFill>
                  <a:schemeClr val="lt1"/>
                </a:solidFill>
                <a:prstDash val="solid"/>
              </a:ln>
            </spPr>
          </dPt>
          <dPt>
            <idx val="2"/>
            <bubble3D val="0"/>
            <spPr>
              <a:solidFill>
                <a:srgbClr val="C00000"/>
              </a:solidFill>
              <a:ln w="19050">
                <a:solidFill>
                  <a:schemeClr val="lt1"/>
                </a:solidFill>
                <a:prstDash val="solid"/>
              </a:ln>
            </spPr>
          </dPt>
          <dPt>
            <idx val="3"/>
            <bubble3D val="0"/>
            <spPr>
              <a:solidFill>
                <a:srgbClr val="FF0000"/>
              </a:solidFill>
              <a:ln w="19050">
                <a:solidFill>
                  <a:schemeClr val="lt1"/>
                </a:solidFill>
                <a:prstDash val="solid"/>
              </a:ln>
            </spPr>
          </dPt>
          <dPt>
            <idx val="4"/>
            <bubble3D val="0"/>
            <spPr>
              <a:solidFill>
                <a:srgbClr val="FF0000"/>
              </a:solidFill>
              <a:ln w="19050">
                <a:solidFill>
                  <a:schemeClr val="lt1"/>
                </a:solidFill>
                <a:prstDash val="solid"/>
              </a:ln>
            </spPr>
          </dPt>
          <cat>
            <numRef>
              <f>Segments!$B$17:$B$21</f>
              <numCache>
                <formatCode>General</formatCode>
                <ptCount val="5"/>
              </numCache>
            </numRef>
          </cat>
          <val>
            <numRef>
              <f>Segments!$D$17:$D$21</f>
              <numCache>
                <formatCode>0.0%</formatCode>
                <ptCount val="5"/>
                <pt idx="0">
                  <v>0</v>
                </pt>
                <pt idx="1">
                  <v>0</v>
                </pt>
                <pt idx="2">
                  <v>0</v>
                </pt>
                <pt idx="3">
                  <v>0</v>
                </pt>
                <pt idx="4">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
          <y val="0.8403941456470485"/>
          <w val="1"/>
          <h val="0.1257075492682059"/>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Porter's Five Forces</a:t>
            </a:r>
          </a:p>
        </rich>
      </tx>
      <layout/>
      <overlay val="0"/>
      <spPr>
        <a:noFill/>
        <a:ln>
          <a:solidFill>
            <a:schemeClr val="bg1"/>
          </a:solid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1783218999163037"/>
          <y val="0.2263401912160415"/>
          <w val="0.6422236027348678"/>
          <h val="0.6932833134433559"/>
        </manualLayout>
      </layout>
      <radarChart>
        <radarStyle val="filled"/>
        <varyColors val="0"/>
        <ser>
          <idx val="0"/>
          <order val="0"/>
          <spPr>
            <a:solidFill>
              <a:schemeClr val="accent1"/>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(Industry!$C$44,Industry!$C$51,Industry!$C$57,Industry!$C$63,Industry!$C$69)</f>
              <numCache>
                <formatCode>General</formatCode>
                <ptCount val="5"/>
              </numCache>
            </numRef>
          </val>
        </ser>
        <ser>
          <idx val="1"/>
          <order val="1"/>
          <spPr>
            <a:solidFill>
              <a:schemeClr val="accent2"/>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(Industry!$D$44,Industry!$D$51,Industry!$D$57,Industry!$D$63,Industry!$D$69)</f>
              <numCache>
                <formatCode>General</formatCode>
                <ptCount val="5"/>
              </numCache>
            </numRef>
          </val>
        </ser>
        <ser>
          <idx val="2"/>
          <order val="2"/>
          <spPr>
            <a:solidFill>
              <a:srgbClr val="7B1314"/>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(Industry!$E$44,Industry!$E$51,Industry!$E$57,Industry!$E$63,Industry!$E$69)</f>
              <numCache>
                <formatCode>General</formatCode>
                <ptCount val="5"/>
                <pt idx="0">
                  <formatCode>0.00</formatCode>
                  <v>0</v>
                </pt>
                <pt idx="1">
                  <v>0</v>
                </pt>
                <pt idx="2">
                  <v>0</v>
                </pt>
                <pt idx="3">
                  <v>0</v>
                </pt>
                <pt idx="4">
                  <v>0</v>
                </pt>
              </numCache>
            </numRef>
          </val>
        </ser>
        <dLbls>
          <showLegendKey val="0"/>
          <showVal val="0"/>
          <showCatName val="0"/>
          <showSerName val="0"/>
          <showPercent val="0"/>
          <showBubbleSize val="0"/>
        </dLbls>
        <axId val="187338759"/>
        <axId val="192312327"/>
      </radarChart>
      <catAx>
        <axId val="187338759"/>
        <scaling>
          <orientation val="minMax"/>
        </scaling>
        <delete val="0"/>
        <axPos val="b"/>
        <numFmt formatCode="General" sourceLinked="1"/>
        <majorTickMark val="none"/>
        <minorTickMark val="none"/>
        <tickLblPos val="nextTo"/>
        <spPr>
          <a:noFill/>
          <a:ln w="9525" cap="flat" cmpd="sng" algn="ctr">
            <a:solidFill>
              <a:schemeClr val="tx1"/>
            </a:solidFill>
            <a:prstDash val="solid"/>
            <a:round/>
          </a:ln>
        </spPr>
        <txPr>
          <a:bodyPr rot="-60000000" spcFirstLastPara="1" vertOverflow="ellipsis" vert="horz" wrap="square" anchor="ctr" anchorCtr="1"/>
          <a:lstStyle/>
          <a:p>
            <a:pPr>
              <a:defRPr sz="1400" b="0" i="0" strike="noStrike" kern="1200" baseline="0">
                <a:solidFill>
                  <a:sysClr val="windowText" lastClr="000000"/>
                </a:solidFill>
                <a:latin typeface="+mn-lt"/>
                <a:ea typeface="+mn-ea"/>
                <a:cs typeface="+mn-cs"/>
              </a:defRPr>
            </a:pPr>
            <a:r>
              <a:t/>
            </a:r>
            <a:endParaRPr lang="en-US"/>
          </a:p>
        </txPr>
        <crossAx val="192312327"/>
        <crosses val="autoZero"/>
        <auto val="1"/>
        <lblAlgn val="ctr"/>
        <lblOffset val="100"/>
        <noMultiLvlLbl val="0"/>
      </catAx>
      <valAx>
        <axId val="192312327"/>
        <scaling>
          <orientation val="minMax"/>
          <max val="5"/>
        </scaling>
        <delete val="1"/>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crossAx val="187338759"/>
        <crosses val="autoZero"/>
        <crossBetween val="between"/>
      </valAx>
    </plotArea>
    <plotVisOnly val="1"/>
    <dispBlanksAs val="gap"/>
  </chart>
  <spPr>
    <a:solidFill>
      <a:schemeClr val="bg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plotArea>
      <layout>
        <manualLayout>
          <layoutTarget val="inner"/>
          <xMode val="edge"/>
          <yMode val="edge"/>
          <wMode val="factor"/>
          <hMode val="factor"/>
          <x val="0.006148949568774791"/>
          <y val="0.02209301903931335"/>
          <w val="0.3654215408474436"/>
          <h val="0.9779069809606866"/>
        </manualLayout>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Pt>
            <idx val="10"/>
            <bubble3D val="0"/>
            <spPr>
              <a:solidFill>
                <a:schemeClr val="accent5">
                  <a:lumMod val="60000"/>
                </a:schemeClr>
              </a:solidFill>
              <a:ln w="19050">
                <a:solidFill>
                  <a:schemeClr val="lt1"/>
                </a:solidFill>
                <a:prstDash val="solid"/>
              </a:ln>
            </spPr>
          </dPt>
          <dPt>
            <idx val="11"/>
            <bubble3D val="0"/>
            <spPr>
              <a:solidFill>
                <a:schemeClr val="accent6">
                  <a:lumMod val="60000"/>
                </a:schemeClr>
              </a:solidFill>
              <a:ln w="19050">
                <a:solidFill>
                  <a:schemeClr val="lt1"/>
                </a:solidFill>
                <a:prstDash val="solid"/>
              </a:ln>
            </spPr>
          </dPt>
          <cat>
            <strRef>
              <f>Industry!$B$28:$B$39</f>
              <strCache>
                <ptCount val="12"/>
                <pt idx="0">
                  <v>#NAME?</v>
                </pt>
                <pt idx="1">
                  <v>#NAME?</v>
                </pt>
                <pt idx="2">
                  <v>#NAME?</v>
                </pt>
                <pt idx="3">
                  <v>#NAME?</v>
                </pt>
                <pt idx="4">
                  <v>#NAME?</v>
                </pt>
                <pt idx="5">
                  <v>#NAME?</v>
                </pt>
                <pt idx="6">
                  <v>#NAME?</v>
                </pt>
                <pt idx="7">
                  <v>#NAME?</v>
                </pt>
                <pt idx="8">
                  <v>#NAME?</v>
                </pt>
                <pt idx="9">
                  <v>#NAME?</v>
                </pt>
                <pt idx="10">
                  <v>#NAME?</v>
                </pt>
                <pt idx="11">
                  <v>Others</v>
                </pt>
              </strCache>
            </strRef>
          </cat>
          <val>
            <numRef>
              <f>Industry!$I$28:$I$39</f>
              <numCache>
                <formatCode>0%</formatCode>
                <ptCount val="12"/>
                <pt idx="0">
                  <v>0</v>
                </pt>
                <pt idx="1">
                  <v>0</v>
                </pt>
                <pt idx="2">
                  <v>0</v>
                </pt>
                <pt idx="3">
                  <v>0</v>
                </pt>
                <pt idx="4">
                  <v>0</v>
                </pt>
                <pt idx="5">
                  <v>0</v>
                </pt>
                <pt idx="6">
                  <v>0</v>
                </pt>
                <pt idx="7">
                  <v>0</v>
                </pt>
                <pt idx="8">
                  <v>0</v>
                </pt>
                <pt idx="9">
                  <formatCode>0.00%</formatCode>
                  <v>0</v>
                </pt>
                <pt idx="10">
                  <formatCode>0.00%</formatCode>
                  <v>0</v>
                </pt>
                <pt idx="11">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4047419840355445"/>
          <y val="0.05483978583718768"/>
          <w val="0.5034453023143823"/>
          <h val="0.9160518762816316"/>
        </manualLayout>
      </layout>
      <overlay val="0"/>
      <spPr>
        <a:noFill/>
        <a:ln>
          <a:noFill/>
          <a:prstDash val="solid"/>
        </a:ln>
      </spPr>
      <txPr>
        <a:bodyPr rot="0" spcFirstLastPara="1" vertOverflow="ellipsis" vert="horz" wrap="square" anchor="ctr" anchorCtr="1"/>
        <a:lstStyle/>
        <a:p>
          <a:pPr>
            <a:defRPr sz="12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9.xml><?xml version="1.0" encoding="utf-8"?>
<chartSpace xmlns:a="http://schemas.openxmlformats.org/drawingml/2006/main" xmlns="http://schemas.openxmlformats.org/drawingml/2006/chart">
  <chart>
    <plotArea>
      <layout>
        <manualLayout>
          <layoutTarget val="inner"/>
          <xMode val="edge"/>
          <yMode val="edge"/>
          <wMode val="factor"/>
          <hMode val="factor"/>
          <x val="0.04834312028663148"/>
          <y val="0.05290808914312377"/>
          <w val="0.9355859143798327"/>
          <h val="0.7381121545446421"/>
        </manualLayout>
      </layout>
      <lineChart>
        <grouping val="standard"/>
        <varyColors val="0"/>
        <ser>
          <idx val="0"/>
          <order val="0"/>
          <tx>
            <strRef>
              <f>'ESG Inputs'!$B$76</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Inputs'!$G$76:$Q$76</f>
              <numCache>
                <formatCode>General</formatCode>
                <ptCount val="11"/>
                <pt idx="0">
                  <v>0</v>
                </pt>
                <pt idx="1">
                  <v>0</v>
                </pt>
                <pt idx="2">
                  <v>0</v>
                </pt>
                <pt idx="3">
                  <v>0</v>
                </pt>
                <pt idx="4">
                  <v>0</v>
                </pt>
                <pt idx="5">
                  <v>0</v>
                </pt>
                <pt idx="6">
                  <v>0</v>
                </pt>
                <pt idx="7">
                  <v>0</v>
                </pt>
                <pt idx="8">
                  <v>0</v>
                </pt>
                <pt idx="9">
                  <v>0</v>
                </pt>
                <pt idx="10">
                  <v>0</v>
                </pt>
              </numCache>
            </numRef>
          </val>
          <smooth val="0"/>
        </ser>
        <ser>
          <idx val="1"/>
          <order val="1"/>
          <tx>
            <strRef>
              <f>'ESG Inputs'!$B$77</f>
              <strCache>
                <ptCount val="1"/>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Inputs'!$G$77:$Q$77</f>
              <numCache>
                <formatCode>General</formatCode>
                <ptCount val="11"/>
                <pt idx="0">
                  <v>0</v>
                </pt>
                <pt idx="1">
                  <v>0</v>
                </pt>
                <pt idx="2">
                  <v>0</v>
                </pt>
                <pt idx="3">
                  <v>0</v>
                </pt>
                <pt idx="4">
                  <v>0</v>
                </pt>
                <pt idx="5">
                  <v>0</v>
                </pt>
                <pt idx="6">
                  <v>0</v>
                </pt>
                <pt idx="7">
                  <v>0</v>
                </pt>
                <pt idx="8">
                  <v>0</v>
                </pt>
                <pt idx="9">
                  <v>0</v>
                </pt>
                <pt idx="10">
                  <v>0</v>
                </pt>
              </numCache>
            </numRef>
          </val>
          <smooth val="0"/>
        </ser>
        <ser>
          <idx val="2"/>
          <order val="2"/>
          <tx>
            <strRef>
              <f>'ESG Inputs'!$B$78</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Inputs'!$G$78:$Q$78</f>
              <numCache>
                <formatCode>General</formatCode>
                <ptCount val="11"/>
                <pt idx="0">
                  <formatCode>#,##0</formatCode>
                  <v>0</v>
                </pt>
                <pt idx="1">
                  <v>0</v>
                </pt>
                <pt idx="2">
                  <v>0</v>
                </pt>
                <pt idx="3">
                  <v>0</v>
                </pt>
                <pt idx="4">
                  <v>0</v>
                </pt>
                <pt idx="5">
                  <v>0</v>
                </pt>
                <pt idx="6">
                  <v>0</v>
                </pt>
                <pt idx="7">
                  <v>0</v>
                </pt>
                <pt idx="8">
                  <v>0</v>
                </pt>
                <pt idx="9">
                  <v>0</v>
                </pt>
                <pt idx="10">
                  <v>0</v>
                </pt>
              </numCache>
            </numRef>
          </val>
          <smooth val="0"/>
        </ser>
        <ser>
          <idx val="3"/>
          <order val="3"/>
          <tx>
            <strRef>
              <f>'ESG Inputs'!$B$79</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Inputs'!$G$79:$Q$79</f>
              <numCache>
                <formatCode>General</formatCode>
                <ptCount val="11"/>
                <pt idx="0">
                  <v>0</v>
                </pt>
                <pt idx="1">
                  <v>0</v>
                </pt>
                <pt idx="2">
                  <v>0</v>
                </pt>
                <pt idx="3">
                  <v>0</v>
                </pt>
                <pt idx="4">
                  <v>0</v>
                </pt>
                <pt idx="5">
                  <v>0</v>
                </pt>
                <pt idx="6">
                  <v>0</v>
                </pt>
                <pt idx="7">
                  <v>0</v>
                </pt>
                <pt idx="8">
                  <v>0</v>
                </pt>
                <pt idx="9">
                  <v>0</v>
                </pt>
                <pt idx="10">
                  <v>0</v>
                </pt>
              </numCache>
            </numRef>
          </val>
          <smooth val="0"/>
        </ser>
        <ser>
          <idx val="4"/>
          <order val="4"/>
          <tx>
            <strRef>
              <f>'ESG Inputs'!$B$80</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Inputs'!$G$80:$Q$80</f>
              <numCache>
                <formatCode>General</formatCode>
                <ptCount val="11"/>
                <pt idx="0">
                  <v>0</v>
                </pt>
                <pt idx="1">
                  <v>0</v>
                </pt>
                <pt idx="2">
                  <v>0</v>
                </pt>
                <pt idx="3">
                  <v>0</v>
                </pt>
                <pt idx="4">
                  <v>0</v>
                </pt>
                <pt idx="5">
                  <v>0</v>
                </pt>
                <pt idx="6">
                  <v>0</v>
                </pt>
                <pt idx="7">
                  <v>0</v>
                </pt>
                <pt idx="8">
                  <v>0</v>
                </pt>
                <pt idx="9">
                  <v>0</v>
                </pt>
                <pt idx="10">
                  <v>0</v>
                </pt>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legend>
      <legendPos val="b"/>
      <layout>
        <manualLayout>
          <xMode val="edge"/>
          <yMode val="edge"/>
          <wMode val="factor"/>
          <hMode val="factor"/>
          <x val="0.01294995395559145"/>
          <y val="0.844881966105495"/>
          <w val="0.9770219707467019"/>
          <h val="0.155118033894505"/>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10.xml><?xml version="1.0" encoding="utf-8"?>
<chartSpace xmlns:a="http://schemas.openxmlformats.org/drawingml/2006/main" xmlns="http://schemas.openxmlformats.org/drawingml/2006/chart">
  <chart>
    <plotArea>
      <layout/>
      <lineChart>
        <grouping val="standard"/>
        <varyColors val="0"/>
        <ser>
          <idx val="1"/>
          <order val="0"/>
          <tx>
            <strRef>
              <f>'ESG Inputs'!$B$48</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Inputs'!$G$48:$Q$48</f>
              <numCache>
                <formatCode>General</formatCode>
                <ptCount val="11"/>
              </numCache>
            </numRef>
          </val>
          <smooth val="0"/>
        </ser>
        <ser>
          <idx val="2"/>
          <order val="1"/>
          <tx>
            <strRef>
              <f>'ESG Inputs'!$B$51</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Inputs'!$G$51:$Q$51</f>
              <numCache>
                <formatCode>General</formatCode>
                <ptCount val="11"/>
              </numCache>
            </numRef>
          </val>
          <smooth val="0"/>
        </ser>
        <ser>
          <idx val="3"/>
          <order val="2"/>
          <tx>
            <strRef>
              <f>'ESG Inputs'!$B$52</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Inputs'!$G$52:$Q$52</f>
              <numCache>
                <formatCode>General</formatCode>
                <ptCount val="11"/>
              </numCache>
            </numRef>
          </val>
          <smooth val="0"/>
        </ser>
        <ser>
          <idx val="4"/>
          <order val="3"/>
          <tx>
            <strRef>
              <f>'ESG Inputs'!$B$50</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Inputs'!$G$50:$Q$50</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harts/chart11.xml><?xml version="1.0" encoding="utf-8"?>
<chartSpace xmlns:a="http://schemas.openxmlformats.org/drawingml/2006/main" xmlns="http://schemas.openxmlformats.org/drawingml/2006/chart">
  <chart>
    <plotArea>
      <layout/>
      <lineChart>
        <grouping val="standard"/>
        <varyColors val="0"/>
        <ser>
          <idx val="2"/>
          <order val="0"/>
          <tx>
            <strRef>
              <f>'ESG Inputs'!$B$62</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Inputs'!$G$62:$Q$62</f>
              <numCache>
                <formatCode>General</formatCode>
                <ptCount val="11"/>
              </numCache>
            </numRef>
          </val>
          <smooth val="0"/>
        </ser>
        <ser>
          <idx val="3"/>
          <order val="1"/>
          <tx>
            <strRef>
              <f>'ESG Inputs'!$B$65</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Inputs'!$G$65:$Q$65</f>
              <numCache>
                <formatCode>General</formatCode>
                <ptCount val="11"/>
              </numCache>
            </numRef>
          </val>
          <smooth val="0"/>
        </ser>
        <ser>
          <idx val="4"/>
          <order val="2"/>
          <tx>
            <strRef>
              <f>'ESG Inputs'!$B$66</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Inputs'!$G$66:$Q$66</f>
              <numCache>
                <formatCode>General</formatCode>
                <ptCount val="11"/>
              </numCache>
            </numRef>
          </val>
          <smooth val="0"/>
        </ser>
        <ser>
          <idx val="5"/>
          <order val="3"/>
          <tx>
            <strRef>
              <f>'ESG Inputs'!$B$67</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Inputs'!$G$67:$Q$67</f>
              <numCache>
                <formatCode>General</formatCode>
                <ptCount val="11"/>
              </numCache>
            </numRef>
          </val>
          <smooth val="0"/>
        </ser>
        <ser>
          <idx val="6"/>
          <order val="4"/>
          <tx>
            <strRef>
              <f>'ESG Inputs'!$B$68</f>
              <strCache>
                <ptCount val="1"/>
              </strCache>
            </strRef>
          </tx>
          <spPr>
            <a:ln w="28575" cap="rnd">
              <a:solidFill>
                <a:schemeClr val="accent1">
                  <a:lumMod val="80000"/>
                  <a:lumOff val="20000"/>
                </a:schemeClr>
              </a:solidFill>
              <a:prstDash val="solid"/>
              <a:round/>
            </a:ln>
          </spPr>
          <marker>
            <symbol val="circle"/>
            <size val="5"/>
            <spPr>
              <a:solidFill>
                <a:schemeClr val="accent1">
                  <a:lumMod val="80000"/>
                  <a:lumOff val="20000"/>
                </a:schemeClr>
              </a:solidFill>
              <a:ln w="9525">
                <a:solidFill>
                  <a:schemeClr val="accent1">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Inputs'!$G$68:$Q$68</f>
              <numCache>
                <formatCode>General</formatCode>
                <ptCount val="11"/>
              </numCache>
            </numRef>
          </val>
          <smooth val="0"/>
        </ser>
        <ser>
          <idx val="7"/>
          <order val="5"/>
          <tx>
            <strRef>
              <f>'ESG Inputs'!$B$69</f>
              <strCache>
                <ptCount val="1"/>
              </strCache>
            </strRef>
          </tx>
          <spPr>
            <a:ln w="28575" cap="rnd">
              <a:solidFill>
                <a:schemeClr val="accent3">
                  <a:lumMod val="80000"/>
                  <a:lumOff val="20000"/>
                </a:schemeClr>
              </a:solidFill>
              <a:prstDash val="solid"/>
              <a:round/>
            </a:ln>
          </spPr>
          <marker>
            <symbol val="circle"/>
            <size val="5"/>
            <spPr>
              <a:solidFill>
                <a:schemeClr val="accent3">
                  <a:lumMod val="80000"/>
                  <a:lumOff val="20000"/>
                </a:schemeClr>
              </a:solidFill>
              <a:ln w="9525">
                <a:solidFill>
                  <a:schemeClr val="accent3">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Inputs'!$G$69:$Q$69</f>
              <numCache>
                <formatCode>General</formatCode>
                <ptCount val="11"/>
              </numCache>
            </numRef>
          </val>
          <smooth val="0"/>
        </ser>
        <ser>
          <idx val="8"/>
          <order val="6"/>
          <tx>
            <strRef>
              <f>'ESG Inputs'!$B$70</f>
              <strCache>
                <ptCount val="1"/>
              </strCache>
            </strRef>
          </tx>
          <spPr>
            <a:ln w="28575" cap="rnd">
              <a:solidFill>
                <a:schemeClr val="accent5">
                  <a:lumMod val="80000"/>
                  <a:lumOff val="20000"/>
                </a:schemeClr>
              </a:solidFill>
              <a:prstDash val="solid"/>
              <a:round/>
            </a:ln>
          </spPr>
          <marker>
            <symbol val="circle"/>
            <size val="5"/>
            <spPr>
              <a:solidFill>
                <a:schemeClr val="accent5">
                  <a:lumMod val="80000"/>
                  <a:lumOff val="20000"/>
                </a:schemeClr>
              </a:solidFill>
              <a:ln w="9525">
                <a:solidFill>
                  <a:schemeClr val="accent5">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Inputs'!$G$70:$Q$70</f>
              <numCache>
                <formatCode>General</formatCode>
                <ptCount val="11"/>
              </numCache>
            </numRef>
          </val>
          <smooth val="0"/>
        </ser>
        <ser>
          <idx val="9"/>
          <order val="7"/>
          <tx>
            <strRef>
              <f>'ESG Inputs'!$B$71</f>
              <strCache>
                <ptCount val="1"/>
              </strCache>
            </strRef>
          </tx>
          <spPr>
            <a:ln w="28575" cap="rnd">
              <a:solidFill>
                <a:schemeClr val="accent1">
                  <a:lumMod val="80000"/>
                </a:schemeClr>
              </a:solidFill>
              <a:prstDash val="solid"/>
              <a:round/>
            </a:ln>
          </spPr>
          <marker>
            <symbol val="circle"/>
            <size val="5"/>
            <spPr>
              <a:solidFill>
                <a:schemeClr val="accent1">
                  <a:lumMod val="80000"/>
                </a:schemeClr>
              </a:solidFill>
              <a:ln w="9525">
                <a:solidFill>
                  <a:schemeClr val="accent1">
                    <a:lumMod val="8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Inputs'!$G$71:$Q$71</f>
              <numCache>
                <formatCode>General</formatCode>
                <ptCount val="11"/>
              </numCache>
            </numRef>
          </val>
          <smooth val="0"/>
        </ser>
        <ser>
          <idx val="10"/>
          <order val="8"/>
          <tx>
            <strRef>
              <f>'ESG Inputs'!$B$72</f>
              <strCache>
                <ptCount val="1"/>
              </strCache>
            </strRef>
          </tx>
          <spPr>
            <a:ln w="28575" cap="rnd">
              <a:solidFill>
                <a:schemeClr val="accent3">
                  <a:lumMod val="80000"/>
                </a:schemeClr>
              </a:solidFill>
              <a:prstDash val="solid"/>
              <a:round/>
            </a:ln>
          </spPr>
          <marker>
            <symbol val="circle"/>
            <size val="5"/>
            <spPr>
              <a:solidFill>
                <a:schemeClr val="accent3">
                  <a:lumMod val="80000"/>
                </a:schemeClr>
              </a:solidFill>
              <a:ln w="9525">
                <a:solidFill>
                  <a:schemeClr val="accent3">
                    <a:lumMod val="8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Inputs'!$G$72:$Q$72</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harts/chart12.xml><?xml version="1.0" encoding="utf-8"?>
<chartSpace xmlns:a="http://schemas.openxmlformats.org/drawingml/2006/main" xmlns="http://schemas.openxmlformats.org/drawingml/2006/chart">
  <chart>
    <plotArea>
      <layout/>
      <lineChart>
        <grouping val="standard"/>
        <varyColors val="0"/>
        <ser>
          <idx val="0"/>
          <order val="0"/>
          <tx>
            <strRef>
              <f>'ESG Inputs'!$B$34</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Inputs'!$G$34:$Q$34</f>
              <numCache>
                <formatCode>General</formatCode>
                <ptCount val="11"/>
              </numCache>
            </numRef>
          </val>
          <smooth val="0"/>
        </ser>
        <ser>
          <idx val="1"/>
          <order val="1"/>
          <tx>
            <strRef>
              <f>'ESG Inputs'!$B$35</f>
              <strCache>
                <ptCount val="1"/>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Inputs'!$G$35:$Q$35</f>
              <numCache>
                <formatCode>General</formatCode>
                <ptCount val="11"/>
              </numCache>
            </numRef>
          </val>
          <smooth val="0"/>
        </ser>
        <ser>
          <idx val="2"/>
          <order val="2"/>
          <tx>
            <strRef>
              <f>'ESG Inputs'!$B$36</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Inputs'!$G$36:$Q$36</f>
              <numCache>
                <formatCode>General</formatCode>
                <ptCount val="11"/>
              </numCache>
            </numRef>
          </val>
          <smooth val="0"/>
        </ser>
        <ser>
          <idx val="3"/>
          <order val="3"/>
          <tx>
            <strRef>
              <f>'ESG Inputs'!$B$37</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Inputs'!$G$37:$Q$37</f>
              <numCache>
                <formatCode>#,##0.00</formatCode>
                <ptCount val="11"/>
              </numCache>
            </numRef>
          </val>
          <smooth val="0"/>
        </ser>
        <ser>
          <idx val="4"/>
          <order val="4"/>
          <tx>
            <strRef>
              <f>'ESG Inputs'!$B$38</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Inputs'!$G$38:$Q$38</f>
              <numCache>
                <formatCode>General</formatCode>
                <ptCount val="11"/>
              </numCache>
            </numRef>
          </val>
          <smooth val="0"/>
        </ser>
        <ser>
          <idx val="5"/>
          <order val="5"/>
          <tx>
            <strRef>
              <f>'ESG Inputs'!$B$39</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Inputs'!$G$39:$Q$39</f>
              <numCache>
                <formatCode>General</formatCode>
                <ptCount val="11"/>
              </numCache>
            </numRef>
          </val>
          <smooth val="0"/>
        </ser>
        <ser>
          <idx val="6"/>
          <order val="6"/>
          <tx>
            <strRef>
              <f>'ESG Inputs'!$B$40</f>
              <strCache>
                <ptCount val="1"/>
              </strCache>
            </strRef>
          </tx>
          <spPr>
            <a:ln w="28575" cap="rnd">
              <a:solidFill>
                <a:schemeClr val="accent1">
                  <a:lumMod val="80000"/>
                  <a:lumOff val="20000"/>
                </a:schemeClr>
              </a:solidFill>
              <a:prstDash val="solid"/>
              <a:round/>
            </a:ln>
          </spPr>
          <marker>
            <symbol val="circle"/>
            <size val="5"/>
            <spPr>
              <a:solidFill>
                <a:schemeClr val="accent1">
                  <a:lumMod val="80000"/>
                  <a:lumOff val="20000"/>
                </a:schemeClr>
              </a:solidFill>
              <a:ln w="9525">
                <a:solidFill>
                  <a:schemeClr val="accent1">
                    <a:lumMod val="80000"/>
                    <a:lumOff val="2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Inputs'!$G$40:$Q$40</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omments/comment1.xml><?xml version="1.0" encoding="utf-8"?>
<comments xmlns="http://schemas.openxmlformats.org/spreadsheetml/2006/main">
  <authors>
    <author>Raul Vasconcelos</author>
    <author>Raul Vasconcelos da Silva</author>
    <author>tc={CB5C8E83-E3D0-4441-B6E0-D862C650B5F5}</author>
    <author>tc={CE396053-595E-4126-9C71-0875E5897884}</author>
    <author>tc={E2CDF95A-7B2F-4661-BCB3-C007122C6CFD}</author>
    <author>tc={CD092673-94DE-4108-B6AF-FC73424C056A}</author>
    <author>tc={62E50C66-BA1C-4031-B660-F25771E0B7AB}</author>
    <author>tc={9EF6C6D7-5E70-49FE-A672-ED08A0372EC5}</author>
  </authors>
  <commentList>
    <comment ref="B39" authorId="0" shapeId="0">
      <text>
        <t>Raul Vasconcelos:
Forecast based on historical percentages or growth assumptions</t>
      </text>
    </comment>
    <comment ref="B42" authorId="0" shapeId="0">
      <text>
        <t>Raul Vasconcelos:
Forecast based on company policy, industry trends, or as a percentage of sales</t>
      </text>
    </comment>
    <comment ref="B72" authorId="1" shapeId="0">
      <text>
        <t>Forecast as % of revenue for maximum simplicity. It is encouraged to build a more complex model using bond yields, exchange rates and exposure to each region (not always necessary)</t>
      </text>
    </comment>
    <comment ref="B106" authorId="1" shapeId="0">
      <text>
        <t>Growth with R&amp;D or with part of the capex, should find what is the most reliable method for the company</t>
      </text>
    </comment>
    <comment ref="B123" authorId="2" shapeId="0">
      <text>
        <t>[Threaded comment]
Your version of Excel allows you to read this threaded comment; however, any edits to it will get removed if the file is opened in a newer version of Excel. Learn more: https://go.microsoft.com/fwlink/?linkid=870924
Comment:
    Chipotle does not have any Intangibles in its Balance Sheet, except for Goodwill. Hence Depreciation and Amortization are forecasted only as % of PP&amp;E.</t>
      </text>
    </comment>
    <comment ref="B125" authorId="1" shapeId="0">
      <text>
        <t xml:space="preserve">Usually part of SG&amp;A expenses, but sometimes can be part of R&amp;D expenses, i.e. tech/engineering companies </t>
      </text>
    </comment>
    <comment ref="B136" authorId="3" shapeId="0">
      <text>
        <t xml:space="preserve">[Threaded comment]
Your version of Excel allows you to read this threaded comment; however, any edits to it will get removed if the file is opened in a newer version of Excel. Learn more: https://go.microsoft.com/fwlink/?linkid=870924
Comment:
    Forecasted based on net number of stores opening </t>
      </text>
    </comment>
    <comment ref="B141" authorId="1" shapeId="0">
      <text>
        <t>Forecast separately based on what you find to be the best factor</t>
      </text>
    </comment>
    <comment ref="B153" authorId="4"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56" authorId="5"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58" authorId="6"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65" authorId="7"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List>
</comments>
</file>

<file path=xl/comments/comment2.xml><?xml version="1.0" encoding="utf-8"?>
<comments xmlns="http://schemas.openxmlformats.org/spreadsheetml/2006/main">
  <authors>
    <author>Raul Vasconcelos da Silva</author>
    <author>Raul Vasconcelos</author>
  </authors>
  <commentList>
    <comment ref="B7" authorId="0" shapeId="0">
      <text>
        <t>Raul Vasconcelos da Silva:
Food, beverage and packaging</t>
      </text>
    </comment>
    <comment ref="B50" authorId="1" shapeId="0">
      <text>
        <t>Raul Vasconcelos:
Should include all interest-bearing liabilities with exception of Lease Liabilities</t>
      </text>
    </comment>
    <comment ref="B55" authorId="1" shapeId="0">
      <text>
        <t>Raul Vasconcelos:
Should include all interest-bearing liabilities with exception of Lease Liabilities</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image" Target="/xl/media/image1.jpeg" Id="rId5" /></Relationships>
</file>

<file path=xl/drawings/_rels/drawing2.xml.rels><Relationships xmlns="http://schemas.openxmlformats.org/package/2006/relationships"><Relationship Type="http://schemas.openxmlformats.org/officeDocument/2006/relationships/chart" Target="/xl/charts/chart5.xml" Id="rId1" /><Relationship Type="http://schemas.openxmlformats.org/officeDocument/2006/relationships/chart" Target="/xl/charts/chart6.xml" Id="rId2" /></Relationships>
</file>

<file path=xl/drawings/_rels/drawing3.xml.rels><Relationships xmlns="http://schemas.openxmlformats.org/package/2006/relationships"><Relationship Type="http://schemas.openxmlformats.org/officeDocument/2006/relationships/chart" Target="/xl/charts/chart7.xml" Id="rId1" /><Relationship Type="http://schemas.openxmlformats.org/officeDocument/2006/relationships/chart" Target="/xl/charts/chart8.xml" Id="rId2" /></Relationships>
</file>

<file path=xl/drawings/_rels/drawing4.xml.rels><Relationships xmlns="http://schemas.openxmlformats.org/package/2006/relationships"><Relationship Type="http://schemas.openxmlformats.org/officeDocument/2006/relationships/chart" Target="/xl/charts/chart9.xml" Id="rId1" /><Relationship Type="http://schemas.openxmlformats.org/officeDocument/2006/relationships/chart" Target="/xl/charts/chart10.xml" Id="rId2" /><Relationship Type="http://schemas.openxmlformats.org/officeDocument/2006/relationships/chart" Target="/xl/charts/chart11.xml" Id="rId3" /><Relationship Type="http://schemas.openxmlformats.org/officeDocument/2006/relationships/chart" Target="/xl/charts/chart12.xml" Id="rId4" /><Relationship Type="http://schemas.openxmlformats.org/officeDocument/2006/relationships/image" Target="/xl/media/image2.png" Id="rId5"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34</col>
      <colOff>347382</colOff>
      <row>25</row>
      <rowOff>36634</rowOff>
    </from>
    <to>
      <col>38</col>
      <colOff>158750</colOff>
      <row>36</row>
      <rowOff>145676</rowOff>
    </to>
    <graphicFrame>
      <nvGraphicFramePr>
        <cNvPr id="1" name="Chart 1"/>
        <cNvGraphicFramePr/>
      </nvGraphicFramePr>
      <xfrm/>
      <a:graphic>
        <a:graphicData uri="http://schemas.openxmlformats.org/drawingml/2006/chart">
          <c:chart r:id="rId1"/>
        </a:graphicData>
      </a:graphic>
    </graphicFrame>
    <clientData/>
  </twoCellAnchor>
  <twoCellAnchor>
    <from>
      <col>3</col>
      <colOff>28575</colOff>
      <row>45</row>
      <rowOff>85725</rowOff>
    </from>
    <to>
      <col>5</col>
      <colOff>38402</colOff>
      <row>56</row>
      <rowOff>59851</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38100</colOff>
      <row>45</row>
      <rowOff>66675</rowOff>
    </from>
    <to>
      <col>8</col>
      <colOff>668618</colOff>
      <row>56</row>
      <rowOff>109042</rowOff>
    </to>
    <graphicFrame>
      <nvGraphicFramePr>
        <cNvPr id="3" name="Chart 3"/>
        <cNvGraphicFramePr/>
      </nvGraphicFramePr>
      <xfrm/>
      <a:graphic>
        <a:graphicData uri="http://schemas.openxmlformats.org/drawingml/2006/chart">
          <c:chart r:id="rId3"/>
        </a:graphicData>
      </a:graphic>
    </graphicFrame>
    <clientData/>
  </twoCellAnchor>
  <twoCellAnchor>
    <from>
      <col>2</col>
      <colOff>179293</colOff>
      <row>58</row>
      <rowOff>33617</rowOff>
    </from>
    <to>
      <col>9</col>
      <colOff>11205</colOff>
      <row>76</row>
      <rowOff>168088</rowOff>
    </to>
    <graphicFrame>
      <nvGraphicFramePr>
        <cNvPr id="4" name="Chart 4"/>
        <cNvGraphicFramePr/>
      </nvGraphicFramePr>
      <xfrm/>
      <a:graphic>
        <a:graphicData uri="http://schemas.openxmlformats.org/drawingml/2006/chart">
          <c:chart r:id="rId4"/>
        </a:graphicData>
      </a:graphic>
    </graphicFrame>
    <clientData/>
  </twoCellAnchor>
  <twoCellAnchor editAs="oneCell">
    <from>
      <col>2</col>
      <colOff>123825</colOff>
      <row>0</row>
      <rowOff>219075</rowOff>
    </from>
    <to>
      <col>4</col>
      <colOff>609600</colOff>
      <row>3</row>
      <rowOff>0</rowOff>
    </to>
    <pic>
      <nvPicPr>
        <cNvPr id="2" name="Picture 4"/>
        <cNvPicPr>
          <a:picLocks noChangeAspect="1"/>
        </cNvPicPr>
      </nvPicPr>
      <blipFill rotWithShape="1">
        <a:blip cstate="print" r:embed="rId5"/>
        <a:srcRect t="31936" b="30645"/>
        <a:stretch>
          <a:fillRect/>
        </a:stretch>
      </blipFill>
      <spPr>
        <a:xfrm>
          <a:off x="1066800" y="219075"/>
          <a:ext cx="1581150" cy="571500"/>
        </a:xfrm>
        <a:prstGeom prst="rect">
          <avLst/>
        </a:prstGeom>
        <a:ln>
          <a:prstDash val="solid"/>
        </a:ln>
      </spPr>
    </pic>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9</col>
      <colOff>9525</colOff>
      <row>25</row>
      <rowOff>9524</rowOff>
    </from>
    <to>
      <col>11</col>
      <colOff>190500</colOff>
      <row>30</row>
      <rowOff>57149</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952500</colOff>
      <row>25</row>
      <rowOff>19050</rowOff>
    </from>
    <to>
      <col>13</col>
      <colOff>866775</colOff>
      <row>30</row>
      <rowOff>66675</rowOff>
    </to>
    <graphicFrame>
      <nvGraphicFramePr>
        <cNvPr id="2" name="Chart 2"/>
        <cNvGraphicFramePr/>
      </nvGraphicFramePr>
      <xfrm/>
      <a:graphic>
        <a:graphicData uri="http://schemas.openxmlformats.org/drawingml/2006/chart">
          <c:chart r:id="rId2"/>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208189</colOff>
      <row>43</row>
      <rowOff>126546</rowOff>
    </from>
    <to>
      <col>10</col>
      <colOff>884464</colOff>
      <row>73</row>
      <rowOff>40821</rowOff>
    </to>
    <graphicFrame>
      <nvGraphicFramePr>
        <cNvPr id="1" name="Chart 1"/>
        <cNvGraphicFramePr/>
      </nvGraphicFramePr>
      <xfrm/>
      <a:graphic>
        <a:graphicData uri="http://schemas.openxmlformats.org/drawingml/2006/chart">
          <c:chart r:id="rId1"/>
        </a:graphicData>
      </a:graphic>
    </graphicFrame>
    <clientData/>
  </twoCellAnchor>
  <twoCellAnchor>
    <from>
      <col>9</col>
      <colOff>493486</colOff>
      <row>27</row>
      <rowOff>11794</rowOff>
    </from>
    <to>
      <col>15</col>
      <colOff>54429</colOff>
      <row>39</row>
      <rowOff>81644</rowOff>
    </to>
    <graphicFrame>
      <nvGraphicFramePr>
        <cNvPr id="2" name="Chart 2"/>
        <cNvGraphicFramePr/>
      </nvGraphicFramePr>
      <xfrm/>
      <a:graphic>
        <a:graphicData uri="http://schemas.openxmlformats.org/drawingml/2006/chart">
          <c:chart r:id="rId2"/>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4</col>
      <colOff>95250</colOff>
      <row>16</row>
      <rowOff>27214</rowOff>
    </from>
    <to>
      <col>11</col>
      <colOff>854981</colOff>
      <row>30</row>
      <rowOff>95892</rowOff>
    </to>
    <graphicFrame>
      <nvGraphicFramePr>
        <cNvPr id="1" name="Chart 1"/>
        <cNvGraphicFramePr/>
      </nvGraphicFramePr>
      <xfrm/>
      <a:graphic>
        <a:graphicData uri="http://schemas.openxmlformats.org/drawingml/2006/chart">
          <c:chart r:id="rId1"/>
        </a:graphicData>
      </a:graphic>
    </graphicFrame>
    <clientData/>
  </twoCellAnchor>
  <twoCellAnchor>
    <from>
      <col>13</col>
      <colOff>0</colOff>
      <row>16</row>
      <rowOff>40822</rowOff>
    </from>
    <to>
      <col>15</col>
      <colOff>750206</colOff>
      <row>30</row>
      <rowOff>109500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707570</colOff>
      <row>16</row>
      <rowOff>81643</rowOff>
    </from>
    <to>
      <col>18</col>
      <colOff>616584</colOff>
      <row>30</row>
      <rowOff>150321</rowOff>
    </to>
    <graphicFrame>
      <nvGraphicFramePr>
        <cNvPr id="3" name="Chart 3"/>
        <cNvGraphicFramePr/>
      </nvGraphicFramePr>
      <xfrm/>
      <a:graphic>
        <a:graphicData uri="http://schemas.openxmlformats.org/drawingml/2006/chart">
          <c:chart r:id="rId3"/>
        </a:graphicData>
      </a:graphic>
    </graphicFrame>
    <clientData/>
  </twoCellAnchor>
  <twoCellAnchor>
    <from>
      <col>19</col>
      <colOff>68036</colOff>
      <row>16</row>
      <rowOff>81643</rowOff>
    </from>
    <to>
      <col>21</col>
      <colOff>814580</colOff>
      <row>30</row>
      <rowOff>150321</rowOff>
    </to>
    <graphicFrame>
      <nvGraphicFramePr>
        <cNvPr id="4" name="Chart 4"/>
        <cNvGraphicFramePr/>
      </nvGraphicFramePr>
      <xfrm/>
      <a:graphic>
        <a:graphicData uri="http://schemas.openxmlformats.org/drawingml/2006/chart">
          <c:chart r:id="rId4"/>
        </a:graphicData>
      </a:graphic>
    </graphicFrame>
    <clientData/>
  </twoCellAnchor>
  <twoCellAnchor editAs="oneCell">
    <from>
      <col>28</col>
      <colOff>447646</colOff>
      <row>96</row>
      <rowOff>0</rowOff>
    </from>
    <to>
      <col>31</col>
      <colOff>624117</colOff>
      <row>101</row>
      <rowOff>117205</rowOff>
    </to>
    <pic>
      <nvPicPr>
        <cNvPr id="2" name="Imagem 1"/>
        <cNvPicPr>
          <a:picLocks noChangeAspect="1"/>
        </cNvPicPr>
      </nvPicPr>
      <blipFill>
        <a:blip r:embed="rId5"/>
        <a:stretch>
          <a:fillRect/>
        </a:stretch>
      </blipFill>
      <spPr>
        <a:xfrm>
          <a:off x="25974646" y="17078325"/>
          <a:ext cx="1881446" cy="925469"/>
        </a:xfrm>
        <a:prstGeom prst="rect">
          <avLst/>
        </a:prstGeom>
        <a:ln>
          <a:prstDash val="solid"/>
        </a:ln>
      </spPr>
    </pic>
    <clientData/>
  </twoCellAnchor>
</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801414"/>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5.xml.rels><Relationships xmlns="http://schemas.openxmlformats.org/package/2006/relationships"><Relationship Type="http://schemas.openxmlformats.org/officeDocument/2006/relationships/drawing" Target="/xl/drawings/drawing4.xml" Id="rId1" /></Relationships>
</file>

<file path=xl/worksheets/_rels/sheet7.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8.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tabColor rgb="FF7B1314"/>
    <outlinePr summaryBelow="1" summaryRight="1"/>
    <pageSetUpPr/>
  </sheetPr>
  <dimension ref="A1:AI1048575"/>
  <sheetViews>
    <sheetView showGridLines="0" topLeftCell="A61" zoomScale="85" zoomScaleNormal="85" workbookViewId="0">
      <selection activeCell="U38" sqref="U38:V46"/>
    </sheetView>
  </sheetViews>
  <sheetFormatPr baseColWidth="8" defaultColWidth="15.625" defaultRowHeight="14.25"/>
  <cols>
    <col width="11.625" customWidth="1" style="582" min="1" max="1"/>
    <col width="0.75" customWidth="1" style="580" min="2" max="2"/>
    <col width="2.5" customWidth="1" style="578" min="3" max="3"/>
    <col width="11.875" customWidth="1" style="578" min="4" max="4"/>
    <col width="13.375" customWidth="1" style="578" min="5" max="5"/>
    <col width="12.625" customWidth="1" style="578" min="6" max="9"/>
    <col width="4" customWidth="1" style="578" min="10" max="10"/>
    <col width="12.625" customWidth="1" style="578" min="11" max="12"/>
    <col width="3.625" customWidth="1" style="578" min="13" max="13"/>
    <col width="12.625" customWidth="1" style="578" min="14" max="18"/>
    <col width="3.875" customWidth="1" style="637" min="19" max="19"/>
    <col width="4" customWidth="1" style="578" min="20" max="20"/>
    <col width="27.25" customWidth="1" style="578" min="21" max="21"/>
    <col width="9.875" customWidth="1" style="578" min="22" max="22"/>
    <col width="15.625" customWidth="1" style="578" min="23" max="25"/>
    <col width="21.5" bestFit="1" customWidth="1" style="578" min="26" max="26"/>
    <col width="15.625" customWidth="1" style="578" min="27" max="27"/>
    <col width="19.125" bestFit="1" customWidth="1" style="578" min="28" max="28"/>
    <col width="20.375" bestFit="1" customWidth="1" style="578" min="29" max="29"/>
    <col width="29.75" bestFit="1" customWidth="1" style="578" min="30" max="30"/>
    <col width="21.875" bestFit="1" customWidth="1" style="578" min="31" max="31"/>
    <col width="20.625" customWidth="1" style="578" min="32" max="32"/>
    <col width="28.25" bestFit="1" customWidth="1" style="578" min="33" max="33"/>
    <col width="35.375" bestFit="1" customWidth="1" style="578" min="34" max="34"/>
    <col width="25.375" customWidth="1" style="578" min="35" max="35"/>
    <col width="32" bestFit="1" customWidth="1" style="578" min="36" max="36"/>
    <col width="26.375" bestFit="1" customWidth="1" style="578" min="37" max="37"/>
    <col width="15.625" customWidth="1" style="578" min="38" max="16384"/>
  </cols>
  <sheetData>
    <row r="1" ht="24.75" customHeight="1" s="783">
      <c r="A1" s="713" t="n"/>
      <c r="B1" s="714" t="n"/>
      <c r="C1" s="464" t="n"/>
      <c r="D1" s="464" t="n"/>
      <c r="E1" s="464" t="n"/>
      <c r="F1" s="464" t="n"/>
      <c r="G1" s="464" t="n"/>
      <c r="H1" s="464" t="n"/>
      <c r="I1" s="464" t="n"/>
      <c r="J1" s="464" t="n"/>
      <c r="K1" s="464" t="n"/>
      <c r="L1" s="464" t="n"/>
      <c r="M1" s="464" t="n"/>
      <c r="N1" s="464" t="n"/>
      <c r="O1" s="464" t="n"/>
      <c r="P1" s="464" t="n"/>
      <c r="Q1" s="464" t="n"/>
      <c r="R1" s="464" t="n"/>
      <c r="S1" s="464" t="n"/>
      <c r="T1" s="464" t="n"/>
      <c r="U1" s="464" t="n"/>
      <c r="V1" s="464" t="n"/>
    </row>
    <row r="2" ht="24" customHeight="1" s="783">
      <c r="A2" s="713" t="n"/>
      <c r="B2" s="714" t="n"/>
      <c r="C2" s="464" t="n"/>
      <c r="D2" s="464" t="n"/>
      <c r="E2" s="747" t="inlineStr">
        <is>
          <t xml:space="preserve">             |   EQUITY RESEARCH </t>
        </is>
      </c>
      <c r="F2" s="464" t="n"/>
      <c r="G2" s="464" t="n"/>
      <c r="H2" s="464" t="n"/>
      <c r="I2" s="464" t="n"/>
      <c r="J2" s="464" t="n"/>
      <c r="K2" s="464" t="n"/>
      <c r="L2" s="464" t="n"/>
      <c r="M2" s="464" t="n"/>
      <c r="N2" s="464" t="n"/>
      <c r="O2" s="464" t="n"/>
      <c r="P2" s="464" t="n"/>
      <c r="Q2" s="464" t="n"/>
      <c r="R2" s="464" t="n"/>
      <c r="S2" s="464" t="n"/>
      <c r="T2" s="464" t="n"/>
      <c r="U2" s="657" t="inlineStr">
        <is>
          <t>Lisbon Investment Society Equity Research</t>
        </is>
      </c>
      <c r="V2" s="464" t="n"/>
    </row>
    <row r="3">
      <c r="A3" s="713" t="n"/>
      <c r="B3" s="714" t="n"/>
      <c r="C3" s="464" t="n"/>
      <c r="D3" s="464" t="n"/>
      <c r="E3" s="464" t="n"/>
      <c r="F3" s="464" t="n"/>
      <c r="G3" s="464" t="n"/>
      <c r="H3" s="464" t="n"/>
      <c r="I3" s="464" t="n"/>
      <c r="J3" s="464" t="n"/>
      <c r="K3" s="464" t="n"/>
      <c r="L3" s="464" t="n"/>
      <c r="M3" s="464" t="n"/>
      <c r="N3" s="464" t="n"/>
      <c r="O3" s="464" t="n"/>
      <c r="P3" s="464" t="n"/>
      <c r="Q3" s="464" t="n"/>
      <c r="R3" s="464" t="n"/>
      <c r="S3" s="464" t="n"/>
      <c r="T3" s="464" t="n"/>
      <c r="U3" s="643" t="inlineStr">
        <is>
          <t>March XX, 2025</t>
        </is>
      </c>
      <c r="V3" s="464" t="n"/>
    </row>
    <row r="4">
      <c r="A4" s="713" t="n"/>
      <c r="B4" s="714" t="n"/>
      <c r="C4" s="464" t="n"/>
      <c r="D4" s="464" t="n"/>
      <c r="E4" s="464" t="n"/>
      <c r="F4" s="464" t="n"/>
      <c r="G4" s="464" t="n"/>
      <c r="H4" s="464" t="n"/>
      <c r="I4" s="464" t="n"/>
      <c r="J4" s="464" t="n"/>
      <c r="K4" s="464" t="n"/>
      <c r="L4" s="464" t="n"/>
      <c r="M4" s="464" t="n"/>
      <c r="N4" s="464" t="n"/>
      <c r="O4" s="464" t="n"/>
      <c r="P4" s="464" t="n"/>
      <c r="Q4" s="464" t="n"/>
      <c r="R4" s="464" t="n"/>
      <c r="S4" s="464" t="n"/>
      <c r="T4" s="464" t="n"/>
      <c r="U4" s="643" t="n"/>
      <c r="V4" s="464" t="n"/>
    </row>
    <row r="5">
      <c r="A5" s="713" t="n"/>
      <c r="B5" s="714" t="n"/>
      <c r="C5" s="464" t="n"/>
      <c r="D5" s="464" t="n"/>
      <c r="E5" s="464" t="n"/>
      <c r="F5" s="464" t="n"/>
      <c r="G5" s="464" t="n"/>
      <c r="H5" s="464" t="n"/>
      <c r="J5" s="464" t="n"/>
      <c r="K5" s="464" t="n"/>
      <c r="L5" s="464" t="n"/>
      <c r="M5" s="464" t="n"/>
      <c r="N5" s="464" t="n"/>
      <c r="O5" s="464" t="n"/>
      <c r="P5" s="464" t="n"/>
      <c r="Q5" s="464" t="n"/>
      <c r="R5" s="464" t="n"/>
      <c r="S5" s="464" t="n"/>
      <c r="T5" s="464" t="n"/>
      <c r="U5" s="464" t="n"/>
      <c r="V5" s="464" t="n"/>
    </row>
    <row r="6" ht="15.95" customFormat="1" customHeight="1" s="579">
      <c r="A6" s="583" t="n"/>
      <c r="B6" s="584" t="n"/>
      <c r="D6" s="586">
        <f>DCF!R4&amp;" "&amp;"Equity"</f>
        <v/>
      </c>
      <c r="S6" s="715" t="n"/>
      <c r="U6" s="642" t="n"/>
    </row>
    <row r="7" ht="3.75" customHeight="1" s="783">
      <c r="A7" s="713" t="n"/>
      <c r="B7" s="714" t="n"/>
      <c r="C7" s="464" t="n"/>
      <c r="D7" s="464" t="n"/>
      <c r="E7" s="464" t="n"/>
      <c r="F7" s="464" t="n"/>
      <c r="G7" s="464" t="n"/>
      <c r="H7" s="464" t="n"/>
      <c r="I7" s="464" t="n"/>
      <c r="J7" s="464" t="n"/>
      <c r="K7" s="464" t="n"/>
      <c r="L7" s="464" t="n"/>
      <c r="M7" s="464" t="n"/>
      <c r="N7" s="464" t="n"/>
      <c r="O7" s="464" t="n"/>
      <c r="P7" s="464" t="n"/>
      <c r="Q7" s="464" t="n"/>
      <c r="R7" s="464" t="n"/>
      <c r="S7" s="715" t="n"/>
      <c r="T7" s="464" t="n"/>
      <c r="U7" s="579" t="n"/>
      <c r="V7" s="464" t="n"/>
    </row>
    <row r="8" ht="14.25" customHeight="1" s="783">
      <c r="A8" s="713" t="n"/>
      <c r="B8" s="714" t="n"/>
      <c r="C8" s="464" t="n"/>
      <c r="D8" s="793" t="n"/>
      <c r="S8" s="716" t="n"/>
      <c r="T8" s="464" t="n"/>
      <c r="U8" s="717">
        <f>+_xll.BDP(D6, "PRIMARY_EXCHANGE_NAME"): _xll.BDP(D6, "TICKER_AND_EXCH_CODE")</f>
        <v/>
      </c>
      <c r="V8" s="464" t="n"/>
    </row>
    <row r="9" ht="14.25" customHeight="1" s="783">
      <c r="A9" s="713" t="n"/>
      <c r="B9" s="714" t="n"/>
      <c r="C9" s="464" t="n"/>
      <c r="S9" s="716" t="n"/>
      <c r="T9" s="464" t="n"/>
      <c r="U9" s="585">
        <f t="array" ref="U9">+"Price (7 Mar 25): $"&amp;_FV(DCF!$R$4,"Price")</f>
        <v/>
      </c>
      <c r="V9" s="464" t="n"/>
    </row>
    <row r="10" ht="20.1" customHeight="1" s="783">
      <c r="A10" s="713" t="n"/>
      <c r="B10" s="714" t="n"/>
      <c r="C10" s="464" t="n"/>
      <c r="D10" s="586" t="inlineStr">
        <is>
          <t>Investment Thesis</t>
        </is>
      </c>
      <c r="E10" s="718" t="n"/>
      <c r="F10" s="718" t="n"/>
      <c r="G10" s="718" t="n"/>
      <c r="H10" s="718" t="n"/>
      <c r="I10" s="718" t="n"/>
      <c r="J10" s="718" t="n"/>
      <c r="K10" s="718" t="n"/>
      <c r="L10" s="718" t="n"/>
      <c r="M10" s="718" t="n"/>
      <c r="N10" s="718" t="n"/>
      <c r="O10" s="718" t="n"/>
      <c r="P10" s="718" t="n"/>
      <c r="Q10" s="718" t="n"/>
      <c r="R10" s="718" t="n"/>
      <c r="S10" s="719" t="n"/>
      <c r="T10" s="464" t="n"/>
      <c r="U10" s="1">
        <f>"Price Target: $" &amp; ROUND(IF(Summary!G25="FCFF",DCF!Q208,IF(Summary!G25="FCFE",DCF!Q251,IF(Summary!G25="Tax Shield",DCF!Q224,DCF!Q267))),2) &amp;" "&amp;IF(Summary!G25="FCFF","(FCFF)",IF(Summary!G25="FCFE","(FCFE)",IF(Summary!G25="Tax Shield","(APV)","(DDM)")))</f>
        <v/>
      </c>
      <c r="V10" s="464" t="n"/>
    </row>
    <row r="11" ht="14.25" customHeight="1" s="783">
      <c r="A11" s="713" t="n"/>
      <c r="B11" s="714" t="n"/>
      <c r="C11" s="464" t="n"/>
      <c r="D11" s="793" t="n"/>
      <c r="S11" s="716" t="n"/>
      <c r="T11" s="464" t="n"/>
      <c r="U11" s="585">
        <f>+"Upside (Downside): "&amp;ROUND((DCF!$Q$211*100),2)&amp;"%"</f>
        <v/>
      </c>
      <c r="V11" s="464" t="n"/>
    </row>
    <row r="12" ht="3.75" customHeight="1" s="783">
      <c r="A12" s="713" t="n"/>
      <c r="B12" s="714" t="n"/>
      <c r="C12" s="464" t="n"/>
      <c r="S12" s="716" t="n"/>
      <c r="T12" s="464" t="n"/>
      <c r="U12" s="464" t="n"/>
      <c r="V12" s="464" t="n"/>
    </row>
    <row r="13" ht="17.25" customHeight="1" s="783">
      <c r="A13" s="713" t="n"/>
      <c r="B13" s="714" t="n"/>
      <c r="C13" s="464" t="n"/>
      <c r="S13" s="716" t="n"/>
      <c r="T13" s="464" t="n"/>
      <c r="U13" s="464" t="n"/>
      <c r="V13" s="464" t="n"/>
    </row>
    <row r="14" ht="15" customHeight="1" s="783">
      <c r="A14" s="713" t="n"/>
      <c r="B14" s="714" t="n"/>
      <c r="C14" s="464" t="n"/>
      <c r="S14" s="716" t="n"/>
      <c r="T14" s="464" t="n"/>
      <c r="U14" s="720">
        <f>+_xll.BDP(D6,"COUNTRY")&amp;" "&amp; _xll.BDP(D6, "GICS_INDUSTRY_GROUP_NAME")</f>
        <v/>
      </c>
      <c r="V14" s="714" t="n"/>
    </row>
    <row r="15" ht="15" customHeight="1" s="783">
      <c r="A15" s="713" t="n"/>
      <c r="B15" s="714" t="n"/>
      <c r="C15" s="464" t="n"/>
      <c r="S15" s="716" t="n"/>
      <c r="T15" s="464" t="n"/>
      <c r="U15" s="720">
        <f>+_xll.BDP(D6, "BICS_LEVEL_4_SUB_INDUSTRY_NAME")</f>
        <v/>
      </c>
      <c r="V15" s="714" t="n"/>
    </row>
    <row r="16" ht="3.75" customHeight="1" s="783">
      <c r="A16" s="713" t="n"/>
      <c r="B16" s="714" t="n"/>
      <c r="C16" s="464" t="n"/>
      <c r="D16" s="464" t="n"/>
      <c r="E16" s="1" t="n"/>
      <c r="F16" s="464" t="n"/>
      <c r="G16" s="464" t="n"/>
      <c r="H16" s="464" t="n"/>
      <c r="I16" s="464" t="n"/>
      <c r="J16" s="464" t="n"/>
      <c r="K16" s="464" t="n"/>
      <c r="L16" s="464" t="n"/>
      <c r="M16" s="464" t="n"/>
      <c r="N16" s="464" t="n"/>
      <c r="O16" s="464" t="n"/>
      <c r="P16" s="464" t="n"/>
      <c r="Q16" s="464" t="n"/>
      <c r="R16" s="464" t="n"/>
      <c r="S16" s="715" t="n"/>
      <c r="T16" s="464" t="n"/>
      <c r="U16" s="721" t="n"/>
      <c r="V16" s="464" t="n"/>
    </row>
    <row r="17" ht="14.25" customHeight="1" s="783">
      <c r="D17" s="2" t="inlineStr">
        <is>
          <t>Operating Metrics</t>
        </is>
      </c>
      <c r="E17" s="3" t="n"/>
      <c r="F17" s="819" t="n">
        <v>2023</v>
      </c>
      <c r="G17" s="820">
        <f>+F17+1</f>
        <v/>
      </c>
      <c r="H17" s="821">
        <f>+G17+1</f>
        <v/>
      </c>
      <c r="I17" s="821">
        <f>+H17+1</f>
        <v/>
      </c>
      <c r="J17" s="464" t="n"/>
      <c r="K17" s="7" t="inlineStr">
        <is>
          <t>Valuation Multiples</t>
        </is>
      </c>
      <c r="L17" s="819" t="n"/>
      <c r="M17" s="819" t="n"/>
      <c r="N17" s="819" t="n">
        <v>2022</v>
      </c>
      <c r="O17" s="819">
        <f>+N17+1</f>
        <v/>
      </c>
      <c r="P17" s="822">
        <f>+O17+1</f>
        <v/>
      </c>
      <c r="Q17" s="821">
        <f>+P17+1</f>
        <v/>
      </c>
      <c r="R17" s="821">
        <f>+Q17+1</f>
        <v/>
      </c>
      <c r="S17" s="823" t="n"/>
      <c r="T17" s="464" t="n"/>
      <c r="U17" s="722" t="inlineStr">
        <is>
          <t>Team Leader</t>
        </is>
      </c>
      <c r="V17" s="464" t="n"/>
    </row>
    <row r="18" ht="15" customHeight="1" s="783">
      <c r="D18" s="10" t="n"/>
      <c r="E18" s="11" t="n"/>
      <c r="F18" s="728" t="n"/>
      <c r="G18" s="13" t="n"/>
      <c r="H18" s="14" t="n"/>
      <c r="I18" s="14" t="n"/>
      <c r="J18" s="464" t="n"/>
      <c r="K18" s="15" t="inlineStr">
        <is>
          <t>EV / Sales</t>
        </is>
      </c>
      <c r="N18" s="824">
        <f>IFERROR(_xlfn.XLOOKUP($K18,Multiples!$B:$B,Multiples!N:N),"")</f>
        <v/>
      </c>
      <c r="O18" s="824">
        <f>IFERROR(_xlfn.XLOOKUP($K18,Multiples!$B:$B,Multiples!O:O),"")</f>
        <v/>
      </c>
      <c r="P18" s="825">
        <f>IFERROR(_xlfn.XLOOKUP($K18,Multiples!$B:$B,Multiples!P:P),"")</f>
        <v/>
      </c>
      <c r="Q18" s="826">
        <f>IFERROR(_xlfn.XLOOKUP($K18,Multiples!$B:$B,Multiples!Q:Q),"")</f>
        <v/>
      </c>
      <c r="R18" s="826">
        <f>IFERROR(_xlfn.XLOOKUP($K18,Multiples!$B:$B,Multiples!R:R),"")</f>
        <v/>
      </c>
      <c r="S18" s="827" t="n"/>
      <c r="T18" s="464" t="n"/>
      <c r="U18" s="771" t="inlineStr">
        <is>
          <t>damiao.ribeiro@aln.iseg.ulisboa.pt</t>
        </is>
      </c>
      <c r="V18" s="464" t="n"/>
    </row>
    <row r="19" ht="15" customHeight="1" s="783">
      <c r="D19" s="10" t="n"/>
      <c r="E19" s="11" t="n"/>
      <c r="F19" s="728" t="n"/>
      <c r="G19" s="13" t="n"/>
      <c r="H19" s="14" t="n"/>
      <c r="I19" s="14" t="n"/>
      <c r="J19" s="464" t="n"/>
      <c r="K19" s="18" t="inlineStr">
        <is>
          <t>Price / Sales</t>
        </is>
      </c>
      <c r="N19" s="824">
        <f>IFERROR(_xlfn.XLOOKUP($K19,Multiples!$B:$B,Multiples!N:N),"")</f>
        <v/>
      </c>
      <c r="O19" s="824">
        <f>IFERROR(_xlfn.XLOOKUP($K19,Multiples!$B:$B,Multiples!O:O),"")</f>
        <v/>
      </c>
      <c r="P19" s="825">
        <f>IFERROR(_xlfn.XLOOKUP($K19,Multiples!$B:$B,Multiples!P:P),"")</f>
        <v/>
      </c>
      <c r="Q19" s="826">
        <f>IFERROR(_xlfn.XLOOKUP($K19,Multiples!$B:$B,Multiples!Q:Q),"")</f>
        <v/>
      </c>
      <c r="R19" s="826">
        <f>IFERROR(_xlfn.XLOOKUP($K19,Multiples!$B:$B,Multiples!R:R),"")</f>
        <v/>
      </c>
      <c r="S19" s="827" t="n"/>
      <c r="T19" s="464" t="n"/>
      <c r="U19" s="625" t="inlineStr">
        <is>
          <t>(+351) 999 999 999</t>
        </is>
      </c>
      <c r="V19" s="464" t="n"/>
    </row>
    <row r="20" ht="14.25" customHeight="1" s="783">
      <c r="D20" s="10" t="n"/>
      <c r="E20" s="11" t="n"/>
      <c r="F20" s="19" t="n"/>
      <c r="G20" s="20" t="n"/>
      <c r="H20" s="21" t="n"/>
      <c r="I20" s="21" t="n"/>
      <c r="J20" s="464" t="n"/>
      <c r="K20" s="828" t="inlineStr">
        <is>
          <t>EV / EBITDA</t>
        </is>
      </c>
      <c r="N20" s="824">
        <f>IFERROR(_xlfn.XLOOKUP($K20,Multiples!$B:$B,Multiples!N:N),"")</f>
        <v/>
      </c>
      <c r="O20" s="824">
        <f>IFERROR(_xlfn.XLOOKUP($K20,Multiples!$B:$B,Multiples!O:O),"")</f>
        <v/>
      </c>
      <c r="P20" s="825">
        <f>IFERROR(_xlfn.XLOOKUP($K20,Multiples!$B:$B,Multiples!P:P),"")</f>
        <v/>
      </c>
      <c r="Q20" s="826">
        <f>IFERROR(_xlfn.XLOOKUP($K20,Multiples!$B:$B,Multiples!Q:Q),"")</f>
        <v/>
      </c>
      <c r="R20" s="826">
        <f>IFERROR(_xlfn.XLOOKUP($K20,Multiples!$B:$B,Multiples!R:R),"")</f>
        <v/>
      </c>
      <c r="S20" s="827" t="n"/>
      <c r="T20" s="464" t="n"/>
      <c r="U20" s="23" t="inlineStr">
        <is>
          <t>Analyst 1</t>
        </is>
      </c>
      <c r="V20" s="464" t="n"/>
    </row>
    <row r="21" ht="15" customHeight="1" s="783">
      <c r="D21" s="10" t="n"/>
      <c r="E21" s="11" t="n"/>
      <c r="F21" s="577" t="n"/>
      <c r="G21" s="576" t="n"/>
      <c r="H21" s="575" t="n"/>
      <c r="I21" s="575" t="n"/>
      <c r="J21" s="464" t="n"/>
      <c r="K21" s="828" t="inlineStr">
        <is>
          <t>EV / EBIT</t>
        </is>
      </c>
      <c r="N21" s="824">
        <f>IFERROR(_xlfn.XLOOKUP($K21,Multiples!$B:$B,Multiples!N:N),"")</f>
        <v/>
      </c>
      <c r="O21" s="824">
        <f>IFERROR(_xlfn.XLOOKUP($K21,Multiples!$B:$B,Multiples!O:O),"")</f>
        <v/>
      </c>
      <c r="P21" s="825">
        <f>IFERROR(_xlfn.XLOOKUP($K21,Multiples!$B:$B,Multiples!P:P),"")</f>
        <v/>
      </c>
      <c r="Q21" s="826">
        <f>IFERROR(_xlfn.XLOOKUP($K21,Multiples!$B:$B,Multiples!Q:Q),"")</f>
        <v/>
      </c>
      <c r="R21" s="826">
        <f>IFERROR(_xlfn.XLOOKUP($K21,Multiples!$B:$B,Multiples!R:R),"")</f>
        <v/>
      </c>
      <c r="S21" s="827" t="n"/>
      <c r="T21" s="464" t="n"/>
      <c r="U21" s="771" t="inlineStr">
        <is>
          <t>raul.vasconcelos@aln.iseg.ulisboa.pt</t>
        </is>
      </c>
      <c r="V21" s="464" t="n"/>
    </row>
    <row r="22" ht="15" customHeight="1" s="783">
      <c r="D22" s="10" t="n"/>
      <c r="E22" s="11" t="n"/>
      <c r="F22" s="728" t="n"/>
      <c r="G22" s="13" t="n"/>
      <c r="H22" s="14" t="n"/>
      <c r="I22" s="14" t="n"/>
      <c r="J22" s="464" t="n"/>
      <c r="K22" s="18" t="inlineStr">
        <is>
          <t>Price / Earnings</t>
        </is>
      </c>
      <c r="N22" s="824">
        <f>IFERROR(_xlfn.XLOOKUP($K22,Multiples!$B:$B,Multiples!N:N),"")</f>
        <v/>
      </c>
      <c r="O22" s="824">
        <f>IFERROR(_xlfn.XLOOKUP($K22,Multiples!$B:$B,Multiples!O:O),"")</f>
        <v/>
      </c>
      <c r="P22" s="825">
        <f>IFERROR(_xlfn.XLOOKUP($K22,Multiples!$B:$B,Multiples!P:P),"")</f>
        <v/>
      </c>
      <c r="Q22" s="826">
        <f>IFERROR(_xlfn.XLOOKUP($K22,Multiples!$B:$B,Multiples!Q:Q),"")</f>
        <v/>
      </c>
      <c r="R22" s="826">
        <f>IFERROR(_xlfn.XLOOKUP($K22,Multiples!$B:$B,Multiples!R:R),"")</f>
        <v/>
      </c>
      <c r="S22" s="827" t="n"/>
      <c r="T22" s="464" t="n"/>
      <c r="U22" s="625" t="inlineStr">
        <is>
          <t>(+351) 999 999 999</t>
        </is>
      </c>
      <c r="V22" s="464" t="n"/>
    </row>
    <row r="23" ht="14.25" customHeight="1" s="783">
      <c r="D23" s="10" t="n"/>
      <c r="E23" s="11" t="n"/>
      <c r="F23" s="728" t="n"/>
      <c r="G23" s="13" t="n"/>
      <c r="H23" s="14" t="n"/>
      <c r="I23" s="14" t="n"/>
      <c r="J23" s="464" t="n"/>
      <c r="K23" s="828" t="inlineStr">
        <is>
          <t>Price / Book</t>
        </is>
      </c>
      <c r="N23" s="824">
        <f>IFERROR(_xlfn.XLOOKUP($K23,Multiples!$B:$B,Multiples!N:N),"")</f>
        <v/>
      </c>
      <c r="O23" s="824">
        <f>IFERROR(_xlfn.XLOOKUP($K23,Multiples!$B:$B,Multiples!O:O),"")</f>
        <v/>
      </c>
      <c r="P23" s="825">
        <f>IFERROR(_xlfn.XLOOKUP($K23,Multiples!$B:$B,Multiples!P:P),"")</f>
        <v/>
      </c>
      <c r="Q23" s="826">
        <f>IFERROR(_xlfn.XLOOKUP($K23,Multiples!$B:$B,Multiples!Q:Q),"")</f>
        <v/>
      </c>
      <c r="R23" s="826">
        <f>IFERROR(_xlfn.XLOOKUP($K23,Multiples!$B:$B,Multiples!R:R),"")</f>
        <v/>
      </c>
      <c r="S23" s="827" t="n"/>
      <c r="T23" s="464" t="n"/>
      <c r="U23" s="23" t="inlineStr">
        <is>
          <t>Analyst 2</t>
        </is>
      </c>
      <c r="V23" s="464" t="n"/>
    </row>
    <row r="24" ht="15" customHeight="1" s="783">
      <c r="K24" s="828" t="n"/>
      <c r="S24" s="640" t="n"/>
      <c r="T24" s="464" t="n"/>
      <c r="U24" s="771" t="inlineStr">
        <is>
          <t>cristina.lin@aln.iseg.ulisboa.pt</t>
        </is>
      </c>
      <c r="V24" s="464" t="n"/>
    </row>
    <row r="25" ht="14.25" customHeight="1" s="783">
      <c r="D25" s="28" t="inlineStr">
        <is>
          <t>Year</t>
        </is>
      </c>
      <c r="E25" s="587" t="inlineStr">
        <is>
          <t>Net Sales</t>
        </is>
      </c>
      <c r="F25" s="588" t="inlineStr">
        <is>
          <t>EBIT Margin</t>
        </is>
      </c>
      <c r="G25" s="588" t="inlineStr">
        <is>
          <t>FCFF</t>
        </is>
      </c>
      <c r="H25" s="588">
        <f>+IF(Summary!$G$25="FCFF",DCF!AB6,IF(Summary!$G$25="FCFE",DCF!AC6,DCF!AD6))</f>
        <v/>
      </c>
      <c r="I25" s="829" t="inlineStr">
        <is>
          <t>Net Capex</t>
        </is>
      </c>
      <c r="J25" s="464" t="n"/>
      <c r="K25" s="7" t="inlineStr">
        <is>
          <t>Profitability Ratios</t>
        </is>
      </c>
      <c r="L25" s="819" t="n"/>
      <c r="M25" s="819" t="n"/>
      <c r="N25" s="819" t="n">
        <v>2022</v>
      </c>
      <c r="O25" s="819">
        <f>+N25+1</f>
        <v/>
      </c>
      <c r="P25" s="822">
        <f>+O25+1</f>
        <v/>
      </c>
      <c r="Q25" s="821">
        <f>+P25+1</f>
        <v/>
      </c>
      <c r="R25" s="821">
        <f>+Q25+1</f>
        <v/>
      </c>
      <c r="S25" s="823" t="n"/>
      <c r="T25" s="464" t="n"/>
      <c r="U25" s="625" t="inlineStr">
        <is>
          <t>(+351) 999 999 999</t>
        </is>
      </c>
      <c r="V25" s="464" t="n"/>
    </row>
    <row r="26" ht="15.75" customHeight="1" s="783">
      <c r="D26" s="830" t="n">
        <v>2022</v>
      </c>
      <c r="E26" s="831">
        <f>+DCF!E30</f>
        <v/>
      </c>
      <c r="F26" s="832">
        <f>+DCF!E60</f>
        <v/>
      </c>
      <c r="G26" s="833">
        <f>+INDEX(DCF!X7:AA7,MATCH(Summary!$G$25,{"FCFF","FCFE","Tax Shield","Total Payout"},0))</f>
        <v/>
      </c>
      <c r="H26" s="833">
        <f>+IF(Summary!$G$25="FCFF",DCF!AB7,IF(Summary!$G$25="FCFE",DCF!AC7,DCF!AD7))</f>
        <v/>
      </c>
      <c r="I26" s="834">
        <f>+DCF!E134</f>
        <v/>
      </c>
      <c r="J26" s="464" t="n"/>
      <c r="K26" s="828" t="inlineStr">
        <is>
          <t>Return on Assets</t>
        </is>
      </c>
      <c r="N26" s="824">
        <f>IFERROR(_xlfn.XLOOKUP($K26,Multiples!$B:$B,Multiples!N:N),"")</f>
        <v/>
      </c>
      <c r="O26" s="824">
        <f>IFERROR(_xlfn.XLOOKUP($K26,Multiples!$B:$B,Multiples!O:O),"")</f>
        <v/>
      </c>
      <c r="P26" s="825">
        <f>IFERROR(_xlfn.XLOOKUP($K26,Multiples!$B:$B,Multiples!P:P),"")</f>
        <v/>
      </c>
      <c r="Q26" s="826">
        <f>IFERROR(_xlfn.XLOOKUP($K26,Multiples!$B:$B,Multiples!Q:Q),"")</f>
        <v/>
      </c>
      <c r="R26" s="826">
        <f>IFERROR(_xlfn.XLOOKUP($K26,Multiples!$B:$B,Multiples!R:R),"")</f>
        <v/>
      </c>
      <c r="S26" s="827" t="n"/>
      <c r="T26" s="464" t="n"/>
      <c r="U26" s="23" t="inlineStr">
        <is>
          <t>Analyst 3</t>
        </is>
      </c>
      <c r="V26" s="464" t="n"/>
    </row>
    <row r="27" ht="14.25" customHeight="1" s="783">
      <c r="D27" s="830">
        <f>+D26+1</f>
        <v/>
      </c>
      <c r="E27" s="594">
        <f>+DCF!F30</f>
        <v/>
      </c>
      <c r="F27" s="835">
        <f>+DCF!F60</f>
        <v/>
      </c>
      <c r="G27" s="596">
        <f>+INDEX(DCF!X8:AA8,MATCH(Summary!$G$25,{"FCFF","FCFE","Tax Shield","Total Payout"},0))</f>
        <v/>
      </c>
      <c r="H27" s="597">
        <f>+IF(Summary!$G$25="FCFF",DCF!AB8,IF(Summary!$G$25="FCFE",DCF!AC8,DCF!AD8))</f>
        <v/>
      </c>
      <c r="I27" s="834">
        <f>+DCF!F134</f>
        <v/>
      </c>
      <c r="J27" s="464" t="n"/>
      <c r="K27" s="828" t="inlineStr">
        <is>
          <t>Return on Equity</t>
        </is>
      </c>
      <c r="N27" s="824">
        <f>IFERROR(_xlfn.XLOOKUP($K27,Multiples!$B:$B,Multiples!N:N),"")</f>
        <v/>
      </c>
      <c r="O27" s="824">
        <f>IFERROR(_xlfn.XLOOKUP($K27,Multiples!$B:$B,Multiples!O:O),"")</f>
        <v/>
      </c>
      <c r="P27" s="825">
        <f>IFERROR(_xlfn.XLOOKUP($K27,Multiples!$B:$B,Multiples!P:P),"")</f>
        <v/>
      </c>
      <c r="Q27" s="826">
        <f>IFERROR(_xlfn.XLOOKUP($K27,Multiples!$B:$B,Multiples!Q:Q),"")</f>
        <v/>
      </c>
      <c r="R27" s="826">
        <f>IFERROR(_xlfn.XLOOKUP($K27,Multiples!$B:$B,Multiples!R:R),"")</f>
        <v/>
      </c>
      <c r="S27" s="827" t="n"/>
      <c r="T27" s="464" t="n"/>
      <c r="U27" s="771" t="inlineStr">
        <is>
          <t>mafaldajbento@aln.iseg.ulisboa.pt</t>
        </is>
      </c>
      <c r="V27" s="464" t="n"/>
    </row>
    <row r="28" ht="15" customHeight="1" s="783">
      <c r="D28" s="836">
        <f>+D27+1</f>
        <v/>
      </c>
      <c r="E28" s="598">
        <f>+DCF!G30</f>
        <v/>
      </c>
      <c r="F28" s="837">
        <f>+DCF!G60</f>
        <v/>
      </c>
      <c r="G28" s="600">
        <f>+INDEX(DCF!X9:AA9,MATCH(Summary!$G$25,{"FCFF","FCFE","Tax Shield","Total Payout"},0))</f>
        <v/>
      </c>
      <c r="H28" s="601">
        <f>+IF(Summary!$G$25="FCFF",DCF!AB9,IF(Summary!$G$25="FCFE",DCF!AC9,DCF!AD9))</f>
        <v/>
      </c>
      <c r="I28" s="838">
        <f>+DCF!G134</f>
        <v/>
      </c>
      <c r="J28" s="464" t="n"/>
      <c r="K28" s="132" t="inlineStr">
        <is>
          <t>Return on Total Capital</t>
        </is>
      </c>
      <c r="N28" s="824">
        <f>IFERROR(_xlfn.XLOOKUP($K28,Multiples!$B:$B,Multiples!N:N),"")</f>
        <v/>
      </c>
      <c r="O28" s="824">
        <f>IFERROR(_xlfn.XLOOKUP($K28,Multiples!$B:$B,Multiples!O:O),"")</f>
        <v/>
      </c>
      <c r="P28" s="825">
        <f>IFERROR(_xlfn.XLOOKUP($K28,Multiples!$B:$B,Multiples!P:P),"")</f>
        <v/>
      </c>
      <c r="Q28" s="826">
        <f>IFERROR(_xlfn.XLOOKUP($K28,Multiples!$B:$B,Multiples!Q:Q),"")</f>
        <v/>
      </c>
      <c r="R28" s="826">
        <f>IFERROR(_xlfn.XLOOKUP($K28,Multiples!$B:$B,Multiples!R:R),"")</f>
        <v/>
      </c>
      <c r="S28" s="827" t="n"/>
      <c r="T28" s="464" t="n"/>
      <c r="U28" s="625" t="inlineStr">
        <is>
          <t>(+351) 999 999 999</t>
        </is>
      </c>
      <c r="V28" s="723" t="n"/>
    </row>
    <row r="29" ht="15" customHeight="1" s="783">
      <c r="D29" s="839">
        <f>+D28+1</f>
        <v/>
      </c>
      <c r="E29" s="602">
        <f>+DCF!H30</f>
        <v/>
      </c>
      <c r="F29" s="840">
        <f>+DCF!H60</f>
        <v/>
      </c>
      <c r="G29" s="604">
        <f>+INDEX(DCF!X10:AA10,MATCH(Summary!$G$25,{"FCFF","FCFE","Tax Shield","Total Payout"},0))</f>
        <v/>
      </c>
      <c r="H29" s="602">
        <f>+IF(Summary!$G$25="FCFF",DCF!AB10,IF(Summary!$G$25="FCFE",DCF!AC10,DCF!AD10))</f>
        <v/>
      </c>
      <c r="I29" s="841">
        <f>+DCF!H134</f>
        <v/>
      </c>
      <c r="J29" s="464" t="n"/>
      <c r="K29" s="842" t="inlineStr">
        <is>
          <t>EBITDA Margin</t>
        </is>
      </c>
      <c r="N29" s="824">
        <f>IFERROR(_xlfn.XLOOKUP($K29,Multiples!$B:$B,Multiples!N:N),"")</f>
        <v/>
      </c>
      <c r="O29" s="824">
        <f>IFERROR(_xlfn.XLOOKUP($K29,Multiples!$B:$B,Multiples!O:O),"")</f>
        <v/>
      </c>
      <c r="P29" s="825">
        <f>IFERROR(_xlfn.XLOOKUP($K29,Multiples!$B:$B,Multiples!P:P),"")</f>
        <v/>
      </c>
      <c r="Q29" s="826">
        <f>IFERROR(_xlfn.XLOOKUP($K29,Multiples!$B:$B,Multiples!Q:Q),"")</f>
        <v/>
      </c>
      <c r="R29" s="826">
        <f>IFERROR(_xlfn.XLOOKUP($K29,Multiples!$B:$B,Multiples!R:R),"")</f>
        <v/>
      </c>
      <c r="S29" s="827" t="n"/>
      <c r="T29" s="464" t="n"/>
      <c r="U29" s="464" t="n"/>
      <c r="V29" s="464" t="n"/>
    </row>
    <row r="30" ht="15" customHeight="1" s="783">
      <c r="D30" s="839">
        <f>+D29+1</f>
        <v/>
      </c>
      <c r="E30" s="602">
        <f>+DCF!I30</f>
        <v/>
      </c>
      <c r="F30" s="840">
        <f>+DCF!I60</f>
        <v/>
      </c>
      <c r="G30" s="604">
        <f>+INDEX(DCF!X11:AA11,MATCH(Summary!$G$25,{"FCFF","FCFE","Tax Shield","Total Payout"},0))</f>
        <v/>
      </c>
      <c r="H30" s="602">
        <f>+IF(Summary!$G$25="FCFF",DCF!AB11,IF(Summary!$G$25="FCFE",DCF!AC11,DCF!AD11))</f>
        <v/>
      </c>
      <c r="I30" s="841">
        <f>+DCF!I134</f>
        <v/>
      </c>
      <c r="J30" s="464" t="n"/>
      <c r="K30" s="18" t="inlineStr">
        <is>
          <t>EBIT Margin</t>
        </is>
      </c>
      <c r="N30" s="824">
        <f>IFERROR(_xlfn.XLOOKUP($K30,Multiples!$B:$B,Multiples!N:N),"")</f>
        <v/>
      </c>
      <c r="O30" s="824">
        <f>IFERROR(_xlfn.XLOOKUP($K30,Multiples!$B:$B,Multiples!O:O),"")</f>
        <v/>
      </c>
      <c r="P30" s="825">
        <f>IFERROR(_xlfn.XLOOKUP($K30,Multiples!$B:$B,Multiples!P:P),"")</f>
        <v/>
      </c>
      <c r="Q30" s="826">
        <f>IFERROR(_xlfn.XLOOKUP($K30,Multiples!$B:$B,Multiples!Q:Q),"")</f>
        <v/>
      </c>
      <c r="R30" s="826">
        <f>IFERROR(_xlfn.XLOOKUP($K30,Multiples!$B:$B,Multiples!R:R),"")</f>
        <v/>
      </c>
      <c r="S30" s="827" t="n"/>
      <c r="T30" s="464" t="n"/>
      <c r="U30" s="746" t="inlineStr">
        <is>
          <t>Statistics</t>
        </is>
      </c>
      <c r="V30" s="714" t="n"/>
    </row>
    <row r="31" ht="14.25" customHeight="1" s="783">
      <c r="D31" s="839">
        <f>+D30+1</f>
        <v/>
      </c>
      <c r="E31" s="602">
        <f>+DCF!J30</f>
        <v/>
      </c>
      <c r="F31" s="840">
        <f>+DCF!J60</f>
        <v/>
      </c>
      <c r="G31" s="604">
        <f>+INDEX(DCF!X12:AA12,MATCH(Summary!$G$25,{"FCFF","FCFE","Tax Shield","Total Payout"},0))</f>
        <v/>
      </c>
      <c r="H31" s="602">
        <f>+IF(Summary!$G$25="FCFF",DCF!AB12,IF(Summary!$G$25="FCFE",DCF!AC12,DCF!AD12))</f>
        <v/>
      </c>
      <c r="I31" s="841">
        <f>+DCF!J134</f>
        <v/>
      </c>
      <c r="J31" s="464" t="n"/>
      <c r="K31" s="18" t="inlineStr">
        <is>
          <t>Gross Profit Margin</t>
        </is>
      </c>
      <c r="N31" s="824">
        <f>IFERROR(_xlfn.XLOOKUP($K31,Multiples!$B:$B,Multiples!N:N),"")</f>
        <v/>
      </c>
      <c r="O31" s="824">
        <f>IFERROR(_xlfn.XLOOKUP($K31,Multiples!$B:$B,Multiples!O:O),"")</f>
        <v/>
      </c>
      <c r="P31" s="825">
        <f>IFERROR(_xlfn.XLOOKUP($K31,Multiples!$B:$B,Multiples!P:P),"")</f>
        <v/>
      </c>
      <c r="Q31" s="826">
        <f>IFERROR(_xlfn.XLOOKUP($K31,Multiples!$B:$B,Multiples!Q:Q),"")</f>
        <v/>
      </c>
      <c r="R31" s="826">
        <f>IFERROR(_xlfn.XLOOKUP($K31,Multiples!$B:$B,Multiples!R:R),"")</f>
        <v/>
      </c>
      <c r="S31" s="827" t="n"/>
      <c r="T31" s="464" t="n"/>
      <c r="U31" s="25" t="inlineStr">
        <is>
          <t>Beta</t>
        </is>
      </c>
      <c r="V31" s="34">
        <f>+_xll.BDP(D6,"EQY_BETA")</f>
        <v/>
      </c>
    </row>
    <row r="32" ht="14.25" customHeight="1" s="783">
      <c r="D32" s="839">
        <f>+D31+1</f>
        <v/>
      </c>
      <c r="E32" s="602">
        <f>+DCF!K30</f>
        <v/>
      </c>
      <c r="F32" s="840">
        <f>+DCF!K60</f>
        <v/>
      </c>
      <c r="G32" s="604">
        <f>+INDEX(DCF!X13:AA13,MATCH(Summary!$G$25,{"FCFF","FCFE","Tax Shield","Total Payout"},0))</f>
        <v/>
      </c>
      <c r="H32" s="602">
        <f>+IF(Summary!$G$25="FCFF",DCF!AB13,IF(Summary!$G$25="FCFE",DCF!AC13,DCF!AD13))</f>
        <v/>
      </c>
      <c r="I32" s="841">
        <f>+DCF!K134</f>
        <v/>
      </c>
      <c r="J32" s="464" t="n"/>
      <c r="K32" s="18" t="inlineStr">
        <is>
          <t>SG&amp;A Margin</t>
        </is>
      </c>
      <c r="N32" s="824">
        <f>IFERROR(_xlfn.XLOOKUP($K32,Multiples!$B:$B,Multiples!N:N),"")</f>
        <v/>
      </c>
      <c r="O32" s="824">
        <f>IFERROR(_xlfn.XLOOKUP($K32,Multiples!$B:$B,Multiples!O:O),"")</f>
        <v/>
      </c>
      <c r="P32" s="825">
        <f>IFERROR(_xlfn.XLOOKUP($K32,Multiples!$B:$B,Multiples!P:P),"")</f>
        <v/>
      </c>
      <c r="Q32" s="826">
        <f>IFERROR(_xlfn.XLOOKUP($K32,Multiples!$B:$B,Multiples!Q:Q),"")</f>
        <v/>
      </c>
      <c r="R32" s="826">
        <f>IFERROR(_xlfn.XLOOKUP($K32,Multiples!$B:$B,Multiples!R:R),"")</f>
        <v/>
      </c>
      <c r="S32" s="827" t="n"/>
      <c r="T32" s="464" t="n"/>
      <c r="U32" s="35" t="inlineStr">
        <is>
          <t>% Float</t>
        </is>
      </c>
      <c r="V32" s="32">
        <f>+Peers!D73</f>
        <v/>
      </c>
    </row>
    <row r="33" ht="14.25" customHeight="1" s="783">
      <c r="D33" s="839">
        <f>+D32+1</f>
        <v/>
      </c>
      <c r="E33" s="602">
        <f>+DCF!L30</f>
        <v/>
      </c>
      <c r="F33" s="840">
        <f>+DCF!L60</f>
        <v/>
      </c>
      <c r="G33" s="604">
        <f>+INDEX(DCF!X14:AA14,MATCH(Summary!$G$25,{"FCFF","FCFE","Tax Shield","Total Payout"},0))</f>
        <v/>
      </c>
      <c r="H33" s="602">
        <f>+IF(Summary!$G$25="FCFF",DCF!AB14,IF(Summary!$G$25="FCFE",DCF!AC14,DCF!AD14))</f>
        <v/>
      </c>
      <c r="I33" s="841">
        <f>+DCF!L134</f>
        <v/>
      </c>
      <c r="J33" s="464" t="n"/>
      <c r="K33" s="18" t="inlineStr">
        <is>
          <t>Net Income Margin</t>
        </is>
      </c>
      <c r="N33" s="824">
        <f>IFERROR(_xlfn.XLOOKUP($K33,Multiples!$B:$B,Multiples!N:N),"")</f>
        <v/>
      </c>
      <c r="O33" s="824">
        <f>IFERROR(_xlfn.XLOOKUP($K33,Multiples!$B:$B,Multiples!O:O),"")</f>
        <v/>
      </c>
      <c r="P33" s="825">
        <f>IFERROR(_xlfn.XLOOKUP($K33,Multiples!$B:$B,Multiples!P:P),"")</f>
        <v/>
      </c>
      <c r="Q33" s="826">
        <f>IFERROR(_xlfn.XLOOKUP($K33,Multiples!$B:$B,Multiples!Q:Q),"")</f>
        <v/>
      </c>
      <c r="R33" s="826">
        <f>IFERROR(_xlfn.XLOOKUP($K33,Multiples!$B:$B,Multiples!R:R),"")</f>
        <v/>
      </c>
      <c r="S33" s="827" t="n"/>
      <c r="T33" s="464" t="n"/>
      <c r="U33" s="25" t="inlineStr">
        <is>
          <t>% Held by Insiders</t>
        </is>
      </c>
      <c r="V33" s="32">
        <f>+Peers!D76</f>
        <v/>
      </c>
      <c r="W33" s="464" t="n"/>
      <c r="X33" s="464" t="n"/>
      <c r="Y33" s="464" t="n"/>
      <c r="Z33" s="464" t="n"/>
      <c r="AA33" s="464" t="n"/>
      <c r="AB33" s="464" t="n"/>
      <c r="AC33" s="464" t="n"/>
    </row>
    <row r="34" ht="14.25" customHeight="1" s="783">
      <c r="D34" s="464" t="n"/>
      <c r="E34" s="464" t="n"/>
      <c r="F34" s="464" t="n"/>
      <c r="G34" s="464" t="n"/>
      <c r="H34" s="464" t="n"/>
      <c r="I34" s="464" t="n"/>
      <c r="J34" s="464" t="n"/>
      <c r="K34" s="464" t="n"/>
      <c r="L34" s="464" t="n"/>
      <c r="M34" s="464" t="n"/>
      <c r="N34" s="464" t="n"/>
      <c r="O34" s="464" t="n"/>
      <c r="P34" s="464" t="n"/>
      <c r="Q34" s="464" t="n"/>
      <c r="R34" s="464" t="n"/>
      <c r="S34" s="715" t="n"/>
      <c r="T34" s="464" t="n"/>
      <c r="U34" s="25" t="inlineStr">
        <is>
          <t>% Held by Institutions</t>
        </is>
      </c>
      <c r="V34" s="32">
        <f>+Peers!D77</f>
        <v/>
      </c>
      <c r="W34" s="464" t="n"/>
      <c r="X34" s="464" t="n"/>
      <c r="Y34" s="464" t="n"/>
      <c r="Z34" s="464" t="n"/>
      <c r="AA34" s="464" t="n"/>
      <c r="AB34" s="464" t="n"/>
      <c r="AC34" s="464" t="n"/>
    </row>
    <row r="35" ht="14.25" customHeight="1" s="783">
      <c r="D35" s="7" t="inlineStr">
        <is>
          <t>SWOT Analysis</t>
        </is>
      </c>
      <c r="E35" s="819" t="n"/>
      <c r="F35" s="819" t="n"/>
      <c r="G35" s="819" t="n"/>
      <c r="H35" s="819" t="n"/>
      <c r="I35" s="819" t="n"/>
      <c r="J35" s="464" t="n"/>
      <c r="K35" s="7" t="inlineStr">
        <is>
          <t>Liquidity Ratios</t>
        </is>
      </c>
      <c r="L35" s="819" t="n"/>
      <c r="M35" s="819" t="n"/>
      <c r="N35" s="819" t="n">
        <v>2022</v>
      </c>
      <c r="O35" s="819">
        <f>+N35+1</f>
        <v/>
      </c>
      <c r="P35" s="822">
        <f>+O35+1</f>
        <v/>
      </c>
      <c r="Q35" s="821">
        <f>+P35+1</f>
        <v/>
      </c>
      <c r="R35" s="821">
        <f>+Q35+1</f>
        <v/>
      </c>
      <c r="S35" s="823" t="n"/>
      <c r="T35" s="464" t="n"/>
      <c r="U35" s="36" t="inlineStr">
        <is>
          <t>Short % of Float</t>
        </is>
      </c>
      <c r="V35" s="610">
        <f>+Peers!D78</f>
        <v/>
      </c>
      <c r="W35" s="464" t="n"/>
      <c r="X35" s="464" t="n"/>
      <c r="Y35" s="464" t="n"/>
      <c r="Z35" s="464" t="n"/>
      <c r="AA35" s="464" t="n"/>
      <c r="AB35" s="464" t="n"/>
      <c r="AC35" s="464" t="n"/>
    </row>
    <row r="36" ht="14.25" customHeight="1" s="783">
      <c r="D36" s="606" t="inlineStr">
        <is>
          <t>Strengths</t>
        </is>
      </c>
      <c r="E36" s="606" t="n"/>
      <c r="F36" s="607" t="n"/>
      <c r="G36" s="606" t="inlineStr">
        <is>
          <t>Weaknesses</t>
        </is>
      </c>
      <c r="H36" s="606" t="n"/>
      <c r="I36" s="606" t="n"/>
      <c r="J36" s="464" t="n"/>
      <c r="K36" s="33" t="inlineStr">
        <is>
          <t>Cash Ratio</t>
        </is>
      </c>
      <c r="N36" s="824">
        <f>IFERROR(_xlfn.XLOOKUP($K36,Multiples!$B:$B,Multiples!N:N),"")</f>
        <v/>
      </c>
      <c r="O36" s="824">
        <f>IFERROR(_xlfn.XLOOKUP($K36,Multiples!$B:$B,Multiples!O:O),"")</f>
        <v/>
      </c>
      <c r="P36" s="825">
        <f>IFERROR(_xlfn.XLOOKUP($K36,Multiples!$B:$B,Multiples!P:P),"")</f>
        <v/>
      </c>
      <c r="Q36" s="826">
        <f>IFERROR(_xlfn.XLOOKUP($K36,Multiples!$B:$B,Multiples!Q:Q),"")</f>
        <v/>
      </c>
      <c r="R36" s="826">
        <f>IFERROR(_xlfn.XLOOKUP($K36,Multiples!$B:$B,Multiples!R:R),"")</f>
        <v/>
      </c>
      <c r="S36" s="827" t="n"/>
      <c r="T36" s="464" t="n"/>
      <c r="U36" s="464" t="n"/>
      <c r="V36" s="464" t="n"/>
      <c r="W36" s="843" t="n">
        <v>120.87</v>
      </c>
      <c r="X36" s="464" t="n"/>
      <c r="Y36" s="464" t="n"/>
      <c r="Z36" s="464" t="n"/>
      <c r="AA36" s="464" t="n"/>
      <c r="AB36" s="464" t="n"/>
      <c r="AC36" s="464" t="n"/>
    </row>
    <row r="37" ht="15.75" customHeight="1" s="783">
      <c r="D37" s="788" t="n"/>
      <c r="E37" s="844" t="n"/>
      <c r="F37" s="845" t="n"/>
      <c r="G37" s="791" t="n"/>
      <c r="H37" s="844" t="n"/>
      <c r="I37" s="844" t="n"/>
      <c r="J37" s="464" t="n"/>
      <c r="K37" s="18" t="inlineStr">
        <is>
          <t>Quick Ratio</t>
        </is>
      </c>
      <c r="N37" s="824">
        <f>IFERROR(_xlfn.XLOOKUP($K37,Multiples!$B:$B,Multiples!N:N),"")</f>
        <v/>
      </c>
      <c r="O37" s="824">
        <f>IFERROR(_xlfn.XLOOKUP($K37,Multiples!$B:$B,Multiples!O:O),"")</f>
        <v/>
      </c>
      <c r="P37" s="825">
        <f>IFERROR(_xlfn.XLOOKUP($K37,Multiples!$B:$B,Multiples!P:P),"")</f>
        <v/>
      </c>
      <c r="Q37" s="826">
        <f>IFERROR(_xlfn.XLOOKUP($K37,Multiples!$B:$B,Multiples!Q:Q),"")</f>
        <v/>
      </c>
      <c r="R37" s="826">
        <f>IFERROR(_xlfn.XLOOKUP($K37,Multiples!$B:$B,Multiples!R:R),"")</f>
        <v/>
      </c>
      <c r="S37" s="827" t="n"/>
      <c r="T37" s="464" t="n"/>
      <c r="U37" s="746" t="inlineStr">
        <is>
          <t>Major Holders</t>
        </is>
      </c>
      <c r="V37" s="714" t="n"/>
      <c r="W37" s="843" t="n">
        <v>113.63</v>
      </c>
      <c r="X37" s="464" t="n"/>
      <c r="Y37" s="464" t="n"/>
      <c r="Z37" s="464" t="n"/>
      <c r="AA37" s="464" t="n"/>
      <c r="AB37" s="464" t="n"/>
      <c r="AC37" s="464" t="n"/>
    </row>
    <row r="38" ht="15.75" customHeight="1" s="783">
      <c r="F38" s="846" t="n"/>
      <c r="G38" s="847" t="n"/>
      <c r="J38" s="464" t="n"/>
      <c r="K38" s="18" t="inlineStr">
        <is>
          <t>Current Ratio</t>
        </is>
      </c>
      <c r="N38" s="824">
        <f>IFERROR(_xlfn.XLOOKUP($K38,Multiples!$B:$B,Multiples!N:N),"")</f>
        <v/>
      </c>
      <c r="O38" s="824">
        <f>IFERROR(_xlfn.XLOOKUP($K38,Multiples!$B:$B,Multiples!O:O),"")</f>
        <v/>
      </c>
      <c r="P38" s="825">
        <f>IFERROR(_xlfn.XLOOKUP($K38,Multiples!$B:$B,Multiples!P:P),"")</f>
        <v/>
      </c>
      <c r="Q38" s="826">
        <f>IFERROR(_xlfn.XLOOKUP($K38,Multiples!$B:$B,Multiples!Q:Q),"")</f>
        <v/>
      </c>
      <c r="R38" s="826">
        <f>IFERROR(_xlfn.XLOOKUP($K38,Multiples!$B:$B,Multiples!R:R),"")</f>
        <v/>
      </c>
      <c r="S38" s="827" t="n"/>
      <c r="T38" s="464" t="n"/>
      <c r="U38" s="796" t="n"/>
      <c r="W38" s="843" t="n"/>
      <c r="X38" s="464" t="n"/>
      <c r="Y38" s="464" t="n"/>
      <c r="Z38" s="464" t="n"/>
      <c r="AA38" s="464" t="n"/>
      <c r="AB38" s="464" t="n"/>
      <c r="AC38" s="464" t="n"/>
    </row>
    <row r="39" ht="15.75" customHeight="1" s="783">
      <c r="F39" s="846" t="n"/>
      <c r="G39" s="847" t="n"/>
      <c r="J39" s="464" t="n"/>
      <c r="S39" s="640" t="n"/>
      <c r="T39" s="464" t="n"/>
      <c r="W39" s="843" t="n"/>
      <c r="X39" s="464" t="n"/>
      <c r="Y39" s="464" t="n"/>
      <c r="Z39" s="464" t="n"/>
      <c r="AA39" s="464" t="n"/>
      <c r="AB39" s="464" t="n"/>
      <c r="AC39" s="464" t="n"/>
    </row>
    <row r="40" ht="14.25" customHeight="1" s="783">
      <c r="D40" s="606" t="inlineStr">
        <is>
          <t>Opportunities</t>
        </is>
      </c>
      <c r="E40" s="606" t="n"/>
      <c r="F40" s="607" t="n"/>
      <c r="G40" s="606" t="inlineStr">
        <is>
          <t>Threats</t>
        </is>
      </c>
      <c r="H40" s="606" t="n"/>
      <c r="I40" s="606" t="n"/>
      <c r="J40" s="464" t="n"/>
      <c r="K40" s="7" t="inlineStr">
        <is>
          <t>Cash Flow Ratios</t>
        </is>
      </c>
      <c r="L40" s="819" t="n"/>
      <c r="M40" s="819" t="n"/>
      <c r="N40" s="819" t="n">
        <v>2022</v>
      </c>
      <c r="O40" s="819">
        <f>+N40+1</f>
        <v/>
      </c>
      <c r="P40" s="822">
        <f>+O40+1</f>
        <v/>
      </c>
      <c r="Q40" s="821">
        <f>+P40+1</f>
        <v/>
      </c>
      <c r="R40" s="821">
        <f>+Q40+1</f>
        <v/>
      </c>
      <c r="S40" s="823" t="n"/>
      <c r="T40" s="464" t="n"/>
      <c r="W40" s="843" t="n"/>
      <c r="X40" s="464" t="n"/>
      <c r="Y40" s="464" t="n"/>
      <c r="Z40" s="464" t="n"/>
      <c r="AA40" s="464" t="n"/>
      <c r="AB40" s="464" t="n"/>
      <c r="AC40" s="464" t="n"/>
    </row>
    <row r="41" ht="14.25" customHeight="1" s="783">
      <c r="D41" s="788" t="n"/>
      <c r="E41" s="844" t="n"/>
      <c r="F41" s="845" t="n"/>
      <c r="G41" s="791" t="n"/>
      <c r="H41" s="844" t="n"/>
      <c r="I41" s="844" t="n"/>
      <c r="J41" s="464" t="n"/>
      <c r="K41" s="828" t="inlineStr">
        <is>
          <t>Cash Conversion Cycle</t>
        </is>
      </c>
      <c r="N41" s="824">
        <f>IFERROR(_xlfn.XLOOKUP($K41,Multiples!$B:$B,Multiples!N:N),"")</f>
        <v/>
      </c>
      <c r="O41" s="824">
        <f>IFERROR(_xlfn.XLOOKUP($K41,Multiples!$B:$B,Multiples!O:O),"")</f>
        <v/>
      </c>
      <c r="P41" s="825">
        <f>IFERROR(_xlfn.XLOOKUP($K41,Multiples!$B:$B,Multiples!P:P),"")</f>
        <v/>
      </c>
      <c r="Q41" s="826">
        <f>IFERROR(_xlfn.XLOOKUP($K41,Multiples!$B:$B,Multiples!Q:Q),"")</f>
        <v/>
      </c>
      <c r="R41" s="826">
        <f>IFERROR(_xlfn.XLOOKUP($K41,Multiples!$B:$B,Multiples!R:R),"")</f>
        <v/>
      </c>
      <c r="S41" s="827" t="n"/>
      <c r="T41" s="464" t="n"/>
      <c r="W41" s="843" t="n"/>
      <c r="X41" s="464" t="n"/>
      <c r="Y41" s="464" t="n"/>
      <c r="Z41" s="464" t="n"/>
      <c r="AA41" s="464" t="n"/>
      <c r="AB41" s="464" t="n"/>
      <c r="AC41" s="464" t="n"/>
    </row>
    <row r="42" ht="15.75" customHeight="1" s="783">
      <c r="F42" s="846" t="n"/>
      <c r="G42" s="847" t="n"/>
      <c r="J42" s="464" t="n"/>
      <c r="K42" s="18" t="inlineStr">
        <is>
          <t>Net Income / Op Cash Flow</t>
        </is>
      </c>
      <c r="N42" s="824">
        <f>IFERROR(_xlfn.XLOOKUP($K42,Multiples!$B:$B,Multiples!N:N),"")</f>
        <v/>
      </c>
      <c r="O42" s="824">
        <f>IFERROR(_xlfn.XLOOKUP($K42,Multiples!$B:$B,Multiples!O:O),"")</f>
        <v/>
      </c>
      <c r="P42" s="825">
        <f>IFERROR(_xlfn.XLOOKUP($K42,Multiples!$B:$B,Multiples!P:P),"")</f>
        <v/>
      </c>
      <c r="Q42" s="826">
        <f>IFERROR(_xlfn.XLOOKUP($K42,Multiples!$B:$B,Multiples!Q:Q),"")</f>
        <v/>
      </c>
      <c r="R42" s="826">
        <f>IFERROR(_xlfn.XLOOKUP($K42,Multiples!$B:$B,Multiples!R:R),"")</f>
        <v/>
      </c>
      <c r="S42" s="827" t="n"/>
      <c r="T42" s="464" t="n"/>
      <c r="W42" s="843" t="n"/>
      <c r="X42" s="724" t="n"/>
      <c r="Y42" s="464" t="n"/>
      <c r="Z42" s="464" t="n"/>
      <c r="AA42" s="464" t="n"/>
      <c r="AB42" s="464" t="n"/>
      <c r="AC42" s="464" t="n"/>
    </row>
    <row r="43" ht="15.75" customHeight="1" s="783">
      <c r="F43" s="846" t="n"/>
      <c r="G43" s="847" t="n"/>
      <c r="J43" s="464" t="n"/>
      <c r="K43" s="33" t="inlineStr">
        <is>
          <t>Chg in Cash / Op Cash Flow</t>
        </is>
      </c>
      <c r="N43" s="824">
        <f>IFERROR(_xlfn.XLOOKUP($K43,Multiples!$B:$B,Multiples!N:N),"")</f>
        <v/>
      </c>
      <c r="O43" s="824">
        <f>IFERROR(_xlfn.XLOOKUP($K43,Multiples!$B:$B,Multiples!O:O),"")</f>
        <v/>
      </c>
      <c r="P43" s="825">
        <f>IFERROR(_xlfn.XLOOKUP($K43,Multiples!$B:$B,Multiples!P:P),"")</f>
        <v/>
      </c>
      <c r="Q43" s="826">
        <f>IFERROR(_xlfn.XLOOKUP($K43,Multiples!$B:$B,Multiples!Q:Q),"")</f>
        <v/>
      </c>
      <c r="R43" s="826">
        <f>IFERROR(_xlfn.XLOOKUP($K43,Multiples!$B:$B,Multiples!R:R),"")</f>
        <v/>
      </c>
      <c r="S43" s="827" t="n"/>
      <c r="T43" s="464" t="n"/>
      <c r="W43" s="843" t="n"/>
      <c r="X43" s="464" t="n"/>
      <c r="Y43" s="464" t="n"/>
      <c r="Z43" s="464" t="n"/>
      <c r="AA43" s="464" t="n"/>
      <c r="AB43" s="464" t="n"/>
      <c r="AC43" s="464" t="n"/>
    </row>
    <row r="44" ht="15.75" customHeight="1" s="783">
      <c r="D44" s="464" t="n"/>
      <c r="E44" s="725" t="n"/>
      <c r="F44" s="464" t="n"/>
      <c r="G44" s="726" t="n"/>
      <c r="H44" s="464" t="n"/>
      <c r="I44" s="464" t="n"/>
      <c r="J44" s="464" t="n"/>
      <c r="S44" s="640" t="n"/>
      <c r="T44" s="464" t="n"/>
      <c r="W44" s="843" t="n"/>
      <c r="X44" s="464" t="n"/>
      <c r="Y44" s="464" t="n"/>
      <c r="Z44" s="464" t="n"/>
      <c r="AA44" s="464" t="n"/>
      <c r="AB44" s="464" t="n"/>
      <c r="AC44" s="464" t="n"/>
    </row>
    <row r="45" ht="14.25" customHeight="1" s="783">
      <c r="D45" s="608" t="inlineStr">
        <is>
          <t>Revenue by Region</t>
        </is>
      </c>
      <c r="E45" s="819" t="n"/>
      <c r="F45" s="819" t="n"/>
      <c r="G45" s="819" t="inlineStr">
        <is>
          <t>Revenue by Segment</t>
        </is>
      </c>
      <c r="H45" s="819" t="n"/>
      <c r="I45" s="819" t="n"/>
      <c r="J45" s="464" t="n"/>
      <c r="K45" s="7" t="inlineStr">
        <is>
          <t>Leverage Ratios</t>
        </is>
      </c>
      <c r="L45" s="819" t="n"/>
      <c r="M45" s="819" t="n"/>
      <c r="N45" s="819" t="n">
        <v>2022</v>
      </c>
      <c r="O45" s="819">
        <f>+N45+1</f>
        <v/>
      </c>
      <c r="P45" s="822">
        <f>+O45+1</f>
        <v/>
      </c>
      <c r="Q45" s="821">
        <f>+P45+1</f>
        <v/>
      </c>
      <c r="R45" s="821">
        <f>+Q45+1</f>
        <v/>
      </c>
      <c r="S45" s="823" t="n"/>
      <c r="T45" s="464" t="n"/>
      <c r="W45" s="843" t="n"/>
      <c r="X45" s="464" t="n"/>
      <c r="Y45" s="464" t="n"/>
      <c r="Z45" s="464" t="n"/>
      <c r="AA45" s="464" t="n"/>
      <c r="AB45" s="464" t="n"/>
      <c r="AC45" s="464" t="n"/>
    </row>
    <row r="46" ht="14.25" customHeight="1" s="783">
      <c r="D46" s="464" t="n"/>
      <c r="E46" s="727" t="n"/>
      <c r="F46" s="464" t="n"/>
      <c r="G46" s="726" t="n"/>
      <c r="H46" s="464" t="n"/>
      <c r="I46" s="464" t="n"/>
      <c r="J46" s="464" t="n"/>
      <c r="K46" s="18" t="inlineStr">
        <is>
          <t>Total Debt / Equity</t>
        </is>
      </c>
      <c r="N46" s="824">
        <f>IFERROR(_xlfn.XLOOKUP($K46,Multiples!$B:$B,Multiples!N:N),"")</f>
        <v/>
      </c>
      <c r="O46" s="824">
        <f>IFERROR(_xlfn.XLOOKUP($K46,Multiples!$B:$B,Multiples!O:O),"")</f>
        <v/>
      </c>
      <c r="P46" s="825">
        <f>IFERROR(_xlfn.XLOOKUP($K46,Multiples!$B:$B,Multiples!P:P),"")</f>
        <v/>
      </c>
      <c r="Q46" s="826">
        <f>IFERROR(_xlfn.XLOOKUP($K46,Multiples!$B:$B,Multiples!Q:Q),"")</f>
        <v/>
      </c>
      <c r="R46" s="826">
        <f>IFERROR(_xlfn.XLOOKUP($K46,Multiples!$B:$B,Multiples!R:R),"")</f>
        <v/>
      </c>
      <c r="S46" s="827" t="n"/>
      <c r="T46" s="464" t="n"/>
      <c r="W46" s="464" t="n"/>
      <c r="X46" s="464" t="n"/>
      <c r="Y46" s="393" t="n"/>
      <c r="Z46" s="464" t="n"/>
      <c r="AA46" s="464" t="n"/>
      <c r="AB46" s="464" t="n"/>
    </row>
    <row r="47" ht="15" customHeight="1" s="783">
      <c r="D47" s="464" t="n"/>
      <c r="E47" s="727" t="n"/>
      <c r="F47" s="464" t="n"/>
      <c r="G47" s="726" t="n"/>
      <c r="H47" s="464" t="n"/>
      <c r="I47" s="464" t="n"/>
      <c r="J47" s="464" t="n"/>
      <c r="K47" s="828" t="inlineStr">
        <is>
          <t>Total Debt / Capital</t>
        </is>
      </c>
      <c r="L47" s="464" t="n"/>
      <c r="M47" s="464" t="n"/>
      <c r="N47" s="824">
        <f>IFERROR(_xlfn.XLOOKUP($K47,Multiples!$B:$B,Multiples!N:N),"")</f>
        <v/>
      </c>
      <c r="O47" s="824">
        <f>IFERROR(_xlfn.XLOOKUP($K47,Multiples!$B:$B,Multiples!O:O),"")</f>
        <v/>
      </c>
      <c r="P47" s="825">
        <f>IFERROR(_xlfn.XLOOKUP($K47,Multiples!$B:$B,Multiples!P:P),"")</f>
        <v/>
      </c>
      <c r="Q47" s="826">
        <f>IFERROR(_xlfn.XLOOKUP($K47,Multiples!$B:$B,Multiples!Q:Q),"")</f>
        <v/>
      </c>
      <c r="R47" s="826">
        <f>IFERROR(_xlfn.XLOOKUP($K47,Multiples!$B:$B,Multiples!R:R),"")</f>
        <v/>
      </c>
      <c r="S47" s="827" t="n"/>
      <c r="T47" s="464" t="n"/>
      <c r="U47" s="36" t="n"/>
      <c r="V47" s="624" t="n"/>
      <c r="W47" s="609" t="n"/>
      <c r="X47" s="609" t="n"/>
      <c r="Y47" s="393" t="n"/>
      <c r="Z47" s="609" t="n"/>
      <c r="AA47" s="609" t="n"/>
      <c r="AB47" s="609" t="n"/>
    </row>
    <row r="48" ht="14.25" customHeight="1" s="783">
      <c r="D48" s="464" t="n"/>
      <c r="E48" s="727" t="n"/>
      <c r="F48" s="464" t="n"/>
      <c r="G48" s="726" t="n"/>
      <c r="H48" s="464" t="n"/>
      <c r="I48" s="464" t="n"/>
      <c r="J48" s="464" t="n"/>
      <c r="K48" s="828" t="inlineStr">
        <is>
          <t>Total Liabilities / Total Assets</t>
        </is>
      </c>
      <c r="N48" s="824">
        <f>IFERROR(_xlfn.XLOOKUP($K48,Multiples!$B:$B,Multiples!N:N),"")</f>
        <v/>
      </c>
      <c r="O48" s="824">
        <f>IFERROR(_xlfn.XLOOKUP($K48,Multiples!$B:$B,Multiples!O:O),"")</f>
        <v/>
      </c>
      <c r="P48" s="825">
        <f>IFERROR(_xlfn.XLOOKUP($K48,Multiples!$B:$B,Multiples!P:P),"")</f>
        <v/>
      </c>
      <c r="Q48" s="826">
        <f>IFERROR(_xlfn.XLOOKUP($K48,Multiples!$B:$B,Multiples!Q:Q),"")</f>
        <v/>
      </c>
      <c r="R48" s="826">
        <f>IFERROR(_xlfn.XLOOKUP($K48,Multiples!$B:$B,Multiples!R:R),"")</f>
        <v/>
      </c>
      <c r="S48" s="827" t="n"/>
      <c r="T48" s="464" t="n"/>
      <c r="U48" s="464" t="n"/>
      <c r="V48" s="464" t="n"/>
      <c r="W48" s="609" t="n"/>
      <c r="X48" s="609" t="n"/>
      <c r="Y48" s="393" t="n"/>
      <c r="Z48" s="609" t="n"/>
      <c r="AA48" s="609" t="n"/>
      <c r="AB48" s="609" t="n"/>
    </row>
    <row r="49" ht="14.25" customHeight="1" s="783">
      <c r="D49" s="464" t="n"/>
      <c r="E49" s="464" t="n"/>
      <c r="F49" s="464" t="n"/>
      <c r="G49" s="464" t="n"/>
      <c r="H49" s="464" t="n"/>
      <c r="I49" s="464" t="n"/>
      <c r="J49" s="464" t="n"/>
      <c r="K49" s="18" t="inlineStr">
        <is>
          <t>Total Debt / EBITDA</t>
        </is>
      </c>
      <c r="N49" s="824">
        <f>IFERROR(_xlfn.XLOOKUP($K49,Multiples!$B:$B,Multiples!N:N),"")</f>
        <v/>
      </c>
      <c r="O49" s="824">
        <f>IFERROR(_xlfn.XLOOKUP($K49,Multiples!$B:$B,Multiples!O:O),"")</f>
        <v/>
      </c>
      <c r="P49" s="825">
        <f>IFERROR(_xlfn.XLOOKUP($K49,Multiples!$B:$B,Multiples!P:P),"")</f>
        <v/>
      </c>
      <c r="Q49" s="826">
        <f>IFERROR(_xlfn.XLOOKUP($K49,Multiples!$B:$B,Multiples!Q:Q),"")</f>
        <v/>
      </c>
      <c r="R49" s="826">
        <f>IFERROR(_xlfn.XLOOKUP($K49,Multiples!$B:$B,Multiples!R:R),"")</f>
        <v/>
      </c>
      <c r="S49" s="827" t="n"/>
      <c r="T49" s="464" t="n"/>
      <c r="U49" s="746" t="inlineStr">
        <is>
          <t>Board of Directors</t>
        </is>
      </c>
      <c r="V49" s="714" t="n"/>
      <c r="W49" s="609" t="n"/>
      <c r="X49" s="609" t="n"/>
      <c r="Y49" s="393" t="n"/>
      <c r="Z49" s="609" t="n"/>
      <c r="AA49" s="609" t="n"/>
      <c r="AB49" s="609" t="n"/>
      <c r="AD49" s="464" t="n"/>
      <c r="AE49" s="464" t="n"/>
      <c r="AF49" s="464" t="n"/>
      <c r="AG49" s="464" t="n"/>
    </row>
    <row r="50" ht="14.25" customHeight="1" s="783">
      <c r="D50" s="464" t="n"/>
      <c r="E50" s="464" t="n"/>
      <c r="F50" s="464" t="n"/>
      <c r="G50" s="464" t="n"/>
      <c r="H50" s="464" t="n"/>
      <c r="I50" s="464" t="n"/>
      <c r="J50" s="464" t="n"/>
      <c r="K50" s="18" t="inlineStr">
        <is>
          <t>Total Debt / (EBITDA - Capex)</t>
        </is>
      </c>
      <c r="L50" s="464" t="n"/>
      <c r="M50" s="464" t="n"/>
      <c r="N50" s="824">
        <f>IFERROR(_xlfn.XLOOKUP($K50,Multiples!$B:$B,Multiples!N:N),"")</f>
        <v/>
      </c>
      <c r="O50" s="824">
        <f>IFERROR(_xlfn.XLOOKUP($K50,Multiples!$B:$B,Multiples!O:O),"")</f>
        <v/>
      </c>
      <c r="P50" s="825">
        <f>IFERROR(_xlfn.XLOOKUP($K50,Multiples!$B:$B,Multiples!P:P),"")</f>
        <v/>
      </c>
      <c r="Q50" s="826">
        <f>IFERROR(_xlfn.XLOOKUP($K50,Multiples!$B:$B,Multiples!Q:Q),"")</f>
        <v/>
      </c>
      <c r="R50" s="826">
        <f>IFERROR(_xlfn.XLOOKUP($K50,Multiples!$B:$B,Multiples!R:R),"")</f>
        <v/>
      </c>
      <c r="S50" s="827" t="n"/>
      <c r="T50" s="464" t="n"/>
      <c r="U50" s="786" t="n"/>
      <c r="W50" s="609" t="n"/>
      <c r="X50" s="609" t="n"/>
      <c r="Y50" s="609" t="n"/>
      <c r="Z50" s="609" t="n"/>
      <c r="AA50" s="609" t="n"/>
      <c r="AB50" s="609" t="n"/>
      <c r="AD50" s="464" t="n"/>
      <c r="AE50" s="464" t="n"/>
      <c r="AF50" s="464" t="n"/>
      <c r="AG50" s="464" t="n"/>
    </row>
    <row r="51" ht="14.25" customHeight="1" s="783">
      <c r="D51" s="464" t="n"/>
      <c r="E51" s="464" t="n"/>
      <c r="F51" s="464" t="n"/>
      <c r="G51" s="464" t="n"/>
      <c r="H51" s="464" t="n"/>
      <c r="I51" s="581" t="n"/>
      <c r="J51" s="464" t="n"/>
      <c r="K51" t="inlineStr">
        <is>
          <t>Net Debt / EBITDA</t>
        </is>
      </c>
      <c r="N51" s="824">
        <f>IFERROR(_xlfn.XLOOKUP($K50,Multiples!$B:$B,Multiples!N:N),"")</f>
        <v/>
      </c>
      <c r="O51" s="824">
        <f>IFERROR(_xlfn.XLOOKUP($K50,Multiples!$B:$B,Multiples!O:O),"")</f>
        <v/>
      </c>
      <c r="P51" s="825">
        <f>IFERROR(_xlfn.XLOOKUP($K50,Multiples!$B:$B,Multiples!P:P),"")</f>
        <v/>
      </c>
      <c r="Q51" s="826">
        <f>IFERROR(_xlfn.XLOOKUP($K50,Multiples!$B:$B,Multiples!Q:Q),"")</f>
        <v/>
      </c>
      <c r="R51" s="826">
        <f>IFERROR(_xlfn.XLOOKUP($K50,Multiples!$B:$B,Multiples!R:R),"")</f>
        <v/>
      </c>
      <c r="S51" s="827" t="n"/>
      <c r="T51" s="464" t="n"/>
      <c r="W51" s="609" t="n"/>
      <c r="X51" s="609" t="n"/>
      <c r="Y51" s="609" t="n"/>
      <c r="Z51" s="609" t="n"/>
      <c r="AA51" s="609" t="n"/>
      <c r="AB51" s="609" t="n"/>
      <c r="AD51" s="464" t="n"/>
      <c r="AE51" s="464" t="n"/>
      <c r="AF51" s="464" t="n"/>
      <c r="AG51" s="464" t="n"/>
    </row>
    <row r="52" ht="15" customHeight="1" s="783">
      <c r="D52" s="464" t="n"/>
      <c r="E52" s="464" t="n"/>
      <c r="F52" s="464" t="n"/>
      <c r="G52" s="464" t="n"/>
      <c r="H52" s="464" t="n"/>
      <c r="I52" s="1" t="n"/>
      <c r="J52" s="464" t="n"/>
      <c r="K52" s="464" t="n"/>
      <c r="L52" s="464" t="n"/>
      <c r="M52" s="464" t="n"/>
      <c r="N52" s="464" t="n"/>
      <c r="O52" s="464" t="n"/>
      <c r="P52" s="464" t="n"/>
      <c r="Q52" s="464" t="n"/>
      <c r="R52" s="464" t="n"/>
      <c r="S52" s="715" t="n"/>
      <c r="T52" s="464" t="n"/>
      <c r="W52" s="609" t="n"/>
      <c r="X52" s="609" t="n"/>
      <c r="Y52" s="609" t="n"/>
      <c r="Z52" s="609" t="n"/>
      <c r="AA52" s="609" t="n"/>
      <c r="AB52" s="609" t="n"/>
      <c r="AD52" s="464" t="n"/>
      <c r="AE52" s="464" t="n"/>
      <c r="AF52" s="464" t="n"/>
      <c r="AG52" s="464" t="n"/>
    </row>
    <row r="53" ht="15.75" customHeight="1" s="783">
      <c r="D53" s="464" t="n"/>
      <c r="E53" s="464" t="n"/>
      <c r="F53" s="464" t="n"/>
      <c r="G53" s="464" t="n"/>
      <c r="H53" s="464" t="n"/>
      <c r="I53" s="727" t="n"/>
      <c r="J53" s="464" t="n"/>
      <c r="K53" s="7" t="inlineStr">
        <is>
          <t>Solvency Ratios</t>
        </is>
      </c>
      <c r="L53" s="819" t="n"/>
      <c r="M53" s="819" t="n"/>
      <c r="N53" s="819" t="n">
        <v>2022</v>
      </c>
      <c r="O53" s="819">
        <f>+N53+1</f>
        <v/>
      </c>
      <c r="P53" s="822">
        <f>+O53+1</f>
        <v/>
      </c>
      <c r="Q53" s="821">
        <f>+P53+1</f>
        <v/>
      </c>
      <c r="R53" s="821">
        <f>+Q53+1</f>
        <v/>
      </c>
      <c r="S53" s="823" t="n"/>
      <c r="T53" s="728" t="n"/>
      <c r="W53" s="464" t="n"/>
      <c r="X53" s="464" t="n"/>
      <c r="Z53" s="464" t="n"/>
      <c r="AA53" s="464" t="n"/>
      <c r="AB53" s="464" t="n"/>
      <c r="AD53" s="464" t="n"/>
      <c r="AE53" s="464" t="n"/>
      <c r="AF53" s="464" t="n"/>
      <c r="AG53" s="464" t="n"/>
    </row>
    <row r="54" ht="15.75" customHeight="1" s="783">
      <c r="D54" s="464" t="n"/>
      <c r="E54" s="464" t="n"/>
      <c r="F54" s="464" t="n"/>
      <c r="G54" s="464" t="n"/>
      <c r="H54" s="464" t="n"/>
      <c r="I54" s="729" t="n"/>
      <c r="J54" s="730" t="n"/>
      <c r="K54" s="828" t="inlineStr">
        <is>
          <t>EBIT / Interest Expense</t>
        </is>
      </c>
      <c r="N54" s="824">
        <f>IFERROR(_xlfn.XLOOKUP($K54,Multiples!$B:$B,Multiples!N:N),"")</f>
        <v/>
      </c>
      <c r="O54" s="824">
        <f>IFERROR(_xlfn.XLOOKUP($K54,Multiples!$B:$B,Multiples!O:O),"")</f>
        <v/>
      </c>
      <c r="P54" s="825">
        <f>IFERROR(_xlfn.XLOOKUP($K54,Multiples!$B:$B,Multiples!P:P),"")</f>
        <v/>
      </c>
      <c r="Q54" s="826">
        <f>IFERROR(_xlfn.XLOOKUP($K54,Multiples!$B:$B,Multiples!Q:Q),"")</f>
        <v/>
      </c>
      <c r="R54" s="826">
        <f>IFERROR(_xlfn.XLOOKUP($K54,Multiples!$B:$B,Multiples!R:R),"")</f>
        <v/>
      </c>
      <c r="S54" s="827" t="n"/>
      <c r="T54" s="848" t="n"/>
      <c r="W54" s="464" t="n"/>
      <c r="X54" s="464" t="n"/>
      <c r="Z54" s="464" t="n"/>
      <c r="AA54" s="464" t="n"/>
      <c r="AB54" s="464" t="n"/>
      <c r="AD54" s="464" t="n"/>
      <c r="AE54" s="464" t="n"/>
      <c r="AF54" s="464" t="n"/>
      <c r="AG54" s="464" t="n"/>
    </row>
    <row r="55" ht="15" customHeight="1" s="783">
      <c r="D55" s="464" t="n"/>
      <c r="E55" s="464" t="n"/>
      <c r="F55" s="464" t="n"/>
      <c r="G55" s="464" t="n"/>
      <c r="H55" s="464" t="n"/>
      <c r="I55" s="732" t="n"/>
      <c r="J55" s="464" t="n"/>
      <c r="K55" s="18" t="inlineStr">
        <is>
          <t>EBITDA / Interest Expense</t>
        </is>
      </c>
      <c r="L55" s="464" t="n"/>
      <c r="M55" s="464" t="n"/>
      <c r="N55" s="824">
        <f>IFERROR(_xlfn.XLOOKUP($K55,Multiples!$B:$B,Multiples!N:N),"")</f>
        <v/>
      </c>
      <c r="O55" s="824">
        <f>IFERROR(_xlfn.XLOOKUP($K55,Multiples!$B:$B,Multiples!O:O),"")</f>
        <v/>
      </c>
      <c r="P55" s="825">
        <f>IFERROR(_xlfn.XLOOKUP($K55,Multiples!$B:$B,Multiples!P:P),"")</f>
        <v/>
      </c>
      <c r="Q55" s="826">
        <f>IFERROR(_xlfn.XLOOKUP($K55,Multiples!$B:$B,Multiples!Q:Q),"")</f>
        <v/>
      </c>
      <c r="R55" s="826">
        <f>IFERROR(_xlfn.XLOOKUP($K55,Multiples!$B:$B,Multiples!R:R),"")</f>
        <v/>
      </c>
      <c r="S55" s="827" t="n"/>
      <c r="T55" s="464" t="n"/>
      <c r="W55" s="464" t="n"/>
      <c r="X55" s="464" t="n"/>
      <c r="Z55" s="464" t="n"/>
      <c r="AA55" s="464" t="n"/>
      <c r="AB55" s="464" t="n"/>
      <c r="AD55" s="464" t="n"/>
      <c r="AE55" s="464" t="n"/>
      <c r="AF55" s="464" t="n"/>
      <c r="AG55" s="158" t="n"/>
    </row>
    <row r="56" ht="15" customHeight="1" s="783">
      <c r="D56" s="464" t="n"/>
      <c r="E56" s="464" t="n"/>
      <c r="F56" s="464" t="n"/>
      <c r="G56" s="464" t="n"/>
      <c r="H56" s="464" t="n"/>
      <c r="I56" s="732" t="n"/>
      <c r="J56" s="464" t="n"/>
      <c r="K56" s="18" t="inlineStr">
        <is>
          <t>(EBITDA - Capex) / Interest Expense</t>
        </is>
      </c>
      <c r="N56" s="824">
        <f>IFERROR(_xlfn.XLOOKUP($K56,Multiples!$B:$B,Multiples!N:N),"")</f>
        <v/>
      </c>
      <c r="O56" s="824">
        <f>IFERROR(_xlfn.XLOOKUP($K56,Multiples!$B:$B,Multiples!O:O),"")</f>
        <v/>
      </c>
      <c r="P56" s="825">
        <f>IFERROR(_xlfn.XLOOKUP($K56,Multiples!$B:$B,Multiples!P:P),"")</f>
        <v/>
      </c>
      <c r="Q56" s="826">
        <f>IFERROR(_xlfn.XLOOKUP($K56,Multiples!$B:$B,Multiples!Q:Q),"")</f>
        <v/>
      </c>
      <c r="R56" s="826">
        <f>IFERROR(_xlfn.XLOOKUP($K56,Multiples!$B:$B,Multiples!R:R),"")</f>
        <v/>
      </c>
      <c r="S56" s="827" t="n"/>
      <c r="T56" s="464" t="n"/>
      <c r="W56" s="464" t="n"/>
      <c r="X56" s="464" t="n"/>
      <c r="Y56" s="464" t="n"/>
      <c r="Z56" s="464" t="n"/>
      <c r="AA56" s="464" t="n"/>
      <c r="AB56" s="464" t="n"/>
      <c r="AC56" s="464" t="n"/>
      <c r="AD56" s="464" t="n"/>
      <c r="AE56" s="464" t="n"/>
      <c r="AF56" s="464" t="n"/>
      <c r="AG56" s="849" t="n"/>
    </row>
    <row r="57" ht="14.25" customHeight="1" s="783">
      <c r="D57" s="464" t="n"/>
      <c r="E57" s="464" t="n"/>
      <c r="F57" s="464" t="n"/>
      <c r="G57" s="464" t="n"/>
      <c r="H57" s="464" t="n"/>
      <c r="I57" s="732" t="n"/>
      <c r="J57" s="464" t="n"/>
      <c r="K57" s="464" t="n"/>
      <c r="L57" s="464" t="n"/>
      <c r="M57" s="464" t="n"/>
      <c r="N57" s="464" t="n"/>
      <c r="O57" s="464" t="n"/>
      <c r="P57" s="464" t="n"/>
      <c r="Q57" s="464" t="n"/>
      <c r="R57" s="464" t="n"/>
      <c r="S57" s="715" t="n"/>
      <c r="T57" s="464" t="n"/>
      <c r="W57" s="464" t="n"/>
      <c r="X57" s="464" t="n"/>
      <c r="Y57" s="464" t="n"/>
      <c r="Z57" s="464" t="n"/>
      <c r="AA57" s="464" t="n"/>
      <c r="AB57" s="464" t="n"/>
      <c r="AC57" s="464" t="n"/>
      <c r="AD57" s="464" t="n"/>
      <c r="AE57" s="464" t="n"/>
      <c r="AF57" s="464" t="n"/>
      <c r="AG57" s="464" t="n"/>
    </row>
    <row r="58" ht="14.25" customHeight="1" s="783">
      <c r="D58" s="608" t="inlineStr">
        <is>
          <t>Debt Schedule</t>
        </is>
      </c>
      <c r="E58" s="819" t="n"/>
      <c r="F58" s="819" t="n"/>
      <c r="G58" s="819" t="n"/>
      <c r="H58" s="819" t="n"/>
      <c r="I58" s="819" t="n"/>
      <c r="J58" s="464" t="n"/>
      <c r="K58" s="608" t="inlineStr">
        <is>
          <t>Stock Performance</t>
        </is>
      </c>
      <c r="L58" s="819" t="n"/>
      <c r="M58" s="819" t="n"/>
      <c r="N58" s="819" t="n"/>
      <c r="O58" s="819" t="n"/>
      <c r="P58" s="819" t="n"/>
      <c r="Q58" s="819" t="n"/>
      <c r="R58" s="819" t="n"/>
      <c r="S58" s="850" t="n"/>
      <c r="T58" s="464" t="n"/>
      <c r="U58" s="38" t="n"/>
      <c r="V58" s="38" t="n"/>
      <c r="W58" s="464" t="n"/>
      <c r="X58" s="464" t="n"/>
      <c r="Y58" s="464" t="n"/>
      <c r="Z58" s="464" t="n"/>
      <c r="AA58" s="464" t="n"/>
      <c r="AB58" s="464" t="n"/>
      <c r="AC58" s="464" t="n"/>
      <c r="AD58" s="464" t="n"/>
      <c r="AE58" s="464" t="n"/>
      <c r="AF58" s="464" t="n"/>
      <c r="AG58" s="464" t="n"/>
    </row>
    <row r="59" ht="14.25" customHeight="1" s="783">
      <c r="D59" s="464" t="n"/>
      <c r="E59" s="464" t="n"/>
      <c r="F59" s="464" t="n"/>
      <c r="G59" s="464" t="n"/>
      <c r="H59" s="464" t="n"/>
      <c r="I59" s="732" t="n"/>
      <c r="J59" s="464" t="n"/>
      <c r="K59" s="464" t="n"/>
      <c r="L59" s="464" t="n"/>
      <c r="M59" s="464" t="n"/>
      <c r="N59" s="464" t="n"/>
      <c r="O59" s="464" t="n"/>
      <c r="P59" s="464" t="n"/>
      <c r="Q59" s="464" t="n"/>
      <c r="R59" s="464" t="n"/>
      <c r="S59" s="715" t="n"/>
      <c r="T59" s="464" t="n"/>
      <c r="U59" s="464" t="n"/>
      <c r="V59" s="464" t="n"/>
      <c r="W59" s="464" t="n"/>
      <c r="X59" s="464" t="n"/>
      <c r="Y59" s="464" t="n"/>
      <c r="Z59" s="464" t="n"/>
      <c r="AA59" s="464" t="n"/>
      <c r="AB59" s="464" t="n"/>
      <c r="AC59" s="464" t="n"/>
      <c r="AD59" s="464" t="n"/>
      <c r="AE59" s="464" t="n"/>
      <c r="AF59" s="464" t="n"/>
      <c r="AG59" s="464" t="n"/>
    </row>
    <row r="60" ht="14.25" customHeight="1" s="783" thickBot="1">
      <c r="D60" s="464" t="n"/>
      <c r="E60" s="464" t="n"/>
      <c r="F60" s="464" t="n"/>
      <c r="G60" s="464" t="n"/>
      <c r="H60" s="464" t="n"/>
      <c r="I60" s="732" t="n"/>
      <c r="J60" s="464" t="n"/>
      <c r="K60" s="464" t="n"/>
      <c r="L60" s="464" t="n"/>
      <c r="M60" s="464" t="n"/>
      <c r="N60" s="464" t="n"/>
      <c r="O60" s="464" t="n"/>
      <c r="P60" s="464" t="n"/>
      <c r="Q60" s="464" t="n"/>
      <c r="R60" s="464" t="n"/>
      <c r="S60" s="715" t="n"/>
      <c r="T60" s="464" t="n"/>
      <c r="U60" s="720" t="inlineStr">
        <is>
          <t>ESG Traffic Light</t>
        </is>
      </c>
      <c r="V60" s="714" t="n"/>
      <c r="W60" s="464" t="n"/>
      <c r="X60" s="464" t="n"/>
      <c r="Y60" s="464" t="n"/>
      <c r="Z60" s="464" t="n"/>
      <c r="AA60" s="464" t="n"/>
      <c r="AB60" s="464" t="n"/>
      <c r="AC60" s="464" t="n"/>
      <c r="AD60" s="464" t="n"/>
      <c r="AE60" s="464" t="n"/>
      <c r="AF60" s="464" t="n"/>
      <c r="AG60" s="464" t="n"/>
    </row>
    <row r="61" ht="14.25" customHeight="1" s="783" thickTop="1">
      <c r="D61" s="464" t="n"/>
      <c r="E61" s="464" t="n"/>
      <c r="F61" s="464" t="n"/>
      <c r="G61" s="464" t="n"/>
      <c r="H61" s="464" t="n"/>
      <c r="I61" s="732" t="n"/>
      <c r="J61" s="464" t="n"/>
      <c r="K61" s="464" t="n"/>
      <c r="L61" s="464" t="n"/>
      <c r="M61" s="464" t="n"/>
      <c r="N61" s="464" t="n"/>
      <c r="O61" s="464" t="n"/>
      <c r="P61" s="464" t="n"/>
      <c r="Q61" s="464" t="n"/>
      <c r="R61" s="464" t="n"/>
      <c r="S61" s="715" t="n"/>
      <c r="T61" s="464" t="n"/>
      <c r="U61" s="47" t="inlineStr">
        <is>
          <t>LSEG ESG Score</t>
        </is>
      </c>
      <c r="V61" s="736">
        <f>ESG!C14</f>
        <v/>
      </c>
      <c r="W61" s="464" t="n"/>
      <c r="X61" s="464" t="n"/>
      <c r="Y61" s="464" t="n"/>
      <c r="Z61" s="464" t="n"/>
      <c r="AA61" s="464" t="n"/>
      <c r="AB61" s="464" t="n"/>
      <c r="AC61" s="464" t="n"/>
      <c r="AD61" s="464" t="n"/>
      <c r="AE61" s="464" t="n"/>
      <c r="AF61" s="464" t="n"/>
      <c r="AG61" s="464" t="n"/>
    </row>
    <row r="62" ht="14.25" customHeight="1" s="783">
      <c r="D62" s="464" t="n"/>
      <c r="E62" s="464" t="n"/>
      <c r="F62" s="464" t="n"/>
      <c r="G62" s="464" t="n"/>
      <c r="H62" s="464" t="n"/>
      <c r="I62" s="732" t="n"/>
      <c r="J62" s="464" t="n"/>
      <c r="K62" s="464" t="n"/>
      <c r="L62" s="464" t="n"/>
      <c r="M62" s="464" t="n"/>
      <c r="N62" s="464" t="n"/>
      <c r="O62" s="464" t="n"/>
      <c r="P62" s="464" t="n"/>
      <c r="Q62" s="464" t="n"/>
      <c r="R62" s="464" t="n"/>
      <c r="S62" s="715" t="n"/>
      <c r="T62" s="464" t="n"/>
      <c r="U62" s="25" t="inlineStr">
        <is>
          <t xml:space="preserve">   E-Score</t>
        </is>
      </c>
      <c r="V62" s="735">
        <f>ESG!C15</f>
        <v/>
      </c>
      <c r="W62" s="464" t="n"/>
      <c r="X62" s="464" t="n"/>
      <c r="Y62" s="464" t="n"/>
      <c r="Z62" s="464" t="n"/>
      <c r="AA62" s="464" t="n"/>
      <c r="AB62" s="464" t="n"/>
      <c r="AC62" s="464" t="n"/>
      <c r="AD62" s="464" t="n"/>
      <c r="AE62" s="464" t="n"/>
      <c r="AF62" s="464" t="n"/>
      <c r="AG62" s="464" t="n"/>
    </row>
    <row r="63">
      <c r="D63" s="464" t="n"/>
      <c r="E63" s="464" t="n"/>
      <c r="F63" s="464" t="n"/>
      <c r="G63" s="464" t="n"/>
      <c r="H63" s="464" t="n"/>
      <c r="I63" s="464" t="n"/>
      <c r="J63" s="464" t="n"/>
      <c r="K63" s="464" t="n"/>
      <c r="L63" s="464" t="n"/>
      <c r="M63" s="464" t="n"/>
      <c r="N63" s="464" t="n"/>
      <c r="O63" s="464" t="n"/>
      <c r="P63" s="464" t="n"/>
      <c r="Q63" s="464" t="n"/>
      <c r="R63" s="464" t="n"/>
      <c r="S63" s="715" t="n"/>
      <c r="T63" s="464" t="n"/>
      <c r="U63" s="25" t="inlineStr">
        <is>
          <t xml:space="preserve">   S-Score</t>
        </is>
      </c>
      <c r="V63" s="735">
        <f>ESG!C16</f>
        <v/>
      </c>
      <c r="W63" s="464" t="n"/>
      <c r="X63" s="464" t="n"/>
      <c r="Y63" s="464" t="n"/>
      <c r="Z63" s="464" t="n"/>
      <c r="AA63" s="464" t="n"/>
      <c r="AB63" s="464" t="n"/>
      <c r="AC63" s="464" t="n"/>
      <c r="AD63" s="464" t="n"/>
      <c r="AE63" s="464" t="n"/>
      <c r="AF63" s="464" t="n"/>
      <c r="AG63" s="464" t="n"/>
    </row>
    <row r="64">
      <c r="D64" s="464" t="n"/>
      <c r="E64" s="464" t="n"/>
      <c r="F64" s="464" t="n"/>
      <c r="G64" s="464" t="n"/>
      <c r="H64" s="464" t="n"/>
      <c r="I64" s="464" t="n"/>
      <c r="J64" s="464" t="n"/>
      <c r="K64" s="464" t="n"/>
      <c r="L64" s="464" t="n"/>
      <c r="M64" s="464" t="n"/>
      <c r="N64" s="464" t="n"/>
      <c r="O64" s="464" t="n"/>
      <c r="P64" s="464" t="n"/>
      <c r="Q64" s="464" t="n"/>
      <c r="R64" s="464" t="n"/>
      <c r="S64" s="715" t="n"/>
      <c r="T64" s="464" t="n"/>
      <c r="U64" s="25" t="inlineStr">
        <is>
          <t xml:space="preserve">   G-Score</t>
        </is>
      </c>
      <c r="V64" s="735">
        <f>ESG!C17</f>
        <v/>
      </c>
      <c r="W64" s="464" t="n"/>
      <c r="X64" s="464" t="n"/>
      <c r="Y64" s="464" t="n"/>
      <c r="Z64" s="464" t="n"/>
      <c r="AA64" s="464" t="n"/>
      <c r="AB64" s="464" t="n"/>
      <c r="AC64" s="464" t="n"/>
      <c r="AD64" s="464" t="n"/>
      <c r="AE64" s="464" t="n"/>
      <c r="AF64" s="464" t="n"/>
      <c r="AG64" s="464" t="n"/>
    </row>
    <row r="65" ht="15" customHeight="1" s="783">
      <c r="D65" s="464" t="n"/>
      <c r="E65" s="464" t="n"/>
      <c r="F65" s="464" t="n"/>
      <c r="G65" s="464" t="n"/>
      <c r="H65" s="464" t="n"/>
      <c r="I65" s="464" t="n"/>
      <c r="J65" s="464" t="n"/>
      <c r="K65" s="464" t="n"/>
      <c r="L65" s="464" t="n"/>
      <c r="M65" s="464" t="n"/>
      <c r="N65" s="464" t="n"/>
      <c r="O65" s="464" t="n"/>
      <c r="P65" s="464" t="n"/>
      <c r="Q65" s="464" t="n"/>
      <c r="R65" s="464" t="n"/>
      <c r="S65" s="715" t="n"/>
      <c r="T65" s="464" t="n"/>
      <c r="U65" s="23" t="inlineStr">
        <is>
          <t>S&amp;P Global ESG Score</t>
        </is>
      </c>
      <c r="V65" s="737">
        <f>ESG!C18</f>
        <v/>
      </c>
    </row>
    <row r="66">
      <c r="D66" s="464" t="n"/>
      <c r="E66" s="464" t="n"/>
      <c r="F66" s="464" t="n"/>
      <c r="G66" s="464" t="n"/>
      <c r="H66" s="464" t="n"/>
      <c r="I66" s="464" t="n"/>
      <c r="J66" s="464" t="n"/>
      <c r="K66" s="464" t="n"/>
      <c r="L66" s="464" t="n"/>
      <c r="M66" s="464" t="n"/>
      <c r="N66" s="464" t="n"/>
      <c r="O66" s="464" t="n"/>
      <c r="P66" s="464" t="n"/>
      <c r="Q66" s="464" t="n"/>
      <c r="R66" s="464" t="n"/>
      <c r="S66" s="715" t="n"/>
      <c r="T66" s="464" t="n"/>
      <c r="U66" s="25" t="inlineStr">
        <is>
          <t xml:space="preserve">   Environmental</t>
        </is>
      </c>
      <c r="V66" s="44">
        <f>ESG!C19</f>
        <v/>
      </c>
    </row>
    <row r="67">
      <c r="D67" s="464" t="n"/>
      <c r="E67" s="464" t="n"/>
      <c r="F67" s="464" t="n"/>
      <c r="G67" s="464" t="n"/>
      <c r="H67" s="464" t="n"/>
      <c r="I67" s="464" t="n"/>
      <c r="J67" s="464" t="n"/>
      <c r="K67" s="464" t="n"/>
      <c r="L67" s="464" t="n"/>
      <c r="M67" s="464" t="n"/>
      <c r="N67" s="464" t="n"/>
      <c r="O67" s="464" t="n"/>
      <c r="P67" s="464" t="n"/>
      <c r="Q67" s="464" t="n"/>
      <c r="R67" s="464" t="n"/>
      <c r="S67" s="715" t="n"/>
      <c r="T67" s="464" t="n"/>
      <c r="U67" s="25" t="inlineStr">
        <is>
          <t xml:space="preserve">   Social</t>
        </is>
      </c>
      <c r="V67" s="44">
        <f>ESG!C20</f>
        <v/>
      </c>
    </row>
    <row r="68">
      <c r="D68" s="464" t="n"/>
      <c r="E68" s="464" t="n"/>
      <c r="F68" s="464" t="n"/>
      <c r="G68" s="464" t="n"/>
      <c r="H68" s="464" t="n"/>
      <c r="I68" s="464" t="n"/>
      <c r="J68" s="464" t="n"/>
      <c r="K68" s="464" t="n"/>
      <c r="L68" s="464" t="n"/>
      <c r="M68" s="464" t="n"/>
      <c r="N68" s="464" t="n"/>
      <c r="O68" s="464" t="n"/>
      <c r="P68" s="464" t="n"/>
      <c r="Q68" s="464" t="n"/>
      <c r="R68" s="464" t="n"/>
      <c r="S68" s="715" t="n"/>
      <c r="T68" s="464" t="n"/>
      <c r="U68" s="25" t="inlineStr">
        <is>
          <t xml:space="preserve">   Governance &amp; Economic</t>
        </is>
      </c>
      <c r="V68" s="44">
        <f>ESG!C21</f>
        <v/>
      </c>
    </row>
    <row r="69" ht="15" customHeight="1" s="783">
      <c r="D69" s="464" t="n"/>
      <c r="E69" s="464" t="n"/>
      <c r="F69" s="464" t="n"/>
      <c r="G69" s="464" t="n"/>
      <c r="H69" s="464" t="n"/>
      <c r="I69" s="464" t="n"/>
      <c r="J69" s="464" t="n"/>
      <c r="K69" s="464" t="n"/>
      <c r="L69" s="464" t="n"/>
      <c r="M69" s="464" t="n"/>
      <c r="N69" s="464" t="n"/>
      <c r="O69" s="464" t="n"/>
      <c r="P69" s="464" t="n"/>
      <c r="Q69" s="464" t="n"/>
      <c r="R69" s="464" t="n"/>
      <c r="S69" s="715" t="n"/>
      <c r="T69" s="464" t="n"/>
      <c r="U69" s="23" t="inlineStr">
        <is>
          <t>Sustainalytics</t>
        </is>
      </c>
      <c r="V69" s="851">
        <f>ESG!C22</f>
        <v/>
      </c>
    </row>
    <row r="70" ht="15" customHeight="1" s="783">
      <c r="D70" s="464" t="n"/>
      <c r="E70" s="464" t="n"/>
      <c r="F70" s="464" t="n"/>
      <c r="G70" s="464" t="n"/>
      <c r="H70" s="464" t="n"/>
      <c r="I70" s="464" t="n"/>
      <c r="J70" s="464" t="n"/>
      <c r="K70" s="464" t="n"/>
      <c r="L70" s="464" t="n"/>
      <c r="M70" s="464" t="n"/>
      <c r="N70" s="464" t="n"/>
      <c r="O70" s="464" t="n"/>
      <c r="P70" s="464" t="n"/>
      <c r="Q70" s="464" t="n"/>
      <c r="R70" s="464" t="n"/>
      <c r="S70" s="715" t="n"/>
      <c r="T70" s="464" t="n"/>
      <c r="U70" s="23" t="inlineStr">
        <is>
          <t>ISS ESG Corporate Rating</t>
        </is>
      </c>
      <c r="V70" s="50">
        <f>ESG!C23</f>
        <v/>
      </c>
    </row>
    <row r="71">
      <c r="D71" s="464" t="n"/>
      <c r="E71" s="464" t="n"/>
      <c r="F71" s="464" t="n"/>
      <c r="G71" s="464" t="n"/>
      <c r="H71" s="464" t="n"/>
      <c r="I71" s="464" t="n"/>
      <c r="J71" s="464" t="n"/>
      <c r="K71" s="464" t="n"/>
      <c r="L71" s="464" t="n"/>
      <c r="M71" s="464" t="n"/>
      <c r="N71" s="464" t="n"/>
      <c r="O71" s="464" t="n"/>
      <c r="P71" s="464" t="n"/>
      <c r="Q71" s="464" t="n"/>
      <c r="R71" s="464" t="n"/>
      <c r="S71" s="715" t="n"/>
      <c r="T71" s="464" t="n"/>
      <c r="U71" s="25" t="inlineStr">
        <is>
          <t xml:space="preserve">   SDG Impact Rating</t>
        </is>
      </c>
      <c r="V71" s="44">
        <f>ESG!C24</f>
        <v/>
      </c>
    </row>
    <row r="72">
      <c r="D72" s="464" t="n"/>
      <c r="E72" s="464" t="n"/>
      <c r="F72" s="464" t="n"/>
      <c r="G72" s="464" t="n"/>
      <c r="H72" s="464" t="n"/>
      <c r="I72" s="464" t="n"/>
      <c r="J72" s="464" t="n"/>
      <c r="K72" s="464" t="n"/>
      <c r="L72" s="464" t="n"/>
      <c r="M72" s="464" t="n"/>
      <c r="N72" s="464" t="n"/>
      <c r="O72" s="464" t="n"/>
      <c r="P72" s="464" t="n"/>
      <c r="Q72" s="464" t="n"/>
      <c r="R72" s="464" t="n"/>
      <c r="S72" s="715" t="n"/>
      <c r="T72" s="464" t="n"/>
      <c r="U72" s="25" t="inlineStr">
        <is>
          <t xml:space="preserve">   Governance Quality Score</t>
        </is>
      </c>
      <c r="V72" s="43">
        <f>ESG!C25</f>
        <v/>
      </c>
    </row>
    <row r="73" ht="15" customHeight="1" s="783">
      <c r="D73" s="464" t="n"/>
      <c r="E73" s="464" t="n"/>
      <c r="F73" s="464" t="n"/>
      <c r="G73" s="464" t="n"/>
      <c r="H73" s="464" t="n"/>
      <c r="I73" s="464" t="n"/>
      <c r="J73" s="464" t="n"/>
      <c r="K73" s="464" t="n"/>
      <c r="L73" s="464" t="n"/>
      <c r="M73" s="464" t="n"/>
      <c r="N73" s="464" t="n"/>
      <c r="O73" s="464" t="n"/>
      <c r="P73" s="464" t="n"/>
      <c r="Q73" s="464" t="n"/>
      <c r="R73" s="464" t="n"/>
      <c r="S73" s="715" t="n"/>
      <c r="T73" s="464" t="n"/>
      <c r="U73" s="23" t="inlineStr">
        <is>
          <t>MSCI ESG Ratings</t>
        </is>
      </c>
      <c r="V73" s="51">
        <f>ESG!C26</f>
        <v/>
      </c>
    </row>
    <row r="75" ht="14.25" customHeight="1" s="783">
      <c r="D75" s="464" t="n"/>
      <c r="E75" s="464" t="n"/>
      <c r="F75" s="464" t="n"/>
      <c r="G75" s="464" t="n"/>
      <c r="H75" s="464" t="n"/>
      <c r="I75" s="464" t="n"/>
      <c r="J75" s="464" t="n"/>
      <c r="K75" s="464" t="n"/>
      <c r="L75" s="464" t="n"/>
      <c r="M75" s="464" t="n"/>
      <c r="N75" s="464" t="n"/>
      <c r="O75" s="464" t="n"/>
      <c r="P75" s="464" t="n"/>
      <c r="Q75" s="464" t="n"/>
      <c r="R75" s="464" t="n"/>
      <c r="S75" s="715" t="n"/>
      <c r="T75" s="464" t="n"/>
      <c r="U75" s="784" t="inlineStr">
        <is>
          <t>Disclaimer:
This material has been prepared solely for educational and informational purposes, based on information available to the general public and from sources considered reliable. This research is part of the activities of the Lisbon Investment Society (LIS). It does not constitute, and should not be interpreted as, investment advice, financial advice, or a recommendation to buy or sell any financial instruments. The views expressed are those of the authors and do not necessarily reflect the official position of LIS. The authors assume no responsibility for the accuracy of the information provided, neither should anything contained herein be taken as an indication that any result will be achieved. Investors should conduct their own research and consult with qualified financial advisors before making any investment decisions.</t>
        </is>
      </c>
    </row>
    <row r="76" ht="15" customHeight="1" s="783">
      <c r="D76" s="464" t="n"/>
      <c r="E76" s="464" t="n"/>
      <c r="F76" s="464" t="n"/>
      <c r="G76" s="464" t="n"/>
      <c r="H76" s="464" t="n"/>
      <c r="I76" s="464" t="n"/>
      <c r="J76" s="464" t="n"/>
      <c r="K76" s="464" t="n"/>
      <c r="L76" s="464" t="n"/>
      <c r="M76" s="464" t="n"/>
      <c r="N76" s="464" t="n"/>
      <c r="O76" s="464" t="n"/>
      <c r="P76" s="464" t="n"/>
      <c r="Q76" s="464" t="n"/>
      <c r="R76" s="464" t="n"/>
      <c r="S76" s="715" t="n"/>
      <c r="T76" s="464" t="n"/>
    </row>
    <row r="77" ht="15" customHeight="1" s="783">
      <c r="D77" s="464" t="n"/>
      <c r="E77" s="464" t="n"/>
      <c r="F77" s="464" t="n"/>
      <c r="G77" s="464" t="n"/>
      <c r="H77" s="464" t="n"/>
      <c r="I77" s="464" t="n"/>
      <c r="J77" s="464" t="n"/>
      <c r="K77" s="464" t="n"/>
      <c r="L77" s="464" t="n"/>
      <c r="M77" s="464" t="n"/>
      <c r="N77" s="464" t="n"/>
      <c r="O77" s="464" t="n"/>
      <c r="P77" s="464" t="n"/>
      <c r="Q77" s="464" t="n"/>
      <c r="R77" s="464" t="n"/>
      <c r="S77" s="715" t="n"/>
      <c r="T77" s="464" t="n"/>
    </row>
    <row r="78" ht="15" customHeight="1" s="783">
      <c r="D78" s="464" t="n"/>
      <c r="E78" s="464" t="n"/>
      <c r="F78" s="464" t="n"/>
      <c r="G78" s="464" t="n"/>
      <c r="H78" s="464" t="n"/>
      <c r="I78" s="464" t="n"/>
      <c r="J78" s="464" t="n"/>
      <c r="K78" s="464" t="n"/>
      <c r="L78" s="464" t="n"/>
      <c r="M78" s="464" t="n"/>
      <c r="N78" s="464" t="n"/>
      <c r="O78" s="464" t="n"/>
      <c r="P78" s="464" t="n"/>
      <c r="Q78" s="464" t="n"/>
      <c r="R78" s="464" t="n"/>
      <c r="S78" s="715" t="n"/>
      <c r="T78" s="464" t="n"/>
    </row>
    <row r="79" ht="15" customHeight="1" s="783">
      <c r="D79" s="464" t="n"/>
      <c r="E79" s="464" t="n"/>
      <c r="F79" s="464" t="n"/>
      <c r="G79" s="464" t="n"/>
      <c r="H79" s="464" t="n"/>
      <c r="I79" s="464" t="n"/>
      <c r="J79" s="464" t="n"/>
      <c r="K79" s="464" t="n"/>
      <c r="L79" s="464" t="n"/>
      <c r="M79" s="464" t="n"/>
      <c r="N79" s="464" t="n"/>
      <c r="O79" s="464" t="n"/>
      <c r="P79" s="464" t="n"/>
      <c r="Q79" s="464" t="n"/>
      <c r="R79" s="464" t="n"/>
      <c r="S79" s="715" t="n"/>
      <c r="T79" s="464" t="n"/>
    </row>
    <row r="80" ht="14.25" customHeight="1" s="783">
      <c r="D80" s="749" t="inlineStr">
        <is>
          <t>Extra Notes</t>
        </is>
      </c>
      <c r="E80" s="70" t="n"/>
      <c r="F80" s="69" t="n"/>
      <c r="G80" s="69" t="n"/>
      <c r="H80" s="69" t="n"/>
      <c r="I80" s="69" t="n"/>
      <c r="J80" s="69" t="n"/>
      <c r="K80" s="69" t="n"/>
      <c r="L80" s="69" t="n"/>
      <c r="M80" s="69" t="n"/>
      <c r="N80" s="69" t="n"/>
      <c r="O80" s="69" t="n"/>
      <c r="P80" s="69" t="n"/>
      <c r="Q80" s="69" t="n"/>
      <c r="R80" s="69" t="n"/>
      <c r="S80" s="715" t="n"/>
      <c r="T80" s="464" t="n"/>
    </row>
    <row r="81" ht="15" customHeight="1" s="783">
      <c r="A81" s="713" t="n"/>
      <c r="B81" s="714" t="n"/>
      <c r="C81" s="464" t="n"/>
      <c r="D81" s="794" t="n"/>
      <c r="E81" s="852" t="n"/>
      <c r="F81" s="852" t="n"/>
      <c r="G81" s="852" t="n"/>
      <c r="H81" s="852" t="n"/>
      <c r="I81" s="852" t="n"/>
      <c r="J81" s="852" t="n"/>
      <c r="K81" s="852" t="n"/>
      <c r="L81" s="852" t="n"/>
      <c r="M81" s="852" t="n"/>
      <c r="N81" s="852" t="n"/>
      <c r="O81" s="852" t="n"/>
      <c r="P81" s="852" t="n"/>
      <c r="Q81" s="852" t="n"/>
      <c r="R81" s="852" t="n"/>
      <c r="S81" s="715" t="n"/>
      <c r="T81" s="464" t="n"/>
      <c r="W81" s="464" t="n"/>
      <c r="X81" s="464" t="n"/>
      <c r="Y81" s="464" t="n"/>
      <c r="Z81" s="464" t="n"/>
      <c r="AA81" s="464" t="n"/>
      <c r="AB81" s="464" t="n"/>
      <c r="AC81" s="464" t="n"/>
      <c r="AD81" s="464" t="n"/>
      <c r="AE81" s="464" t="n"/>
      <c r="AF81" s="464" t="n"/>
      <c r="AG81" s="464" t="n"/>
    </row>
    <row r="82" ht="15" customHeight="1" s="783">
      <c r="A82" s="713" t="n"/>
      <c r="B82" s="714" t="n"/>
      <c r="C82" s="464" t="n"/>
      <c r="D82" s="794" t="n"/>
      <c r="E82" s="852" t="n"/>
      <c r="F82" s="852" t="n"/>
      <c r="G82" s="852" t="n"/>
      <c r="H82" s="852" t="n"/>
      <c r="I82" s="852" t="n"/>
      <c r="J82" s="852" t="n"/>
      <c r="K82" s="852" t="n"/>
      <c r="L82" s="852" t="n"/>
      <c r="M82" s="852" t="n"/>
      <c r="N82" s="852" t="n"/>
      <c r="O82" s="852" t="n"/>
      <c r="P82" s="852" t="n"/>
      <c r="Q82" s="852" t="n"/>
      <c r="R82" s="852" t="n"/>
      <c r="S82" s="715" t="n"/>
      <c r="T82" s="464" t="n"/>
      <c r="W82" s="464" t="n"/>
      <c r="X82" s="464" t="n"/>
      <c r="Y82" s="464" t="n"/>
      <c r="Z82" s="464" t="n"/>
      <c r="AA82" s="464" t="n"/>
      <c r="AB82" s="464" t="n"/>
      <c r="AC82" s="464" t="n"/>
      <c r="AD82" s="464" t="n"/>
      <c r="AE82" s="464" t="n"/>
      <c r="AF82" s="464" t="n"/>
      <c r="AG82" s="464" t="n"/>
    </row>
    <row r="83" ht="15" customHeight="1" s="783">
      <c r="A83" s="713" t="n"/>
      <c r="B83" s="714" t="n"/>
      <c r="C83" s="464" t="n"/>
      <c r="D83" s="794" t="n"/>
      <c r="E83" s="852" t="n"/>
      <c r="F83" s="852" t="n"/>
      <c r="G83" s="852" t="n"/>
      <c r="H83" s="852" t="n"/>
      <c r="I83" s="852" t="n"/>
      <c r="J83" s="852" t="n"/>
      <c r="K83" s="852" t="n"/>
      <c r="L83" s="852" t="n"/>
      <c r="M83" s="852" t="n"/>
      <c r="N83" s="852" t="n"/>
      <c r="O83" s="852" t="n"/>
      <c r="P83" s="852" t="n"/>
      <c r="Q83" s="852" t="n"/>
      <c r="R83" s="852" t="n"/>
      <c r="S83" s="715" t="n"/>
      <c r="T83" s="464" t="n"/>
      <c r="W83" s="464" t="n"/>
      <c r="X83" s="464" t="n"/>
      <c r="Y83" s="464" t="n"/>
      <c r="Z83" s="464" t="n"/>
      <c r="AA83" s="464" t="n"/>
      <c r="AB83" s="464" t="n"/>
      <c r="AC83" s="464" t="n"/>
      <c r="AD83" s="464" t="n"/>
      <c r="AE83" s="464" t="n"/>
      <c r="AF83" s="464" t="n"/>
      <c r="AG83" s="464" t="n"/>
    </row>
    <row r="84" ht="15" customHeight="1" s="783">
      <c r="A84" s="713" t="n"/>
      <c r="B84" s="714" t="n"/>
      <c r="C84" s="464" t="n"/>
      <c r="D84" s="794" t="n"/>
      <c r="E84" s="852" t="n"/>
      <c r="F84" s="852" t="n"/>
      <c r="G84" s="852" t="n"/>
      <c r="H84" s="852" t="n"/>
      <c r="I84" s="852" t="n"/>
      <c r="J84" s="852" t="n"/>
      <c r="K84" s="852" t="n"/>
      <c r="L84" s="852" t="n"/>
      <c r="M84" s="852" t="n"/>
      <c r="N84" s="852" t="n"/>
      <c r="O84" s="852" t="n"/>
      <c r="P84" s="852" t="n"/>
      <c r="Q84" s="852" t="n"/>
      <c r="R84" s="852" t="n"/>
      <c r="S84" s="715" t="n"/>
      <c r="T84" s="464" t="n"/>
      <c r="W84" s="464" t="n"/>
      <c r="X84" s="464" t="n"/>
      <c r="Y84" s="464" t="n"/>
      <c r="Z84" s="464" t="n"/>
      <c r="AA84" s="464" t="n"/>
      <c r="AB84" s="464" t="n"/>
      <c r="AC84" s="464" t="n"/>
      <c r="AD84" s="464" t="n"/>
      <c r="AE84" s="464" t="n"/>
      <c r="AF84" s="464" t="n"/>
      <c r="AG84" s="464" t="n"/>
    </row>
    <row r="85" ht="15" customHeight="1" s="783">
      <c r="A85" s="713" t="n"/>
      <c r="B85" s="714" t="n"/>
      <c r="C85" s="464" t="n"/>
      <c r="D85" s="794" t="n"/>
      <c r="E85" s="852" t="n"/>
      <c r="F85" s="852" t="n"/>
      <c r="G85" s="852" t="n"/>
      <c r="H85" s="852" t="n"/>
      <c r="I85" s="852" t="n"/>
      <c r="J85" s="852" t="n"/>
      <c r="K85" s="852" t="n"/>
      <c r="L85" s="852" t="n"/>
      <c r="M85" s="852" t="n"/>
      <c r="N85" s="852" t="n"/>
      <c r="O85" s="852" t="n"/>
      <c r="P85" s="852" t="n"/>
      <c r="Q85" s="852" t="n"/>
      <c r="R85" s="852" t="n"/>
      <c r="S85" s="715" t="n"/>
      <c r="T85" s="464" t="n"/>
      <c r="W85" s="464" t="n"/>
      <c r="X85" s="464" t="n"/>
      <c r="Y85" s="464" t="n"/>
      <c r="Z85" s="464" t="n"/>
      <c r="AA85" s="464" t="n"/>
      <c r="AB85" s="464" t="n"/>
      <c r="AC85" s="464" t="n"/>
      <c r="AD85" s="464" t="n"/>
      <c r="AE85" s="464" t="n"/>
      <c r="AF85" s="464" t="n"/>
      <c r="AG85" s="464" t="n"/>
    </row>
    <row r="86" ht="15" customHeight="1" s="783">
      <c r="A86" s="713" t="n"/>
      <c r="B86" s="714" t="n"/>
      <c r="C86" s="464" t="n"/>
      <c r="D86" s="795" t="n"/>
      <c r="S86" s="715" t="n"/>
      <c r="T86" s="464" t="n"/>
      <c r="W86" s="464" t="n"/>
      <c r="X86" s="464" t="n"/>
      <c r="Y86" s="464" t="n"/>
      <c r="Z86" s="464" t="n"/>
      <c r="AA86" s="464" t="n"/>
      <c r="AB86" s="464" t="n"/>
      <c r="AC86" s="464" t="n"/>
      <c r="AD86" s="464" t="n"/>
      <c r="AE86" s="464" t="n"/>
      <c r="AF86" s="464" t="n"/>
      <c r="AG86" s="464" t="n"/>
    </row>
    <row r="87" ht="15" customHeight="1" s="783">
      <c r="A87" s="713" t="n"/>
      <c r="B87" s="714" t="n"/>
      <c r="C87" s="464" t="n"/>
      <c r="D87" s="795" t="n"/>
      <c r="S87" s="715" t="n"/>
      <c r="T87" s="464" t="n"/>
      <c r="W87" s="464" t="n"/>
      <c r="X87" s="464" t="n"/>
      <c r="Y87" s="464" t="n"/>
      <c r="Z87" s="464" t="n"/>
      <c r="AA87" s="464" t="n"/>
      <c r="AB87" s="464" t="n"/>
      <c r="AC87" s="464" t="n"/>
      <c r="AD87" s="464" t="n"/>
      <c r="AE87" s="464" t="n"/>
      <c r="AF87" s="464" t="n"/>
      <c r="AG87" s="464" t="n"/>
    </row>
    <row r="88" ht="15" customHeight="1" s="783">
      <c r="A88" s="713" t="n"/>
      <c r="B88" s="714" t="n"/>
      <c r="C88" s="464" t="n"/>
      <c r="D88" s="464" t="n"/>
      <c r="E88" s="464" t="n"/>
      <c r="F88" s="464" t="n"/>
      <c r="G88" s="464" t="n"/>
      <c r="H88" s="464" t="n"/>
      <c r="I88" s="464" t="n"/>
      <c r="J88" s="464" t="n"/>
      <c r="K88" s="464" t="n"/>
      <c r="L88" s="464" t="n"/>
      <c r="M88" s="464" t="n"/>
      <c r="N88" s="464" t="n"/>
      <c r="O88" s="464" t="n"/>
      <c r="P88" s="464" t="n"/>
      <c r="Q88" s="464" t="n"/>
      <c r="R88" s="464" t="n"/>
      <c r="S88" s="715" t="n"/>
      <c r="T88" s="464" t="n"/>
      <c r="W88" s="464" t="n"/>
      <c r="X88" s="464" t="n"/>
      <c r="Y88" s="464" t="n"/>
      <c r="Z88" s="464" t="n"/>
      <c r="AA88" s="464" t="n"/>
      <c r="AB88" s="464" t="n"/>
      <c r="AC88" s="464" t="n"/>
      <c r="AD88" s="464" t="n"/>
      <c r="AE88" s="464" t="n"/>
      <c r="AF88" s="464" t="n"/>
      <c r="AG88" s="464" t="n"/>
    </row>
    <row r="89">
      <c r="A89" s="713" t="n"/>
      <c r="B89" s="714" t="n"/>
      <c r="C89" s="464" t="n"/>
      <c r="D89" s="464" t="n"/>
      <c r="E89" s="464" t="n"/>
      <c r="F89" s="464" t="n"/>
      <c r="G89" s="464" t="n"/>
      <c r="H89" s="464" t="n"/>
      <c r="I89" s="464" t="n"/>
      <c r="J89" s="464" t="n"/>
      <c r="K89" s="464" t="n"/>
      <c r="L89" s="464" t="n"/>
      <c r="M89" s="464" t="n"/>
      <c r="N89" s="464" t="n"/>
      <c r="O89" s="464" t="n"/>
      <c r="P89" s="464" t="n"/>
      <c r="Q89" s="464" t="n"/>
      <c r="R89" s="464" t="n"/>
      <c r="S89" s="715" t="n"/>
      <c r="T89" s="464" t="n"/>
      <c r="W89" s="464" t="n"/>
      <c r="X89" s="464" t="n"/>
      <c r="Y89" s="464" t="n"/>
      <c r="Z89" s="464" t="n"/>
      <c r="AA89" s="464" t="n"/>
      <c r="AB89" s="464" t="n"/>
      <c r="AC89" s="464" t="n"/>
      <c r="AD89" s="464" t="n"/>
      <c r="AE89" s="464" t="n"/>
      <c r="AF89" s="464" t="n"/>
      <c r="AG89" s="464" t="n"/>
    </row>
    <row r="90">
      <c r="A90" s="713" t="n"/>
      <c r="B90" s="714" t="n"/>
      <c r="C90" s="464" t="n"/>
      <c r="D90" s="464" t="n"/>
      <c r="E90" s="464" t="n"/>
      <c r="F90" s="464" t="n"/>
      <c r="G90" s="464" t="n"/>
      <c r="H90" s="464" t="n"/>
      <c r="I90" s="464" t="n"/>
      <c r="J90" s="464" t="n"/>
      <c r="K90" s="464" t="n"/>
      <c r="L90" s="464" t="n"/>
      <c r="M90" s="464" t="n"/>
      <c r="N90" s="464" t="n"/>
      <c r="O90" s="464" t="n"/>
      <c r="P90" s="464" t="n"/>
      <c r="Q90" s="464" t="n"/>
      <c r="R90" s="464" t="n"/>
      <c r="S90" s="715" t="n"/>
      <c r="T90" s="464" t="n"/>
      <c r="W90" s="464" t="n"/>
      <c r="X90" s="464" t="n"/>
      <c r="Y90" s="464" t="n"/>
      <c r="Z90" s="464" t="n"/>
      <c r="AA90" s="464" t="n"/>
      <c r="AB90" s="464" t="n"/>
      <c r="AC90" s="464" t="n"/>
      <c r="AD90" s="464" t="n"/>
      <c r="AE90" s="464" t="n"/>
      <c r="AF90" s="464" t="n"/>
      <c r="AG90" s="464" t="n"/>
    </row>
    <row r="91">
      <c r="A91" s="713" t="n"/>
      <c r="B91" s="714" t="n"/>
      <c r="C91" s="464" t="n"/>
      <c r="D91" s="464" t="n"/>
      <c r="E91" s="464" t="n"/>
      <c r="F91" s="464" t="n"/>
      <c r="G91" s="464" t="n"/>
      <c r="H91" s="464" t="n"/>
      <c r="I91" s="464" t="n"/>
      <c r="J91" s="464" t="n"/>
      <c r="K91" s="464" t="n"/>
      <c r="L91" s="464" t="n"/>
      <c r="M91" s="464" t="n"/>
      <c r="N91" s="464" t="n"/>
      <c r="O91" s="464" t="n"/>
      <c r="P91" s="464" t="n"/>
      <c r="Q91" s="464" t="n"/>
      <c r="R91" s="464" t="n"/>
      <c r="S91" s="715" t="n"/>
      <c r="T91" s="464" t="n"/>
      <c r="W91" s="464" t="n"/>
      <c r="X91" s="464" t="n"/>
      <c r="Y91" s="464" t="n"/>
      <c r="Z91" s="464" t="n"/>
      <c r="AA91" s="464" t="n"/>
      <c r="AB91" s="464" t="n"/>
      <c r="AC91" s="464" t="n"/>
      <c r="AD91" s="464" t="n"/>
      <c r="AE91" s="464" t="n"/>
      <c r="AF91" s="464" t="n"/>
      <c r="AG91" s="464" t="n"/>
    </row>
    <row r="92">
      <c r="A92" s="713" t="n"/>
      <c r="B92" s="714" t="n"/>
      <c r="C92" s="464" t="n"/>
      <c r="D92" s="464" t="n"/>
      <c r="E92" s="464" t="n"/>
      <c r="F92" s="464" t="n"/>
      <c r="G92" s="464" t="n"/>
      <c r="H92" s="464" t="n"/>
      <c r="I92" s="464" t="n"/>
      <c r="J92" s="464" t="n"/>
      <c r="K92" s="464" t="n"/>
      <c r="L92" s="464" t="n"/>
      <c r="M92" s="464" t="n"/>
      <c r="N92" s="464" t="n"/>
      <c r="O92" s="464" t="n"/>
      <c r="P92" s="464" t="n"/>
      <c r="Q92" s="464" t="n"/>
      <c r="R92" s="464" t="n"/>
      <c r="S92" s="715" t="n"/>
      <c r="T92" s="464" t="n"/>
      <c r="W92" s="464" t="n"/>
      <c r="X92" s="464" t="n"/>
      <c r="Y92" s="464" t="n"/>
      <c r="Z92" s="464" t="n"/>
      <c r="AA92" s="464" t="n"/>
      <c r="AB92" s="464" t="n"/>
      <c r="AC92" s="464" t="n"/>
      <c r="AD92" s="464" t="n"/>
      <c r="AE92" s="464" t="n"/>
      <c r="AF92" s="464" t="n"/>
      <c r="AG92" s="464" t="n"/>
    </row>
    <row r="93">
      <c r="A93" s="713" t="n"/>
      <c r="B93" s="714" t="n"/>
      <c r="C93" s="464" t="n"/>
      <c r="D93" s="464" t="n"/>
      <c r="E93" s="464" t="n"/>
      <c r="F93" s="464" t="n"/>
      <c r="G93" s="464" t="n"/>
      <c r="H93" s="464" t="n"/>
      <c r="I93" s="464" t="n"/>
      <c r="J93" s="464" t="n"/>
      <c r="K93" s="464" t="n"/>
      <c r="L93" s="464" t="n"/>
      <c r="M93" s="464" t="n"/>
      <c r="N93" s="464" t="n"/>
      <c r="O93" s="464" t="n"/>
      <c r="P93" s="464" t="n"/>
      <c r="Q93" s="464" t="n"/>
      <c r="R93" s="464" t="n"/>
      <c r="S93" s="715" t="n"/>
      <c r="T93" s="464" t="n"/>
      <c r="W93" s="464" t="n"/>
      <c r="X93" s="464" t="n"/>
      <c r="Y93" s="464" t="n"/>
      <c r="Z93" s="464" t="n"/>
      <c r="AA93" s="464" t="n"/>
      <c r="AB93" s="464" t="n"/>
      <c r="AC93" s="464" t="n"/>
      <c r="AD93" s="464" t="n"/>
      <c r="AE93" s="464" t="n"/>
      <c r="AF93" s="464" t="n"/>
      <c r="AG93" s="464" t="n"/>
    </row>
    <row r="94">
      <c r="A94" s="713" t="n"/>
      <c r="B94" s="714" t="n"/>
      <c r="C94" s="464" t="n"/>
      <c r="D94" s="464" t="n"/>
      <c r="E94" s="464" t="n"/>
      <c r="F94" s="464" t="n"/>
      <c r="G94" s="464" t="n"/>
      <c r="H94" s="464" t="n"/>
      <c r="I94" s="464" t="n"/>
      <c r="J94" s="464" t="n"/>
      <c r="K94" s="464" t="n"/>
      <c r="L94" s="464" t="n"/>
      <c r="M94" s="464" t="n"/>
      <c r="N94" s="464" t="n"/>
      <c r="O94" s="464" t="n"/>
      <c r="P94" s="464" t="n"/>
      <c r="Q94" s="464" t="n"/>
      <c r="R94" s="464" t="n"/>
      <c r="S94" s="715" t="n"/>
      <c r="T94" s="464" t="n"/>
      <c r="W94" s="464" t="n"/>
      <c r="X94" s="464" t="n"/>
      <c r="Y94" s="464" t="n"/>
      <c r="Z94" s="464" t="n"/>
      <c r="AA94" s="464" t="n"/>
      <c r="AB94" s="464" t="n"/>
      <c r="AC94" s="464" t="n"/>
      <c r="AD94" s="464" t="n"/>
      <c r="AE94" s="464" t="n"/>
      <c r="AF94" s="464" t="n"/>
      <c r="AG94" s="464" t="n"/>
    </row>
    <row r="95">
      <c r="A95" s="713" t="n"/>
      <c r="B95" s="714" t="n"/>
      <c r="C95" s="464" t="n"/>
      <c r="D95" s="464" t="n"/>
      <c r="E95" s="464" t="n"/>
      <c r="F95" s="464" t="n"/>
      <c r="G95" s="464" t="n"/>
      <c r="H95" s="464" t="n"/>
      <c r="I95" s="464" t="n"/>
      <c r="J95" s="464" t="n"/>
      <c r="K95" s="464" t="n"/>
      <c r="L95" s="464" t="n"/>
      <c r="M95" s="464" t="n"/>
      <c r="N95" s="464" t="n"/>
      <c r="O95" s="464" t="n"/>
      <c r="P95" s="464" t="n"/>
      <c r="Q95" s="464" t="n"/>
      <c r="R95" s="464" t="n"/>
      <c r="S95" s="715" t="n"/>
      <c r="T95" s="464" t="n"/>
      <c r="W95" s="464" t="n"/>
      <c r="X95" s="464" t="n"/>
      <c r="Y95" s="464" t="n"/>
      <c r="Z95" s="464" t="n"/>
      <c r="AA95" s="464" t="n"/>
      <c r="AB95" s="464" t="n"/>
      <c r="AC95" s="464" t="n"/>
      <c r="AD95" s="464" t="n"/>
      <c r="AE95" s="464" t="n"/>
      <c r="AF95" s="464" t="n"/>
      <c r="AG95" s="464" t="n"/>
    </row>
    <row r="96">
      <c r="A96" s="713" t="n"/>
      <c r="B96" s="714" t="n"/>
      <c r="C96" s="464" t="n"/>
      <c r="D96" s="464" t="n"/>
      <c r="E96" s="464" t="n"/>
      <c r="F96" s="464" t="n"/>
      <c r="G96" s="464" t="n"/>
      <c r="H96" s="464" t="n"/>
      <c r="I96" s="464" t="n"/>
      <c r="J96" s="464" t="n"/>
      <c r="K96" s="464" t="n"/>
      <c r="L96" s="464" t="n"/>
      <c r="M96" s="464" t="n"/>
      <c r="N96" s="464" t="n"/>
      <c r="O96" s="464" t="n"/>
      <c r="P96" s="464" t="n"/>
      <c r="Q96" s="464" t="n"/>
      <c r="R96" s="464" t="n"/>
      <c r="S96" s="715" t="n"/>
      <c r="T96" s="464" t="n"/>
      <c r="W96" s="464" t="n"/>
      <c r="X96" s="464" t="n"/>
      <c r="Y96" s="464" t="n"/>
      <c r="Z96" s="464" t="n"/>
      <c r="AA96" s="464" t="n"/>
      <c r="AB96" s="464" t="n"/>
      <c r="AC96" s="464" t="n"/>
      <c r="AD96" s="464" t="n"/>
      <c r="AE96" s="464" t="n"/>
      <c r="AF96" s="464" t="n"/>
      <c r="AG96" s="464" t="n"/>
    </row>
    <row r="97"/>
    <row r="98"/>
    <row r="1048575">
      <c r="A1048575" s="713" t="n"/>
      <c r="B1048575" s="714" t="n"/>
      <c r="C1048575" s="464" t="n"/>
      <c r="D1048575" s="795" t="n"/>
      <c r="E1048575" s="795" t="n"/>
      <c r="F1048575" s="795" t="n"/>
      <c r="G1048575" s="795" t="n"/>
      <c r="H1048575" s="795" t="n"/>
      <c r="I1048575" s="795" t="n"/>
      <c r="J1048575" s="795" t="n"/>
      <c r="K1048575" s="795" t="n"/>
      <c r="L1048575" s="795" t="n"/>
      <c r="M1048575" s="795" t="n"/>
      <c r="N1048575" s="795" t="n"/>
      <c r="O1048575" s="795" t="n"/>
      <c r="P1048575" s="795" t="n"/>
      <c r="Q1048575" s="795" t="n"/>
      <c r="R1048575" s="795" t="n"/>
      <c r="S1048575" s="715" t="n"/>
      <c r="T1048575" s="464" t="n"/>
      <c r="U1048575" s="464" t="n"/>
      <c r="V1048575" s="464" t="n"/>
      <c r="W1048575" s="464" t="n"/>
      <c r="X1048575" s="464" t="n"/>
      <c r="Y1048575" s="464" t="n"/>
      <c r="Z1048575" s="464" t="n"/>
      <c r="AA1048575" s="464" t="n"/>
      <c r="AB1048575" s="464" t="n"/>
      <c r="AC1048575" s="464" t="n"/>
      <c r="AD1048575" s="464" t="n"/>
      <c r="AE1048575" s="464" t="n"/>
      <c r="AF1048575" s="464" t="n"/>
      <c r="AG1048575" s="464" t="n"/>
    </row>
  </sheetData>
  <mergeCells count="16">
    <mergeCell ref="D41:F43"/>
    <mergeCell ref="D86:R86"/>
    <mergeCell ref="D83:R83"/>
    <mergeCell ref="D8:R9"/>
    <mergeCell ref="G41:I43"/>
    <mergeCell ref="D87:R87"/>
    <mergeCell ref="U38:V46"/>
    <mergeCell ref="D81:R81"/>
    <mergeCell ref="D82:R82"/>
    <mergeCell ref="D37:F39"/>
    <mergeCell ref="D84:R84"/>
    <mergeCell ref="G37:I39"/>
    <mergeCell ref="U50:V58"/>
    <mergeCell ref="D11:R15"/>
    <mergeCell ref="U75:V98"/>
    <mergeCell ref="D85:R85"/>
  </mergeCells>
  <conditionalFormatting sqref="E26:E33">
    <cfRule type="dataBar" priority="78">
      <dataBar>
        <cfvo type="min"/>
        <cfvo type="max"/>
        <color rgb="FF63C384"/>
      </dataBar>
    </cfRule>
  </conditionalFormatting>
  <conditionalFormatting sqref="F26">
    <cfRule type="dataBar" priority="87">
      <dataBar>
        <cfvo type="min"/>
        <cfvo type="max"/>
        <color rgb="FF63C384"/>
      </dataBar>
    </cfRule>
  </conditionalFormatting>
  <conditionalFormatting sqref="F26:F33">
    <cfRule type="dataBar" priority="79">
      <dataBar>
        <cfvo type="min"/>
        <cfvo type="max"/>
        <color rgb="FF638EC6"/>
      </dataBar>
    </cfRule>
  </conditionalFormatting>
  <conditionalFormatting sqref="F27">
    <cfRule type="dataBar" priority="86">
      <dataBar>
        <cfvo type="min"/>
        <cfvo type="max"/>
        <color rgb="FF63C384"/>
      </dataBar>
    </cfRule>
  </conditionalFormatting>
  <conditionalFormatting sqref="F28">
    <cfRule type="dataBar" priority="85">
      <dataBar>
        <cfvo type="min"/>
        <cfvo type="max"/>
        <color rgb="FF63C384"/>
      </dataBar>
    </cfRule>
  </conditionalFormatting>
  <conditionalFormatting sqref="F29">
    <cfRule type="dataBar" priority="84">
      <dataBar>
        <cfvo type="min"/>
        <cfvo type="max"/>
        <color rgb="FF63C384"/>
      </dataBar>
    </cfRule>
  </conditionalFormatting>
  <conditionalFormatting sqref="F30">
    <cfRule type="dataBar" priority="83">
      <dataBar>
        <cfvo type="min"/>
        <cfvo type="max"/>
        <color rgb="FF63C384"/>
      </dataBar>
    </cfRule>
  </conditionalFormatting>
  <conditionalFormatting sqref="F31">
    <cfRule type="dataBar" priority="82">
      <dataBar>
        <cfvo type="min"/>
        <cfvo type="max"/>
        <color rgb="FF63C384"/>
      </dataBar>
    </cfRule>
  </conditionalFormatting>
  <conditionalFormatting sqref="F32">
    <cfRule type="dataBar" priority="81">
      <dataBar>
        <cfvo type="min"/>
        <cfvo type="max"/>
        <color rgb="FF63C384"/>
      </dataBar>
    </cfRule>
  </conditionalFormatting>
  <conditionalFormatting sqref="F33">
    <cfRule type="dataBar" priority="80">
      <dataBar>
        <cfvo type="min"/>
        <cfvo type="max"/>
        <color rgb="FF63C384"/>
      </dataBar>
    </cfRule>
  </conditionalFormatting>
  <conditionalFormatting sqref="G26">
    <cfRule type="dataBar" priority="46">
      <dataBar>
        <cfvo type="min"/>
        <cfvo type="max"/>
        <color rgb="FF638EC6"/>
      </dataBar>
    </cfRule>
    <cfRule type="dataBar" priority="47">
      <dataBar>
        <cfvo type="min"/>
        <cfvo type="max"/>
        <color rgb="FF63C384"/>
      </dataBar>
    </cfRule>
  </conditionalFormatting>
  <conditionalFormatting sqref="G26:G33">
    <cfRule type="dataBar" priority="18">
      <dataBar>
        <cfvo type="min"/>
        <cfvo type="max"/>
        <color rgb="FF63C384"/>
      </dataBar>
    </cfRule>
    <cfRule type="dataBar" priority="31">
      <dataBar>
        <cfvo type="min"/>
        <cfvo type="max"/>
        <color rgb="FFFF555A"/>
      </dataBar>
    </cfRule>
  </conditionalFormatting>
  <conditionalFormatting sqref="G27">
    <cfRule type="dataBar" priority="29">
      <dataBar>
        <cfvo type="min"/>
        <cfvo type="max"/>
        <color rgb="FF638EC6"/>
      </dataBar>
    </cfRule>
    <cfRule type="dataBar" priority="30">
      <dataBar>
        <cfvo type="min"/>
        <cfvo type="max"/>
        <color rgb="FF63C384"/>
      </dataBar>
    </cfRule>
    <cfRule type="dataBar" priority="44">
      <dataBar>
        <cfvo type="min"/>
        <cfvo type="max"/>
        <color rgb="FF638EC6"/>
      </dataBar>
    </cfRule>
    <cfRule type="dataBar" priority="45">
      <dataBar>
        <cfvo type="min"/>
        <cfvo type="max"/>
        <color rgb="FF63C384"/>
      </dataBar>
    </cfRule>
  </conditionalFormatting>
  <conditionalFormatting sqref="G28">
    <cfRule type="dataBar" priority="27">
      <dataBar>
        <cfvo type="min"/>
        <cfvo type="max"/>
        <color rgb="FF638EC6"/>
      </dataBar>
    </cfRule>
    <cfRule type="dataBar" priority="28">
      <dataBar>
        <cfvo type="min"/>
        <cfvo type="max"/>
        <color rgb="FF63C384"/>
      </dataBar>
    </cfRule>
    <cfRule type="dataBar" priority="42">
      <dataBar>
        <cfvo type="min"/>
        <cfvo type="max"/>
        <color rgb="FF638EC6"/>
      </dataBar>
    </cfRule>
    <cfRule type="dataBar" priority="43">
      <dataBar>
        <cfvo type="min"/>
        <cfvo type="max"/>
        <color rgb="FF63C384"/>
      </dataBar>
    </cfRule>
  </conditionalFormatting>
  <conditionalFormatting sqref="G29">
    <cfRule type="dataBar" priority="40">
      <dataBar>
        <cfvo type="min"/>
        <cfvo type="max"/>
        <color rgb="FF638EC6"/>
      </dataBar>
    </cfRule>
    <cfRule type="dataBar" priority="41">
      <dataBar>
        <cfvo type="min"/>
        <cfvo type="max"/>
        <color rgb="FF63C384"/>
      </dataBar>
    </cfRule>
  </conditionalFormatting>
  <conditionalFormatting sqref="G30">
    <cfRule type="dataBar" priority="25">
      <dataBar>
        <cfvo type="min"/>
        <cfvo type="max"/>
        <color rgb="FF638EC6"/>
      </dataBar>
    </cfRule>
    <cfRule type="dataBar" priority="26">
      <dataBar>
        <cfvo type="min"/>
        <cfvo type="max"/>
        <color rgb="FF63C384"/>
      </dataBar>
    </cfRule>
    <cfRule type="dataBar" priority="38">
      <dataBar>
        <cfvo type="min"/>
        <cfvo type="max"/>
        <color rgb="FF638EC6"/>
      </dataBar>
    </cfRule>
    <cfRule type="dataBar" priority="39">
      <dataBar>
        <cfvo type="min"/>
        <cfvo type="max"/>
        <color rgb="FF63C384"/>
      </dataBar>
    </cfRule>
  </conditionalFormatting>
  <conditionalFormatting sqref="G31">
    <cfRule type="dataBar" priority="23">
      <dataBar>
        <cfvo type="min"/>
        <cfvo type="max"/>
        <color rgb="FF638EC6"/>
      </dataBar>
    </cfRule>
    <cfRule type="dataBar" priority="24">
      <dataBar>
        <cfvo type="min"/>
        <cfvo type="max"/>
        <color rgb="FF63C384"/>
      </dataBar>
    </cfRule>
    <cfRule type="dataBar" priority="36">
      <dataBar>
        <cfvo type="min"/>
        <cfvo type="max"/>
        <color rgb="FF638EC6"/>
      </dataBar>
    </cfRule>
    <cfRule type="dataBar" priority="37">
      <dataBar>
        <cfvo type="min"/>
        <cfvo type="max"/>
        <color rgb="FF63C384"/>
      </dataBar>
    </cfRule>
  </conditionalFormatting>
  <conditionalFormatting sqref="G32">
    <cfRule type="dataBar" priority="21">
      <dataBar>
        <cfvo type="min"/>
        <cfvo type="max"/>
        <color rgb="FF638EC6"/>
      </dataBar>
    </cfRule>
    <cfRule type="dataBar" priority="22">
      <dataBar>
        <cfvo type="min"/>
        <cfvo type="max"/>
        <color rgb="FF63C384"/>
      </dataBar>
    </cfRule>
    <cfRule type="dataBar" priority="34">
      <dataBar>
        <cfvo type="min"/>
        <cfvo type="max"/>
        <color rgb="FF638EC6"/>
      </dataBar>
    </cfRule>
    <cfRule type="dataBar" priority="35">
      <dataBar>
        <cfvo type="min"/>
        <cfvo type="max"/>
        <color rgb="FF63C384"/>
      </dataBar>
    </cfRule>
  </conditionalFormatting>
  <conditionalFormatting sqref="G33">
    <cfRule type="dataBar" priority="19">
      <dataBar>
        <cfvo type="min"/>
        <cfvo type="max"/>
        <color rgb="FF638EC6"/>
      </dataBar>
    </cfRule>
    <cfRule type="dataBar" priority="20">
      <dataBar>
        <cfvo type="min"/>
        <cfvo type="max"/>
        <color rgb="FF63C384"/>
      </dataBar>
    </cfRule>
    <cfRule type="dataBar" priority="32">
      <dataBar>
        <cfvo type="min"/>
        <cfvo type="max"/>
        <color rgb="FF638EC6"/>
      </dataBar>
    </cfRule>
    <cfRule type="dataBar" priority="33">
      <dataBar>
        <cfvo type="min"/>
        <cfvo type="max"/>
        <color rgb="FF63C384"/>
      </dataBar>
    </cfRule>
  </conditionalFormatting>
  <conditionalFormatting sqref="H26">
    <cfRule type="dataBar" priority="15">
      <dataBar>
        <cfvo type="min"/>
        <cfvo type="max"/>
        <color rgb="FFFF555A"/>
      </dataBar>
    </cfRule>
    <cfRule type="dataBar" priority="16">
      <dataBar>
        <cfvo type="min"/>
        <cfvo type="max"/>
        <color rgb="FF638EC6"/>
      </dataBar>
    </cfRule>
    <cfRule type="dataBar" priority="17">
      <dataBar>
        <cfvo type="min"/>
        <cfvo type="max"/>
        <color rgb="FF63C384"/>
      </dataBar>
    </cfRule>
  </conditionalFormatting>
  <conditionalFormatting sqref="H26:H33">
    <cfRule type="dataBar" priority="8">
      <dataBar>
        <cfvo type="min"/>
        <cfvo type="max"/>
        <color rgb="FF63C384"/>
      </dataBar>
    </cfRule>
  </conditionalFormatting>
  <conditionalFormatting sqref="H27">
    <cfRule type="dataBar" priority="12">
      <dataBar>
        <cfvo type="min"/>
        <cfvo type="max"/>
        <color rgb="FFFF555A"/>
      </dataBar>
    </cfRule>
    <cfRule type="dataBar" priority="13">
      <dataBar>
        <cfvo type="min"/>
        <cfvo type="max"/>
        <color rgb="FF638EC6"/>
      </dataBar>
    </cfRule>
    <cfRule type="dataBar" priority="14">
      <dataBar>
        <cfvo type="min"/>
        <cfvo type="max"/>
        <color rgb="FF63C384"/>
      </dataBar>
    </cfRule>
  </conditionalFormatting>
  <conditionalFormatting sqref="H28">
    <cfRule type="dataBar" priority="9">
      <dataBar>
        <cfvo type="min"/>
        <cfvo type="max"/>
        <color rgb="FFFF555A"/>
      </dataBar>
    </cfRule>
    <cfRule type="dataBar" priority="10">
      <dataBar>
        <cfvo type="min"/>
        <cfvo type="max"/>
        <color rgb="FF638EC6"/>
      </dataBar>
    </cfRule>
    <cfRule type="dataBar" priority="11">
      <dataBar>
        <cfvo type="min"/>
        <cfvo type="max"/>
        <color rgb="FF63C384"/>
      </dataBar>
    </cfRule>
  </conditionalFormatting>
  <conditionalFormatting sqref="I26:I33">
    <cfRule type="dataBar" priority="7">
      <dataBar>
        <cfvo type="min"/>
        <cfvo type="max"/>
        <color rgb="FF63C384"/>
      </dataBar>
    </cfRule>
  </conditionalFormatting>
  <conditionalFormatting sqref="U6">
    <cfRule type="beginsWith" priority="1" operator="beginsWith" dxfId="4" text="Hold">
      <formula>LEFT(U6,LEN("Hold"))="Hold"</formula>
    </cfRule>
    <cfRule type="beginsWith" priority="2" operator="beginsWith" dxfId="3" text="Buy">
      <formula>LEFT(U6,LEN("Buy"))="Buy"</formula>
    </cfRule>
    <cfRule type="beginsWith" priority="3" operator="beginsWith" dxfId="2" text="Strong Buy">
      <formula>LEFT(U6,LEN("Strong Buy"))="Strong Buy"</formula>
    </cfRule>
    <cfRule type="beginsWith" priority="4" operator="beginsWith" dxfId="1" text="Sell">
      <formula>LEFT(U6,LEN("Sell"))="Sell"</formula>
    </cfRule>
    <cfRule type="beginsWith" priority="5" operator="beginsWith" dxfId="0" text="Strong Sell">
      <formula>LEFT(U6,LEN("Strong Sell"))="Strong Sell"</formula>
    </cfRule>
  </conditionalFormatting>
  <dataValidations count="2">
    <dataValidation sqref="G25" showDropDown="0" showInputMessage="1" showErrorMessage="1" allowBlank="1" type="list">
      <formula1>"FCFF, FCFE, Total Payout, Tax Shield"</formula1>
    </dataValidation>
    <dataValidation sqref="U6" showDropDown="0" showInputMessage="1" showErrorMessage="1" allowBlank="1" type="list">
      <formula1>"Strong Buy, Buy, Hold, Sell, Strong Sell"</formula1>
    </dataValidation>
  </dataValidations>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tabColor theme="5" tint="-0.249977111117893"/>
    <outlinePr summaryBelow="1" summaryRight="1"/>
    <pageSetUpPr/>
  </sheetPr>
  <dimension ref="B2:T52"/>
  <sheetViews>
    <sheetView showGridLines="0" zoomScale="55" zoomScaleNormal="70" workbookViewId="0">
      <selection activeCell="B27" sqref="B27:C27"/>
    </sheetView>
  </sheetViews>
  <sheetFormatPr baseColWidth="8" defaultRowHeight="14.25"/>
  <cols>
    <col width="2.375" customWidth="1" style="783" min="1" max="1"/>
    <col width="22" customWidth="1" style="783" min="2" max="2"/>
    <col width="13.25" customWidth="1" style="783" min="4" max="4"/>
    <col width="12.625" customWidth="1" style="783" min="5" max="9"/>
    <col width="18.625" customWidth="1" style="6" min="10" max="10"/>
    <col width="12.625" customWidth="1" style="783" min="11" max="25"/>
  </cols>
  <sheetData>
    <row r="2" ht="20.1" customFormat="1" customHeight="1" s="41">
      <c r="B2" s="40" t="inlineStr">
        <is>
          <t>Segments</t>
        </is>
      </c>
      <c r="J2" s="42" t="n"/>
    </row>
    <row r="4" ht="15.75" customHeight="1" s="783">
      <c r="B4" s="52" t="inlineStr">
        <is>
          <t>Regions</t>
        </is>
      </c>
      <c r="C4" s="56" t="n"/>
      <c r="D4" s="52" t="inlineStr">
        <is>
          <t>Weight</t>
        </is>
      </c>
      <c r="E4" s="57" t="n">
        <v>2020</v>
      </c>
      <c r="F4" s="57">
        <f>+E4+1</f>
        <v/>
      </c>
      <c r="G4" s="57">
        <f>+F4+1</f>
        <v/>
      </c>
      <c r="H4" s="57">
        <f>+G4+1</f>
        <v/>
      </c>
      <c r="I4" s="57">
        <f>+H4+1</f>
        <v/>
      </c>
      <c r="J4" s="58">
        <f>"CAGR "&amp;$G$4&amp;" - "&amp;$I$4</f>
        <v/>
      </c>
      <c r="K4" s="57" t="n">
        <v>2021</v>
      </c>
      <c r="L4" s="57">
        <f>+K4+1</f>
        <v/>
      </c>
      <c r="M4" s="57">
        <f>+L4+1</f>
        <v/>
      </c>
      <c r="N4" s="57">
        <f>+M4+1</f>
        <v/>
      </c>
    </row>
    <row r="5" ht="3.95" customHeight="1" s="783">
      <c r="B5" s="53" t="n"/>
      <c r="C5" s="53" t="n"/>
      <c r="D5" s="53" t="n"/>
      <c r="E5" s="53" t="n"/>
      <c r="F5" s="53" t="n"/>
      <c r="G5" s="53" t="n"/>
      <c r="H5" s="53" t="n"/>
      <c r="I5" s="53" t="n"/>
      <c r="J5" s="60" t="n"/>
      <c r="K5" s="60" t="n"/>
      <c r="L5" s="60" t="n"/>
      <c r="M5" s="60" t="n"/>
      <c r="N5" s="60" t="n"/>
    </row>
    <row r="6">
      <c r="D6" s="853">
        <f>IFERROR(I6/SUM($I$6:$I$12),"")</f>
        <v/>
      </c>
      <c r="E6" s="92" t="n"/>
      <c r="F6" s="92" t="n"/>
      <c r="G6" s="93" t="n"/>
      <c r="H6" s="93" t="n"/>
      <c r="I6" s="93" t="n"/>
      <c r="J6" s="103">
        <f>IFERROR((I6/G6)^(1/COUNT($G$4:$I$4))-1,"")</f>
        <v/>
      </c>
      <c r="K6" s="853">
        <f>IFERROR(F6-E6/E6,"")</f>
        <v/>
      </c>
      <c r="L6" s="853">
        <f>IFERROR(G6-F6/F6,"")</f>
        <v/>
      </c>
      <c r="M6" s="99">
        <f>IFERROR((H6-G6)/G6,"")</f>
        <v/>
      </c>
      <c r="N6" s="99">
        <f>IFERROR((I6-H6)/H6,"")</f>
        <v/>
      </c>
    </row>
    <row r="7">
      <c r="D7" s="853">
        <f>IFERROR(I7/SUM($I$6:$I$12),"")</f>
        <v/>
      </c>
      <c r="E7" s="92" t="n"/>
      <c r="F7" s="92" t="n"/>
      <c r="G7" s="93" t="n"/>
      <c r="H7" s="93" t="n"/>
      <c r="I7" s="93" t="n"/>
      <c r="J7" s="103">
        <f>IFERROR((I7/G7)^(1/COUNT($G$4:$I$4))-1,"")</f>
        <v/>
      </c>
      <c r="K7" s="853">
        <f>IFERROR(F7-E7/E7,"")</f>
        <v/>
      </c>
      <c r="L7" s="853">
        <f>IFERROR(G7-F7/F7,"")</f>
        <v/>
      </c>
      <c r="M7" s="99">
        <f>IFERROR((H7-G7)/G7,"")</f>
        <v/>
      </c>
      <c r="N7" s="99">
        <f>IFERROR((I7-H7)/H7,"")</f>
        <v/>
      </c>
    </row>
    <row r="8">
      <c r="B8" s="87" t="n"/>
      <c r="D8" s="853">
        <f>IFERROR(I8/SUM($I$6:$I$12),"")</f>
        <v/>
      </c>
      <c r="E8" s="95" t="n"/>
      <c r="F8" s="95" t="n"/>
      <c r="G8" s="95" t="n"/>
      <c r="H8" s="95" t="n"/>
      <c r="I8" s="95" t="n"/>
      <c r="J8" s="103">
        <f>IFERROR((I8/E8)^(1/COUNT($E$4:$I$4))-1,"")</f>
        <v/>
      </c>
      <c r="K8" s="853">
        <f>IFERROR(F8-E8/E8,"")</f>
        <v/>
      </c>
      <c r="L8" s="853">
        <f>IFERROR(G8-F8/F8,"")</f>
        <v/>
      </c>
      <c r="M8" s="853">
        <f>IFERROR(H8-G8/G8,"")</f>
        <v/>
      </c>
      <c r="N8" s="99">
        <f>IFERROR((I8-H8)/H8,"")</f>
        <v/>
      </c>
    </row>
    <row r="9">
      <c r="B9" s="87" t="n"/>
      <c r="D9" s="853">
        <f>IFERROR(I9/SUM($I$6:$I$12),"")</f>
        <v/>
      </c>
      <c r="E9" s="95" t="n"/>
      <c r="F9" s="95" t="n"/>
      <c r="G9" s="95" t="n"/>
      <c r="H9" s="95" t="n"/>
      <c r="I9" s="95" t="n"/>
      <c r="J9" s="103">
        <f>IFERROR((I9/E9)^(1/COUNT($E$4:$I$4))-1,"")</f>
        <v/>
      </c>
      <c r="K9" s="853">
        <f>IFERROR(F9-E9/E9,"")</f>
        <v/>
      </c>
      <c r="L9" s="853">
        <f>IFERROR(G9-F9/F9,"")</f>
        <v/>
      </c>
      <c r="M9" s="853">
        <f>IFERROR(H9-G9/G9,"")</f>
        <v/>
      </c>
      <c r="N9" s="99">
        <f>IFERROR((I9-H9)/H9,"")</f>
        <v/>
      </c>
    </row>
    <row r="10">
      <c r="B10" s="87" t="n"/>
      <c r="D10" s="853">
        <f>IFERROR(I10/SUM($I$6:$I$12),"")</f>
        <v/>
      </c>
      <c r="E10" s="95" t="n"/>
      <c r="F10" s="95" t="n"/>
      <c r="G10" s="95" t="n"/>
      <c r="H10" s="95" t="n"/>
      <c r="I10" s="95" t="n"/>
      <c r="J10" s="103">
        <f>IFERROR((I10/E10)^(1/COUNT($E$4:$I$4))-1,"")</f>
        <v/>
      </c>
      <c r="K10" s="853">
        <f>IFERROR(F10-E10/E10,"")</f>
        <v/>
      </c>
      <c r="L10" s="853">
        <f>IFERROR(G10-F10/F10,"")</f>
        <v/>
      </c>
      <c r="M10" s="853">
        <f>IFERROR(H10-G10/G10,"")</f>
        <v/>
      </c>
      <c r="N10" s="99">
        <f>IFERROR((I10-H10)/H10,"")</f>
        <v/>
      </c>
    </row>
    <row r="11">
      <c r="B11" s="87" t="n"/>
      <c r="D11" s="853">
        <f>IFERROR(I11/SUM($I$6:$I$12),"")</f>
        <v/>
      </c>
      <c r="E11" s="95" t="n"/>
      <c r="F11" s="95" t="n"/>
      <c r="G11" s="95" t="n"/>
      <c r="H11" s="95" t="n"/>
      <c r="I11" s="95" t="n"/>
      <c r="J11" s="103" t="n"/>
      <c r="K11" s="853" t="n"/>
      <c r="L11" s="853" t="n"/>
      <c r="M11" s="853" t="n"/>
      <c r="N11" s="99" t="n"/>
    </row>
    <row r="12">
      <c r="B12" s="87" t="n"/>
      <c r="D12" s="853">
        <f>IFERROR(I12/SUM($I$6:$I$12),"")</f>
        <v/>
      </c>
      <c r="E12" s="95" t="n"/>
      <c r="F12" s="95" t="n"/>
      <c r="G12" s="95" t="n"/>
      <c r="H12" s="95" t="n"/>
      <c r="I12" s="95" t="n"/>
      <c r="J12" s="103" t="n"/>
      <c r="K12" s="853" t="n"/>
      <c r="L12" s="853" t="n"/>
      <c r="M12" s="853" t="n"/>
      <c r="N12" s="99" t="n"/>
    </row>
    <row r="13" ht="15" customHeight="1" s="783">
      <c r="B13" s="1" t="inlineStr">
        <is>
          <t>Total</t>
        </is>
      </c>
      <c r="D13" s="854">
        <f>SUM(D6:D12)</f>
        <v/>
      </c>
      <c r="E13" s="97">
        <f>SUM(E6:E10)</f>
        <v/>
      </c>
      <c r="F13" s="97">
        <f>SUM(F6:F10)</f>
        <v/>
      </c>
      <c r="G13" s="97">
        <f>SUM(G6:G10)</f>
        <v/>
      </c>
      <c r="H13" s="97">
        <f>SUM(H6:H10)</f>
        <v/>
      </c>
      <c r="I13" s="97">
        <f>SUM(I6:I10)</f>
        <v/>
      </c>
      <c r="J13" s="67">
        <f>IFERROR((I13/G13)^(1/COUNT($G$4:$I$4))-1,"")</f>
        <v/>
      </c>
      <c r="K13" s="854">
        <f>IFERROR(F13-E13/E13,"")</f>
        <v/>
      </c>
      <c r="L13" s="854">
        <f>IFERROR(G13-F13/F13,"")</f>
        <v/>
      </c>
      <c r="M13" s="99">
        <f>IFERROR((H13-G13)/G13,"")</f>
        <v/>
      </c>
      <c r="N13" s="99">
        <f>IFERROR((I13-H13)/H13,"")</f>
        <v/>
      </c>
    </row>
    <row r="14" ht="8.1" customHeight="1" s="783">
      <c r="R14" s="98" t="n"/>
    </row>
    <row r="15" ht="15.75" customHeight="1" s="783">
      <c r="B15" s="52" t="inlineStr">
        <is>
          <t>Segments</t>
        </is>
      </c>
      <c r="C15" s="56" t="n"/>
      <c r="D15" s="52" t="inlineStr">
        <is>
          <t>Weight</t>
        </is>
      </c>
      <c r="E15" s="57" t="n">
        <v>2020</v>
      </c>
      <c r="F15" s="57">
        <f>+E15+1</f>
        <v/>
      </c>
      <c r="G15" s="57">
        <f>+F15+1</f>
        <v/>
      </c>
      <c r="H15" s="57">
        <f>+G15+1</f>
        <v/>
      </c>
      <c r="I15" s="57">
        <f>+H15+1</f>
        <v/>
      </c>
      <c r="J15" s="58">
        <f>"CAGR "&amp;$E$4&amp;" - "&amp;$I$4</f>
        <v/>
      </c>
      <c r="K15" s="57" t="n">
        <v>2021</v>
      </c>
      <c r="L15" s="57">
        <f>+K15+1</f>
        <v/>
      </c>
      <c r="M15" s="57">
        <f>+L15+1</f>
        <v/>
      </c>
      <c r="N15" s="57">
        <f>+M15+1</f>
        <v/>
      </c>
    </row>
    <row r="16" ht="3.95" customFormat="1" customHeight="1" s="99">
      <c r="B16" s="53" t="n"/>
      <c r="C16" s="53" t="n"/>
      <c r="D16" s="53" t="n"/>
      <c r="E16" s="53" t="n"/>
      <c r="F16" s="53" t="n"/>
      <c r="G16" s="53" t="n"/>
      <c r="H16" s="53" t="n"/>
      <c r="I16" s="53" t="n"/>
      <c r="J16" s="60" t="n"/>
      <c r="K16" s="60" t="n"/>
      <c r="L16" s="60" t="n"/>
      <c r="M16" s="60" t="n"/>
      <c r="N16" s="60" t="n"/>
      <c r="O16" s="99" t="n"/>
    </row>
    <row r="17">
      <c r="D17" s="853">
        <f>IFERROR(I17/SUM($I$17:$I$21),"")</f>
        <v/>
      </c>
      <c r="E17" s="95" t="n"/>
      <c r="F17" s="95" t="n"/>
      <c r="G17" s="95" t="n"/>
      <c r="H17" s="95" t="n"/>
      <c r="I17" s="95" t="n"/>
      <c r="J17" s="103">
        <f>IFERROR((I17/E17)^(1/COUNT($E$4:$I$4))-1,"")</f>
        <v/>
      </c>
      <c r="K17" s="98">
        <f>IFERROR((F17-E17)/E17,"")</f>
        <v/>
      </c>
      <c r="L17" s="98">
        <f>IFERROR((G17-F17)/F17,"")</f>
        <v/>
      </c>
      <c r="M17" s="98">
        <f>IFERROR((H17-G17)/G17,"")</f>
        <v/>
      </c>
      <c r="N17" s="98">
        <f>IFERROR((I17-H17)/H17,"")</f>
        <v/>
      </c>
    </row>
    <row r="18">
      <c r="D18" s="853">
        <f>IFERROR(I18/SUM($I$17:$I$21),"")</f>
        <v/>
      </c>
      <c r="E18" s="95" t="n"/>
      <c r="F18" s="95" t="n"/>
      <c r="G18" s="95" t="n"/>
      <c r="H18" s="95" t="n"/>
      <c r="I18" s="95" t="n"/>
      <c r="J18" s="103">
        <f>IFERROR((I18/E18)^(1/COUNT($E$4:$I$4))-1,"")</f>
        <v/>
      </c>
      <c r="K18" s="98">
        <f>IFERROR((F18-E18)/E18,"")</f>
        <v/>
      </c>
      <c r="L18" s="98">
        <f>IFERROR((G18-F18)/F18,"")</f>
        <v/>
      </c>
      <c r="M18" s="98">
        <f>IFERROR((H18-G18)/G18,"")</f>
        <v/>
      </c>
      <c r="N18" s="98">
        <f>IFERROR((I18-H18)/H18,"")</f>
        <v/>
      </c>
    </row>
    <row r="19">
      <c r="D19" s="853">
        <f>IFERROR(I19/SUM($I$17:$I$21),"")</f>
        <v/>
      </c>
      <c r="E19" s="95" t="n"/>
      <c r="F19" s="95" t="n"/>
      <c r="G19" s="95" t="n"/>
      <c r="H19" s="95" t="n"/>
      <c r="I19" s="95" t="n"/>
      <c r="J19" s="103">
        <f>IFERROR((I19/E19)^(1/COUNT($E$4:$I$4))-1,"")</f>
        <v/>
      </c>
      <c r="K19" s="98">
        <f>IFERROR((F19-E19)/E19,"")</f>
        <v/>
      </c>
      <c r="L19" s="98">
        <f>IFERROR((G19-F19)/F19,"")</f>
        <v/>
      </c>
      <c r="M19" s="98">
        <f>IFERROR((H19-G19)/G19,"")</f>
        <v/>
      </c>
      <c r="N19" s="98">
        <f>IFERROR((I19-H19)/H19,"")</f>
        <v/>
      </c>
    </row>
    <row r="20">
      <c r="B20" s="87" t="n"/>
      <c r="D20" s="853">
        <f>IFERROR(I20/SUM($I$17:$I$21),"")</f>
        <v/>
      </c>
      <c r="E20" s="95" t="n"/>
      <c r="F20" s="95" t="n"/>
      <c r="G20" s="95" t="n"/>
      <c r="H20" s="95" t="n"/>
      <c r="I20" s="95" t="n"/>
      <c r="J20" s="103">
        <f>IFERROR((I20/E20)^(1/COUNT($E$4:$I$4))-1,"")</f>
        <v/>
      </c>
      <c r="K20" s="98">
        <f>IFERROR((F20-E20)/E20,"")</f>
        <v/>
      </c>
      <c r="L20" s="98">
        <f>IFERROR((G20-F20)/F20,"")</f>
        <v/>
      </c>
      <c r="M20" s="98">
        <f>IFERROR((H20-G20)/G20,"")</f>
        <v/>
      </c>
      <c r="N20" s="98">
        <f>IFERROR((I20-H20)/H20,"")</f>
        <v/>
      </c>
    </row>
    <row r="21">
      <c r="B21" s="87" t="n"/>
      <c r="D21" s="853">
        <f>IFERROR(I21/SUM($I$17:$I$21),"")</f>
        <v/>
      </c>
      <c r="E21" s="95" t="n"/>
      <c r="F21" s="95" t="n"/>
      <c r="G21" s="95" t="n"/>
      <c r="H21" s="95" t="n"/>
      <c r="I21" s="95" t="n"/>
      <c r="J21" s="103">
        <f>IFERROR((I21/E21)^(1/COUNT($E$4:$I$4))-1,"")</f>
        <v/>
      </c>
      <c r="K21" s="98">
        <f>IFERROR((F21-E21)/E21,"")</f>
        <v/>
      </c>
      <c r="L21" s="98">
        <f>IFERROR((G21-F21)/F21,"")</f>
        <v/>
      </c>
      <c r="M21" s="98">
        <f>IFERROR((H21-G21)/G21,"")</f>
        <v/>
      </c>
      <c r="N21" s="98">
        <f>IFERROR((I21-H21)/H21,"")</f>
        <v/>
      </c>
    </row>
    <row r="22" ht="15" customHeight="1" s="783">
      <c r="B22" s="1" t="inlineStr">
        <is>
          <t>Total</t>
        </is>
      </c>
      <c r="D22" s="854">
        <f>SUM(D17:D21)</f>
        <v/>
      </c>
      <c r="E22" s="97">
        <f>SUM(E17:E21)</f>
        <v/>
      </c>
      <c r="F22" s="97">
        <f>SUM(F17:F21)</f>
        <v/>
      </c>
      <c r="G22" s="97">
        <f>SUM(G17:G21)</f>
        <v/>
      </c>
      <c r="H22" s="97">
        <f>SUM(H17:H21)</f>
        <v/>
      </c>
      <c r="I22" s="97">
        <f>SUM(I17:I21)</f>
        <v/>
      </c>
      <c r="J22" s="67">
        <f>IFERROR((I22/E22)^(1/COUNT($E$4:$I$4))-1,"")</f>
        <v/>
      </c>
      <c r="K22" s="98">
        <f>IFERROR((F22-E22)/E22,"")</f>
        <v/>
      </c>
      <c r="L22" s="98">
        <f>IFERROR((G22-F22)/F22,"")</f>
        <v/>
      </c>
      <c r="M22" s="98">
        <f>IFERROR((H22-G22)/G22,"")</f>
        <v/>
      </c>
      <c r="N22" s="98">
        <f>IFERROR((I22-H22)/H22,"")</f>
        <v/>
      </c>
    </row>
    <row r="23" ht="8.1" customHeight="1" s="783">
      <c r="B23" s="1" t="n"/>
      <c r="D23" s="1" t="n"/>
      <c r="E23" s="97" t="n"/>
      <c r="F23" s="97" t="n"/>
      <c r="G23" s="97" t="n"/>
      <c r="H23" s="97" t="n"/>
      <c r="I23" s="97" t="n"/>
      <c r="J23" s="67" t="n"/>
      <c r="K23" s="1" t="n"/>
      <c r="L23" s="1" t="n"/>
      <c r="M23" s="1" t="n"/>
      <c r="N23" s="1" t="n"/>
    </row>
    <row r="24" ht="15" customHeight="1" s="783">
      <c r="B24" s="69" t="inlineStr">
        <is>
          <t>Categories</t>
        </is>
      </c>
      <c r="C24" s="70" t="n"/>
      <c r="D24" s="69" t="inlineStr">
        <is>
          <t>Description</t>
        </is>
      </c>
      <c r="E24" s="70" t="n"/>
      <c r="F24" s="70" t="n"/>
      <c r="G24" s="70" t="n"/>
      <c r="H24" s="70" t="n"/>
      <c r="I24" s="70" t="n"/>
      <c r="J24" s="100" t="inlineStr">
        <is>
          <t>Graphs</t>
        </is>
      </c>
      <c r="K24" s="101" t="n"/>
      <c r="L24" s="101" t="n"/>
      <c r="M24" s="101" t="n"/>
      <c r="N24" s="101" t="n"/>
    </row>
    <row r="25" ht="3.95" customHeight="1" s="783">
      <c r="B25" s="71" t="n"/>
      <c r="C25" s="71" t="n"/>
      <c r="D25" s="71" t="n"/>
      <c r="E25" s="71" t="n"/>
      <c r="F25" s="71" t="n"/>
      <c r="G25" s="71" t="n"/>
      <c r="H25" s="71" t="n"/>
      <c r="I25" s="71" t="n"/>
      <c r="J25" s="102" t="n"/>
      <c r="K25" s="102" t="n"/>
      <c r="L25" s="102" t="n"/>
      <c r="M25" s="102" t="n"/>
      <c r="N25" s="102" t="n"/>
    </row>
    <row r="26" ht="39.95" customHeight="1" s="783">
      <c r="B26" s="797" t="n"/>
      <c r="D26" s="799" t="n"/>
      <c r="J26" s="67" t="n"/>
      <c r="K26" s="1" t="n"/>
      <c r="L26" s="1" t="n"/>
      <c r="M26" s="1" t="n"/>
      <c r="N26" s="1" t="n"/>
    </row>
    <row r="27" ht="39.95" customHeight="1" s="783">
      <c r="B27" s="797" t="n"/>
      <c r="D27" s="799" t="n"/>
      <c r="J27" s="67" t="n"/>
      <c r="K27" s="1" t="n"/>
      <c r="L27" s="1" t="n"/>
      <c r="M27" s="1" t="n"/>
      <c r="N27" s="1" t="n"/>
    </row>
    <row r="28" ht="39.95" customHeight="1" s="783">
      <c r="B28" s="797" t="n"/>
      <c r="D28" s="799" t="n"/>
      <c r="J28" s="67" t="n"/>
      <c r="K28" s="1" t="n"/>
      <c r="L28" s="1" t="n"/>
      <c r="M28" s="1" t="n"/>
      <c r="N28" s="1" t="n"/>
    </row>
    <row r="29" hidden="1" ht="39.95" customHeight="1" s="783">
      <c r="B29" s="797">
        <f>IF(B20=0,"",B20)</f>
        <v/>
      </c>
      <c r="D29" s="799" t="n"/>
      <c r="J29" s="67" t="n"/>
      <c r="K29" s="1" t="n"/>
      <c r="L29" s="1" t="n"/>
      <c r="M29" s="1" t="n"/>
      <c r="N29" s="1" t="n"/>
    </row>
    <row r="30" hidden="1" ht="39.95" customHeight="1" s="783">
      <c r="B30" s="797">
        <f>IF(B21=0,"",B21)</f>
        <v/>
      </c>
      <c r="D30" s="799" t="n"/>
      <c r="J30" s="67" t="n"/>
      <c r="K30" s="1" t="n"/>
      <c r="L30" s="1" t="n"/>
      <c r="M30" s="1" t="n"/>
      <c r="N30" s="1" t="n"/>
    </row>
    <row r="31" ht="8.1" customHeight="1" s="783">
      <c r="E31" s="73" t="n"/>
      <c r="F31" s="73" t="n"/>
      <c r="G31" s="73" t="n"/>
      <c r="H31" s="73" t="n"/>
      <c r="I31" s="73" t="n"/>
      <c r="J31" s="103" t="n"/>
    </row>
    <row r="32" ht="15.75" customHeight="1" s="783">
      <c r="B32" s="52" t="inlineStr">
        <is>
          <t>Products</t>
        </is>
      </c>
      <c r="C32" s="56" t="n"/>
      <c r="D32" s="52" t="inlineStr">
        <is>
          <t>Weight</t>
        </is>
      </c>
      <c r="E32" s="57" t="n">
        <v>2020</v>
      </c>
      <c r="F32" s="57">
        <f>+E32+1</f>
        <v/>
      </c>
      <c r="G32" s="57">
        <f>+F32+1</f>
        <v/>
      </c>
      <c r="H32" s="57">
        <f>+G32+1</f>
        <v/>
      </c>
      <c r="I32" s="104">
        <f>+H32+1</f>
        <v/>
      </c>
      <c r="J32" s="855">
        <f>I32+1</f>
        <v/>
      </c>
      <c r="K32" s="855">
        <f>+J32+1</f>
        <v/>
      </c>
      <c r="L32" s="855">
        <f>+K32+1</f>
        <v/>
      </c>
      <c r="M32" s="855">
        <f>+L32+1</f>
        <v/>
      </c>
      <c r="N32" s="855">
        <f>+M32+1</f>
        <v/>
      </c>
      <c r="O32" s="855">
        <f>+N32+1</f>
        <v/>
      </c>
      <c r="P32" s="855">
        <f>+O32+1</f>
        <v/>
      </c>
      <c r="Q32" s="855">
        <f>+P32+1</f>
        <v/>
      </c>
      <c r="R32" s="855">
        <f>+Q32+1</f>
        <v/>
      </c>
      <c r="S32" s="855">
        <f>+R32+1</f>
        <v/>
      </c>
      <c r="T32" s="855">
        <f>+S32+1</f>
        <v/>
      </c>
    </row>
    <row r="33" ht="3.95" customHeight="1" s="783">
      <c r="B33" s="53" t="n"/>
      <c r="C33" s="53" t="n"/>
      <c r="D33" s="53" t="n"/>
      <c r="E33" s="53" t="n"/>
      <c r="F33" s="53" t="n"/>
      <c r="G33" s="53" t="n"/>
      <c r="H33" s="53" t="n"/>
      <c r="I33" s="106" t="n"/>
      <c r="J33" s="60" t="n"/>
      <c r="K33" s="60" t="n"/>
      <c r="L33" s="60" t="n"/>
      <c r="M33" s="60" t="n"/>
      <c r="N33" s="60" t="n"/>
      <c r="O33" s="60" t="n"/>
      <c r="P33" s="60" t="n"/>
      <c r="Q33" s="60" t="n"/>
      <c r="R33" s="60" t="n"/>
      <c r="S33" s="60" t="n"/>
      <c r="T33" s="60" t="n"/>
    </row>
    <row r="34">
      <c r="D34" s="853">
        <f>IFERROR(I34/$I$13,"")</f>
        <v/>
      </c>
      <c r="E34" s="95" t="n"/>
      <c r="F34" s="95" t="n"/>
      <c r="G34" s="95" t="n"/>
      <c r="H34" s="95" t="n"/>
      <c r="I34" s="107" t="n"/>
      <c r="J34" s="108" t="n"/>
      <c r="K34" s="108" t="n"/>
      <c r="L34" s="108" t="n"/>
      <c r="M34" s="108" t="n"/>
      <c r="N34" s="108" t="n"/>
      <c r="O34" s="108" t="n"/>
      <c r="P34" s="108" t="n"/>
      <c r="Q34" s="108" t="n"/>
      <c r="R34" s="108" t="n"/>
      <c r="S34" s="108" t="n"/>
      <c r="T34" s="108" t="n"/>
    </row>
    <row r="35" hidden="1" s="783">
      <c r="D35" s="853" t="n"/>
      <c r="E35" s="853" t="n"/>
      <c r="F35" s="853" t="n"/>
      <c r="G35" s="853" t="n"/>
      <c r="H35" s="853" t="n"/>
      <c r="I35" s="856" t="n"/>
      <c r="J35" s="857" t="n"/>
      <c r="K35" s="857" t="n"/>
      <c r="L35" s="857" t="n"/>
      <c r="M35" s="857" t="n"/>
      <c r="N35" s="857" t="n"/>
      <c r="O35" s="857" t="n"/>
      <c r="P35" s="857" t="n"/>
      <c r="Q35" s="857" t="n"/>
      <c r="R35" s="857" t="n"/>
      <c r="S35" s="857" t="n"/>
      <c r="T35" s="857" t="n"/>
    </row>
    <row r="36">
      <c r="D36" s="853">
        <f>IFERROR(I36/$I$13,"")</f>
        <v/>
      </c>
      <c r="E36" s="95" t="n"/>
      <c r="F36" s="95" t="n"/>
      <c r="G36" s="95" t="n"/>
      <c r="H36" s="95" t="n"/>
      <c r="I36" s="107" t="n"/>
      <c r="J36" s="108" t="n"/>
      <c r="K36" s="108" t="n"/>
      <c r="L36" s="108" t="n"/>
      <c r="M36" s="108" t="n"/>
      <c r="N36" s="108" t="n"/>
      <c r="O36" s="108" t="n"/>
      <c r="P36" s="108" t="n"/>
      <c r="Q36" s="108" t="n"/>
      <c r="R36" s="108" t="n"/>
      <c r="S36" s="108" t="n"/>
      <c r="T36" s="108" t="n"/>
    </row>
    <row r="37" hidden="1" s="783">
      <c r="D37" s="853" t="n"/>
      <c r="E37" s="853" t="n"/>
      <c r="F37" s="853">
        <f>IFERROR((F36-E36)/E36,"")</f>
        <v/>
      </c>
      <c r="G37" s="853">
        <f>IFERROR((G36-F36)/F36,"")</f>
        <v/>
      </c>
      <c r="H37" s="853">
        <f>IFERROR((H36-G36)/G36,"")</f>
        <v/>
      </c>
      <c r="I37" s="858">
        <f>IFERROR((I36-H36)/H36,"")</f>
        <v/>
      </c>
      <c r="J37" s="857" t="n"/>
      <c r="K37" s="857" t="n"/>
      <c r="L37" s="857" t="n"/>
      <c r="M37" s="857" t="n"/>
      <c r="N37" s="857" t="n"/>
      <c r="O37" s="857" t="n"/>
      <c r="P37" s="857" t="n"/>
      <c r="Q37" s="857" t="n"/>
      <c r="R37" s="857" t="n"/>
      <c r="S37" s="857" t="n"/>
      <c r="T37" s="857" t="n"/>
    </row>
    <row r="38" hidden="1" s="783">
      <c r="B38" t="inlineStr">
        <is>
          <t>Product 3</t>
        </is>
      </c>
      <c r="D38" s="853">
        <f>IFERROR(I38/$I$13,"")</f>
        <v/>
      </c>
      <c r="E38" s="95" t="n"/>
      <c r="F38" s="95" t="n"/>
      <c r="G38" s="95" t="n"/>
      <c r="H38" s="95" t="n"/>
      <c r="I38" s="114" t="n"/>
      <c r="J38" s="108">
        <f>I38*(1+J39)</f>
        <v/>
      </c>
      <c r="K38" s="108">
        <f>J38*(1+K39)</f>
        <v/>
      </c>
      <c r="L38" s="108">
        <f>K38*(1+L39)</f>
        <v/>
      </c>
      <c r="M38" s="108">
        <f>L38*(1+M39)</f>
        <v/>
      </c>
      <c r="N38" s="108">
        <f>M38*(1+N39)</f>
        <v/>
      </c>
      <c r="O38" s="108">
        <f>N38*(1+O39)</f>
        <v/>
      </c>
      <c r="P38" s="108">
        <f>O38*(1+P39)</f>
        <v/>
      </c>
      <c r="Q38" s="108">
        <f>P38*(1+Q39)</f>
        <v/>
      </c>
      <c r="R38" s="108">
        <f>Q38*(1+R39)</f>
        <v/>
      </c>
      <c r="S38" s="108">
        <f>R38*(1+S39)</f>
        <v/>
      </c>
      <c r="T38" s="108">
        <f>S38*(1+T39)</f>
        <v/>
      </c>
    </row>
    <row r="39" hidden="1" s="783">
      <c r="D39" s="853" t="n"/>
      <c r="E39" s="853" t="n"/>
      <c r="F39" s="853">
        <f>IFERROR(F38-E38/E38,"")</f>
        <v/>
      </c>
      <c r="G39" s="853">
        <f>IFERROR(G38-F38/F38,"")</f>
        <v/>
      </c>
      <c r="H39" s="853">
        <f>IFERROR(H38-G38/G38,"")</f>
        <v/>
      </c>
      <c r="I39" s="856">
        <f>IFERROR(I38-H38/H38,"")</f>
        <v/>
      </c>
      <c r="J39" s="857" t="n"/>
      <c r="K39" s="857" t="n"/>
      <c r="L39" s="857" t="n"/>
      <c r="M39" s="857" t="n"/>
      <c r="N39" s="857" t="n"/>
      <c r="O39" s="857" t="n"/>
      <c r="P39" s="857" t="n"/>
      <c r="Q39" s="857" t="n"/>
      <c r="R39" s="857" t="n"/>
      <c r="S39" s="857" t="n"/>
      <c r="T39" s="857" t="n"/>
    </row>
    <row r="40" hidden="1" s="783">
      <c r="B40" t="inlineStr">
        <is>
          <t>Product 4</t>
        </is>
      </c>
      <c r="D40" s="853">
        <f>IFERROR(I40/$I$13,"")</f>
        <v/>
      </c>
      <c r="E40" s="95" t="n"/>
      <c r="F40" s="95" t="n"/>
      <c r="G40" s="95" t="n"/>
      <c r="H40" s="95" t="n"/>
      <c r="I40" s="114" t="n"/>
      <c r="J40" s="108">
        <f>I40*(1+J41)</f>
        <v/>
      </c>
      <c r="K40" s="108">
        <f>J40*(1+K41)</f>
        <v/>
      </c>
      <c r="L40" s="108">
        <f>K40*(1+L41)</f>
        <v/>
      </c>
      <c r="M40" s="108">
        <f>L40*(1+M41)</f>
        <v/>
      </c>
      <c r="N40" s="108">
        <f>M40*(1+N41)</f>
        <v/>
      </c>
      <c r="O40" s="108">
        <f>N40*(1+O41)</f>
        <v/>
      </c>
      <c r="P40" s="108">
        <f>O40*(1+P41)</f>
        <v/>
      </c>
      <c r="Q40" s="108">
        <f>P40*(1+Q41)</f>
        <v/>
      </c>
      <c r="R40" s="108">
        <f>Q40*(1+R41)</f>
        <v/>
      </c>
      <c r="S40" s="108">
        <f>R40*(1+S41)</f>
        <v/>
      </c>
      <c r="T40" s="108">
        <f>S40*(1+T41)</f>
        <v/>
      </c>
    </row>
    <row r="41" hidden="1" s="783">
      <c r="D41" s="853" t="n"/>
      <c r="E41" s="853" t="n"/>
      <c r="F41" s="853">
        <f>IFERROR(F40-E40/E40,"")</f>
        <v/>
      </c>
      <c r="G41" s="853">
        <f>IFERROR(G40-F40/F40,"")</f>
        <v/>
      </c>
      <c r="H41" s="853">
        <f>IFERROR(H40-G40/G40,"")</f>
        <v/>
      </c>
      <c r="I41" s="856">
        <f>IFERROR(I40-H40/H40,"")</f>
        <v/>
      </c>
      <c r="J41" s="857" t="n"/>
      <c r="K41" s="857" t="n"/>
      <c r="L41" s="857" t="n"/>
      <c r="M41" s="857" t="n"/>
      <c r="N41" s="857" t="n"/>
      <c r="O41" s="857" t="n"/>
      <c r="P41" s="857" t="n"/>
      <c r="Q41" s="857" t="n"/>
      <c r="R41" s="857" t="n"/>
      <c r="S41" s="857" t="n"/>
      <c r="T41" s="857" t="n"/>
    </row>
    <row r="42" hidden="1" s="783">
      <c r="B42" t="inlineStr">
        <is>
          <t>Product 5</t>
        </is>
      </c>
      <c r="D42" s="853">
        <f>IFERROR(I42/$I$13,"")</f>
        <v/>
      </c>
      <c r="E42" s="95" t="n"/>
      <c r="F42" s="95" t="n"/>
      <c r="G42" s="95" t="n"/>
      <c r="H42" s="95" t="n"/>
      <c r="I42" s="114" t="n"/>
      <c r="J42" s="108">
        <f>I42*(1+J43)</f>
        <v/>
      </c>
      <c r="K42" s="108">
        <f>J42*(1+K43)</f>
        <v/>
      </c>
      <c r="L42" s="108">
        <f>K42*(1+L43)</f>
        <v/>
      </c>
      <c r="M42" s="108">
        <f>L42*(1+M43)</f>
        <v/>
      </c>
      <c r="N42" s="108">
        <f>M42*(1+N43)</f>
        <v/>
      </c>
      <c r="O42" s="108">
        <f>N42*(1+O43)</f>
        <v/>
      </c>
      <c r="P42" s="108">
        <f>O42*(1+P43)</f>
        <v/>
      </c>
      <c r="Q42" s="108">
        <f>P42*(1+Q43)</f>
        <v/>
      </c>
      <c r="R42" s="108">
        <f>Q42*(1+R43)</f>
        <v/>
      </c>
      <c r="S42" s="108">
        <f>R42*(1+S43)</f>
        <v/>
      </c>
      <c r="T42" s="108">
        <f>S42*(1+T43)</f>
        <v/>
      </c>
    </row>
    <row r="43" hidden="1" s="783">
      <c r="D43" s="853" t="n"/>
      <c r="E43" s="853" t="n"/>
      <c r="F43" s="853">
        <f>IFERROR(F42-E42/E42,"")</f>
        <v/>
      </c>
      <c r="G43" s="853">
        <f>IFERROR(G42-F42/F42,"")</f>
        <v/>
      </c>
      <c r="H43" s="853">
        <f>IFERROR(H42-G42/G42,"")</f>
        <v/>
      </c>
      <c r="I43" s="856">
        <f>IFERROR(I42-H42/H42,"")</f>
        <v/>
      </c>
      <c r="J43" s="857" t="n"/>
      <c r="K43" s="857" t="n"/>
      <c r="L43" s="857" t="n"/>
      <c r="M43" s="857" t="n"/>
      <c r="N43" s="857" t="n"/>
      <c r="O43" s="857" t="n"/>
      <c r="P43" s="857" t="n"/>
      <c r="Q43" s="857" t="n"/>
      <c r="R43" s="857" t="n"/>
      <c r="S43" s="857" t="n"/>
      <c r="T43" s="857" t="n"/>
    </row>
    <row r="44" ht="15" customHeight="1" s="783">
      <c r="B44" s="1" t="inlineStr">
        <is>
          <t>Total</t>
        </is>
      </c>
      <c r="D44" s="854">
        <f>SUM(D34:D42)</f>
        <v/>
      </c>
      <c r="E44" s="97">
        <f>SUM(E34:E42)</f>
        <v/>
      </c>
      <c r="F44" s="97">
        <f>SUM(F34:F42)</f>
        <v/>
      </c>
      <c r="G44" s="97">
        <f>SUM(G34:G42)</f>
        <v/>
      </c>
      <c r="H44" s="97">
        <f>SUM(H34:H42)</f>
        <v/>
      </c>
      <c r="I44" s="115">
        <f>SUM(I34:I42)</f>
        <v/>
      </c>
      <c r="J44" s="97">
        <f>SUM(J34:J42)</f>
        <v/>
      </c>
      <c r="K44" s="97">
        <f>SUM(K34:K42)</f>
        <v/>
      </c>
      <c r="L44" s="97">
        <f>SUM(L34:L42)</f>
        <v/>
      </c>
      <c r="M44" s="97">
        <f>SUM(M34:M42)</f>
        <v/>
      </c>
      <c r="N44" s="97">
        <f>SUM(N34:N42)</f>
        <v/>
      </c>
      <c r="O44" s="97">
        <f>SUM(O34:O42)</f>
        <v/>
      </c>
      <c r="P44" s="97">
        <f>SUM(P34:P42)</f>
        <v/>
      </c>
      <c r="Q44" s="97">
        <f>SUM(Q34:Q42)</f>
        <v/>
      </c>
      <c r="R44" s="97">
        <f>SUM(R34:R42)</f>
        <v/>
      </c>
      <c r="S44" s="97">
        <f>SUM(S34:S42)</f>
        <v/>
      </c>
      <c r="T44" s="97">
        <f>SUM(T34:T42)</f>
        <v/>
      </c>
    </row>
    <row r="45" ht="8.1" customHeight="1" s="783"/>
    <row r="46" ht="15.75" customHeight="1" s="783">
      <c r="B46" s="69" t="inlineStr">
        <is>
          <t>Company's Strategy / Extra Notes</t>
        </is>
      </c>
      <c r="C46" s="70" t="n"/>
      <c r="D46" s="69" t="n"/>
      <c r="E46" s="70" t="n"/>
      <c r="F46" s="70" t="n"/>
      <c r="G46" s="70" t="n"/>
      <c r="H46" s="70" t="n"/>
      <c r="I46" s="70" t="n"/>
      <c r="J46" s="100" t="n"/>
      <c r="K46" s="101" t="n"/>
      <c r="L46" s="101" t="n"/>
      <c r="M46" s="101" t="n"/>
      <c r="N46" s="101" t="n"/>
      <c r="O46" s="101" t="n"/>
    </row>
    <row r="47" ht="3.95" customHeight="1" s="783">
      <c r="B47" s="71" t="n"/>
      <c r="C47" s="71" t="n"/>
      <c r="D47" s="71" t="n"/>
      <c r="E47" s="71" t="n"/>
      <c r="F47" s="71" t="n"/>
      <c r="G47" s="71" t="n"/>
      <c r="H47" s="71" t="n"/>
      <c r="I47" s="71" t="n"/>
      <c r="J47" s="102" t="n"/>
      <c r="K47" s="102" t="n"/>
      <c r="L47" s="102" t="n"/>
      <c r="M47" s="102" t="n"/>
      <c r="N47" s="102" t="n"/>
      <c r="O47" s="102" t="n"/>
    </row>
    <row r="48" ht="39.95" customHeight="1" s="783">
      <c r="B48" s="116" t="n"/>
      <c r="D48" s="800" t="n"/>
    </row>
    <row r="49" ht="39.95" customHeight="1" s="783">
      <c r="B49" s="797" t="n"/>
      <c r="D49" s="798" t="n"/>
    </row>
    <row r="50" ht="39.95" customHeight="1" s="783">
      <c r="B50" s="797" t="n"/>
      <c r="D50" s="798" t="n"/>
    </row>
    <row r="51" ht="39.95" customHeight="1" s="783">
      <c r="B51" s="797" t="n"/>
      <c r="D51" s="798" t="n"/>
    </row>
    <row r="52" ht="39.95" customHeight="1" s="783">
      <c r="B52" s="797" t="n"/>
      <c r="D52" s="676" t="n"/>
    </row>
  </sheetData>
  <mergeCells count="18">
    <mergeCell ref="B52:C52"/>
    <mergeCell ref="B30:C30"/>
    <mergeCell ref="D27:I27"/>
    <mergeCell ref="D50:N50"/>
    <mergeCell ref="B29:C29"/>
    <mergeCell ref="B26:C26"/>
    <mergeCell ref="D28:I28"/>
    <mergeCell ref="D29:I29"/>
    <mergeCell ref="B51:C51"/>
    <mergeCell ref="B28:C28"/>
    <mergeCell ref="D49:N49"/>
    <mergeCell ref="D51:N51"/>
    <mergeCell ref="B50:C50"/>
    <mergeCell ref="D48:O48"/>
    <mergeCell ref="B27:C27"/>
    <mergeCell ref="B49:C49"/>
    <mergeCell ref="D30:I30"/>
    <mergeCell ref="D26:I26"/>
  </mergeCells>
  <conditionalFormatting sqref="D6:D12">
    <cfRule type="dataBar" priority="4">
      <dataBar>
        <cfvo type="min"/>
        <cfvo type="max"/>
        <color rgb="FF63C384"/>
      </dataBar>
    </cfRule>
  </conditionalFormatting>
  <conditionalFormatting sqref="D17:D21">
    <cfRule type="dataBar" priority="3">
      <dataBar>
        <cfvo type="min"/>
        <cfvo type="max"/>
        <color rgb="FF63C384"/>
      </dataBar>
    </cfRule>
  </conditionalFormatting>
  <conditionalFormatting sqref="D34:D43">
    <cfRule type="dataBar" priority="2">
      <dataBar>
        <cfvo type="min"/>
        <cfvo type="max"/>
        <color rgb="FF63C384"/>
      </dataBar>
    </cfRule>
  </conditionalFormatting>
  <conditionalFormatting sqref="K6:K12">
    <cfRule type="dataBar" priority="11">
      <dataBar>
        <cfvo type="min"/>
        <cfvo type="max"/>
        <color rgb="FF63C384"/>
      </dataBar>
    </cfRule>
  </conditionalFormatting>
  <conditionalFormatting sqref="K17:K22">
    <cfRule type="dataBar" priority="8">
      <dataBar>
        <cfvo type="min"/>
        <cfvo type="max"/>
        <color rgb="FF63C384"/>
      </dataBar>
    </cfRule>
  </conditionalFormatting>
  <conditionalFormatting sqref="L6:L12">
    <cfRule type="dataBar" priority="10">
      <dataBar>
        <cfvo type="min"/>
        <cfvo type="max"/>
        <color rgb="FF63C384"/>
      </dataBar>
    </cfRule>
  </conditionalFormatting>
  <conditionalFormatting sqref="L17:L22">
    <cfRule type="dataBar" priority="7">
      <dataBar>
        <cfvo type="min"/>
        <cfvo type="max"/>
        <color rgb="FF63C384"/>
      </dataBar>
    </cfRule>
  </conditionalFormatting>
  <conditionalFormatting sqref="M6:M13">
    <cfRule type="dataBar" priority="9">
      <dataBar>
        <cfvo type="min"/>
        <cfvo type="max"/>
        <color rgb="FF63C384"/>
      </dataBar>
    </cfRule>
  </conditionalFormatting>
  <conditionalFormatting sqref="M17:M22">
    <cfRule type="dataBar" priority="6">
      <dataBar>
        <cfvo type="min"/>
        <cfvo type="max"/>
        <color rgb="FF63C384"/>
      </dataBar>
    </cfRule>
  </conditionalFormatting>
  <conditionalFormatting sqref="N6:N13">
    <cfRule type="dataBar" priority="1">
      <dataBar>
        <cfvo type="min"/>
        <cfvo type="max"/>
        <color rgb="FF63C384"/>
      </dataBar>
    </cfRule>
  </conditionalFormatting>
  <conditionalFormatting sqref="N17:N22">
    <cfRule type="dataBar" priority="5">
      <dataBar>
        <cfvo type="min"/>
        <cfvo type="max"/>
        <color rgb="FF63C384"/>
      </dataBar>
    </cfRule>
  </conditionalFormatting>
  <pageMargins left="0.7" right="0.7" top="0.75" bottom="0.75" header="0.3" footer="0.3"/>
  <pageSetup orientation="portrait" paperSize="9"/>
  <drawing xmlns:r="http://schemas.openxmlformats.org/officeDocument/2006/relationships" r:id="rId1"/>
</worksheet>
</file>

<file path=xl/worksheets/sheet3.xml><?xml version="1.0" encoding="utf-8"?>
<worksheet xmlns="http://schemas.openxmlformats.org/spreadsheetml/2006/main">
  <sheetPr>
    <tabColor theme="5"/>
    <outlinePr summaryBelow="1" summaryRight="1"/>
    <pageSetUpPr/>
  </sheetPr>
  <dimension ref="B2:R73"/>
  <sheetViews>
    <sheetView showGridLines="0" topLeftCell="A16" zoomScale="64" zoomScaleNormal="78" workbookViewId="0">
      <selection activeCell="B8" sqref="B8"/>
    </sheetView>
  </sheetViews>
  <sheetFormatPr baseColWidth="8" defaultRowHeight="14.25"/>
  <cols>
    <col width="2.375" customWidth="1" style="783" min="1" max="1"/>
    <col width="22" customWidth="1" style="783" min="2" max="2"/>
    <col width="11" customWidth="1" style="783" min="4" max="4"/>
    <col width="13.25" customWidth="1" style="783" min="5" max="5"/>
    <col width="12.625" customWidth="1" style="783" min="6" max="16"/>
    <col width="21.75" customWidth="1" style="6" min="17" max="17"/>
    <col width="12.625" customWidth="1" style="783" min="18" max="32"/>
  </cols>
  <sheetData>
    <row r="2" ht="20.1" customFormat="1" customHeight="1" s="41">
      <c r="B2" s="40" t="inlineStr">
        <is>
          <t>Industry Overview</t>
        </is>
      </c>
      <c r="Q2" s="42" t="n"/>
    </row>
    <row r="4" ht="15.75" customHeight="1" s="783">
      <c r="B4" s="52" t="inlineStr">
        <is>
          <t>Sales Growth Forecast</t>
        </is>
      </c>
      <c r="C4" s="56" t="n"/>
      <c r="D4" s="56" t="n"/>
      <c r="E4" s="52" t="inlineStr">
        <is>
          <t>Weight</t>
        </is>
      </c>
      <c r="F4" s="57" t="n">
        <v>2025</v>
      </c>
      <c r="G4" s="57">
        <f>+F4+1</f>
        <v/>
      </c>
      <c r="H4" s="57">
        <f>+G4+1</f>
        <v/>
      </c>
      <c r="I4" s="57">
        <f>+H4+1</f>
        <v/>
      </c>
      <c r="J4" s="57">
        <f>+I4+1</f>
        <v/>
      </c>
      <c r="K4" s="57">
        <f>+J4+1</f>
        <v/>
      </c>
      <c r="L4" s="57">
        <f>+K4+1</f>
        <v/>
      </c>
      <c r="M4" s="57">
        <f>+L4+1</f>
        <v/>
      </c>
      <c r="N4" s="57">
        <f>+M4+1</f>
        <v/>
      </c>
      <c r="O4" s="57">
        <f>+N4+1</f>
        <v/>
      </c>
      <c r="P4" s="57">
        <f>+O4+1</f>
        <v/>
      </c>
      <c r="Q4" s="58">
        <f>"CAGR "&amp;$F$4&amp;" - "&amp;$P$4</f>
        <v/>
      </c>
      <c r="R4" s="59" t="inlineStr">
        <is>
          <t>Sources</t>
        </is>
      </c>
    </row>
    <row r="5" ht="3.95" customHeight="1" s="783">
      <c r="B5" s="53" t="n"/>
      <c r="C5" s="53" t="n"/>
      <c r="D5" s="53" t="n"/>
      <c r="E5" s="53" t="n"/>
      <c r="F5" s="53" t="n"/>
      <c r="G5" s="53" t="n"/>
      <c r="H5" s="53" t="n"/>
      <c r="I5" s="53" t="n"/>
      <c r="J5" s="53" t="n"/>
      <c r="K5" s="53" t="n"/>
      <c r="L5" s="53" t="n"/>
      <c r="M5" s="53" t="n"/>
      <c r="N5" s="53" t="n"/>
      <c r="O5" s="53" t="n"/>
      <c r="P5" s="53" t="n"/>
      <c r="Q5" s="60" t="n"/>
      <c r="R5" s="60" t="n"/>
    </row>
    <row r="6">
      <c r="D6" s="61" t="n"/>
      <c r="E6" s="62" t="n"/>
      <c r="F6" s="675" t="n"/>
      <c r="G6" s="675" t="n"/>
      <c r="H6" s="675" t="n"/>
      <c r="I6" s="675" t="n"/>
      <c r="J6" s="675" t="n"/>
      <c r="K6" s="675" t="n"/>
      <c r="L6" s="675" t="n"/>
      <c r="M6" s="675" t="n"/>
      <c r="N6" s="675" t="n"/>
      <c r="O6" s="675" t="n"/>
      <c r="P6" s="675" t="n"/>
      <c r="Q6" s="103" t="n"/>
      <c r="R6" s="853" t="n"/>
    </row>
    <row r="7">
      <c r="D7" s="61" t="n"/>
      <c r="E7" s="62" t="n"/>
      <c r="F7" s="675" t="n"/>
      <c r="G7" s="675" t="n"/>
      <c r="H7" s="675" t="n"/>
      <c r="I7" s="675" t="n"/>
      <c r="J7" s="675" t="n"/>
      <c r="K7" s="675" t="n"/>
      <c r="L7" s="675" t="n"/>
      <c r="M7" s="675" t="n"/>
      <c r="N7" s="675" t="n"/>
      <c r="O7" s="675" t="n"/>
      <c r="P7" s="675" t="n"/>
      <c r="Q7" s="103" t="n"/>
      <c r="R7" s="853" t="n"/>
    </row>
    <row r="8">
      <c r="D8" s="61" t="n"/>
      <c r="E8" s="62" t="n"/>
      <c r="F8" s="63" t="n"/>
      <c r="G8" s="63" t="n"/>
      <c r="H8" s="63" t="n"/>
      <c r="I8" s="63" t="n"/>
      <c r="J8" s="63" t="n"/>
      <c r="K8" s="63" t="n"/>
      <c r="L8" s="63" t="n"/>
      <c r="M8" s="63" t="n"/>
      <c r="N8" s="63" t="n"/>
      <c r="O8" s="63" t="n"/>
      <c r="P8" s="63" t="n"/>
      <c r="Q8" s="103" t="n"/>
      <c r="R8" s="853" t="n"/>
    </row>
    <row r="9">
      <c r="D9" s="61" t="n"/>
      <c r="E9" s="62" t="n"/>
      <c r="F9" s="62" t="n"/>
      <c r="G9" s="62" t="n"/>
      <c r="H9" s="62" t="n"/>
      <c r="I9" s="62" t="n"/>
      <c r="J9" s="62" t="n"/>
      <c r="K9" s="62" t="n"/>
      <c r="L9" s="62" t="n"/>
      <c r="M9" s="62" t="n"/>
      <c r="N9" s="62" t="n"/>
      <c r="O9" s="62" t="n"/>
      <c r="P9" s="62" t="n"/>
      <c r="Q9" s="103" t="n"/>
      <c r="R9" s="853" t="n"/>
    </row>
    <row r="10">
      <c r="D10" s="61" t="n"/>
      <c r="E10" s="62" t="n"/>
      <c r="F10" s="62" t="n"/>
      <c r="G10" s="62" t="n"/>
      <c r="H10" s="62" t="n"/>
      <c r="I10" s="62" t="n"/>
      <c r="J10" s="62" t="n"/>
      <c r="K10" s="62" t="n"/>
      <c r="L10" s="62" t="n"/>
      <c r="M10" s="62" t="n"/>
      <c r="N10" s="62" t="n"/>
      <c r="O10" s="62" t="n"/>
      <c r="P10" s="62" t="n"/>
      <c r="Q10" s="103" t="n"/>
      <c r="R10" s="853" t="n"/>
    </row>
    <row r="11" ht="15" customHeight="1" s="783">
      <c r="B11" s="1" t="inlineStr">
        <is>
          <t>Weighted Average</t>
        </is>
      </c>
      <c r="E11" s="131">
        <f>SUM(E6:E10)</f>
        <v/>
      </c>
      <c r="F11" s="131">
        <f>SUMPRODUCT(F6:F10,$E$6:$E$10)</f>
        <v/>
      </c>
      <c r="G11" s="131">
        <f>SUMPRODUCT(G6:G10,$E$6:$E$10)</f>
        <v/>
      </c>
      <c r="H11" s="131">
        <f>SUMPRODUCT(H6:H10,$E$6:$E$10)</f>
        <v/>
      </c>
      <c r="I11" s="131">
        <f>SUMPRODUCT(I6:I10,$E$6:$E$10)</f>
        <v/>
      </c>
      <c r="J11" s="131">
        <f>SUMPRODUCT(J6:J10,$E$6:$E$10)</f>
        <v/>
      </c>
      <c r="K11" s="131">
        <f>SUMPRODUCT(K6:K10,$E$6:$E$10)</f>
        <v/>
      </c>
      <c r="L11" s="131">
        <f>SUMPRODUCT(L6:L10,$E$6:$E$10)</f>
        <v/>
      </c>
      <c r="M11" s="131">
        <f>SUMPRODUCT(M6:M10,$E$6:$E$10)</f>
        <v/>
      </c>
      <c r="N11" s="131">
        <f>SUMPRODUCT(N6:N10,$E$6:$E$10)</f>
        <v/>
      </c>
      <c r="O11" s="131">
        <f>SUMPRODUCT(O6:O10,$E$6:$E$10)</f>
        <v/>
      </c>
      <c r="P11" s="131">
        <f>SUMPRODUCT(P6:P10,$E$6:$E$10)</f>
        <v/>
      </c>
      <c r="Q11" s="67">
        <f>IFERROR(((1+F11)*(1+G11)*(1+H11)*(1+I11)*(1+J11)*(1+K11)*(1+L11)*(1+M11)*(1+N11)*(1+O11)*(1+P11))^(1/COUNT($F$4:$P$4))-1,"")</f>
        <v/>
      </c>
      <c r="R11" s="854" t="n"/>
    </row>
    <row r="12" ht="8.1" customHeight="1" s="783"/>
    <row r="13" ht="15" customHeight="1" s="783">
      <c r="B13" s="69" t="inlineStr">
        <is>
          <t>Key Drivers</t>
        </is>
      </c>
      <c r="C13" s="70" t="n"/>
      <c r="D13" s="70" t="n"/>
      <c r="E13" s="69" t="inlineStr">
        <is>
          <t>Description</t>
        </is>
      </c>
      <c r="F13" s="70" t="n"/>
      <c r="G13" s="70" t="n"/>
      <c r="H13" s="70" t="n"/>
      <c r="I13" s="70" t="n"/>
      <c r="J13" s="70" t="n"/>
      <c r="K13" s="70" t="n"/>
      <c r="L13" s="70" t="n"/>
      <c r="M13" s="70" t="n"/>
      <c r="N13" s="70" t="n"/>
      <c r="O13" s="70" t="n"/>
      <c r="P13" s="70" t="n"/>
      <c r="R13" s="67" t="n"/>
    </row>
    <row r="14" ht="3.95" customHeight="1" s="783">
      <c r="B14" s="71" t="n"/>
      <c r="C14" s="71" t="n"/>
      <c r="D14" s="71" t="n"/>
      <c r="E14" s="71" t="n"/>
      <c r="F14" s="71" t="n"/>
      <c r="G14" s="71" t="n"/>
      <c r="H14" s="71" t="n"/>
      <c r="I14" s="71" t="n"/>
      <c r="J14" s="71" t="n"/>
      <c r="K14" s="71" t="n"/>
      <c r="L14" s="71" t="n"/>
      <c r="M14" s="71" t="n"/>
      <c r="N14" s="71" t="n"/>
      <c r="O14" s="71" t="n"/>
      <c r="P14" s="71" t="n"/>
      <c r="Q14" s="67" t="n"/>
      <c r="R14" s="67" t="n"/>
    </row>
    <row r="15" ht="39.95" customHeight="1" s="783">
      <c r="B15" s="797" t="n"/>
      <c r="D15" s="797" t="n"/>
      <c r="E15" s="799" t="n"/>
      <c r="Q15" s="67" t="n"/>
      <c r="R15" s="1" t="n"/>
    </row>
    <row r="16" ht="39.95" customHeight="1" s="783">
      <c r="B16" s="797" t="n"/>
      <c r="D16" s="797" t="n"/>
      <c r="E16" s="799" t="n"/>
    </row>
    <row r="17" ht="39.95" customHeight="1" s="783">
      <c r="B17" s="797" t="n"/>
      <c r="D17" s="797" t="n"/>
      <c r="E17" s="799" t="n"/>
    </row>
    <row r="18" ht="39.95" customHeight="1" s="783">
      <c r="B18" s="797" t="n"/>
      <c r="D18" s="797" t="n"/>
      <c r="E18" s="799" t="n"/>
    </row>
    <row r="19" ht="8.1" customHeight="1" s="783">
      <c r="F19" s="73" t="n"/>
      <c r="G19" s="73" t="n"/>
      <c r="H19" s="73" t="n"/>
      <c r="I19" s="73" t="n"/>
      <c r="J19" s="73" t="n"/>
      <c r="K19" s="73" t="n"/>
      <c r="L19" s="73" t="n"/>
      <c r="M19" s="73" t="n"/>
      <c r="N19" s="73" t="n"/>
      <c r="O19" s="73" t="n"/>
      <c r="P19" s="73" t="n"/>
    </row>
    <row r="20" ht="15.75" customHeight="1" s="783">
      <c r="B20" s="69" t="inlineStr">
        <is>
          <t>Industry Trends</t>
        </is>
      </c>
      <c r="C20" s="70" t="n"/>
      <c r="D20" s="70" t="n"/>
      <c r="E20" s="69" t="inlineStr">
        <is>
          <t>Description</t>
        </is>
      </c>
      <c r="F20" s="70" t="n"/>
      <c r="G20" s="70" t="n"/>
      <c r="H20" s="70" t="n"/>
      <c r="I20" s="70" t="n"/>
      <c r="J20" s="70" t="n"/>
      <c r="K20" s="70" t="n"/>
      <c r="L20" s="70" t="n"/>
      <c r="M20" s="70" t="n"/>
      <c r="N20" s="70" t="n"/>
      <c r="O20" s="70" t="n"/>
      <c r="P20" s="70" t="n"/>
    </row>
    <row r="21" ht="3.95" customHeight="1" s="783">
      <c r="B21" s="71" t="n"/>
      <c r="C21" s="71" t="n"/>
      <c r="D21" s="71" t="n"/>
      <c r="E21" s="71" t="n"/>
      <c r="F21" s="71" t="n"/>
      <c r="G21" s="71" t="n"/>
      <c r="H21" s="71" t="n"/>
      <c r="I21" s="71" t="n"/>
      <c r="J21" s="71" t="n"/>
      <c r="K21" s="71" t="n"/>
      <c r="L21" s="71" t="n"/>
      <c r="M21" s="71" t="n"/>
      <c r="N21" s="71" t="n"/>
      <c r="O21" s="71" t="n"/>
      <c r="P21" s="71" t="n"/>
    </row>
    <row r="22" ht="39.95" customHeight="1" s="783">
      <c r="B22" s="797" t="n"/>
      <c r="D22" s="797" t="n"/>
      <c r="E22" s="799" t="n"/>
    </row>
    <row r="23" ht="39.95" customHeight="1" s="783">
      <c r="B23" s="797" t="n"/>
      <c r="D23" s="797" t="n"/>
      <c r="E23" s="799" t="n"/>
    </row>
    <row r="24" hidden="1" ht="39.95" customHeight="1" s="783">
      <c r="B24" s="797" t="n"/>
      <c r="D24" s="797" t="n"/>
      <c r="E24" s="799" t="n"/>
    </row>
    <row r="25" ht="8.1" customHeight="1" s="783">
      <c r="B25" s="797" t="n"/>
      <c r="D25" s="797" t="n"/>
      <c r="E25" s="799" t="n"/>
    </row>
    <row r="26" ht="15.75" customHeight="1" s="783">
      <c r="B26" s="52" t="inlineStr">
        <is>
          <t>Market Share</t>
        </is>
      </c>
      <c r="C26" s="56" t="n"/>
      <c r="D26" s="56" t="n"/>
      <c r="E26" s="52" t="inlineStr">
        <is>
          <t>Headquarters</t>
        </is>
      </c>
      <c r="F26" s="52" t="n"/>
      <c r="G26" s="74" t="inlineStr">
        <is>
          <t>Revenues</t>
        </is>
      </c>
      <c r="H26" s="75" t="inlineStr">
        <is>
          <t>(in MM of USD)</t>
        </is>
      </c>
      <c r="I26" s="57" t="inlineStr">
        <is>
          <t>Market Share</t>
        </is>
      </c>
      <c r="J26" s="57" t="n"/>
      <c r="K26" s="57" t="n"/>
      <c r="L26" s="57" t="n"/>
      <c r="M26" s="57" t="n"/>
      <c r="N26" s="57" t="n"/>
      <c r="O26" s="57" t="n"/>
      <c r="P26" s="57" t="n"/>
    </row>
    <row r="27" ht="3.95" customHeight="1" s="783">
      <c r="B27" s="53" t="n"/>
      <c r="C27" s="53" t="n"/>
      <c r="D27" s="53" t="n"/>
      <c r="E27" s="53" t="n"/>
      <c r="F27" s="53" t="n"/>
      <c r="G27" s="53" t="n"/>
      <c r="H27" s="53" t="n"/>
      <c r="I27" s="53" t="n"/>
      <c r="J27" s="53" t="n"/>
      <c r="K27" s="53" t="n"/>
      <c r="L27" s="53" t="n"/>
      <c r="M27" s="53" t="n"/>
      <c r="N27" s="53" t="n"/>
      <c r="O27" s="53" t="n"/>
      <c r="P27" s="53" t="n"/>
    </row>
    <row r="28" ht="15" customHeight="1" s="783">
      <c r="B28" s="76">
        <f t="array" ref="B28">+_FV(DCF!R4,"Name")</f>
        <v/>
      </c>
      <c r="C28" s="76" t="n"/>
      <c r="D28" s="76" t="n"/>
      <c r="E28" s="77" t="inlineStr">
        <is>
          <t>USA</t>
        </is>
      </c>
      <c r="F28" s="77" t="n"/>
      <c r="G28" s="78">
        <f t="array" ref="G28:G38">TRANSPOSE(Peers!D97:N97)</f>
        <v/>
      </c>
      <c r="H28" s="76" t="n"/>
      <c r="I28" s="79">
        <f>IFERROR(G28/$G$40,"")</f>
        <v/>
      </c>
    </row>
    <row r="29">
      <c r="B29">
        <f t="array" ref="B29">+_FV(Peers!A8,"Name")</f>
        <v/>
      </c>
      <c r="E29" s="80" t="n"/>
      <c r="F29" s="80" t="n"/>
      <c r="G29" s="81" t="inlineStr">
        <is>
          <t>#N/A Requesting Data...</t>
        </is>
      </c>
      <c r="I29" s="82">
        <f>IFERROR(G29/$G$40,"")</f>
        <v/>
      </c>
    </row>
    <row r="30">
      <c r="B30">
        <f t="array" ref="B30">+_FV(Peers!A9,"Name")</f>
        <v/>
      </c>
      <c r="E30" s="80" t="n"/>
      <c r="F30" s="80" t="n"/>
      <c r="G30" s="81" t="inlineStr">
        <is>
          <t>#N/A Requesting Data...</t>
        </is>
      </c>
      <c r="I30" s="82">
        <f>IFERROR(G30/$G$40,"")</f>
        <v/>
      </c>
    </row>
    <row r="31">
      <c r="B31">
        <f t="array" ref="B31">+_FV(Peers!A10,"Name")</f>
        <v/>
      </c>
      <c r="E31" s="80" t="n"/>
      <c r="F31" s="80" t="n"/>
      <c r="G31" s="81" t="inlineStr">
        <is>
          <t>#N/A Requesting Data...</t>
        </is>
      </c>
      <c r="I31" s="82">
        <f>IFERROR(G31/$G$40,"")</f>
        <v/>
      </c>
    </row>
    <row r="32">
      <c r="B32">
        <f t="array" ref="B32">+_FV(Peers!A11,"Name")</f>
        <v/>
      </c>
      <c r="E32" s="80" t="n"/>
      <c r="F32" s="80" t="n"/>
      <c r="G32" s="81" t="inlineStr">
        <is>
          <t>#N/A Requesting Data...</t>
        </is>
      </c>
      <c r="I32" s="82">
        <f>IFERROR(G32/$G$40,"")</f>
        <v/>
      </c>
    </row>
    <row r="33">
      <c r="B33">
        <f t="array" ref="B33">+_FV(Peers!A12,"Name")</f>
        <v/>
      </c>
      <c r="E33" s="80" t="n"/>
      <c r="F33" s="80" t="n"/>
      <c r="G33" s="81" t="inlineStr">
        <is>
          <t>#N/A Requesting Data...</t>
        </is>
      </c>
      <c r="I33" s="82">
        <f>IFERROR(G33/$G$40,"")</f>
        <v/>
      </c>
    </row>
    <row r="34">
      <c r="B34">
        <f t="array" ref="B34">+_FV(Peers!A13,"Name")</f>
        <v/>
      </c>
      <c r="E34" s="80" t="n"/>
      <c r="F34" s="80" t="n"/>
      <c r="G34" s="81" t="inlineStr">
        <is>
          <t>#N/A Requesting Data...</t>
        </is>
      </c>
      <c r="I34" s="82">
        <f>IFERROR(G34/$G$40,"")</f>
        <v/>
      </c>
    </row>
    <row r="35">
      <c r="B35">
        <f t="array" ref="B35">+_FV(Peers!A14,"Name")</f>
        <v/>
      </c>
      <c r="E35" s="80" t="n"/>
      <c r="F35" s="80" t="n"/>
      <c r="G35" s="81" t="inlineStr">
        <is>
          <t>#N/A Requesting Data...</t>
        </is>
      </c>
      <c r="I35" s="82">
        <f>IFERROR(G35/$G$40,"")</f>
        <v/>
      </c>
    </row>
    <row r="36">
      <c r="B36">
        <f t="array" ref="B36">+_FV(Peers!A15,"Name")</f>
        <v/>
      </c>
      <c r="E36" s="80" t="n"/>
      <c r="F36" s="80" t="n"/>
      <c r="G36" s="81" t="inlineStr">
        <is>
          <t>#N/A Requesting Data...</t>
        </is>
      </c>
      <c r="I36" s="82">
        <f>IFERROR(G36/$G$40,"")</f>
        <v/>
      </c>
    </row>
    <row r="37">
      <c r="B37">
        <f t="array" ref="B37">+_FV(Peers!A16,"Name")</f>
        <v/>
      </c>
      <c r="E37" s="80" t="n"/>
      <c r="F37" s="80" t="n"/>
      <c r="G37" s="81" t="inlineStr">
        <is>
          <t>#N/A Requesting Data...</t>
        </is>
      </c>
      <c r="I37" s="83">
        <f>IFERROR(G37/$G$40,"")</f>
        <v/>
      </c>
    </row>
    <row r="38">
      <c r="B38">
        <f t="array" ref="B38">+_FV(Peers!A17,"Name")</f>
        <v/>
      </c>
      <c r="E38" s="80" t="n"/>
      <c r="F38" s="80" t="n"/>
      <c r="G38" s="81" t="inlineStr">
        <is>
          <t>#N/A Requesting Data...</t>
        </is>
      </c>
      <c r="I38" s="83">
        <f>IFERROR(G38/$G$40,"")</f>
        <v/>
      </c>
    </row>
    <row r="39">
      <c r="B39" s="38" t="inlineStr">
        <is>
          <t>Others</t>
        </is>
      </c>
      <c r="C39" s="38" t="n"/>
      <c r="D39" s="38" t="n"/>
      <c r="E39" s="84" t="inlineStr">
        <is>
          <t>--</t>
        </is>
      </c>
      <c r="F39" s="38" t="n"/>
      <c r="G39" s="85">
        <f>G40-SUM(G28:G38)</f>
        <v/>
      </c>
      <c r="H39" s="38" t="n"/>
      <c r="I39" s="86">
        <f>IFERROR(G39/$G$40,"")</f>
        <v/>
      </c>
    </row>
    <row r="40" ht="15" customHeight="1" s="783">
      <c r="B40" s="1" t="inlineStr">
        <is>
          <t>Industry Size</t>
        </is>
      </c>
      <c r="E40" s="87" t="inlineStr">
        <is>
          <t>--</t>
        </is>
      </c>
      <c r="G40" s="81" t="n"/>
      <c r="H40" s="27" t="n"/>
      <c r="I40" s="88" t="n">
        <v>1</v>
      </c>
    </row>
    <row r="41" ht="8.1" customHeight="1" s="783"/>
    <row r="42" ht="15.75" customHeight="1" s="783">
      <c r="B42" s="52" t="inlineStr">
        <is>
          <t>Porter's Five Forces Analysis</t>
        </is>
      </c>
      <c r="C42" s="56" t="n"/>
      <c r="D42" s="52" t="n"/>
      <c r="E42" s="52" t="inlineStr">
        <is>
          <t>Rating</t>
        </is>
      </c>
      <c r="F42" s="57" t="n"/>
      <c r="G42" s="57" t="n"/>
      <c r="H42" s="801" t="inlineStr">
        <is>
          <t>Graph</t>
        </is>
      </c>
      <c r="J42" s="57" t="n"/>
      <c r="K42" s="57" t="n"/>
      <c r="P42" s="89" t="n"/>
    </row>
    <row r="43" ht="3.95" customHeight="1" s="783">
      <c r="B43" s="53" t="n"/>
      <c r="C43" s="53" t="n"/>
      <c r="D43" s="53" t="n"/>
      <c r="E43" s="53" t="n"/>
      <c r="F43" s="53" t="n"/>
      <c r="G43" s="53" t="n"/>
      <c r="H43" s="53" t="n"/>
      <c r="I43" s="53" t="n"/>
      <c r="J43" s="53" t="n"/>
      <c r="K43" s="53" t="n"/>
    </row>
    <row r="44" ht="15" customHeight="1" s="783">
      <c r="B44" s="1" t="inlineStr">
        <is>
          <t>Threat of New Entrants</t>
        </is>
      </c>
      <c r="E44" s="416">
        <f>IFERROR(AVERAGE(E45:E50),"")</f>
        <v/>
      </c>
    </row>
    <row r="45">
      <c r="B45" s="25" t="inlineStr">
        <is>
          <t>Economies of scale</t>
        </is>
      </c>
      <c r="E45" s="91" t="n"/>
    </row>
    <row r="46">
      <c r="B46" s="25" t="inlineStr">
        <is>
          <t>Product differentiation</t>
        </is>
      </c>
      <c r="E46" s="91" t="n"/>
    </row>
    <row r="47">
      <c r="B47" s="25" t="inlineStr">
        <is>
          <t>Capital requirements</t>
        </is>
      </c>
      <c r="E47" s="91" t="n"/>
    </row>
    <row r="48">
      <c r="B48" s="25" t="inlineStr">
        <is>
          <t>Access to distribution channels</t>
        </is>
      </c>
      <c r="E48" s="91" t="n"/>
    </row>
    <row r="49">
      <c r="B49" s="25" t="inlineStr">
        <is>
          <t>Regulations</t>
        </is>
      </c>
      <c r="E49" s="91" t="n"/>
    </row>
    <row r="50">
      <c r="B50" s="25" t="inlineStr">
        <is>
          <t>Switching costs</t>
        </is>
      </c>
      <c r="E50" s="91" t="n"/>
    </row>
    <row r="51" ht="15" customHeight="1" s="783">
      <c r="B51" s="1" t="inlineStr">
        <is>
          <t>Bargaining Power of Suppliers</t>
        </is>
      </c>
      <c r="E51" s="90">
        <f>IFERROR(AVERAGE(E52:E56),"")</f>
        <v/>
      </c>
    </row>
    <row r="52">
      <c r="B52" s="25" t="inlineStr">
        <is>
          <t>Number of suppliers</t>
        </is>
      </c>
      <c r="E52" s="91" t="n"/>
    </row>
    <row r="53">
      <c r="B53" s="25" t="inlineStr">
        <is>
          <t>Uniqueness</t>
        </is>
      </c>
      <c r="E53" s="91" t="n"/>
    </row>
    <row r="54">
      <c r="B54" s="25" t="inlineStr">
        <is>
          <t>Switching Costs</t>
        </is>
      </c>
      <c r="E54" s="91" t="n"/>
    </row>
    <row r="55">
      <c r="B55" s="25" t="inlineStr">
        <is>
          <t>Forward Integration</t>
        </is>
      </c>
      <c r="E55" s="91" t="n"/>
    </row>
    <row r="56">
      <c r="B56" s="25" t="inlineStr">
        <is>
          <t>Industry Importance</t>
        </is>
      </c>
      <c r="E56" s="91" t="n"/>
    </row>
    <row r="57" ht="15" customHeight="1" s="783">
      <c r="B57" s="1" t="inlineStr">
        <is>
          <t>Bargaining Power of Customers</t>
        </is>
      </c>
      <c r="E57" s="90">
        <f>IFERROR(AVERAGE(E58:E62),"")</f>
        <v/>
      </c>
    </row>
    <row r="58">
      <c r="B58" s="25" t="inlineStr">
        <is>
          <t>Number of buyers</t>
        </is>
      </c>
      <c r="E58" s="91" t="n"/>
    </row>
    <row r="59">
      <c r="B59" s="25" t="inlineStr">
        <is>
          <t>Purchase size</t>
        </is>
      </c>
      <c r="E59" s="91" t="n"/>
    </row>
    <row r="60">
      <c r="B60" s="25" t="inlineStr">
        <is>
          <t>Switching costs</t>
        </is>
      </c>
      <c r="E60" s="91" t="n"/>
    </row>
    <row r="61">
      <c r="B61" s="25" t="inlineStr">
        <is>
          <t>Price sensitivity</t>
        </is>
      </c>
      <c r="E61" s="91" t="n"/>
    </row>
    <row r="62">
      <c r="B62" s="25" t="inlineStr">
        <is>
          <t>Informed buyers</t>
        </is>
      </c>
      <c r="E62" s="91" t="n"/>
    </row>
    <row r="63" ht="15" customHeight="1" s="783">
      <c r="B63" s="1" t="inlineStr">
        <is>
          <t>Competitive Rivalry</t>
        </is>
      </c>
      <c r="E63" s="90">
        <f>IFERROR(AVERAGE(E64:E68),"")</f>
        <v/>
      </c>
    </row>
    <row r="64">
      <c r="B64" s="25" t="inlineStr">
        <is>
          <t>Number of competitors</t>
        </is>
      </c>
      <c r="E64" s="91" t="n"/>
    </row>
    <row r="65">
      <c r="B65" s="25" t="inlineStr">
        <is>
          <t>Industry growth</t>
        </is>
      </c>
      <c r="E65" s="91" t="n"/>
    </row>
    <row r="66">
      <c r="B66" s="25" t="inlineStr">
        <is>
          <t>Similarities in what's offered</t>
        </is>
      </c>
      <c r="E66" s="91" t="n"/>
    </row>
    <row r="67">
      <c r="B67" s="25" t="inlineStr">
        <is>
          <t>Exit barriers</t>
        </is>
      </c>
      <c r="E67" s="91" t="n"/>
    </row>
    <row r="68">
      <c r="B68" s="25" t="inlineStr">
        <is>
          <t>Fixed costs</t>
        </is>
      </c>
      <c r="E68" s="91" t="n"/>
    </row>
    <row r="69" ht="15" customHeight="1" s="783">
      <c r="B69" s="1" t="inlineStr">
        <is>
          <t>Threat of Substitutes</t>
        </is>
      </c>
      <c r="E69" s="90">
        <f>IFERROR(AVERAGE(E70:E74),"")</f>
        <v/>
      </c>
    </row>
    <row r="70">
      <c r="B70" s="25" t="inlineStr">
        <is>
          <t>Relative price performance</t>
        </is>
      </c>
      <c r="E70" s="91" t="n"/>
    </row>
    <row r="71">
      <c r="B71" s="25" t="inlineStr">
        <is>
          <t>Customer willingness to go elsewhere</t>
        </is>
      </c>
      <c r="E71" s="91" t="n"/>
    </row>
    <row r="72">
      <c r="B72" s="25" t="inlineStr">
        <is>
          <t>The sense that products are similar</t>
        </is>
      </c>
      <c r="E72" s="91" t="n"/>
    </row>
    <row r="73">
      <c r="B73" s="25" t="inlineStr">
        <is>
          <t>Availability of close substitutes</t>
        </is>
      </c>
      <c r="E73" s="91" t="n"/>
    </row>
  </sheetData>
  <mergeCells count="17">
    <mergeCell ref="B24:C24"/>
    <mergeCell ref="B16:C16"/>
    <mergeCell ref="E16:P16"/>
    <mergeCell ref="B15:C15"/>
    <mergeCell ref="E24:P24"/>
    <mergeCell ref="B25:C25"/>
    <mergeCell ref="E25:P25"/>
    <mergeCell ref="H42:I42"/>
    <mergeCell ref="B23:C23"/>
    <mergeCell ref="E23:P23"/>
    <mergeCell ref="B22:C22"/>
    <mergeCell ref="E22:P22"/>
    <mergeCell ref="B17:C17"/>
    <mergeCell ref="B18:C18"/>
    <mergeCell ref="E18:P18"/>
    <mergeCell ref="E17:P17"/>
    <mergeCell ref="E15:P15"/>
  </mergeCells>
  <conditionalFormatting sqref="I28:I39">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Q6:Q10">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conditionalFormatting sqref="R6:R10">
    <cfRule type="dataBar" priority="88">
      <dataBar>
        <cfvo type="min"/>
        <cfvo type="max"/>
        <color rgb="FF63C384"/>
      </dataBar>
    </cfRule>
  </conditionalFormatting>
  <conditionalFormatting sqref="S6:S10">
    <cfRule type="dataBar" priority="89">
      <dataBar>
        <cfvo type="min"/>
        <cfvo type="max"/>
        <color rgb="FF63C384"/>
      </dataBar>
    </cfRule>
  </conditionalFormatting>
  <conditionalFormatting sqref="T6:T10">
    <cfRule type="dataBar" priority="90">
      <dataBar>
        <cfvo type="min"/>
        <cfvo type="max"/>
        <color rgb="FF63C384"/>
      </dataBar>
    </cfRule>
  </conditionalFormatting>
  <conditionalFormatting sqref="U6:U10">
    <cfRule type="dataBar" priority="91">
      <dataBar>
        <cfvo type="min"/>
        <cfvo type="max"/>
        <color rgb="FF63C384"/>
      </dataBar>
    </cfRule>
  </conditionalFormatting>
  <pageMargins left="0.7" right="0.7" top="0.75" bottom="0.75" header="0.3" footer="0.3"/>
  <pageSetup orientation="portrait" paperSize="9"/>
  <drawing xmlns:r="http://schemas.openxmlformats.org/officeDocument/2006/relationships" r:id="rId1"/>
</worksheet>
</file>

<file path=xl/worksheets/sheet4.xml><?xml version="1.0" encoding="utf-8"?>
<worksheet xmlns="http://schemas.openxmlformats.org/spreadsheetml/2006/main">
  <sheetPr>
    <tabColor theme="5" tint="0.5999938962981048"/>
    <outlinePr summaryBelow="1" summaryRight="1"/>
    <pageSetUpPr/>
  </sheetPr>
  <dimension ref="A1:AZ157"/>
  <sheetViews>
    <sheetView showGridLines="0" tabSelected="1" topLeftCell="A66" zoomScale="85" zoomScaleNormal="85" workbookViewId="0">
      <pane xSplit="3" topLeftCell="D1" activePane="topRight" state="frozen"/>
      <selection pane="topRight" activeCell="D89" sqref="D89"/>
    </sheetView>
  </sheetViews>
  <sheetFormatPr baseColWidth="8" defaultColWidth="9" defaultRowHeight="14.25" customHeight="1"/>
  <cols>
    <col width="2.125" customWidth="1" style="393" min="1" max="1"/>
    <col width="31" customWidth="1" style="393" min="2" max="2"/>
    <col width="6.375" customWidth="1" style="393" min="3" max="3"/>
    <col width="19.625" customWidth="1" style="393" min="4" max="15"/>
    <col width="9" customWidth="1" style="393" min="16" max="16384"/>
  </cols>
  <sheetData>
    <row r="1" ht="12" customFormat="1" customHeight="1" s="392">
      <c r="A1" s="417" t="n"/>
      <c r="B1" s="417" t="n"/>
      <c r="C1" s="418" t="n"/>
      <c r="D1" s="417" t="n"/>
      <c r="E1" s="417" t="n"/>
      <c r="F1" s="417" t="n"/>
      <c r="G1" s="417" t="n"/>
      <c r="H1" s="417" t="n"/>
      <c r="I1" s="417" t="n"/>
      <c r="J1" s="417" t="n"/>
      <c r="K1" s="417" t="n"/>
      <c r="L1" s="417" t="n"/>
      <c r="M1" s="417" t="n"/>
      <c r="N1" s="417" t="n"/>
      <c r="O1" s="417" t="n"/>
      <c r="P1" s="417" t="n"/>
      <c r="Q1" s="417" t="n"/>
      <c r="R1" s="417" t="n"/>
      <c r="S1" s="417" t="n"/>
      <c r="T1" s="417" t="n"/>
      <c r="U1" s="417" t="n"/>
      <c r="V1" s="417" t="n"/>
      <c r="W1" s="417" t="n"/>
      <c r="X1" s="417" t="n"/>
      <c r="Y1" s="417" t="n"/>
      <c r="Z1" s="417" t="n"/>
      <c r="AA1" s="417" t="n"/>
      <c r="AB1" s="417" t="n"/>
      <c r="AC1" s="417" t="n"/>
      <c r="AD1" s="417" t="n"/>
      <c r="AE1" s="417" t="n"/>
      <c r="AF1" s="417" t="n"/>
      <c r="AG1" s="417" t="n"/>
      <c r="AH1" s="417" t="n"/>
      <c r="AI1" s="417" t="n"/>
      <c r="AJ1" s="417" t="n"/>
      <c r="AK1" s="417" t="n"/>
      <c r="AL1" s="417" t="n"/>
      <c r="AM1" s="417" t="n"/>
      <c r="AN1" s="417" t="n"/>
      <c r="AO1" s="417" t="n"/>
      <c r="AP1" s="417" t="n"/>
      <c r="AQ1" s="417" t="n"/>
      <c r="AR1" s="417" t="n"/>
      <c r="AS1" s="417" t="n"/>
      <c r="AT1" s="417" t="n"/>
      <c r="AU1" s="417" t="n"/>
      <c r="AV1" s="417" t="n"/>
      <c r="AW1" s="417" t="n"/>
      <c r="AX1" s="417" t="n"/>
      <c r="AY1" s="417" t="n"/>
      <c r="AZ1" s="417" t="n"/>
    </row>
    <row r="2" ht="15" customFormat="1" customHeight="1" s="392">
      <c r="A2" s="417" t="n"/>
      <c r="B2" s="419" t="n"/>
      <c r="C2" s="419" t="n"/>
      <c r="D2" s="804" t="n"/>
      <c r="E2" s="859" t="n"/>
      <c r="F2" s="517" t="n"/>
      <c r="G2" s="804" t="n"/>
      <c r="H2" s="517" t="n"/>
      <c r="I2" s="804" t="n"/>
      <c r="J2" s="517" t="n"/>
      <c r="K2" s="532" t="n"/>
      <c r="L2" s="538" t="n"/>
      <c r="M2" s="532" t="n"/>
      <c r="N2" s="419" t="n"/>
      <c r="O2" s="419" t="n"/>
      <c r="P2" s="421" t="n"/>
      <c r="Q2" s="421" t="n"/>
      <c r="R2" s="421" t="n"/>
      <c r="S2" s="417" t="n"/>
      <c r="T2" s="421" t="n"/>
      <c r="U2" s="421" t="n"/>
      <c r="V2" s="417" t="n"/>
      <c r="W2" s="422" t="n"/>
      <c r="X2" s="422" t="n"/>
      <c r="Y2" s="422" t="n"/>
      <c r="Z2" s="422" t="n"/>
      <c r="AA2" s="422" t="n"/>
      <c r="AB2" s="422" t="n"/>
      <c r="AC2" s="417" t="n"/>
      <c r="AD2" s="422" t="n"/>
      <c r="AE2" s="422" t="n"/>
      <c r="AF2" s="422" t="n"/>
      <c r="AG2" s="422" t="n"/>
      <c r="AH2" s="422" t="n"/>
      <c r="AI2" s="417" t="n"/>
      <c r="AJ2" s="422" t="n"/>
      <c r="AK2" s="423" t="n"/>
      <c r="AL2" s="423" t="n"/>
      <c r="AM2" s="423" t="n"/>
      <c r="AN2" s="423" t="n"/>
      <c r="AO2" s="417" t="n"/>
      <c r="AP2" s="422" t="n"/>
      <c r="AQ2" s="417" t="n"/>
      <c r="AR2" s="417" t="n"/>
      <c r="AS2" s="417" t="n"/>
      <c r="AT2" s="417" t="n"/>
      <c r="AU2" s="417" t="n"/>
      <c r="AV2" s="417" t="n"/>
      <c r="AW2" s="417" t="n"/>
      <c r="AX2" s="417" t="n"/>
      <c r="AY2" s="417" t="n"/>
      <c r="AZ2" s="417" t="n"/>
    </row>
    <row r="3" ht="15" customFormat="1" customHeight="1" s="392">
      <c r="A3" s="417" t="n"/>
      <c r="B3" s="419" t="n"/>
      <c r="C3" s="419" t="n"/>
      <c r="D3" s="806" t="inlineStr">
        <is>
          <t>Revenue Growth</t>
        </is>
      </c>
      <c r="E3" s="860" t="n"/>
      <c r="F3" s="861" t="inlineStr">
        <is>
          <t>EBITDA Margin</t>
        </is>
      </c>
      <c r="G3" s="860" t="n"/>
      <c r="H3" s="861" t="inlineStr">
        <is>
          <t>Profit Margin</t>
        </is>
      </c>
      <c r="I3" s="860" t="n"/>
      <c r="J3" s="861" t="inlineStr">
        <is>
          <t>EV / Revenue</t>
        </is>
      </c>
      <c r="K3" s="860" t="n"/>
      <c r="L3" s="861" t="inlineStr">
        <is>
          <t>EV / EBITDA</t>
        </is>
      </c>
      <c r="M3" s="860" t="n"/>
      <c r="N3" s="807" t="inlineStr">
        <is>
          <t>Price / Earnings</t>
        </is>
      </c>
      <c r="O3" s="862" t="n"/>
      <c r="P3" s="421" t="n"/>
      <c r="Q3" s="626" t="n"/>
      <c r="R3" s="421" t="n"/>
      <c r="S3" s="421" t="n"/>
      <c r="T3" s="421" t="n"/>
      <c r="U3" s="421" t="n"/>
      <c r="V3" s="421" t="n"/>
      <c r="W3" s="421" t="n"/>
      <c r="X3" s="421" t="n"/>
      <c r="Y3" s="421" t="n"/>
      <c r="Z3" s="421" t="n"/>
      <c r="AA3" s="421" t="n"/>
      <c r="AB3" s="421" t="n"/>
      <c r="AC3" s="421" t="n"/>
      <c r="AD3" s="421" t="n"/>
      <c r="AE3" s="421" t="n"/>
      <c r="AF3" s="421" t="n"/>
      <c r="AG3" s="421" t="n"/>
      <c r="AH3" s="421" t="n"/>
      <c r="AI3" s="421" t="n"/>
      <c r="AJ3" s="421" t="n"/>
      <c r="AK3" s="421" t="n"/>
      <c r="AL3" s="421" t="n"/>
      <c r="AM3" s="421" t="n"/>
      <c r="AN3" s="421" t="n"/>
      <c r="AO3" s="417" t="n"/>
      <c r="AP3" s="421" t="n"/>
      <c r="AQ3" s="417" t="n"/>
      <c r="AR3" s="417" t="n"/>
      <c r="AS3" s="417" t="n"/>
      <c r="AT3" s="417" t="n"/>
      <c r="AU3" s="417" t="n"/>
      <c r="AV3" s="417" t="n"/>
      <c r="AW3" s="417" t="n"/>
      <c r="AX3" s="417" t="n"/>
      <c r="AY3" s="417" t="n"/>
      <c r="AZ3" s="417" t="n"/>
    </row>
    <row r="4" ht="15" customFormat="1" customHeight="1" s="392">
      <c r="A4" s="417" t="n"/>
      <c r="B4" s="419" t="inlineStr">
        <is>
          <t>Peers</t>
        </is>
      </c>
      <c r="C4" s="419" t="inlineStr">
        <is>
          <t>Ticker</t>
        </is>
      </c>
      <c r="D4" s="803">
        <f>+Inputs!O4&amp;"-"&amp;Inputs!P4</f>
        <v/>
      </c>
      <c r="E4" s="804">
        <f>+Inputs!P4&amp;"-"&amp;Inputs!Q4</f>
        <v/>
      </c>
      <c r="F4" s="517" t="n">
        <v>2023</v>
      </c>
      <c r="G4" s="804" t="n">
        <v>2024</v>
      </c>
      <c r="H4" s="517">
        <f>+Inputs!O4&amp;"-"&amp;Inputs!P4</f>
        <v/>
      </c>
      <c r="I4" s="804">
        <f>+Inputs!P4&amp;"-"&amp;Inputs!Q4</f>
        <v/>
      </c>
      <c r="J4" s="517" t="n">
        <v>2023</v>
      </c>
      <c r="K4" s="804" t="n">
        <v>2024</v>
      </c>
      <c r="L4" s="517" t="n">
        <v>2023</v>
      </c>
      <c r="M4" s="804" t="n">
        <v>2024</v>
      </c>
      <c r="N4" s="803" t="n">
        <v>2023</v>
      </c>
      <c r="O4" s="803" t="n">
        <v>2024</v>
      </c>
      <c r="P4" s="421" t="n"/>
      <c r="Q4" s="626" t="n"/>
      <c r="R4" s="421" t="n"/>
      <c r="S4" s="421" t="n"/>
      <c r="T4" s="421" t="n"/>
      <c r="U4" s="421" t="n"/>
      <c r="V4" s="421" t="n"/>
      <c r="W4" s="421" t="n"/>
      <c r="X4" s="421" t="n"/>
      <c r="Y4" s="421" t="n"/>
      <c r="Z4" s="421" t="n"/>
      <c r="AA4" s="421" t="n"/>
      <c r="AB4" s="421" t="n"/>
      <c r="AC4" s="421" t="n"/>
      <c r="AD4" s="421" t="n"/>
      <c r="AE4" s="421" t="n"/>
      <c r="AF4" s="421" t="n"/>
      <c r="AG4" s="421" t="n"/>
      <c r="AH4" s="421" t="n"/>
      <c r="AI4" s="421" t="n"/>
      <c r="AJ4" s="421" t="n"/>
      <c r="AK4" s="421" t="n"/>
      <c r="AL4" s="421" t="n"/>
      <c r="AM4" s="421" t="n"/>
      <c r="AN4" s="421" t="n"/>
      <c r="AO4" s="417" t="n"/>
      <c r="AP4" s="421" t="n"/>
      <c r="AQ4" s="417" t="n"/>
      <c r="AR4" s="417" t="n"/>
      <c r="AS4" s="417" t="n"/>
      <c r="AT4" s="417" t="n"/>
      <c r="AU4" s="417" t="n"/>
      <c r="AV4" s="417" t="n"/>
      <c r="AW4" s="417" t="n"/>
      <c r="AX4" s="417" t="n"/>
      <c r="AY4" s="417" t="n"/>
      <c r="AZ4" s="417" t="n"/>
    </row>
    <row r="5" ht="3.75" customFormat="1" customHeight="1" s="392">
      <c r="A5" s="417" t="n"/>
      <c r="B5" s="424" t="n"/>
      <c r="C5" s="424" t="n"/>
      <c r="D5" s="424" t="n"/>
      <c r="E5" s="507" t="n"/>
      <c r="F5" s="518" t="n"/>
      <c r="G5" s="507" t="n"/>
      <c r="H5" s="518" t="n"/>
      <c r="I5" s="507" t="n"/>
      <c r="J5" s="518" t="n"/>
      <c r="K5" s="507" t="n"/>
      <c r="L5" s="518" t="n"/>
      <c r="M5" s="507" t="n"/>
      <c r="N5" s="424" t="n"/>
      <c r="O5" s="424" t="n"/>
      <c r="P5" s="425" t="n"/>
      <c r="Q5" s="626" t="n"/>
      <c r="R5" s="425" t="n"/>
      <c r="S5" s="425" t="n"/>
      <c r="T5" s="425" t="n"/>
      <c r="U5" s="425" t="n"/>
      <c r="V5" s="425" t="n"/>
      <c r="W5" s="425" t="n"/>
      <c r="X5" s="425" t="n"/>
      <c r="Y5" s="425" t="n"/>
      <c r="Z5" s="425" t="n"/>
      <c r="AA5" s="425" t="n"/>
      <c r="AB5" s="425" t="n"/>
      <c r="AC5" s="425" t="n"/>
      <c r="AD5" s="425" t="n"/>
      <c r="AE5" s="425" t="n"/>
      <c r="AF5" s="425" t="n"/>
      <c r="AG5" s="425" t="n"/>
      <c r="AH5" s="425" t="n"/>
      <c r="AI5" s="425" t="n"/>
      <c r="AJ5" s="425" t="n"/>
      <c r="AK5" s="425" t="n"/>
      <c r="AL5" s="425" t="n"/>
      <c r="AM5" s="425" t="n"/>
      <c r="AN5" s="425" t="n"/>
      <c r="AO5" s="425" t="n"/>
      <c r="AP5" s="425" t="n"/>
      <c r="AQ5" s="425" t="n"/>
      <c r="AR5" s="425" t="n"/>
      <c r="AS5" s="425" t="n"/>
      <c r="AT5" s="425" t="n"/>
      <c r="AU5" s="425" t="n"/>
      <c r="AV5" s="425" t="n"/>
      <c r="AW5" s="425" t="n"/>
      <c r="AX5" s="425" t="n"/>
      <c r="AY5" s="425" t="n"/>
      <c r="AZ5" s="425" t="n"/>
    </row>
    <row r="6" ht="17.25" customFormat="1" customHeight="1" s="401">
      <c r="A6" s="426">
        <f>+D91</f>
        <v/>
      </c>
      <c r="B6" s="427">
        <f t="array" ref="B6">IFERROR(_FV(A6,"Name"),"")</f>
        <v/>
      </c>
      <c r="C6" s="428">
        <f t="array" ref="C6">IFERROR(_FV(A6,"Ticker symbol",TRUE),"")</f>
        <v/>
      </c>
      <c r="D6" s="863">
        <f>IFERROR(D94/D93-1,"")</f>
        <v/>
      </c>
      <c r="E6" s="864">
        <f>IFERROR(D97/D94-1,"")</f>
        <v/>
      </c>
      <c r="F6" s="865">
        <f>IFERROR(D95/D94,"")</f>
        <v/>
      </c>
      <c r="G6" s="866">
        <f>IFERROR(D100/D97,"")</f>
        <v/>
      </c>
      <c r="H6" s="867">
        <f>IFERROR(D96/D94,"")</f>
        <v/>
      </c>
      <c r="I6" s="864">
        <f>IFERROR(D105/D97,"")</f>
        <v/>
      </c>
      <c r="J6" s="556">
        <f t="array" ref="J6">IFERROR((_FV(A6,"Market cap",TRUE)/1000000+D$121-D$111)/D$94,"")</f>
        <v/>
      </c>
      <c r="K6" s="557">
        <f t="array" ref="K6">IFERROR((_FV(A6,"Market cap",TRUE)/1000000+D$121-D$111)/D$97,"")</f>
        <v/>
      </c>
      <c r="L6" s="558">
        <f t="array" ref="L6">+IFERROR((_FV(A6,"Market cap",TRUE)/1000000+D$121-D$111)/D$95,"")</f>
        <v/>
      </c>
      <c r="M6" s="559">
        <f t="array" ref="M6">IFERROR((_FV(A6,"Market cap",TRUE)/1000000+D$121-D$111)/D$100,"")</f>
        <v/>
      </c>
      <c r="N6" s="560">
        <f t="array" ref="N6">IFERROR((_FV(A6,"Market cap",TRUE)/1000000)/D$96,"")</f>
        <v/>
      </c>
      <c r="O6" s="561">
        <f t="array" ref="O6">IFERROR((_FV(A6,"Market cap",TRUE)/1000000)/D$105,"")</f>
        <v/>
      </c>
      <c r="P6" s="430" t="n"/>
      <c r="Q6" s="626" t="n"/>
      <c r="R6" s="433" t="n"/>
      <c r="S6" s="434" t="n"/>
      <c r="T6" s="433" t="n"/>
      <c r="U6" s="433" t="n"/>
      <c r="V6" s="434" t="n"/>
      <c r="W6" s="433" t="n"/>
      <c r="X6" s="433" t="n"/>
      <c r="Y6" s="433" t="n"/>
      <c r="Z6" s="433" t="n"/>
      <c r="AA6" s="433" t="n"/>
      <c r="AB6" s="434" t="n"/>
      <c r="AC6" s="434" t="n"/>
      <c r="AD6" s="868" t="n"/>
      <c r="AE6" s="868" t="n"/>
      <c r="AF6" s="868" t="n"/>
      <c r="AG6" s="868" t="n"/>
      <c r="AH6" s="868" t="n"/>
      <c r="AI6" s="434" t="n"/>
      <c r="AJ6" s="434" t="n"/>
      <c r="AK6" s="434" t="n"/>
      <c r="AL6" s="435" t="n"/>
      <c r="AM6" s="869" t="n"/>
      <c r="AN6" s="870" t="n"/>
      <c r="AO6" s="434" t="n"/>
      <c r="AP6" s="434" t="n"/>
    </row>
    <row r="7" ht="3.75" customHeight="1" s="783">
      <c r="A7" s="426" t="n"/>
      <c r="B7" s="438" t="n"/>
      <c r="C7" s="439" t="n"/>
      <c r="E7" s="510" t="n"/>
      <c r="F7" s="871" t="n"/>
      <c r="G7" s="872" t="n"/>
      <c r="H7" s="873" t="n"/>
      <c r="I7" s="874" t="n"/>
      <c r="J7" s="873" t="n"/>
      <c r="K7" s="874" t="n"/>
      <c r="L7" s="541" t="n"/>
      <c r="M7" s="542" t="n"/>
      <c r="N7" s="451" t="n"/>
      <c r="O7" s="444" t="n"/>
      <c r="P7" s="441" t="n"/>
      <c r="Q7" s="441" t="n"/>
      <c r="R7" s="445" t="n"/>
      <c r="S7" s="444" t="n"/>
      <c r="T7" s="445" t="n"/>
      <c r="U7" s="445" t="n"/>
      <c r="V7" s="444" t="n"/>
      <c r="W7" s="445" t="n"/>
      <c r="X7" s="445" t="n"/>
      <c r="Y7" s="445" t="n"/>
      <c r="Z7" s="445" t="n"/>
      <c r="AA7" s="445" t="n"/>
      <c r="AB7" s="444" t="n"/>
      <c r="AC7" s="444" t="n"/>
      <c r="AD7" s="875" t="n"/>
      <c r="AE7" s="875" t="n"/>
      <c r="AF7" s="875" t="n"/>
      <c r="AG7" s="875" t="n"/>
      <c r="AH7" s="875" t="n"/>
      <c r="AI7" s="444" t="n"/>
      <c r="AJ7" s="444" t="n"/>
      <c r="AK7" s="444" t="n"/>
      <c r="AL7" s="446" t="n"/>
      <c r="AM7" s="876" t="n"/>
      <c r="AN7" s="877" t="n"/>
      <c r="AO7" s="444" t="n"/>
      <c r="AP7" s="444" t="n"/>
    </row>
    <row r="8" ht="17.25" customFormat="1" customHeight="1" s="395">
      <c r="A8" s="426">
        <f>+E91</f>
        <v/>
      </c>
      <c r="B8" s="427">
        <f t="array" ref="B8">IFERROR(_FV(A8,"Name"),"")</f>
        <v/>
      </c>
      <c r="C8" s="428">
        <f t="array" ref="C8">+IFERROR(_FV(A8,"Ticker symbol",TRUE),"")</f>
        <v/>
      </c>
      <c r="D8" s="878">
        <f>+IFERROR(E94/E93-1,"")</f>
        <v/>
      </c>
      <c r="E8" s="879">
        <f>IFERROR(E97/E94-1,"")</f>
        <v/>
      </c>
      <c r="F8" s="880">
        <f>IFERROR(E95/E94,"")</f>
        <v/>
      </c>
      <c r="G8" s="879">
        <f>+IFERROR(E100/E97,"")</f>
        <v/>
      </c>
      <c r="H8" s="880">
        <f>IFERROR(E96/E94,"")</f>
        <v/>
      </c>
      <c r="I8" s="879">
        <f>+IFERROR(D105/D99,"")</f>
        <v/>
      </c>
      <c r="J8" s="533">
        <f t="array" ref="J8">+IFERROR((_FV(A8,"Market cap",TRUE)/1000000+E$121-E$111)/E$94,"")</f>
        <v/>
      </c>
      <c r="K8" s="534">
        <f t="array" ref="K8">IFERROR(+(_FV(A8,"Market cap",TRUE)/1000000+E$121-E$111)/E$97,"")</f>
        <v/>
      </c>
      <c r="L8" s="539">
        <f t="array" ref="L8">IFERROR(+(_FV(A8,"Market cap",TRUE)/1000000+E$121-E$111)/E$95,"")</f>
        <v/>
      </c>
      <c r="M8" s="540">
        <f t="array" ref="M8">IFERROR(+(_FV(A8,"Market cap",TRUE)/1000000+E$121-E$111)/E$100,"")</f>
        <v/>
      </c>
      <c r="N8" s="432">
        <f t="array" ref="N8">IFERROR(+(_FV(A8,"Market cap",TRUE)/1000000)/E$96,"")</f>
        <v/>
      </c>
      <c r="O8" s="431">
        <f t="array" ref="O8">IFERROR(+(_FV(A8,"Market cap",TRUE)/1000000)/E$105,"")</f>
        <v/>
      </c>
      <c r="P8" s="430" t="n"/>
      <c r="Q8" s="430" t="n"/>
      <c r="R8" s="433" t="n"/>
      <c r="S8" s="434" t="n"/>
      <c r="T8" s="433" t="n"/>
      <c r="U8" s="433" t="n"/>
      <c r="V8" s="434" t="n"/>
      <c r="W8" s="433" t="n"/>
      <c r="X8" s="433" t="n"/>
      <c r="Y8" s="433" t="n"/>
      <c r="Z8" s="433" t="n"/>
      <c r="AA8" s="433" t="n"/>
      <c r="AB8" s="434" t="n"/>
      <c r="AC8" s="434" t="n"/>
      <c r="AD8" s="868" t="n"/>
      <c r="AE8" s="868" t="n"/>
      <c r="AF8" s="868" t="n"/>
      <c r="AG8" s="868" t="n"/>
      <c r="AH8" s="868" t="n"/>
      <c r="AI8" s="434" t="n"/>
      <c r="AJ8" s="434" t="n"/>
      <c r="AK8" s="434" t="n"/>
      <c r="AL8" s="435" t="n"/>
      <c r="AM8" s="869" t="n"/>
      <c r="AN8" s="870" t="n"/>
      <c r="AO8" s="434" t="n"/>
      <c r="AP8" s="434" t="n"/>
      <c r="AQ8" s="426" t="n"/>
      <c r="AR8" s="426" t="n"/>
      <c r="AS8" s="426" t="n"/>
      <c r="AT8" s="426" t="n"/>
      <c r="AU8" s="426" t="n"/>
      <c r="AV8" s="426" t="n"/>
      <c r="AW8" s="426" t="n"/>
      <c r="AX8" s="426" t="n"/>
      <c r="AY8" s="426" t="n"/>
      <c r="AZ8" s="426" t="n"/>
    </row>
    <row r="9" ht="17.25" customFormat="1" customHeight="1" s="395">
      <c r="A9" s="449">
        <f>+F91</f>
        <v/>
      </c>
      <c r="B9" s="427">
        <f t="array" ref="B9">IFERROR(_FV(A9,"Name"),"")</f>
        <v/>
      </c>
      <c r="C9" s="428">
        <f t="array" ref="C9">+IFERROR(_FV(A9,"Ticker symbol",TRUE),"")</f>
        <v/>
      </c>
      <c r="D9" s="878">
        <f>IFERROR(F94/F93-1,"")</f>
        <v/>
      </c>
      <c r="E9" s="879">
        <f>IFERROR(+F97/F94-1,"")</f>
        <v/>
      </c>
      <c r="F9" s="880">
        <f>IFERROR(F95/F94,"")</f>
        <v/>
      </c>
      <c r="G9" s="879">
        <f>IFERROR(F100/F97,"")</f>
        <v/>
      </c>
      <c r="H9" s="880">
        <f>IFERROR(F96/F94,"")</f>
        <v/>
      </c>
      <c r="I9" s="879">
        <f>+IFERROR(F105/F97,"")</f>
        <v/>
      </c>
      <c r="J9" s="533">
        <f t="array" ref="J9">IFERROR(+(_FV(A9,"Market cap",TRUE)/1000000+F$121-F$111)/F$94,"")</f>
        <v/>
      </c>
      <c r="K9" s="534">
        <f t="array" ref="K9">IFERROR(+(_FV(A9,"Market cap",TRUE)/1000000+F$121-F$111)/F$97,"")</f>
        <v/>
      </c>
      <c r="L9" s="539">
        <f t="array" ref="L9">IFERROR(+(_FV(A9,"Market cap",TRUE)/1000000+F$121-F$111)/F$95,"")</f>
        <v/>
      </c>
      <c r="M9" s="540">
        <f t="array" ref="M9">IFERROR(+(_FV(A9,"Market cap",TRUE)/1000000+F$121-F$111)/F$100,"")</f>
        <v/>
      </c>
      <c r="N9" s="432">
        <f t="array" ref="N9">IFERROR(+(_FV(A9,"Market cap",TRUE)/1000000)/F$96,"")</f>
        <v/>
      </c>
      <c r="O9" s="431">
        <f t="array" ref="O9">IFERROR(+(_FV(A9,"Market cap",TRUE)/1000000)/F$105,"")</f>
        <v/>
      </c>
      <c r="P9" s="430" t="n"/>
      <c r="Q9" s="430" t="n"/>
      <c r="R9" s="433" t="n"/>
      <c r="S9" s="434" t="n"/>
      <c r="T9" s="433" t="n"/>
      <c r="U9" s="433" t="n"/>
      <c r="V9" s="434" t="n"/>
      <c r="W9" s="433" t="n"/>
      <c r="X9" s="433" t="n"/>
      <c r="Y9" s="433" t="n"/>
      <c r="Z9" s="433" t="n"/>
      <c r="AA9" s="433" t="n"/>
      <c r="AB9" s="434" t="n"/>
      <c r="AC9" s="434" t="n"/>
      <c r="AD9" s="868" t="n"/>
      <c r="AE9" s="868" t="n"/>
      <c r="AF9" s="868" t="n"/>
      <c r="AG9" s="868" t="n"/>
      <c r="AH9" s="868" t="n"/>
      <c r="AI9" s="434" t="n"/>
      <c r="AJ9" s="434" t="n"/>
      <c r="AK9" s="434" t="n"/>
      <c r="AL9" s="435" t="n"/>
      <c r="AM9" s="869" t="n"/>
      <c r="AN9" s="870" t="n"/>
      <c r="AO9" s="434" t="n"/>
      <c r="AP9" s="434" t="n"/>
      <c r="AQ9" s="426" t="n"/>
      <c r="AR9" s="426" t="n"/>
      <c r="AS9" s="426" t="n"/>
      <c r="AT9" s="426" t="n"/>
      <c r="AU9" s="426" t="n"/>
      <c r="AV9" s="426" t="n"/>
      <c r="AW9" s="426" t="n"/>
      <c r="AX9" s="426" t="n"/>
      <c r="AY9" s="426" t="n"/>
      <c r="AZ9" s="426" t="n"/>
    </row>
    <row r="10" ht="17.25" customFormat="1" customHeight="1" s="395">
      <c r="A10" s="449">
        <f>+G91</f>
        <v/>
      </c>
      <c r="B10" s="427">
        <f t="array" ref="B10">IFERROR(_FV(A10,"Name"),"")</f>
        <v/>
      </c>
      <c r="C10" s="428">
        <f t="array" ref="C10">IFERROR(_FV(A10,"Ticker symbol",TRUE),"")</f>
        <v/>
      </c>
      <c r="D10" s="878">
        <f>+IFERROR(G94/G93-1,"")</f>
        <v/>
      </c>
      <c r="E10" s="879">
        <f>IFERROR(G97/G94-1,"")</f>
        <v/>
      </c>
      <c r="F10" s="880">
        <f>IFERROR(G95/G94,"")</f>
        <v/>
      </c>
      <c r="G10" s="879">
        <f>IFERROR(G100/G97,"")</f>
        <v/>
      </c>
      <c r="H10" s="880">
        <f>IFERROR(G96/G94,"")</f>
        <v/>
      </c>
      <c r="I10" s="879">
        <f>+IFERROR(G105/G97,"")</f>
        <v/>
      </c>
      <c r="J10" s="533">
        <f t="array" ref="J10">IFERROR(+(_FV(A10,"Market cap",TRUE)/1000000+G$121-G$111)/G$94,"")</f>
        <v/>
      </c>
      <c r="K10" s="534">
        <f t="array" ref="K10">IFERROR(+(_FV(A10,"Market cap",TRUE)/1000000+G$121-G$111)/G$97,"")</f>
        <v/>
      </c>
      <c r="L10" s="539">
        <f t="array" ref="L10">IFERROR(+(_FV(A10,"Market cap",TRUE)/1000000+G$121-G$111)/G$95,"")</f>
        <v/>
      </c>
      <c r="M10" s="540">
        <f t="array" ref="M10">IFERROR(+(_FV(A10,"Market cap",TRUE)/1000000+G$121-G$111)/G$100,"")</f>
        <v/>
      </c>
      <c r="N10" s="432">
        <f t="array" ref="N10">IFERROR(+(_FV(A10,"Market cap",TRUE)/1000000)/G$96,"")</f>
        <v/>
      </c>
      <c r="O10" s="431">
        <f t="array" ref="O10">IFERROR(+(_FV(A10,"Market cap",TRUE)/1000000)/G$105,"")</f>
        <v/>
      </c>
      <c r="P10" s="430" t="n"/>
      <c r="Q10" s="430" t="n"/>
      <c r="R10" s="430" t="n"/>
      <c r="S10" s="434" t="n"/>
      <c r="T10" s="433" t="n"/>
      <c r="U10" s="433" t="n"/>
      <c r="V10" s="434" t="n"/>
      <c r="W10" s="433" t="n"/>
      <c r="X10" s="433" t="n"/>
      <c r="Y10" s="433" t="n"/>
      <c r="Z10" s="433" t="n"/>
      <c r="AA10" s="433" t="n"/>
      <c r="AB10" s="434" t="n"/>
      <c r="AC10" s="434" t="n"/>
      <c r="AD10" s="868" t="n"/>
      <c r="AE10" s="868" t="n"/>
      <c r="AF10" s="868" t="n"/>
      <c r="AG10" s="868" t="n"/>
      <c r="AH10" s="868" t="n"/>
      <c r="AI10" s="434" t="n"/>
      <c r="AJ10" s="434" t="n"/>
      <c r="AK10" s="434" t="n"/>
      <c r="AL10" s="435" t="n"/>
      <c r="AM10" s="869" t="n"/>
      <c r="AN10" s="870" t="n"/>
      <c r="AO10" s="434" t="n"/>
      <c r="AP10" s="434" t="n"/>
      <c r="AQ10" s="426" t="n"/>
      <c r="AR10" s="426" t="n"/>
      <c r="AS10" s="426" t="n"/>
      <c r="AT10" s="426" t="n"/>
      <c r="AU10" s="426" t="n"/>
      <c r="AV10" s="426" t="n"/>
      <c r="AW10" s="426" t="n"/>
      <c r="AX10" s="426" t="n"/>
      <c r="AY10" s="426" t="n"/>
      <c r="AZ10" s="426" t="n"/>
    </row>
    <row r="11" ht="17.25" customFormat="1" customHeight="1" s="395">
      <c r="A11" s="449">
        <f>+H91</f>
        <v/>
      </c>
      <c r="B11" s="427">
        <f t="array" ref="B11">IFERROR(_FV(A11,"Name"),"")</f>
        <v/>
      </c>
      <c r="C11" s="428">
        <f t="array" ref="C11">IFERROR(_FV(A11,"Ticker symbol",TRUE),"")</f>
        <v/>
      </c>
      <c r="D11" s="878">
        <f>IFERROR(H94/H93-1,"")</f>
        <v/>
      </c>
      <c r="E11" s="879">
        <f>IFERROR(H97/H94-1,"")</f>
        <v/>
      </c>
      <c r="F11" s="880">
        <f>IFERROR(H95/H94,"")</f>
        <v/>
      </c>
      <c r="G11" s="879">
        <f>IFERROR(H100/H97,"")</f>
        <v/>
      </c>
      <c r="H11" s="880">
        <f>IFERROR(H96/H94,"")</f>
        <v/>
      </c>
      <c r="I11" s="879">
        <f>+IFERROR(H105/H102,"")</f>
        <v/>
      </c>
      <c r="J11" s="533">
        <f t="array" ref="J11">IFERROR((_FV(A11,"Market cap",TRUE)/1000000+H$121-H$111)/H$94,"")</f>
        <v/>
      </c>
      <c r="K11" s="534">
        <f t="array" ref="K11">IFERROR(+(_FV(A11,"Market cap",TRUE)/1000000+H$121-H$111)/H$97,"")</f>
        <v/>
      </c>
      <c r="L11" s="539">
        <f t="array" ref="L11">IFERROR(+(_FV(A11,"Market cap",TRUE)/1000000+H$121-H$111)/H$95,"")</f>
        <v/>
      </c>
      <c r="M11" s="540">
        <f t="array" ref="M11">IFERROR(+(_FV(A11,"Market cap",TRUE)/1000000+H$121-H$111)/H$100,"")</f>
        <v/>
      </c>
      <c r="N11" s="432">
        <f t="array" ref="N11">IFERROR(+(_FV(A11,"Market cap",TRUE)/1000000)/H$96,"")</f>
        <v/>
      </c>
      <c r="O11" s="431">
        <f t="array" ref="O11">IFERROR(+(_FV(A11,"Market cap",TRUE)/1000000)/H$105,"")</f>
        <v/>
      </c>
      <c r="P11" s="430" t="n"/>
      <c r="Q11" s="430" t="n"/>
      <c r="R11" s="430" t="n"/>
      <c r="S11" s="434" t="inlineStr">
        <is>
          <t>CAIXA</t>
        </is>
      </c>
      <c r="T11" s="433" t="n"/>
      <c r="U11" s="433" t="n"/>
      <c r="V11" s="434" t="n"/>
      <c r="W11" s="433" t="n"/>
      <c r="X11" s="433" t="n"/>
      <c r="Y11" s="433" t="n"/>
      <c r="Z11" s="433" t="n"/>
      <c r="AA11" s="433" t="n"/>
      <c r="AB11" s="434" t="n"/>
      <c r="AC11" s="434" t="n"/>
      <c r="AD11" s="868" t="n"/>
      <c r="AE11" s="868" t="n"/>
      <c r="AF11" s="868" t="n"/>
      <c r="AG11" s="868" t="n"/>
      <c r="AH11" s="868" t="n"/>
      <c r="AI11" s="434" t="n"/>
      <c r="AJ11" s="434" t="n"/>
      <c r="AK11" s="434" t="n"/>
      <c r="AL11" s="435" t="n"/>
      <c r="AM11" s="869" t="n"/>
      <c r="AN11" s="870" t="n"/>
      <c r="AO11" s="434" t="n"/>
      <c r="AP11" s="434" t="n"/>
      <c r="AQ11" s="426" t="n"/>
      <c r="AR11" s="426" t="n"/>
      <c r="AS11" s="426" t="n"/>
      <c r="AT11" s="426" t="n"/>
      <c r="AU11" s="426" t="n"/>
      <c r="AV11" s="426" t="n"/>
      <c r="AW11" s="426" t="n"/>
      <c r="AX11" s="426" t="n"/>
      <c r="AY11" s="426" t="n"/>
      <c r="AZ11" s="426" t="n"/>
    </row>
    <row r="12" ht="17.25" customFormat="1" customHeight="1" s="395">
      <c r="A12" s="449">
        <f>+I91</f>
        <v/>
      </c>
      <c r="B12" s="427">
        <f t="array" ref="B12">IFERROR(_FV(A12,"Name"),"")</f>
        <v/>
      </c>
      <c r="C12" s="428">
        <f t="array" ref="C12">IFERROR(_FV(A12,"Ticker symbol",TRUE),"")</f>
        <v/>
      </c>
      <c r="D12" s="878">
        <f>+IFERROR(I94/I93-1,"")</f>
        <v/>
      </c>
      <c r="E12" s="879">
        <f>IFERROR(I97/I94-1,"")</f>
        <v/>
      </c>
      <c r="F12" s="880">
        <f>IFERROR(I95/I94,"")</f>
        <v/>
      </c>
      <c r="G12" s="879">
        <f>IFERROR(I100/I97,"")</f>
        <v/>
      </c>
      <c r="H12" s="880">
        <f>IFERROR(I96/I94,"")</f>
        <v/>
      </c>
      <c r="I12" s="879">
        <f>+IFERROR(I105/I97,"")</f>
        <v/>
      </c>
      <c r="J12" s="533">
        <f t="array" ref="J12">IFERROR((_FV(A12,"Market cap",TRUE)/1000000+I$121-I$111)/I$94,"")</f>
        <v/>
      </c>
      <c r="K12" s="534">
        <f t="array" ref="K12">IFERROR(+(_FV(A12,"Market cap",TRUE)/1000000+I$121-I$111)/I$97,"")</f>
        <v/>
      </c>
      <c r="L12" s="539">
        <f t="array" ref="L12">IFERROR(+(_FV(A12,"Market cap",TRUE)/1000000+I$121-I$111)/I$95,"")</f>
        <v/>
      </c>
      <c r="M12" s="540">
        <f t="array" ref="M12">IFERROR(+(_FV(A12,"Market cap",TRUE)/1000000+I$121-I$111)/I$100,"")</f>
        <v/>
      </c>
      <c r="N12" s="432">
        <f t="array" ref="N12">IFERROR(+(_FV(A12,"Market cap",TRUE)/1000000)/I$96,"")</f>
        <v/>
      </c>
      <c r="O12" s="431">
        <f t="array" ref="O12">IFERROR(+(_FV(A12,"Market cap",TRUE)/1000000)/I$105,"")</f>
        <v/>
      </c>
      <c r="P12" s="430" t="n"/>
      <c r="Q12" s="430" t="n"/>
      <c r="R12" s="430" t="n"/>
      <c r="S12" s="434" t="inlineStr">
        <is>
          <t>SANTANDER</t>
        </is>
      </c>
      <c r="T12" s="433" t="n"/>
      <c r="U12" s="433" t="n"/>
      <c r="V12" s="434" t="n"/>
      <c r="W12" s="433" t="n"/>
      <c r="X12" s="433" t="n"/>
      <c r="Y12" s="433" t="n"/>
      <c r="Z12" s="433" t="n"/>
      <c r="AA12" s="433" t="n"/>
      <c r="AB12" s="434" t="n"/>
      <c r="AC12" s="434" t="n"/>
      <c r="AD12" s="868" t="n"/>
      <c r="AE12" s="868" t="n"/>
      <c r="AF12" s="868" t="n"/>
      <c r="AG12" s="868" t="n"/>
      <c r="AH12" s="868" t="n"/>
      <c r="AI12" s="434" t="n"/>
      <c r="AJ12" s="434" t="n"/>
      <c r="AK12" s="434" t="n"/>
      <c r="AL12" s="435" t="n"/>
      <c r="AM12" s="869" t="n"/>
      <c r="AN12" s="870" t="n"/>
      <c r="AO12" s="434" t="n"/>
      <c r="AP12" s="434" t="n"/>
      <c r="AQ12" s="426" t="n"/>
      <c r="AR12" s="426" t="n"/>
      <c r="AS12" s="426" t="n"/>
      <c r="AT12" s="426" t="n"/>
      <c r="AU12" s="426" t="n"/>
      <c r="AV12" s="426" t="n"/>
      <c r="AW12" s="426" t="n"/>
      <c r="AX12" s="426" t="n"/>
      <c r="AY12" s="426" t="n"/>
      <c r="AZ12" s="426" t="n"/>
    </row>
    <row r="13" ht="17.25" customFormat="1" customHeight="1" s="395">
      <c r="A13" s="449">
        <f>+J91</f>
        <v/>
      </c>
      <c r="B13" s="427">
        <f t="array" ref="B13">IFERROR(_FV(A13,"Name"),"")</f>
        <v/>
      </c>
      <c r="C13" s="428">
        <f t="array" ref="C13">IFERROR(_FV(A13,"Ticker symbol",TRUE),"")</f>
        <v/>
      </c>
      <c r="D13" s="878">
        <f>IFERROR(J94/J93-1,"")</f>
        <v/>
      </c>
      <c r="E13" s="879">
        <f>IFERROR(J97/J94-1,"")</f>
        <v/>
      </c>
      <c r="F13" s="880">
        <f>IFERROR(J95/J94,"")</f>
        <v/>
      </c>
      <c r="G13" s="879">
        <f>IFERROR(J100/J97,"")</f>
        <v/>
      </c>
      <c r="H13" s="881">
        <f>IFERROR(J96/J94,"")</f>
        <v/>
      </c>
      <c r="I13" s="879">
        <f>+IFERROR(J105/J97,"")</f>
        <v/>
      </c>
      <c r="J13" s="533">
        <f t="array" ref="J13">IFERROR(+(_FV(A13,"Market cap",TRUE)/1000000+J$121-J$111)/J$94,"")</f>
        <v/>
      </c>
      <c r="K13" s="534">
        <f t="array" ref="K13">IFERROR(+(_FV(A13,"Market cap",TRUE)/1000000+J$121-J$111)/J$97,"")</f>
        <v/>
      </c>
      <c r="L13" s="539">
        <f t="array" ref="L13">IFERROR(+(_FV(A13,"Market cap",TRUE)/1000000+J$121-J$111)/J$95,"")</f>
        <v/>
      </c>
      <c r="M13" s="540">
        <f t="array" ref="M13">IFERROR(+(_FV(A13,"Market cap",TRUE)/1000000+J$121-J$111)/J$100,"")</f>
        <v/>
      </c>
      <c r="N13" s="432">
        <f t="array" ref="N13">IFERROR(+(_FV(A13,"Market cap",TRUE)/1000000)/J$96,"")</f>
        <v/>
      </c>
      <c r="O13" s="431">
        <f t="array" ref="O13">IFERROR(+(_FV(A13,"Market cap",TRUE)/1000000)/J$105,"")</f>
        <v/>
      </c>
      <c r="P13" s="430" t="n"/>
      <c r="Q13" s="430" t="n"/>
      <c r="R13" s="430" t="n"/>
      <c r="S13" s="434" t="inlineStr">
        <is>
          <t>HAITONG</t>
        </is>
      </c>
      <c r="T13" s="433" t="n"/>
      <c r="U13" s="433" t="n"/>
      <c r="V13" s="434" t="n"/>
      <c r="W13" s="433" t="n"/>
      <c r="X13" s="433" t="n"/>
      <c r="Y13" s="433" t="n"/>
      <c r="Z13" s="433" t="n"/>
      <c r="AA13" s="433" t="n"/>
      <c r="AB13" s="434" t="n"/>
      <c r="AC13" s="434" t="n"/>
      <c r="AD13" s="868" t="n"/>
      <c r="AE13" s="868" t="n"/>
      <c r="AF13" s="868" t="n"/>
      <c r="AG13" s="868" t="n"/>
      <c r="AH13" s="868" t="n"/>
      <c r="AI13" s="434" t="n"/>
      <c r="AJ13" s="434" t="n"/>
      <c r="AK13" s="434" t="n"/>
      <c r="AL13" s="435" t="n"/>
      <c r="AM13" s="869" t="n"/>
      <c r="AN13" s="870" t="n"/>
      <c r="AO13" s="434" t="n"/>
      <c r="AP13" s="434" t="n"/>
      <c r="AQ13" s="426" t="n"/>
      <c r="AR13" s="426" t="n"/>
      <c r="AS13" s="426" t="n"/>
      <c r="AT13" s="426" t="n"/>
      <c r="AU13" s="426" t="n"/>
      <c r="AV13" s="426" t="n"/>
      <c r="AW13" s="426" t="n"/>
      <c r="AX13" s="426" t="n"/>
      <c r="AY13" s="426" t="n"/>
      <c r="AZ13" s="426" t="n"/>
    </row>
    <row r="14" ht="17.25" customFormat="1" customHeight="1" s="395">
      <c r="A14" s="449">
        <f>+K91</f>
        <v/>
      </c>
      <c r="B14" s="427">
        <f t="array" ref="B14">IFERROR(_FV(A14,"Name"),"")</f>
        <v/>
      </c>
      <c r="C14" s="428">
        <f t="array" ref="C14">IFERROR(_FV(A14,"Ticker symbol",TRUE),"")</f>
        <v/>
      </c>
      <c r="D14" s="878">
        <f>IFERROR(K94/K93-1,"")</f>
        <v/>
      </c>
      <c r="E14" s="879">
        <f>IFERROR(K97/K94-1,"")</f>
        <v/>
      </c>
      <c r="F14" s="880">
        <f>+IFERROR(K95/K94,"")</f>
        <v/>
      </c>
      <c r="G14" s="879">
        <f>IFERROR(K100/K97,"")</f>
        <v/>
      </c>
      <c r="H14" s="881">
        <f>IFERROR(K96/K94,"")</f>
        <v/>
      </c>
      <c r="I14" s="879">
        <f>+IFERROR(K105/K97,"")</f>
        <v/>
      </c>
      <c r="J14" s="533">
        <f t="array" ref="J14">IFERROR((_FV(A14,"Market cap",TRUE)/1000000+D$121-K$111)/K$94,"")</f>
        <v/>
      </c>
      <c r="K14" s="534">
        <f t="array" ref="K14">IFERROR(+(_FV(A14,"Market cap",TRUE)/1000000+D$121-K$111)/K$97,"")</f>
        <v/>
      </c>
      <c r="L14" s="539">
        <f t="array" ref="L14">IFERROR(+(_FV(A14,"Market cap",TRUE)/1000000+D$121-K$111)/K$95,"")</f>
        <v/>
      </c>
      <c r="M14" s="540">
        <f t="array" ref="M14">IFERROR(+(_FV(A14,"Market cap",TRUE)/1000000+D$121-K$111)/K$100,"")</f>
        <v/>
      </c>
      <c r="N14" s="432">
        <f t="array" ref="N14">IFERROR(+(_FV(A14,"Market cap",TRUE)/1000000)/K$96,"")</f>
        <v/>
      </c>
      <c r="O14" s="431">
        <f t="array" ref="O14">IFERROR(+(_FV(A14,"Market cap",TRUE)/1000000)/K$105,"")</f>
        <v/>
      </c>
      <c r="P14" s="430" t="n"/>
      <c r="Q14" s="430" t="n"/>
      <c r="R14" s="430" t="n"/>
      <c r="S14" s="434" t="inlineStr">
        <is>
          <t>BNP</t>
        </is>
      </c>
      <c r="T14" s="433" t="n"/>
      <c r="U14" s="433" t="n"/>
      <c r="V14" s="434" t="n"/>
      <c r="W14" s="433" t="n"/>
      <c r="X14" s="433" t="n"/>
      <c r="Y14" s="433" t="n"/>
      <c r="Z14" s="433" t="n"/>
      <c r="AA14" s="433" t="n"/>
      <c r="AB14" s="434" t="n"/>
      <c r="AC14" s="434" t="n"/>
      <c r="AD14" s="868" t="n"/>
      <c r="AE14" s="868" t="n"/>
      <c r="AF14" s="868" t="n"/>
      <c r="AG14" s="868" t="n"/>
      <c r="AH14" s="868" t="n"/>
      <c r="AI14" s="434" t="n"/>
      <c r="AJ14" s="434" t="n"/>
      <c r="AK14" s="434" t="n"/>
      <c r="AL14" s="435" t="n"/>
      <c r="AM14" s="869" t="n"/>
      <c r="AN14" s="870" t="n"/>
      <c r="AO14" s="434" t="n"/>
      <c r="AP14" s="434" t="n"/>
      <c r="AQ14" s="426" t="n"/>
      <c r="AR14" s="426" t="n"/>
      <c r="AS14" s="426" t="n"/>
      <c r="AT14" s="426" t="n"/>
      <c r="AU14" s="426" t="n"/>
      <c r="AV14" s="426" t="n"/>
      <c r="AW14" s="426" t="n"/>
      <c r="AX14" s="426" t="n"/>
      <c r="AY14" s="426" t="n"/>
      <c r="AZ14" s="426" t="n"/>
    </row>
    <row r="15" ht="17.25" customFormat="1" customHeight="1" s="395">
      <c r="A15" s="449">
        <f>+L91</f>
        <v/>
      </c>
      <c r="B15" s="427">
        <f t="array" ref="B15">IFERROR(_FV(A15,"Name"),"")</f>
        <v/>
      </c>
      <c r="C15" s="428">
        <f t="array" ref="C15">IFERROR(_FV(A15,"Ticker symbol",TRUE),"")</f>
        <v/>
      </c>
      <c r="D15" s="878">
        <f>+IFERROR(L94/L93,"")</f>
        <v/>
      </c>
      <c r="E15" s="879">
        <f>IFERROR(L97/L94,"")</f>
        <v/>
      </c>
      <c r="F15" s="880">
        <f>IFERROR(L95/L94,"")</f>
        <v/>
      </c>
      <c r="G15" s="879">
        <f>IFERROR(L100/L97,"")</f>
        <v/>
      </c>
      <c r="H15" s="881">
        <f>IFERROR(L96/L94,"")</f>
        <v/>
      </c>
      <c r="I15" s="879">
        <f>+IFERROR(L105/L97,"")</f>
        <v/>
      </c>
      <c r="J15" s="533">
        <f t="array" ref="J15">IFERROR(+(_FV(A15,"Market cap",TRUE)/1000000+L$121-L$111)/L$94,"")</f>
        <v/>
      </c>
      <c r="K15" s="534">
        <f t="array" ref="K15">IFERROR(+(_FV(A15,"Market cap",TRUE)/1000000+L$121-L$111)/L$97,"")</f>
        <v/>
      </c>
      <c r="L15" s="539">
        <f t="array" ref="L15">IFERROR(+(_FV(A15,"Market cap",TRUE)/1000000+L$121-L$111)/L$95,"")</f>
        <v/>
      </c>
      <c r="M15" s="540">
        <f t="array" ref="M15">IFERROR(+(_FV(A15,"Market cap",TRUE)/1000000+L$121-L$111)/L$100,"")</f>
        <v/>
      </c>
      <c r="N15" s="432">
        <f t="array" ref="N15">IFERROR(+(_FV(A15,"Market cap",TRUE)/1000000)/L$96,"")</f>
        <v/>
      </c>
      <c r="O15" s="431">
        <f t="array" ref="O15">IFERROR(+(_FV(A15,"Market cap",TRUE)/1000000)/L$105,"")</f>
        <v/>
      </c>
      <c r="P15" s="430" t="n"/>
      <c r="Q15" s="430" t="n"/>
      <c r="R15" s="430" t="n"/>
      <c r="S15" s="434" t="n"/>
      <c r="T15" s="433" t="n"/>
      <c r="U15" s="433" t="n"/>
      <c r="V15" s="434" t="n"/>
      <c r="W15" s="433" t="n"/>
      <c r="X15" s="433" t="n"/>
      <c r="Y15" s="433" t="n"/>
      <c r="Z15" s="433" t="n"/>
      <c r="AA15" s="433" t="n"/>
      <c r="AB15" s="434" t="n"/>
      <c r="AC15" s="434" t="n"/>
      <c r="AD15" s="868" t="n"/>
      <c r="AE15" s="868" t="n"/>
      <c r="AF15" s="868" t="n"/>
      <c r="AG15" s="868" t="n"/>
      <c r="AH15" s="868" t="n"/>
      <c r="AI15" s="434" t="n"/>
      <c r="AJ15" s="434" t="n"/>
      <c r="AK15" s="434" t="n"/>
      <c r="AL15" s="435" t="n"/>
      <c r="AM15" s="869" t="n"/>
      <c r="AN15" s="870" t="n"/>
      <c r="AO15" s="434" t="n"/>
      <c r="AP15" s="434" t="n"/>
      <c r="AQ15" s="426" t="n"/>
      <c r="AR15" s="426" t="n"/>
      <c r="AS15" s="426" t="n"/>
      <c r="AT15" s="426" t="n"/>
      <c r="AU15" s="426" t="n"/>
      <c r="AV15" s="426" t="n"/>
      <c r="AW15" s="426" t="n"/>
      <c r="AX15" s="426" t="n"/>
      <c r="AY15" s="426" t="n"/>
      <c r="AZ15" s="426" t="n"/>
    </row>
    <row r="16" ht="17.25" customFormat="1" customHeight="1" s="395">
      <c r="A16" s="449">
        <f>+M91</f>
        <v/>
      </c>
      <c r="B16" s="427">
        <f t="array" ref="B16">IFERROR(_FV(A16,"Name"),"")</f>
        <v/>
      </c>
      <c r="C16" s="428">
        <f t="array" ref="C16">IFERROR(_FV(A16,"Ticker symbol",TRUE),"")</f>
        <v/>
      </c>
      <c r="D16" s="878">
        <f>IFERROR(M94/M93-1,"")</f>
        <v/>
      </c>
      <c r="E16" s="879">
        <f>IFERROR(M97/M94-1,"")</f>
        <v/>
      </c>
      <c r="F16" s="880">
        <f>IFERROR(M95/M94,"")</f>
        <v/>
      </c>
      <c r="G16" s="879">
        <f>IFERROR(M100/M97,"")</f>
        <v/>
      </c>
      <c r="H16" s="881">
        <f>IFERROR(M96/M94,"")</f>
        <v/>
      </c>
      <c r="I16" s="879">
        <f>+IFERROR(M105/M97,"")</f>
        <v/>
      </c>
      <c r="J16" s="533">
        <f t="array" ref="J16">IFERROR(+(_FV(A16,"Market cap",TRUE)/1000000+M$121-M$111)/M$94,"")</f>
        <v/>
      </c>
      <c r="K16" s="534">
        <f t="array" ref="K16">IFERROR(+(_FV(A16,"Market cap",TRUE)/1000000+M$121-M$111)/M$97,"")</f>
        <v/>
      </c>
      <c r="L16" s="539">
        <f t="array" ref="L16">IFERROR(+(_FV(A16,"Market cap",TRUE)/1000000+M$121-M$111)/M$95,"")</f>
        <v/>
      </c>
      <c r="M16" s="540">
        <f t="array" ref="M16">IFERROR(+(_FV(A16,"Market cap",TRUE)/1000000+M$121-M$111)/M$100,"")</f>
        <v/>
      </c>
      <c r="N16" s="432">
        <f t="array" ref="N16">IFERROR(+(_FV(A16,"Market cap",TRUE)/1000000)/M$96,"")</f>
        <v/>
      </c>
      <c r="O16" s="431">
        <f t="array" ref="O16">IFERROR(+(_FV(A16,"Market cap",TRUE)/1000000)/M$105,"")</f>
        <v/>
      </c>
      <c r="P16" s="430" t="n"/>
      <c r="Q16" s="430" t="n"/>
      <c r="R16" s="430" t="n"/>
      <c r="S16" s="434" t="n"/>
      <c r="T16" s="433" t="n"/>
      <c r="U16" s="433" t="n"/>
      <c r="V16" s="434" t="n"/>
      <c r="W16" s="433" t="n"/>
      <c r="X16" s="433" t="n"/>
      <c r="Y16" s="433" t="n"/>
      <c r="Z16" s="433" t="n"/>
      <c r="AA16" s="433" t="n"/>
      <c r="AB16" s="434" t="n"/>
      <c r="AC16" s="434" t="n"/>
      <c r="AD16" s="868" t="n"/>
      <c r="AE16" s="868" t="n"/>
      <c r="AF16" s="868" t="n"/>
      <c r="AG16" s="868" t="n"/>
      <c r="AH16" s="868" t="n"/>
      <c r="AI16" s="434" t="n"/>
      <c r="AJ16" s="434" t="n"/>
      <c r="AK16" s="434" t="n"/>
      <c r="AL16" s="435" t="n"/>
      <c r="AM16" s="869" t="n"/>
      <c r="AN16" s="870" t="n"/>
      <c r="AO16" s="434" t="n"/>
      <c r="AP16" s="434" t="n"/>
      <c r="AQ16" s="426" t="n"/>
      <c r="AR16" s="426" t="n"/>
      <c r="AS16" s="426" t="n"/>
      <c r="AT16" s="426" t="n"/>
      <c r="AU16" s="426" t="n"/>
      <c r="AV16" s="426" t="n"/>
      <c r="AW16" s="426" t="n"/>
      <c r="AX16" s="426" t="n"/>
      <c r="AY16" s="426" t="n"/>
      <c r="AZ16" s="426" t="n"/>
    </row>
    <row r="17" ht="17.25" customFormat="1" customHeight="1" s="395">
      <c r="A17" s="449">
        <f>+N91</f>
        <v/>
      </c>
      <c r="B17" s="563">
        <f t="array" ref="B17">IFERROR(_FV(A17,"Name"),"")</f>
        <v/>
      </c>
      <c r="C17" s="564">
        <f t="array" ref="C17">+IFERROR(_FV(A17,"Ticker symbol",TRUE),"")</f>
        <v/>
      </c>
      <c r="D17" s="882">
        <f>IFERROR(N94/N93-1,"")</f>
        <v/>
      </c>
      <c r="E17" s="883">
        <f>IFERROR(N97/N94-1,"")</f>
        <v/>
      </c>
      <c r="F17" s="884">
        <f>IFERROR(N95/N94,"")</f>
        <v/>
      </c>
      <c r="G17" s="883">
        <f>IFERROR(N100/N97,"")</f>
        <v/>
      </c>
      <c r="H17" s="885">
        <f>IFERROR(N96/N94,"")</f>
        <v/>
      </c>
      <c r="I17" s="883">
        <f>+IFERROR(N105/N97,"")</f>
        <v/>
      </c>
      <c r="J17" s="569">
        <f t="array" ref="J17">IFERROR(+(_FV(A17,"Market cap",TRUE)/1000000+N$121-N$111)/N$94,"")</f>
        <v/>
      </c>
      <c r="K17" s="570">
        <f t="array" ref="K17">IFERROR(+(_FV(A17,"Market cap",TRUE)/1000000+N$121-N$111)/N$97,"")</f>
        <v/>
      </c>
      <c r="L17" s="571">
        <f t="array" ref="L17">IFERROR(+(_FV(A17,"Market cap",TRUE)/1000000+N$121-N$111)/N$95,"")</f>
        <v/>
      </c>
      <c r="M17" s="572">
        <f t="array" ref="M17">IFERROR(+(_FV(A17,"Market cap",TRUE)/1000000+N$121-N$111)/N$100,"")</f>
        <v/>
      </c>
      <c r="N17" s="573">
        <f t="array" ref="N17">IFERROR(+(_FV(A17,"Market cap",TRUE)/1000000)/N$96,"")</f>
        <v/>
      </c>
      <c r="O17" s="574">
        <f t="array" ref="O17">IFERROR(+(_FV(A17,"Market cap",TRUE)/1000000)/N$105,"")</f>
        <v/>
      </c>
      <c r="P17" s="430" t="n"/>
      <c r="Q17" s="430" t="n"/>
      <c r="R17" s="430" t="n"/>
      <c r="S17" s="434" t="n"/>
      <c r="T17" s="433" t="n"/>
      <c r="U17" s="433" t="n"/>
      <c r="V17" s="434" t="n"/>
      <c r="W17" s="433" t="n"/>
      <c r="X17" s="433" t="n"/>
      <c r="Y17" s="433" t="n"/>
      <c r="Z17" s="433" t="n"/>
      <c r="AA17" s="433" t="n"/>
      <c r="AB17" s="434" t="n"/>
      <c r="AC17" s="434" t="n"/>
      <c r="AD17" s="868" t="n"/>
      <c r="AE17" s="868" t="n"/>
      <c r="AF17" s="868" t="n"/>
      <c r="AG17" s="868" t="n"/>
      <c r="AH17" s="868" t="n"/>
      <c r="AI17" s="434" t="n"/>
      <c r="AJ17" s="434" t="n"/>
      <c r="AK17" s="434" t="n"/>
      <c r="AL17" s="435" t="n"/>
      <c r="AM17" s="869" t="n"/>
      <c r="AN17" s="870" t="n"/>
      <c r="AO17" s="434" t="n"/>
      <c r="AP17" s="434" t="n"/>
    </row>
    <row r="18" ht="15.75" customFormat="1" customHeight="1" s="392">
      <c r="A18" s="449" t="n"/>
      <c r="B18" s="394" t="inlineStr">
        <is>
          <t>Average</t>
        </is>
      </c>
      <c r="C18" s="394" t="n"/>
      <c r="D18" s="886">
        <f>IFERROR(AVERAGE(D6:D17),"")</f>
        <v/>
      </c>
      <c r="E18" s="887">
        <f>IFERROR(AVERAGE(E6:E17),"")</f>
        <v/>
      </c>
      <c r="F18" s="888">
        <f>IFERROR(AVERAGE(F6:F17),"")</f>
        <v/>
      </c>
      <c r="G18" s="887">
        <f>IFERROR(AVERAGE(G6:G17),"")</f>
        <v/>
      </c>
      <c r="H18" s="530">
        <f>IFERROR(AVERAGE(H6:H17),"")</f>
        <v/>
      </c>
      <c r="I18" s="531">
        <f>IFERROR(AVERAGE(I6:I17),"")</f>
        <v/>
      </c>
      <c r="J18" s="535">
        <f>IFERROR(AVERAGE(J6:J17),"")</f>
        <v/>
      </c>
      <c r="K18" s="536">
        <f>IFERROR(AVERAGE(K6:K17),"")</f>
        <v/>
      </c>
      <c r="L18" s="535">
        <f>IFERROR(AVERAGE(L6:L17),"")</f>
        <v/>
      </c>
      <c r="M18" s="536">
        <f>IFERROR(AVERAGE(M6:M17),"")</f>
        <v/>
      </c>
      <c r="N18" s="411">
        <f>IFERROR(AVERAGE(N6:N17),"")</f>
        <v/>
      </c>
      <c r="O18" s="411">
        <f>IFERROR(AVERAGE(O6:O17),"")</f>
        <v/>
      </c>
      <c r="P18" s="553" t="n"/>
      <c r="Q18" s="450" t="n"/>
      <c r="R18" s="450" t="n"/>
      <c r="S18" s="444" t="n"/>
      <c r="T18" s="450" t="n"/>
      <c r="U18" s="450" t="n"/>
      <c r="V18" s="444" t="n"/>
      <c r="W18" s="450" t="n"/>
      <c r="X18" s="450" t="n"/>
      <c r="Y18" s="450" t="n"/>
      <c r="Z18" s="450" t="n"/>
      <c r="AA18" s="450" t="n"/>
      <c r="AB18" s="450" t="n"/>
      <c r="AC18" s="444" t="n"/>
      <c r="AD18" s="450" t="n"/>
      <c r="AE18" s="450" t="n"/>
      <c r="AF18" s="450" t="n"/>
      <c r="AG18" s="450" t="n"/>
      <c r="AH18" s="450" t="n"/>
      <c r="AI18" s="444" t="n"/>
      <c r="AJ18" s="451" t="n"/>
      <c r="AK18" s="444" t="n"/>
      <c r="AL18" s="451" t="n"/>
      <c r="AM18" s="876" t="n"/>
      <c r="AN18" s="451" t="n"/>
      <c r="AO18" s="444" t="n"/>
      <c r="AP18" s="451" t="n"/>
    </row>
    <row r="19" ht="15.75" customFormat="1" customHeight="1" s="392">
      <c r="A19" s="449" t="n"/>
      <c r="B19" s="452" t="inlineStr">
        <is>
          <t>Deviation from Average</t>
        </is>
      </c>
      <c r="C19" s="394" t="n"/>
      <c r="D19" s="889">
        <f>IFERROR(+D18-D6,"")</f>
        <v/>
      </c>
      <c r="E19" s="890">
        <f>IFERROR(E18-E6,"")</f>
        <v/>
      </c>
      <c r="F19" s="891">
        <f>+IFERROR(F18-F6,"")</f>
        <v/>
      </c>
      <c r="G19" s="890">
        <f>IFERROR(G18-G6,"")</f>
        <v/>
      </c>
      <c r="H19" s="891">
        <f>IFERROR(+H6-H18,"")</f>
        <v/>
      </c>
      <c r="I19" s="890">
        <f>+IFERROR(I6-I18,"")</f>
        <v/>
      </c>
      <c r="J19" s="562">
        <f>+IFERROR(J6-J18,"")</f>
        <v/>
      </c>
      <c r="K19" s="537">
        <f>+IFERROR(K6-K18,"")</f>
        <v/>
      </c>
      <c r="L19" s="562">
        <f>IFERROR(+L6-L18,"")</f>
        <v/>
      </c>
      <c r="M19" s="537">
        <f>IFERROR(M6-M18,"")</f>
        <v/>
      </c>
      <c r="N19" s="562">
        <f>IFERROR(+N6-N18,"")</f>
        <v/>
      </c>
      <c r="O19" s="562">
        <f>IFERROR(+O6-O18,"")</f>
        <v/>
      </c>
      <c r="P19" s="554" t="n"/>
      <c r="Q19" s="445" t="n"/>
      <c r="R19" s="445" t="n"/>
      <c r="S19" s="444" t="n"/>
      <c r="T19" s="445" t="n"/>
      <c r="U19" s="445" t="n"/>
      <c r="V19" s="444" t="n"/>
      <c r="W19" s="445" t="n"/>
      <c r="X19" s="445" t="n"/>
      <c r="Y19" s="445" t="n"/>
      <c r="Z19" s="445" t="n"/>
      <c r="AA19" s="445" t="n"/>
      <c r="AB19" s="445" t="n"/>
      <c r="AC19" s="444" t="n"/>
      <c r="AD19" s="445" t="n"/>
      <c r="AE19" s="445" t="n"/>
      <c r="AF19" s="445" t="n"/>
      <c r="AG19" s="445" t="n"/>
      <c r="AH19" s="445" t="n"/>
      <c r="AI19" s="444" t="n"/>
      <c r="AJ19" s="453" t="n"/>
      <c r="AK19" s="444" t="n"/>
      <c r="AL19" s="453" t="n"/>
      <c r="AM19" s="444" t="n"/>
      <c r="AN19" s="453" t="n"/>
      <c r="AO19" s="444" t="n"/>
      <c r="AP19" s="453" t="n"/>
    </row>
    <row r="20" ht="14.25" customFormat="1" customHeight="1" s="392">
      <c r="A20" s="417" t="n"/>
      <c r="B20" s="417" t="n"/>
      <c r="C20" s="417" t="n"/>
      <c r="D20" s="417" t="n"/>
      <c r="E20" s="417" t="n"/>
      <c r="F20" s="417" t="n"/>
      <c r="G20" s="417" t="n"/>
      <c r="H20" s="417" t="n"/>
      <c r="I20" s="417" t="n"/>
      <c r="J20" s="417" t="n"/>
      <c r="K20" s="417" t="n"/>
      <c r="L20" s="417" t="n"/>
      <c r="M20" s="417" t="n"/>
      <c r="N20" s="417" t="n"/>
      <c r="O20" s="417" t="n"/>
      <c r="P20" s="455" t="n"/>
      <c r="Q20" s="417" t="n"/>
      <c r="R20" s="417" t="n"/>
      <c r="S20" s="417" t="n"/>
      <c r="T20" s="417" t="n"/>
      <c r="U20" s="417" t="n"/>
      <c r="V20" s="417" t="n"/>
      <c r="W20" s="417" t="n"/>
      <c r="X20" s="417" t="n"/>
      <c r="Y20" s="417" t="n"/>
      <c r="Z20" s="417" t="n"/>
      <c r="AA20" s="417" t="n"/>
      <c r="AB20" s="417" t="n"/>
      <c r="AC20" s="417" t="n"/>
      <c r="AD20" s="417" t="n"/>
      <c r="AE20" s="417" t="n"/>
      <c r="AF20" s="417" t="n"/>
      <c r="AG20" s="417" t="n"/>
      <c r="AH20" s="417" t="n"/>
      <c r="AI20" s="417" t="n"/>
      <c r="AJ20" s="417" t="n"/>
      <c r="AK20" s="417" t="n"/>
      <c r="AL20" s="417" t="n"/>
      <c r="AM20" s="417" t="n"/>
      <c r="AN20" s="417" t="n"/>
      <c r="AO20" s="417" t="n"/>
      <c r="AP20" s="417" t="n"/>
    </row>
    <row r="21" ht="15" customFormat="1" customHeight="1" s="392">
      <c r="A21" s="417" t="n"/>
      <c r="B21" s="454" t="n"/>
      <c r="C21" s="454" t="n"/>
      <c r="D21" s="802" t="inlineStr">
        <is>
          <t>Trading Multiple</t>
        </is>
      </c>
      <c r="G21" s="802" t="inlineStr">
        <is>
          <t>Net</t>
        </is>
      </c>
      <c r="H21" s="802" t="inlineStr">
        <is>
          <t>Preferred</t>
        </is>
      </c>
      <c r="I21" s="802" t="inlineStr">
        <is>
          <t>Non-Controlling</t>
        </is>
      </c>
      <c r="J21" s="802" t="inlineStr">
        <is>
          <t>Equity Value</t>
        </is>
      </c>
      <c r="M21" s="802" t="inlineStr">
        <is>
          <t>Implied Upside (Downside)</t>
        </is>
      </c>
      <c r="P21" s="551" t="n"/>
      <c r="Q21" s="455" t="n"/>
      <c r="R21" s="455" t="n"/>
      <c r="S21" s="455" t="n"/>
      <c r="T21" s="455" t="n"/>
      <c r="U21" s="455" t="n"/>
      <c r="V21" s="455" t="n"/>
      <c r="W21" s="455" t="n"/>
      <c r="X21" s="455" t="n"/>
      <c r="Y21" s="417" t="n"/>
      <c r="Z21" s="417" t="n"/>
      <c r="AA21" s="417" t="n"/>
      <c r="AB21" s="417" t="n"/>
      <c r="AC21" s="417" t="n"/>
      <c r="AD21" s="417" t="n"/>
      <c r="AE21" s="417" t="n"/>
      <c r="AF21" s="417" t="n"/>
      <c r="AG21" s="417" t="n"/>
      <c r="AH21" s="417" t="n"/>
      <c r="AI21" s="417" t="n"/>
      <c r="AJ21" s="417" t="n"/>
      <c r="AK21" s="417" t="n"/>
      <c r="AL21" s="417" t="n"/>
      <c r="AM21" s="417" t="n"/>
      <c r="AN21" s="417" t="n"/>
      <c r="AO21" s="417" t="n"/>
      <c r="AP21" s="417" t="n"/>
    </row>
    <row r="22" ht="14.25" customFormat="1" customHeight="1" s="392">
      <c r="A22" s="417" t="n"/>
      <c r="B22" s="456" t="inlineStr">
        <is>
          <t>Implied Share Price</t>
        </is>
      </c>
      <c r="C22" s="454" t="n"/>
      <c r="D22" s="803" t="inlineStr">
        <is>
          <t>Revenue</t>
        </is>
      </c>
      <c r="E22" s="803" t="inlineStr">
        <is>
          <t>EBITDA</t>
        </is>
      </c>
      <c r="F22" s="803" t="inlineStr">
        <is>
          <t>P/E</t>
        </is>
      </c>
      <c r="G22" s="803" t="inlineStr">
        <is>
          <t>Debt</t>
        </is>
      </c>
      <c r="H22" s="803" t="inlineStr">
        <is>
          <t>Stock</t>
        </is>
      </c>
      <c r="I22" s="803" t="inlineStr">
        <is>
          <t>Interest</t>
        </is>
      </c>
      <c r="J22" s="803" t="inlineStr">
        <is>
          <t>Revenue</t>
        </is>
      </c>
      <c r="K22" s="803" t="inlineStr">
        <is>
          <t>EBITDA</t>
        </is>
      </c>
      <c r="L22" s="803" t="inlineStr">
        <is>
          <t>P/E</t>
        </is>
      </c>
      <c r="M22" s="803" t="inlineStr">
        <is>
          <t>Revenue</t>
        </is>
      </c>
      <c r="N22" s="803" t="inlineStr">
        <is>
          <t>EBITDA</t>
        </is>
      </c>
      <c r="O22" s="803" t="inlineStr">
        <is>
          <t>P/E</t>
        </is>
      </c>
      <c r="P22" s="551" t="inlineStr">
        <is>
          <t>Current Price</t>
        </is>
      </c>
      <c r="Q22" s="455" t="n"/>
      <c r="R22" s="455" t="n"/>
      <c r="S22" s="455" t="n"/>
      <c r="T22" s="455" t="n"/>
      <c r="U22" s="455" t="n"/>
      <c r="V22" s="455" t="n"/>
      <c r="W22" s="455" t="n"/>
      <c r="X22" s="455" t="n"/>
      <c r="Y22" s="417" t="n"/>
      <c r="Z22" s="417" t="n"/>
      <c r="AA22" s="417" t="n"/>
      <c r="AB22" s="417" t="n"/>
      <c r="AC22" s="417" t="n"/>
      <c r="AD22" s="417" t="n"/>
      <c r="AE22" s="417" t="n"/>
      <c r="AF22" s="417" t="n"/>
      <c r="AG22" s="417" t="n"/>
      <c r="AH22" s="417" t="n"/>
      <c r="AI22" s="417" t="n"/>
      <c r="AJ22" s="417" t="n"/>
      <c r="AK22" s="417" t="n"/>
      <c r="AL22" s="417" t="n"/>
      <c r="AM22" s="417" t="n"/>
      <c r="AN22" s="417" t="n"/>
      <c r="AO22" s="417" t="n"/>
      <c r="AP22" s="417" t="n"/>
    </row>
    <row r="23" ht="3.75" customFormat="1" customHeight="1" s="392">
      <c r="A23" s="417" t="n"/>
      <c r="B23" s="457" t="n"/>
      <c r="C23" s="458" t="n"/>
      <c r="D23" s="546" t="n"/>
      <c r="E23" s="548" t="n"/>
      <c r="F23" s="543" t="n"/>
      <c r="G23" s="546" t="n"/>
      <c r="H23" s="548" t="n"/>
      <c r="I23" s="543" t="n"/>
      <c r="J23" s="458" t="n"/>
      <c r="K23" s="458" t="n"/>
      <c r="L23" s="543" t="n"/>
      <c r="M23" s="458" t="n"/>
      <c r="N23" s="458" t="n"/>
      <c r="O23" s="458" t="n"/>
      <c r="P23" s="552" t="n"/>
      <c r="Q23" s="455" t="n"/>
      <c r="R23" s="455" t="n"/>
      <c r="S23" s="455" t="n"/>
      <c r="T23" s="455" t="n"/>
      <c r="U23" s="455" t="n"/>
      <c r="V23" s="455" t="n"/>
      <c r="W23" s="455" t="n"/>
      <c r="X23" s="455" t="n"/>
      <c r="Y23" s="417" t="n"/>
      <c r="Z23" s="417" t="n"/>
      <c r="AA23" s="417" t="n"/>
      <c r="AB23" s="417" t="n"/>
      <c r="AC23" s="417" t="n"/>
      <c r="AD23" s="417" t="n"/>
      <c r="AE23" s="417" t="n"/>
      <c r="AF23" s="417" t="n"/>
      <c r="AG23" s="417" t="n"/>
      <c r="AH23" s="417" t="n"/>
      <c r="AI23" s="417" t="n"/>
      <c r="AJ23" s="417" t="n"/>
      <c r="AK23" s="417" t="n"/>
      <c r="AL23" s="417" t="n"/>
      <c r="AM23" s="417" t="n"/>
      <c r="AN23" s="417" t="n"/>
      <c r="AO23" s="417" t="n"/>
      <c r="AP23" s="417" t="n"/>
    </row>
    <row r="24" customFormat="1" s="392">
      <c r="A24" s="417" t="n"/>
      <c r="B24" s="417" t="inlineStr">
        <is>
          <t>Second Minimum</t>
        </is>
      </c>
      <c r="C24" s="417" t="n"/>
      <c r="D24" s="547">
        <f>IFERROR(SMALL(K6:K17,2),"")</f>
        <v/>
      </c>
      <c r="E24" s="549">
        <f>IFERROR(SMALL(M6:M17,2),"")</f>
        <v/>
      </c>
      <c r="F24" s="544">
        <f>IFERROR(SMALL(O6:O17,2),"")</f>
        <v/>
      </c>
      <c r="G24" s="547">
        <f>-Inputs!$Q$100+Inputs!$Q$101</f>
        <v/>
      </c>
      <c r="H24" s="549">
        <f>+Inputs!$Q$102</f>
        <v/>
      </c>
      <c r="I24" s="544">
        <f>+Inputs!$Q$103</f>
        <v/>
      </c>
      <c r="J24" s="459">
        <f>IFERROR(+D24*$D$97+G24+H24+I24,"")</f>
        <v/>
      </c>
      <c r="K24" s="459">
        <f>IFERROR(E24*$D$100+G24+H24+I24,"")</f>
        <v/>
      </c>
      <c r="L24" s="545">
        <f>IFERROR(F24*$D$105,"")</f>
        <v/>
      </c>
      <c r="M24" s="892">
        <f t="array" ref="M24">IFERROR(+(J24/_FV($A$6,"Shares outstanding",TRUE)*1000000)/$P$24-1,"")</f>
        <v/>
      </c>
      <c r="N24" s="892">
        <f t="array" ref="N24">IFERROR((+K24/_FV($A$6,"Shares outstanding",TRUE)*1000000)/$P$24-1,"")</f>
        <v/>
      </c>
      <c r="O24" s="892">
        <f t="array" ref="O24">IFERROR(+(L24/_FV($A$6,"Shares outstanding",TRUE)*1000000)/$P$24-1,"")</f>
        <v/>
      </c>
      <c r="P24" s="893">
        <f t="array" ref="P24">+_FV(A6,"Price")</f>
        <v/>
      </c>
      <c r="Q24" s="417" t="n"/>
      <c r="R24" s="417" t="n"/>
      <c r="S24" s="417" t="n"/>
      <c r="T24" s="417" t="n"/>
      <c r="U24" s="417" t="n"/>
      <c r="V24" s="417" t="n"/>
      <c r="W24" s="417" t="n"/>
      <c r="X24" s="417" t="n"/>
      <c r="Y24" s="417" t="n"/>
      <c r="Z24" s="417" t="n"/>
      <c r="AA24" s="417" t="n"/>
      <c r="AB24" s="417" t="n"/>
      <c r="AC24" s="417" t="n"/>
      <c r="AD24" s="417" t="n"/>
      <c r="AE24" s="417" t="n"/>
      <c r="AF24" s="417" t="n"/>
      <c r="AG24" s="417" t="n"/>
      <c r="AH24" s="417" t="n"/>
      <c r="AI24" s="417" t="n"/>
      <c r="AJ24" s="417" t="n"/>
      <c r="AK24" s="417" t="n"/>
      <c r="AL24" s="417" t="n"/>
      <c r="AM24" s="417" t="n"/>
      <c r="AN24" s="417" t="n"/>
      <c r="AO24" s="417" t="n"/>
      <c r="AP24" s="417" t="n"/>
    </row>
    <row r="25" ht="15" customHeight="1" s="783">
      <c r="B25" s="417" t="inlineStr">
        <is>
          <t>Average</t>
        </is>
      </c>
      <c r="C25" s="417" t="n"/>
      <c r="D25" s="547">
        <f>+IFERROR(AVERAGE(K6:K17),"")</f>
        <v/>
      </c>
      <c r="E25" s="549">
        <f>IFERROR(+AVERAGE(M6:M17),"")</f>
        <v/>
      </c>
      <c r="F25" s="544">
        <f>IFERROR(+AVERAGE(O6:O17),"")</f>
        <v/>
      </c>
      <c r="G25" s="547">
        <f>-Inputs!$Q$100+Inputs!$Q$101</f>
        <v/>
      </c>
      <c r="H25" s="549">
        <f>+Inputs!$Q$102</f>
        <v/>
      </c>
      <c r="I25" s="544">
        <f>+Inputs!$Q$103</f>
        <v/>
      </c>
      <c r="J25" s="459">
        <f>IFERROR(+D25*$D$97+G25+H25+I25,"")</f>
        <v/>
      </c>
      <c r="K25" s="459">
        <f>IFERROR(E25*$D$100+G25+H25+I25,"")</f>
        <v/>
      </c>
      <c r="L25" s="545">
        <f>IFERROR(+F25*$D$105,"")</f>
        <v/>
      </c>
      <c r="M25" s="892">
        <f t="array" ref="M25">IFERROR(+(J25/_FV($A$6,"Shares outstanding",TRUE)*1000000)/$P$24-1,"")</f>
        <v/>
      </c>
      <c r="N25" s="892">
        <f t="array" ref="N25">IFERROR((+K25/_FV($A$6,"Shares outstanding",TRUE)*1000000)/$P$24-1,"")</f>
        <v/>
      </c>
      <c r="O25" s="892">
        <f t="array" ref="O25">IFERROR(+(L25/_FV($A$6,"Shares outstanding",TRUE)*1000000)/$P$24-1,"")</f>
        <v/>
      </c>
      <c r="P25" s="551" t="n"/>
    </row>
    <row r="26" customFormat="1" s="392">
      <c r="A26" s="417" t="n"/>
      <c r="B26" s="417" t="inlineStr">
        <is>
          <t>Median</t>
        </is>
      </c>
      <c r="C26" s="417" t="n"/>
      <c r="D26" s="547">
        <f>IFERROR(MEDIAN(K6:K17),"")</f>
        <v/>
      </c>
      <c r="E26" s="549">
        <f>IFERROR(MEDIAN(M6:M17),"")</f>
        <v/>
      </c>
      <c r="F26" s="544">
        <f>IFERROR(MEDIAN(O6:O17),"")</f>
        <v/>
      </c>
      <c r="G26" s="547">
        <f>-Inputs!$Q$100+Inputs!$Q$101</f>
        <v/>
      </c>
      <c r="H26" s="549">
        <f>+Inputs!$Q$102</f>
        <v/>
      </c>
      <c r="I26" s="544">
        <f>+Inputs!$Q$103</f>
        <v/>
      </c>
      <c r="J26" s="459">
        <f>IFERROR(D26*$D$97+G26+H26+I26,"")</f>
        <v/>
      </c>
      <c r="K26" s="459">
        <f>IFERROR(E26*$D$100+G26+H26+I26,"")</f>
        <v/>
      </c>
      <c r="L26" s="545">
        <f>IFERROR(+F26*$D$105,"")</f>
        <v/>
      </c>
      <c r="M26" s="892">
        <f t="array" ref="M26">IFERROR(+(J26/_FV($A$6,"Shares outstanding",TRUE)*1000000)/$P$24-1,"")</f>
        <v/>
      </c>
      <c r="N26" s="892">
        <f t="array" ref="N26">IFERROR((+K26/_FV($A$6,"Shares outstanding",TRUE)*1000000)/$P$24-1,"")</f>
        <v/>
      </c>
      <c r="O26" s="892">
        <f t="array" ref="O26">+IFERROR((L26/_FV($A$6,"Shares outstanding",TRUE)*1000000)/$P$24-1,"")</f>
        <v/>
      </c>
      <c r="P26" s="552" t="n"/>
      <c r="Q26" s="417" t="n"/>
      <c r="R26" s="417" t="n"/>
      <c r="S26" s="417" t="n"/>
      <c r="T26" s="417" t="n"/>
      <c r="U26" s="417" t="n"/>
      <c r="V26" s="417" t="n"/>
      <c r="W26" s="417" t="n"/>
      <c r="X26" s="417" t="n"/>
      <c r="Y26" s="417" t="n"/>
      <c r="Z26" s="417" t="n"/>
      <c r="AA26" s="417" t="n"/>
      <c r="AB26" s="417" t="n"/>
      <c r="AC26" s="417" t="n"/>
      <c r="AD26" s="417" t="n"/>
      <c r="AE26" s="417" t="n"/>
      <c r="AF26" s="417" t="n"/>
      <c r="AG26" s="417" t="n"/>
      <c r="AH26" s="417" t="n"/>
      <c r="AI26" s="417" t="n"/>
      <c r="AJ26" s="417" t="n"/>
      <c r="AK26" s="417" t="n"/>
      <c r="AL26" s="417" t="n"/>
      <c r="AM26" s="417" t="n"/>
      <c r="AN26" s="417" t="n"/>
      <c r="AO26" s="417" t="n"/>
      <c r="AP26" s="417" t="n"/>
    </row>
    <row r="27" customFormat="1" s="392">
      <c r="A27" s="417" t="n"/>
      <c r="B27" s="417" t="inlineStr">
        <is>
          <t>Second Maximum</t>
        </is>
      </c>
      <c r="C27" s="417" t="n"/>
      <c r="D27" s="547">
        <f>IFERROR(LARGE(K6:K17,2),"")</f>
        <v/>
      </c>
      <c r="E27" s="549">
        <f>IFERROR(LARGE(M6:M17,2),"")</f>
        <v/>
      </c>
      <c r="F27" s="544">
        <f>IFERROR(LARGE(O6:O17,2),"")</f>
        <v/>
      </c>
      <c r="G27" s="547">
        <f>-Inputs!$Q$100+Inputs!$Q$101</f>
        <v/>
      </c>
      <c r="H27" s="549">
        <f>+Inputs!$Q$102</f>
        <v/>
      </c>
      <c r="I27" s="544">
        <f>+Inputs!$Q$103</f>
        <v/>
      </c>
      <c r="J27" s="459">
        <f>IFERROR(+D27*$D$97+G27+H27+I27,"")</f>
        <v/>
      </c>
      <c r="K27" s="459">
        <f>IFERROR(E27*$D$100+G27+H27+I27,"")</f>
        <v/>
      </c>
      <c r="L27" s="545">
        <f>IFERROR(+F27*$D$105,"")</f>
        <v/>
      </c>
      <c r="M27" s="892">
        <f t="array" ref="M27">IFERROR(+(J27/_FV($A$6,"Shares outstanding",TRUE)*1000000)/$P$24-1,"")</f>
        <v/>
      </c>
      <c r="N27" s="892">
        <f t="array" ref="N27">IFERROR((+K27/_FV($A$6,"Shares outstanding",TRUE)*1000000)/$P$24-1,"")</f>
        <v/>
      </c>
      <c r="O27" s="892">
        <f t="array" ref="O27">IFERROR(+(L27/_FV($A$6,"Shares outstanding",TRUE)*1000000)/$P$24-1,"")</f>
        <v/>
      </c>
      <c r="P27" s="552" t="n"/>
      <c r="Q27" s="417" t="n"/>
      <c r="R27" s="417" t="n"/>
      <c r="S27" s="417" t="n"/>
      <c r="T27" s="417" t="n"/>
      <c r="U27" s="417" t="n"/>
      <c r="V27" s="417" t="n"/>
      <c r="W27" s="417" t="n"/>
      <c r="X27" s="417" t="n"/>
      <c r="Y27" s="417" t="n"/>
      <c r="Z27" s="417" t="n"/>
      <c r="AA27" s="417" t="n"/>
      <c r="AB27" s="417" t="n"/>
      <c r="AC27" s="417" t="n"/>
      <c r="AD27" s="417" t="n"/>
      <c r="AE27" s="417" t="n"/>
      <c r="AF27" s="417" t="n"/>
      <c r="AG27" s="417" t="n"/>
      <c r="AH27" s="417" t="n"/>
      <c r="AI27" s="417" t="n"/>
      <c r="AJ27" s="417" t="n"/>
      <c r="AK27" s="417" t="n"/>
      <c r="AL27" s="417" t="n"/>
      <c r="AM27" s="417" t="n"/>
      <c r="AN27" s="417" t="n"/>
      <c r="AO27" s="417" t="n"/>
      <c r="AP27" s="417" t="n"/>
    </row>
    <row r="28" ht="14.25" customFormat="1" customHeight="1" s="392">
      <c r="A28" s="417" t="n"/>
      <c r="B28" s="417" t="n"/>
      <c r="C28" s="417" t="n"/>
      <c r="D28" s="417" t="n"/>
      <c r="E28" s="417" t="n"/>
      <c r="F28" s="417" t="n"/>
      <c r="G28" s="417" t="n"/>
      <c r="H28" s="417" t="n"/>
      <c r="I28" s="417" t="n"/>
      <c r="J28" s="417" t="n"/>
      <c r="K28" s="417" t="n"/>
      <c r="L28" s="417" t="n"/>
      <c r="M28" s="417" t="n"/>
      <c r="N28" s="417" t="n"/>
      <c r="O28" s="461" t="n"/>
      <c r="P28" s="417" t="n"/>
      <c r="Q28" s="417" t="n"/>
      <c r="R28" s="417" t="n"/>
      <c r="S28" s="417" t="n"/>
      <c r="T28" s="417" t="n"/>
      <c r="U28" s="417" t="n"/>
      <c r="V28" s="417" t="n"/>
      <c r="W28" s="417" t="n"/>
      <c r="X28" s="417" t="n"/>
      <c r="Y28" s="417" t="n"/>
      <c r="Z28" s="417" t="n"/>
      <c r="AA28" s="417" t="n"/>
      <c r="AB28" s="417" t="n"/>
      <c r="AC28" s="417" t="n"/>
      <c r="AD28" s="417" t="n"/>
      <c r="AE28" s="417" t="n"/>
      <c r="AF28" s="417" t="n"/>
      <c r="AG28" s="417" t="n"/>
      <c r="AH28" s="417" t="n"/>
      <c r="AI28" s="417" t="n"/>
      <c r="AJ28" s="417" t="n"/>
      <c r="AK28" s="417" t="n"/>
      <c r="AL28" s="417" t="n"/>
      <c r="AM28" s="417" t="n"/>
      <c r="AN28" s="417" t="n"/>
      <c r="AO28" s="417" t="n"/>
      <c r="AP28" s="417" t="n"/>
    </row>
    <row r="29" ht="14.25" customFormat="1" customHeight="1" s="395">
      <c r="A29" s="426" t="n"/>
      <c r="B29" s="628" t="inlineStr">
        <is>
          <t>Profitability</t>
        </is>
      </c>
      <c r="C29" s="629" t="n"/>
      <c r="D29" s="402">
        <f>+LEFT(B6, FIND(" ", B6 &amp; " ") - 1)</f>
        <v/>
      </c>
      <c r="E29" s="402">
        <f>+E91</f>
        <v/>
      </c>
      <c r="F29" s="402">
        <f>+F91</f>
        <v/>
      </c>
      <c r="G29" s="402">
        <f>+G91</f>
        <v/>
      </c>
      <c r="H29" s="402">
        <f>+H91</f>
        <v/>
      </c>
      <c r="I29" s="402">
        <f>+I91</f>
        <v/>
      </c>
      <c r="J29" s="402">
        <f>+J91</f>
        <v/>
      </c>
      <c r="K29" s="402">
        <f>+K91</f>
        <v/>
      </c>
      <c r="L29" s="402">
        <f>+L91</f>
        <v/>
      </c>
      <c r="M29" s="402">
        <f>+M91</f>
        <v/>
      </c>
      <c r="N29" s="402">
        <f>+N91</f>
        <v/>
      </c>
      <c r="O29" s="462" t="inlineStr">
        <is>
          <t>Average</t>
        </is>
      </c>
      <c r="P29" s="426" t="n"/>
      <c r="Q29" s="426" t="inlineStr">
        <is>
          <t>  </t>
        </is>
      </c>
      <c r="R29" s="426" t="n"/>
      <c r="S29" s="426" t="n"/>
      <c r="T29" s="426" t="n"/>
      <c r="U29" s="426" t="n"/>
      <c r="V29" s="426" t="n"/>
      <c r="W29" s="426" t="n"/>
      <c r="X29" s="426" t="n"/>
      <c r="Y29" s="426" t="n"/>
      <c r="Z29" s="426" t="n"/>
      <c r="AA29" s="426" t="n"/>
      <c r="AB29" s="426" t="n"/>
      <c r="AC29" s="426" t="n"/>
      <c r="AD29" s="426" t="n"/>
      <c r="AE29" s="426" t="n"/>
      <c r="AF29" s="426" t="n"/>
      <c r="AG29" s="426" t="n"/>
      <c r="AH29" s="426" t="n"/>
      <c r="AI29" s="426" t="n"/>
      <c r="AJ29" s="426" t="n"/>
      <c r="AK29" s="426" t="n"/>
      <c r="AL29" s="426" t="n"/>
      <c r="AM29" s="426" t="n"/>
      <c r="AN29" s="426" t="n"/>
      <c r="AO29" s="426" t="n"/>
      <c r="AP29" s="426" t="n"/>
    </row>
    <row r="30" ht="3.75" customFormat="1" customHeight="1" s="392">
      <c r="A30" s="417" t="n"/>
      <c r="B30" s="452" t="n"/>
      <c r="C30" s="452" t="n"/>
      <c r="D30" s="452" t="n"/>
      <c r="E30" s="452" t="n"/>
      <c r="F30" s="452" t="n"/>
      <c r="G30" s="452" t="n"/>
      <c r="H30" s="452" t="n"/>
      <c r="I30" s="452" t="n"/>
      <c r="J30" s="452" t="n"/>
      <c r="K30" s="452" t="n"/>
      <c r="L30" s="452" t="n"/>
      <c r="M30" s="452" t="n"/>
      <c r="N30" s="452" t="n"/>
      <c r="O30" s="463" t="n"/>
      <c r="P30" s="417" t="n"/>
      <c r="Q30" s="417" t="n"/>
      <c r="R30" s="464" t="n"/>
      <c r="S30" s="417" t="n"/>
      <c r="T30" s="417" t="n"/>
      <c r="U30" s="417" t="n"/>
      <c r="V30" s="417" t="n"/>
      <c r="W30" s="417" t="n"/>
      <c r="X30" s="417" t="n"/>
      <c r="Y30" s="417" t="n"/>
      <c r="Z30" s="417" t="n"/>
      <c r="AA30" s="417" t="n"/>
      <c r="AB30" s="417" t="n"/>
      <c r="AC30" s="417" t="n"/>
      <c r="AD30" s="417" t="n"/>
      <c r="AE30" s="417" t="n"/>
      <c r="AF30" s="417" t="n"/>
      <c r="AG30" s="417" t="n"/>
      <c r="AH30" s="417" t="n"/>
      <c r="AI30" s="417" t="n"/>
      <c r="AJ30" s="417" t="n"/>
      <c r="AK30" s="417" t="n"/>
      <c r="AL30" s="417" t="n"/>
      <c r="AM30" s="417" t="n"/>
      <c r="AN30" s="417" t="n"/>
      <c r="AO30" s="417" t="n"/>
      <c r="AP30" s="417" t="n"/>
    </row>
    <row r="31" ht="14.25" customFormat="1" customHeight="1" s="392">
      <c r="A31" s="417" t="n"/>
      <c r="B31" s="417" t="inlineStr">
        <is>
          <t>Operating Margin</t>
        </is>
      </c>
      <c r="C31" s="417" t="n"/>
      <c r="D31" s="894">
        <f>IFERROR(D101/D97,"")</f>
        <v/>
      </c>
      <c r="E31" s="894">
        <f>IFERROR(E101/E97,"")</f>
        <v/>
      </c>
      <c r="F31" s="894">
        <f>IFERROR(F101/F97,"")</f>
        <v/>
      </c>
      <c r="G31" s="894">
        <f>IFERROR(G101/G97,"")</f>
        <v/>
      </c>
      <c r="H31" s="894">
        <f>IFERROR(H101/H97,"")</f>
        <v/>
      </c>
      <c r="I31" s="894">
        <f>IFERROR(I101/I97,"")</f>
        <v/>
      </c>
      <c r="J31" s="894">
        <f>IFERROR(J101/J97,"")</f>
        <v/>
      </c>
      <c r="K31" s="894">
        <f>IFERROR(K101/K97,"")</f>
        <v/>
      </c>
      <c r="L31" s="894">
        <f>IFERROR(L101/L97,"")</f>
        <v/>
      </c>
      <c r="M31" s="894">
        <f>IFERROR(M101/M97,"")</f>
        <v/>
      </c>
      <c r="N31" s="894">
        <f>IFERROR(N101/N97,"")</f>
        <v/>
      </c>
      <c r="O31" s="699">
        <f>IFERROR(+AVERAGE(D31:N31),"")</f>
        <v/>
      </c>
      <c r="P31" s="417" t="n"/>
      <c r="Q31" s="417" t="n"/>
      <c r="R31" s="464" t="n"/>
      <c r="S31" s="417" t="n"/>
      <c r="T31" s="417" t="n"/>
      <c r="U31" s="417" t="n"/>
      <c r="V31" s="417" t="n"/>
      <c r="W31" s="417" t="n"/>
      <c r="X31" s="417" t="n"/>
      <c r="Y31" s="417" t="n"/>
      <c r="Z31" s="417" t="n"/>
      <c r="AA31" s="417" t="n"/>
      <c r="AB31" s="417" t="n"/>
      <c r="AC31" s="417" t="n"/>
      <c r="AD31" s="417" t="n"/>
      <c r="AE31" s="417" t="n"/>
      <c r="AF31" s="417" t="n"/>
      <c r="AG31" s="417" t="n"/>
      <c r="AH31" s="417" t="n"/>
      <c r="AI31" s="417" t="n"/>
      <c r="AJ31" s="417" t="n"/>
      <c r="AK31" s="417" t="n"/>
      <c r="AL31" s="417" t="n"/>
      <c r="AM31" s="417" t="n"/>
      <c r="AN31" s="417" t="n"/>
      <c r="AO31" s="417" t="n"/>
      <c r="AP31" s="417" t="n"/>
    </row>
    <row r="32" ht="14.25" customFormat="1" customHeight="1" s="392">
      <c r="A32" s="417" t="n"/>
      <c r="B32" s="417" t="inlineStr">
        <is>
          <t>Net Income Margin</t>
        </is>
      </c>
      <c r="C32" s="417" t="n"/>
      <c r="D32" s="894">
        <f>IFERROR(D105/D97,"")</f>
        <v/>
      </c>
      <c r="E32" s="894">
        <f>IFERROR(E105/E97,"")</f>
        <v/>
      </c>
      <c r="F32" s="894">
        <f>IFERROR(F105/F97,"")</f>
        <v/>
      </c>
      <c r="G32" s="894">
        <f>IFERROR(G105/G97,"")</f>
        <v/>
      </c>
      <c r="H32" s="894">
        <f>IFERROR(H105/H97,"")</f>
        <v/>
      </c>
      <c r="I32" s="894">
        <f>IFERROR(I105/I97,"")</f>
        <v/>
      </c>
      <c r="J32" s="894">
        <f>IFERROR(J105/J97,"")</f>
        <v/>
      </c>
      <c r="K32" s="894">
        <f>IFERROR(K105/K97,"")</f>
        <v/>
      </c>
      <c r="L32" s="894">
        <f>IFERROR(L105/L97,"")</f>
        <v/>
      </c>
      <c r="M32" s="894">
        <f>IFERROR(M105/M97,"")</f>
        <v/>
      </c>
      <c r="N32" s="894">
        <f>IFERROR(N105/N97,"")</f>
        <v/>
      </c>
      <c r="O32" s="699">
        <f>IFERROR(+AVERAGE(D32:N32),"")</f>
        <v/>
      </c>
      <c r="P32" s="417" t="n"/>
      <c r="Q32" s="417" t="n"/>
      <c r="R32" s="464" t="n"/>
      <c r="S32" s="417" t="n"/>
      <c r="T32" s="417" t="n"/>
      <c r="U32" s="417" t="n"/>
      <c r="V32" s="417" t="n"/>
      <c r="W32" s="417" t="n"/>
      <c r="X32" s="417" t="n"/>
      <c r="Y32" s="417" t="n"/>
      <c r="Z32" s="417" t="n"/>
      <c r="AA32" s="417" t="n"/>
      <c r="AB32" s="417" t="n"/>
      <c r="AC32" s="417" t="n"/>
      <c r="AD32" s="417" t="n"/>
      <c r="AE32" s="417" t="n"/>
      <c r="AF32" s="417" t="n"/>
      <c r="AG32" s="417" t="n"/>
      <c r="AH32" s="417" t="n"/>
      <c r="AI32" s="417" t="n"/>
      <c r="AJ32" s="417" t="n"/>
      <c r="AK32" s="417" t="n"/>
      <c r="AL32" s="417" t="n"/>
      <c r="AM32" s="417" t="n"/>
      <c r="AN32" s="417" t="n"/>
      <c r="AO32" s="417" t="n"/>
      <c r="AP32" s="417" t="n"/>
    </row>
    <row r="33" ht="14.25" customFormat="1" customHeight="1" s="392">
      <c r="B33" s="417" t="inlineStr">
        <is>
          <t>ROA (%)</t>
        </is>
      </c>
      <c r="C33" s="417" t="n"/>
      <c r="D33" s="894">
        <f>IFERROR(D105/D117,"")</f>
        <v/>
      </c>
      <c r="E33" s="894">
        <f>IFERROR(E105/E117,"")</f>
        <v/>
      </c>
      <c r="F33" s="894">
        <f>IFERROR(F105/F117,"")</f>
        <v/>
      </c>
      <c r="G33" s="894">
        <f>IFERROR(G105/G117,"")</f>
        <v/>
      </c>
      <c r="H33" s="894">
        <f>IFERROR(H105/H117,"")</f>
        <v/>
      </c>
      <c r="I33" s="894">
        <f>IFERROR(I105/I117,"")</f>
        <v/>
      </c>
      <c r="J33" s="894">
        <f>IFERROR(J105/J117,"")</f>
        <v/>
      </c>
      <c r="K33" s="894">
        <f>IFERROR(K105/K117,"")</f>
        <v/>
      </c>
      <c r="L33" s="894">
        <f>IFERROR(L105/L117,"")</f>
        <v/>
      </c>
      <c r="M33" s="894">
        <f>IFERROR(M105/M117,"")</f>
        <v/>
      </c>
      <c r="N33" s="894">
        <f>IFERROR(N105/N117,"")</f>
        <v/>
      </c>
      <c r="O33" s="699">
        <f>IFERROR(+AVERAGE(D33:N33),"")</f>
        <v/>
      </c>
      <c r="P33" s="417" t="n"/>
      <c r="Q33" s="417" t="n"/>
      <c r="R33" s="464" t="n"/>
    </row>
    <row r="34" ht="14.25" customFormat="1" customHeight="1" s="392">
      <c r="B34" s="417" t="inlineStr">
        <is>
          <t>Financial Cost of Debt</t>
        </is>
      </c>
      <c r="C34" s="417" t="n"/>
      <c r="D34" s="894">
        <f>IFERROR(+(D102/D121)*(1-(D104/D103)),"")</f>
        <v/>
      </c>
      <c r="E34" s="894">
        <f>IFERROR(+(E102/E121)*(1-(E104/E103)),"")</f>
        <v/>
      </c>
      <c r="F34" s="894">
        <f>IFERROR(+(F102/F121)*(1-(F104/F103)),"")</f>
        <v/>
      </c>
      <c r="G34" s="894">
        <f>IFERROR(+(G102/G121)*(1-(G104/G103)),"")</f>
        <v/>
      </c>
      <c r="H34" s="894">
        <f>IFERROR(+(H102/H121)*(1-(H104/H103)),"")</f>
        <v/>
      </c>
      <c r="I34" s="894">
        <f>IFERROR(+(I102/I121)*(1-(I104/I103)),"")</f>
        <v/>
      </c>
      <c r="J34" s="894">
        <f>IFERROR(+(J102/J121)*(1-(J104/J103)),"")</f>
        <v/>
      </c>
      <c r="K34" s="894">
        <f>IFERROR(+(K102/K121)*(1-(K104/K103)),"")</f>
        <v/>
      </c>
      <c r="L34" s="894">
        <f>IFERROR(+(L102/L121)*(1-(L104/L103)),"")</f>
        <v/>
      </c>
      <c r="M34" s="894">
        <f>IFERROR(+(M102/M121)*(1-(M104/M103)),"")</f>
        <v/>
      </c>
      <c r="N34" s="894">
        <f>IFERROR(+(N102/N121)*(1-(N104/N103)),"")</f>
        <v/>
      </c>
      <c r="O34" s="699">
        <f>IFERROR(+AVERAGE(D34:N34),"")</f>
        <v/>
      </c>
      <c r="P34" s="417" t="n"/>
      <c r="Q34" s="417" t="n"/>
      <c r="R34" s="464" t="n"/>
    </row>
    <row r="35" ht="14.25" customFormat="1" customHeight="1" s="392">
      <c r="B35" s="417" t="inlineStr">
        <is>
          <t>Return on Equity (RoE)</t>
        </is>
      </c>
      <c r="C35" s="417" t="n"/>
      <c r="D35" s="894">
        <f>IFERROR(+D105/D122,"")</f>
        <v/>
      </c>
      <c r="E35" s="894">
        <f>IFERROR(+E105/E122,"")</f>
        <v/>
      </c>
      <c r="F35" s="894">
        <f>IFERROR(+F105/F122,"")</f>
        <v/>
      </c>
      <c r="G35" s="894">
        <f>IFERROR(+G105/G122,"")</f>
        <v/>
      </c>
      <c r="H35" s="894">
        <f>IFERROR(+H105/H122,"")</f>
        <v/>
      </c>
      <c r="I35" s="894">
        <f>IFERROR(+I105/I122,"")</f>
        <v/>
      </c>
      <c r="J35" s="894">
        <f>IFERROR(+J105/J122,"")</f>
        <v/>
      </c>
      <c r="K35" s="894">
        <f>IFERROR(+K105/K122,"")</f>
        <v/>
      </c>
      <c r="L35" s="894">
        <f>IFERROR(+L105/L122,"")</f>
        <v/>
      </c>
      <c r="M35" s="894">
        <f>IFERROR(+M105/M122,"")</f>
        <v/>
      </c>
      <c r="N35" s="894">
        <f>IFERROR(+N105/N122,"")</f>
        <v/>
      </c>
      <c r="O35" s="699">
        <f>IFERROR(+AVERAGE(D35:N35),"")</f>
        <v/>
      </c>
      <c r="P35" s="417" t="n"/>
      <c r="Q35" s="417" t="n"/>
      <c r="R35" s="464" t="n"/>
    </row>
    <row r="36" ht="14.25" customFormat="1" customHeight="1" s="392">
      <c r="B36" s="417" t="inlineStr">
        <is>
          <t>Return on Invested Capital (ROIC)</t>
        </is>
      </c>
      <c r="C36" s="417" t="n"/>
      <c r="D36" s="894">
        <f>IFERROR(+D105/(D121+D122),"")</f>
        <v/>
      </c>
      <c r="E36" s="894">
        <f>IFERROR(+E105/(E121+E122),"")</f>
        <v/>
      </c>
      <c r="F36" s="894">
        <f>IFERROR(+F105/(F121+F122),"")</f>
        <v/>
      </c>
      <c r="G36" s="894">
        <f>IFERROR(+G105/(G121+G122),"")</f>
        <v/>
      </c>
      <c r="H36" s="894">
        <f>IFERROR(+H105/(H121+H122),"")</f>
        <v/>
      </c>
      <c r="I36" s="894">
        <f>IFERROR(+I105/(I121+I122),"")</f>
        <v/>
      </c>
      <c r="J36" s="894">
        <f>IFERROR(+J105/(J121+J122),"")</f>
        <v/>
      </c>
      <c r="K36" s="894">
        <f>IFERROR(+K105/(K121+K122),"")</f>
        <v/>
      </c>
      <c r="L36" s="894">
        <f>IFERROR(+L105/(L121+L122),"")</f>
        <v/>
      </c>
      <c r="M36" s="894">
        <f>IFERROR(+M105/(M121+M122),"")</f>
        <v/>
      </c>
      <c r="N36" s="894">
        <f>IFERROR(+N105/(N121+N122),"")</f>
        <v/>
      </c>
      <c r="O36" s="699">
        <f>IFERROR(+AVERAGE(D36:N36),"")</f>
        <v/>
      </c>
      <c r="P36" s="417" t="n"/>
      <c r="Q36" s="417" t="n"/>
      <c r="R36" s="464" t="n"/>
    </row>
    <row r="37" ht="3.75" customFormat="1" customHeight="1" s="392">
      <c r="B37" s="417" t="n"/>
      <c r="C37" s="417" t="n"/>
      <c r="D37" s="417" t="n"/>
      <c r="E37" s="417" t="n"/>
      <c r="F37" s="417" t="n"/>
      <c r="G37" s="417" t="n"/>
      <c r="H37" s="417" t="n"/>
      <c r="I37" s="417" t="n"/>
      <c r="J37" s="417" t="n"/>
      <c r="K37" s="417" t="n"/>
      <c r="L37" s="417" t="n"/>
      <c r="M37" s="417" t="n"/>
      <c r="N37" s="417" t="n"/>
      <c r="O37" s="461" t="n"/>
      <c r="P37" s="417" t="n"/>
      <c r="Q37" s="417" t="n"/>
      <c r="R37" s="464" t="n"/>
    </row>
    <row r="38" ht="14.25" customFormat="1" customHeight="1" s="395">
      <c r="B38" s="628" t="inlineStr">
        <is>
          <t>Solvency</t>
        </is>
      </c>
      <c r="C38" s="629" t="n"/>
      <c r="D38" s="402">
        <f>+D29</f>
        <v/>
      </c>
      <c r="E38" s="402">
        <f>+E29</f>
        <v/>
      </c>
      <c r="F38" s="402">
        <f>+F29</f>
        <v/>
      </c>
      <c r="G38" s="402">
        <f>+G29</f>
        <v/>
      </c>
      <c r="H38" s="402">
        <f>+H29</f>
        <v/>
      </c>
      <c r="I38" s="402">
        <f>+I29</f>
        <v/>
      </c>
      <c r="J38" s="402">
        <f>+J29</f>
        <v/>
      </c>
      <c r="K38" s="402">
        <f>+K29</f>
        <v/>
      </c>
      <c r="L38" s="402">
        <f>+L29</f>
        <v/>
      </c>
      <c r="M38" s="402">
        <f>+M29</f>
        <v/>
      </c>
      <c r="N38" s="402">
        <f>+N29</f>
        <v/>
      </c>
      <c r="O38" s="402">
        <f>+O29</f>
        <v/>
      </c>
      <c r="P38" s="426" t="n"/>
      <c r="Q38" s="426" t="n"/>
      <c r="R38" s="630" t="n"/>
    </row>
    <row r="39" ht="3.75" customFormat="1" customHeight="1" s="392">
      <c r="B39" s="452" t="n"/>
      <c r="C39" s="452" t="n"/>
      <c r="D39" s="452" t="n"/>
      <c r="E39" s="452" t="n"/>
      <c r="F39" s="452" t="n"/>
      <c r="G39" s="452" t="n"/>
      <c r="H39" s="452" t="n"/>
      <c r="I39" s="452" t="n"/>
      <c r="J39" s="452" t="n"/>
      <c r="K39" s="452" t="n"/>
      <c r="L39" s="452" t="n"/>
      <c r="M39" s="452" t="n"/>
      <c r="N39" s="452" t="n"/>
      <c r="O39" s="463" t="n"/>
      <c r="P39" s="417" t="n"/>
      <c r="Q39" s="417" t="n"/>
      <c r="R39" s="464" t="n"/>
    </row>
    <row r="40" ht="14.25" customFormat="1" customHeight="1" s="392">
      <c r="B40" s="417" t="inlineStr">
        <is>
          <t>Debt/Assets</t>
        </is>
      </c>
      <c r="C40" s="417" t="n"/>
      <c r="D40" s="895">
        <f>IFERROR(D121/D117,"")</f>
        <v/>
      </c>
      <c r="E40" s="895">
        <f>IFERROR(E121/E117,"")</f>
        <v/>
      </c>
      <c r="F40" s="895">
        <f>IFERROR(F121/F117,"")</f>
        <v/>
      </c>
      <c r="G40" s="895">
        <f>IFERROR(G121/G117,"")</f>
        <v/>
      </c>
      <c r="H40" s="895">
        <f>IFERROR(H121/H117,"")</f>
        <v/>
      </c>
      <c r="I40" s="895">
        <f>IFERROR(I121/I117,"")</f>
        <v/>
      </c>
      <c r="J40" s="895">
        <f>IFERROR(J121/J117,"")</f>
        <v/>
      </c>
      <c r="K40" s="895">
        <f>IFERROR(K121/K117,"")</f>
        <v/>
      </c>
      <c r="L40" s="895">
        <f>IFERROR(L121/L117,"")</f>
        <v/>
      </c>
      <c r="M40" s="895">
        <f>IFERROR(M121/M117,"")</f>
        <v/>
      </c>
      <c r="N40" s="895">
        <f>IFERROR(N121/N117,"")</f>
        <v/>
      </c>
      <c r="O40" s="896">
        <f>IFERROR(+AVERAGE(D40:N40),"")</f>
        <v/>
      </c>
      <c r="P40" s="417" t="n"/>
      <c r="Q40" s="417" t="n"/>
      <c r="R40" s="464" t="n"/>
    </row>
    <row r="41" ht="14.25" customFormat="1" customHeight="1" s="392">
      <c r="B41" s="417" t="inlineStr">
        <is>
          <t>Net Debt/EBITDA</t>
        </is>
      </c>
      <c r="C41" s="417" t="n"/>
      <c r="D41" s="895">
        <f>IFERROR(+(D121-D111)/D100,"")</f>
        <v/>
      </c>
      <c r="E41" s="895">
        <f>IFERROR(+(E121-E111)/E100,"")</f>
        <v/>
      </c>
      <c r="F41" s="895">
        <f>IFERROR(+(F121-F111)/F100,"")</f>
        <v/>
      </c>
      <c r="G41" s="895">
        <f>IFERROR(+(G121-G111)/G100,"")</f>
        <v/>
      </c>
      <c r="H41" s="895">
        <f>IFERROR(+(H121-H111)/H100,"")</f>
        <v/>
      </c>
      <c r="I41" s="895">
        <f>IFERROR(+(I121-I111)/I100,"")</f>
        <v/>
      </c>
      <c r="J41" s="895">
        <f>IFERROR(+(J121-J111)/J100,"")</f>
        <v/>
      </c>
      <c r="K41" s="895">
        <f>IFERROR(+(K121-K111)/K100,"")</f>
        <v/>
      </c>
      <c r="L41" s="895">
        <f>IFERROR(+(L121-L111)/L100,"")</f>
        <v/>
      </c>
      <c r="M41" s="895">
        <f>IFERROR(+(M121-M111)/M100,"")</f>
        <v/>
      </c>
      <c r="N41" s="895">
        <f>IFERROR(+(N121-N111)/N100,"")</f>
        <v/>
      </c>
      <c r="O41" s="896">
        <f>IFERROR(+AVERAGE(D41:N41),"")</f>
        <v/>
      </c>
      <c r="P41" s="417" t="n"/>
      <c r="Q41" s="417" t="n"/>
      <c r="R41" s="464" t="n"/>
    </row>
    <row r="42" ht="14.25" customFormat="1" customHeight="1" s="392">
      <c r="B42" s="417" t="inlineStr">
        <is>
          <t>Interest Coverage Ratio</t>
        </is>
      </c>
      <c r="C42" s="417" t="n"/>
      <c r="D42" s="895">
        <f>IFERROR(D101/D102,"")</f>
        <v/>
      </c>
      <c r="E42" s="895">
        <f>IFERROR(E101/E102,"")</f>
        <v/>
      </c>
      <c r="F42" s="895">
        <f>IFERROR(F101/F102,"")</f>
        <v/>
      </c>
      <c r="G42" s="895">
        <f>IFERROR(G101/G102,"")</f>
        <v/>
      </c>
      <c r="H42" s="895">
        <f>IFERROR(H101/H102,"")</f>
        <v/>
      </c>
      <c r="I42" s="895">
        <f>IFERROR(I101/I102,"")</f>
        <v/>
      </c>
      <c r="J42" s="895">
        <f>IFERROR(J101/J102,"")</f>
        <v/>
      </c>
      <c r="K42" s="895">
        <f>IFERROR(K101/K102,"")</f>
        <v/>
      </c>
      <c r="L42" s="895">
        <f>IFERROR(L101/L102,"")</f>
        <v/>
      </c>
      <c r="M42" s="895">
        <f>IFERROR(M101/M102,"")</f>
        <v/>
      </c>
      <c r="N42" s="895">
        <f>IFERROR(N101/N102,"")</f>
        <v/>
      </c>
      <c r="O42" s="896">
        <f>IFERROR(+AVERAGE(D42:N42),"")</f>
        <v/>
      </c>
      <c r="P42" s="417" t="n"/>
      <c r="Q42" s="417" t="n"/>
      <c r="R42" s="464" t="n"/>
    </row>
    <row r="43" ht="3.75" customFormat="1" customHeight="1" s="392">
      <c r="B43" s="417" t="n"/>
      <c r="C43" s="417" t="n"/>
      <c r="D43" s="417" t="n"/>
      <c r="E43" s="417" t="n"/>
      <c r="F43" s="417" t="n"/>
      <c r="G43" s="417" t="n"/>
      <c r="H43" s="417" t="n"/>
      <c r="I43" s="417" t="n"/>
      <c r="J43" s="417" t="n"/>
      <c r="K43" s="417" t="n"/>
      <c r="L43" s="417" t="n"/>
      <c r="M43" s="417" t="n"/>
      <c r="N43" s="417" t="n"/>
      <c r="O43" s="461" t="n"/>
      <c r="P43" s="417" t="n"/>
      <c r="Q43" s="417" t="n"/>
      <c r="R43" s="464" t="n"/>
    </row>
    <row r="44" ht="14.25" customFormat="1" customHeight="1" s="395">
      <c r="B44" s="628" t="inlineStr">
        <is>
          <t>Liquidity</t>
        </is>
      </c>
      <c r="C44" s="629" t="n"/>
      <c r="D44" s="402">
        <f>+D29</f>
        <v/>
      </c>
      <c r="E44" s="402">
        <f>+E29</f>
        <v/>
      </c>
      <c r="F44" s="402">
        <f>+F29</f>
        <v/>
      </c>
      <c r="G44" s="402">
        <f>+G29</f>
        <v/>
      </c>
      <c r="H44" s="402">
        <f>+H29</f>
        <v/>
      </c>
      <c r="I44" s="402">
        <f>+I29</f>
        <v/>
      </c>
      <c r="J44" s="402">
        <f>+J29</f>
        <v/>
      </c>
      <c r="K44" s="402">
        <f>+K29</f>
        <v/>
      </c>
      <c r="L44" s="402">
        <f>+L29</f>
        <v/>
      </c>
      <c r="M44" s="402">
        <f>+M29</f>
        <v/>
      </c>
      <c r="N44" s="402">
        <f>+N29</f>
        <v/>
      </c>
      <c r="O44" s="402">
        <f>+O29</f>
        <v/>
      </c>
      <c r="P44" s="426" t="n"/>
      <c r="Q44" s="426" t="n"/>
      <c r="R44" s="630" t="n"/>
    </row>
    <row r="45" ht="3.75" customFormat="1" customHeight="1" s="392">
      <c r="B45" s="452" t="n"/>
      <c r="C45" s="452" t="n"/>
      <c r="D45" s="452" t="n"/>
      <c r="E45" s="452" t="n"/>
      <c r="F45" s="452" t="n"/>
      <c r="G45" s="452" t="n"/>
      <c r="H45" s="452" t="n"/>
      <c r="I45" s="452" t="n"/>
      <c r="J45" s="452" t="n"/>
      <c r="K45" s="452" t="n"/>
      <c r="L45" s="452" t="n"/>
      <c r="M45" s="452" t="n"/>
      <c r="N45" s="452" t="n"/>
      <c r="O45" s="463" t="n"/>
      <c r="P45" s="417" t="n"/>
      <c r="Q45" s="417" t="n"/>
      <c r="R45" s="464" t="n"/>
    </row>
    <row r="46" ht="14.25" customFormat="1" customHeight="1" s="392">
      <c r="B46" s="417" t="inlineStr">
        <is>
          <t>Cash Ratio</t>
        </is>
      </c>
      <c r="C46" s="417" t="n"/>
      <c r="D46" s="895">
        <f>IFERROR(D111/D119,"")</f>
        <v/>
      </c>
      <c r="E46" s="895">
        <f>IFERROR(E111/E119,"")</f>
        <v/>
      </c>
      <c r="F46" s="895">
        <f>IFERROR(F111/F119,"")</f>
        <v/>
      </c>
      <c r="G46" s="895">
        <f>IFERROR(G111/G119,"")</f>
        <v/>
      </c>
      <c r="H46" s="895">
        <f>IFERROR(H111/H119,"")</f>
        <v/>
      </c>
      <c r="I46" s="895">
        <f>IFERROR(I111/I119,"")</f>
        <v/>
      </c>
      <c r="J46" s="895">
        <f>IFERROR(J111/J119,"")</f>
        <v/>
      </c>
      <c r="K46" s="895">
        <f>IFERROR(K111/K119,"")</f>
        <v/>
      </c>
      <c r="L46" s="895">
        <f>IFERROR(L111/L119,"")</f>
        <v/>
      </c>
      <c r="M46" s="895">
        <f>IFERROR(M111/M119,"")</f>
        <v/>
      </c>
      <c r="N46" s="895">
        <f>IFERROR(N111/N119,"")</f>
        <v/>
      </c>
      <c r="O46" s="896">
        <f>IFERROR(+AVERAGE(D46:N46),"")</f>
        <v/>
      </c>
      <c r="P46" s="417" t="n"/>
      <c r="Q46" s="417" t="n"/>
      <c r="R46" s="464" t="n"/>
    </row>
    <row r="47" ht="14.25" customFormat="1" customHeight="1" s="392">
      <c r="B47" s="417" t="inlineStr">
        <is>
          <t>Quick Ratio</t>
        </is>
      </c>
      <c r="C47" s="417" t="n"/>
      <c r="D47" s="895">
        <f>IFERROR(+(D111+D112)/D119,"")</f>
        <v/>
      </c>
      <c r="E47" s="895">
        <f>IFERROR(+(E111+E112)/E119,"")</f>
        <v/>
      </c>
      <c r="F47" s="895">
        <f>IFERROR(+(F111+F112)/F119,"")</f>
        <v/>
      </c>
      <c r="G47" s="895">
        <f>IFERROR(+(G111+G112)/G119,"")</f>
        <v/>
      </c>
      <c r="H47" s="895">
        <f>IFERROR(+(H111+H112)/H119,"")</f>
        <v/>
      </c>
      <c r="I47" s="895">
        <f>IFERROR(+(I111+I112)/I119,"")</f>
        <v/>
      </c>
      <c r="J47" s="895">
        <f>IFERROR(+(J111+J112)/J119,"")</f>
        <v/>
      </c>
      <c r="K47" s="895">
        <f>IFERROR(+(K111+K112)/K119,"")</f>
        <v/>
      </c>
      <c r="L47" s="895">
        <f>IFERROR(+(L111+L112)/L119,"")</f>
        <v/>
      </c>
      <c r="M47" s="895">
        <f>IFERROR(+(M111+M112)/M119,"")</f>
        <v/>
      </c>
      <c r="N47" s="895">
        <f>IFERROR(+(N111+N112)/N119,"")</f>
        <v/>
      </c>
      <c r="O47" s="896">
        <f>IFERROR(+AVERAGE(D47:N47),"")</f>
        <v/>
      </c>
      <c r="P47" s="417" t="n"/>
      <c r="Q47" s="417" t="n"/>
      <c r="R47" s="464" t="n"/>
    </row>
    <row r="48" ht="14.25" customFormat="1" customHeight="1" s="392">
      <c r="B48" s="417" t="inlineStr">
        <is>
          <t>Current Ratio</t>
        </is>
      </c>
      <c r="C48" s="417" t="n"/>
      <c r="D48" s="895">
        <f>IFERROR(D115/D119,"")</f>
        <v/>
      </c>
      <c r="E48" s="895">
        <f>IFERROR(E115/E119,"")</f>
        <v/>
      </c>
      <c r="F48" s="895">
        <f>IFERROR(F115/F119,"")</f>
        <v/>
      </c>
      <c r="G48" s="895">
        <f>IFERROR(G115/G119,"")</f>
        <v/>
      </c>
      <c r="H48" s="895">
        <f>IFERROR(H115/H119,"")</f>
        <v/>
      </c>
      <c r="I48" s="895">
        <f>IFERROR(I115/I119,"")</f>
        <v/>
      </c>
      <c r="J48" s="895">
        <f>IFERROR(J115/J119,"")</f>
        <v/>
      </c>
      <c r="K48" s="895">
        <f>IFERROR(K115/K119,"")</f>
        <v/>
      </c>
      <c r="L48" s="895">
        <f>IFERROR(L115/L119,"")</f>
        <v/>
      </c>
      <c r="M48" s="895">
        <f>IFERROR(M115/M119,"")</f>
        <v/>
      </c>
      <c r="N48" s="895">
        <f>IFERROR(N115/N119,"")</f>
        <v/>
      </c>
      <c r="O48" s="896">
        <f>IFERROR(+AVERAGE(D48:N48),"")</f>
        <v/>
      </c>
      <c r="P48" s="417" t="n"/>
      <c r="Q48" s="417" t="n"/>
      <c r="R48" s="464" t="n"/>
    </row>
    <row r="49" ht="3.75" customFormat="1" customHeight="1" s="392">
      <c r="B49" s="417" t="n"/>
      <c r="C49" s="417" t="n"/>
      <c r="D49" s="895" t="n"/>
      <c r="E49" s="417" t="n"/>
      <c r="F49" s="417" t="n"/>
      <c r="G49" s="417" t="n"/>
      <c r="H49" s="417" t="n"/>
      <c r="I49" s="417" t="n"/>
      <c r="J49" s="417" t="n"/>
      <c r="K49" s="417" t="n"/>
      <c r="L49" s="417" t="n"/>
      <c r="M49" s="417" t="n"/>
      <c r="N49" s="417" t="n"/>
      <c r="O49" s="461" t="n"/>
      <c r="P49" s="417" t="n"/>
      <c r="Q49" s="417" t="n"/>
      <c r="R49" s="464" t="n"/>
    </row>
    <row r="50" ht="14.25" customFormat="1" customHeight="1" s="395">
      <c r="B50" s="628" t="inlineStr">
        <is>
          <t>Activity</t>
        </is>
      </c>
      <c r="C50" s="629" t="n"/>
      <c r="D50" s="402">
        <f>+D29</f>
        <v/>
      </c>
      <c r="E50" s="402">
        <f>+E29</f>
        <v/>
      </c>
      <c r="F50" s="402">
        <f>+F29</f>
        <v/>
      </c>
      <c r="G50" s="402">
        <f>+G29</f>
        <v/>
      </c>
      <c r="H50" s="402">
        <f>+H29</f>
        <v/>
      </c>
      <c r="I50" s="402">
        <f>+I29</f>
        <v/>
      </c>
      <c r="J50" s="402">
        <f>+J29</f>
        <v/>
      </c>
      <c r="K50" s="402">
        <f>+K29</f>
        <v/>
      </c>
      <c r="L50" s="402">
        <f>+L29</f>
        <v/>
      </c>
      <c r="M50" s="402">
        <f>+M29</f>
        <v/>
      </c>
      <c r="N50" s="402">
        <f>+N29</f>
        <v/>
      </c>
      <c r="O50" s="402">
        <f>+O29</f>
        <v/>
      </c>
      <c r="P50" s="426" t="n"/>
      <c r="Q50" s="426" t="n"/>
      <c r="R50" s="630" t="n"/>
    </row>
    <row r="51" ht="3.75" customFormat="1" customHeight="1" s="392">
      <c r="B51" s="452" t="n"/>
      <c r="C51" s="452" t="n"/>
      <c r="D51" s="452" t="n"/>
      <c r="E51" s="452" t="n"/>
      <c r="F51" s="452" t="n"/>
      <c r="G51" s="452" t="n"/>
      <c r="H51" s="452" t="n"/>
      <c r="I51" s="452" t="n"/>
      <c r="J51" s="452" t="n"/>
      <c r="K51" s="452" t="n"/>
      <c r="L51" s="452" t="n"/>
      <c r="M51" s="452" t="n"/>
      <c r="N51" s="452" t="n"/>
      <c r="O51" s="463" t="n"/>
      <c r="P51" s="417" t="n"/>
      <c r="Q51" s="417" t="n"/>
      <c r="R51" s="464" t="n"/>
    </row>
    <row r="52" ht="14.25" customFormat="1" customHeight="1" s="392">
      <c r="B52" s="417" t="inlineStr">
        <is>
          <t>Inventory Turnover</t>
        </is>
      </c>
      <c r="C52" s="417" t="n"/>
      <c r="D52" s="755">
        <f>IFERROR(D98/(AVERAGE(D113:D114)),"")</f>
        <v/>
      </c>
      <c r="E52" s="755">
        <f>IFERROR(E98/(AVERAGE(E113:E114)),"")</f>
        <v/>
      </c>
      <c r="F52" s="755">
        <f>IFERROR(F98/(AVERAGE(F113:F114)),"")</f>
        <v/>
      </c>
      <c r="G52" s="755">
        <f>IFERROR(G98/(AVERAGE(G113:G114)),"")</f>
        <v/>
      </c>
      <c r="H52" s="755">
        <f>IFERROR(H98/(AVERAGE(H113:H114)),"")</f>
        <v/>
      </c>
      <c r="I52" s="755">
        <f>IFERROR(I98/(AVERAGE(I113:I114)),"")</f>
        <v/>
      </c>
      <c r="J52" s="755">
        <f>IFERROR(J98/(AVERAGE(J113:J114)),"")</f>
        <v/>
      </c>
      <c r="K52" s="755">
        <f>IFERROR(K98/(AVERAGE(K113:K114)),"")</f>
        <v/>
      </c>
      <c r="L52" s="755">
        <f>IFERROR(L98/(AVERAGE(L113:L114)),"")</f>
        <v/>
      </c>
      <c r="M52" s="755">
        <f>IFERROR(M98/(AVERAGE(M113:M114)),"")</f>
        <v/>
      </c>
      <c r="N52" s="755">
        <f>IFERROR(N98/(AVERAGE(N113:N114)),"")</f>
        <v/>
      </c>
      <c r="O52" s="896">
        <f>IFERROR(+AVERAGE(D52:N52),"")</f>
        <v/>
      </c>
      <c r="P52" s="417" t="n"/>
      <c r="Q52" s="417" t="n"/>
      <c r="R52" s="464" t="n"/>
    </row>
    <row r="53" ht="14.25" customFormat="1" customHeight="1" s="392">
      <c r="B53" s="417" t="inlineStr">
        <is>
          <t>Acc. Receivable Turnover</t>
        </is>
      </c>
      <c r="C53" s="417" t="n"/>
      <c r="D53" s="755">
        <f>IFERROR(D97/D112,"")</f>
        <v/>
      </c>
      <c r="E53" s="755">
        <f>IFERROR(E97/E112,"")</f>
        <v/>
      </c>
      <c r="F53" s="755">
        <f>IFERROR(F97/F112,"")</f>
        <v/>
      </c>
      <c r="G53" s="755">
        <f>IFERROR(G97/G112,"")</f>
        <v/>
      </c>
      <c r="H53" s="755">
        <f>IFERROR(H97/H112,"")</f>
        <v/>
      </c>
      <c r="I53" s="755">
        <f>IFERROR(I97/I112,"")</f>
        <v/>
      </c>
      <c r="J53" s="755">
        <f>IFERROR(J97/J112,"")</f>
        <v/>
      </c>
      <c r="K53" s="755">
        <f>IFERROR(K97/K112,"")</f>
        <v/>
      </c>
      <c r="L53" s="755">
        <f>IFERROR(L97/L112,"")</f>
        <v/>
      </c>
      <c r="M53" s="755">
        <f>IFERROR(M97/M112,"")</f>
        <v/>
      </c>
      <c r="N53" s="755">
        <f>IFERROR(N97/N112,"")</f>
        <v/>
      </c>
      <c r="O53" s="896">
        <f>IFERROR(+AVERAGE(D53:N53),"")</f>
        <v/>
      </c>
      <c r="P53" s="417" t="n"/>
      <c r="Q53" s="417" t="n"/>
      <c r="R53" s="464" t="n"/>
    </row>
    <row r="54" ht="14.25" customFormat="1" customHeight="1" s="392">
      <c r="B54" s="417" t="inlineStr">
        <is>
          <t>Payables Turnover</t>
        </is>
      </c>
      <c r="C54" s="417" t="n"/>
      <c r="D54" s="755">
        <f>IFERROR(D98/D118,"")</f>
        <v/>
      </c>
      <c r="E54" s="755">
        <f>IFERROR(E98/E118,"")</f>
        <v/>
      </c>
      <c r="F54" s="755">
        <f>IFERROR(F98/F118,"")</f>
        <v/>
      </c>
      <c r="G54" s="755">
        <f>IFERROR(G98/G118,"")</f>
        <v/>
      </c>
      <c r="H54" s="755">
        <f>IFERROR(H98/H118,"")</f>
        <v/>
      </c>
      <c r="I54" s="755">
        <f>IFERROR(I98/I118,"")</f>
        <v/>
      </c>
      <c r="J54" s="755">
        <f>IFERROR(J98/J118,"")</f>
        <v/>
      </c>
      <c r="K54" s="755">
        <f>IFERROR(K98/K118,"")</f>
        <v/>
      </c>
      <c r="L54" s="755">
        <f>IFERROR(L98/L118,"")</f>
        <v/>
      </c>
      <c r="M54" s="755">
        <f>IFERROR(M98/M118,"")</f>
        <v/>
      </c>
      <c r="N54" s="755">
        <f>IFERROR(N98/N118,"")</f>
        <v/>
      </c>
      <c r="O54" s="896">
        <f>IFERROR(+AVERAGE(D54:N54),"")</f>
        <v/>
      </c>
      <c r="P54" s="417" t="n"/>
      <c r="Q54" s="417" t="n"/>
      <c r="R54" s="464" t="n"/>
    </row>
    <row r="55" ht="14.25" customFormat="1" customHeight="1" s="392">
      <c r="B55" s="417" t="inlineStr">
        <is>
          <t>Fixed Asset Turnover</t>
        </is>
      </c>
      <c r="C55" s="417" t="n"/>
      <c r="D55" s="895">
        <f>IFERROR(D97/D116,"")</f>
        <v/>
      </c>
      <c r="E55" s="895">
        <f>IFERROR(E97/E116,"")</f>
        <v/>
      </c>
      <c r="F55" s="895">
        <f>IFERROR(F97/F116,"")</f>
        <v/>
      </c>
      <c r="G55" s="895">
        <f>IFERROR(G97/G116,"")</f>
        <v/>
      </c>
      <c r="H55" s="895">
        <f>IFERROR(H97/H116,"")</f>
        <v/>
      </c>
      <c r="I55" s="895">
        <f>IFERROR(I97/I116,"")</f>
        <v/>
      </c>
      <c r="J55" s="895">
        <f>IFERROR(J97/J116,"")</f>
        <v/>
      </c>
      <c r="K55" s="895">
        <f>IFERROR(K97/K116,"")</f>
        <v/>
      </c>
      <c r="L55" s="895">
        <f>IFERROR(L97/L116,"")</f>
        <v/>
      </c>
      <c r="M55" s="895">
        <f>IFERROR(M97/M116,"")</f>
        <v/>
      </c>
      <c r="N55" s="895">
        <f>IFERROR(N97/N116,"")</f>
        <v/>
      </c>
      <c r="O55" s="896">
        <f>IFERROR(+AVERAGE(D55:N55),"")</f>
        <v/>
      </c>
      <c r="P55" s="417" t="n"/>
      <c r="Q55" s="417" t="n"/>
      <c r="R55" s="464" t="n"/>
    </row>
    <row r="56" ht="14.25" customFormat="1" customHeight="1" s="392">
      <c r="B56" s="417" t="inlineStr">
        <is>
          <t>Total Asset Turnover</t>
        </is>
      </c>
      <c r="C56" s="417" t="n"/>
      <c r="D56" s="895">
        <f>IFERROR(D97/D117,"")</f>
        <v/>
      </c>
      <c r="E56" s="895">
        <f>IFERROR(E97/E117,"")</f>
        <v/>
      </c>
      <c r="F56" s="895">
        <f>IFERROR(F97/F117,"")</f>
        <v/>
      </c>
      <c r="G56" s="895">
        <f>IFERROR(G97/G117,"")</f>
        <v/>
      </c>
      <c r="H56" s="895">
        <f>IFERROR(H97/H117,"")</f>
        <v/>
      </c>
      <c r="I56" s="895">
        <f>IFERROR(I97/I117,"")</f>
        <v/>
      </c>
      <c r="J56" s="895">
        <f>IFERROR(J97/J117,"")</f>
        <v/>
      </c>
      <c r="K56" s="895">
        <f>IFERROR(K97/K117,"")</f>
        <v/>
      </c>
      <c r="L56" s="895">
        <f>IFERROR(L97/L117,"")</f>
        <v/>
      </c>
      <c r="M56" s="895">
        <f>IFERROR(M97/M117,"")</f>
        <v/>
      </c>
      <c r="N56" s="895">
        <f>IFERROR(N97/N117,"")</f>
        <v/>
      </c>
      <c r="O56" s="896">
        <f>IFERROR(+AVERAGE(D56:N56),"")</f>
        <v/>
      </c>
      <c r="P56" s="417" t="n"/>
      <c r="Q56" s="417" t="n"/>
      <c r="R56" s="464" t="n"/>
    </row>
    <row r="57" ht="14.25" customFormat="1" customHeight="1" s="392">
      <c r="B57" s="417" t="inlineStr">
        <is>
          <t>Cash Cycle (days)</t>
        </is>
      </c>
      <c r="C57" s="417" t="n"/>
      <c r="D57" s="756">
        <f>IFERROR(365/D52+365/D53-365/D54,"")</f>
        <v/>
      </c>
      <c r="E57" s="756">
        <f>IFERROR(365/E52+365/E53-365/E54,"")</f>
        <v/>
      </c>
      <c r="F57" s="756">
        <f>IFERROR(365/F52+365/F53-365/F54,"")</f>
        <v/>
      </c>
      <c r="G57" s="756">
        <f>IFERROR(365/G52+365/G53-365/G54,"")</f>
        <v/>
      </c>
      <c r="H57" s="756">
        <f>IFERROR(365/H52+365/H53-365/H54,"")</f>
        <v/>
      </c>
      <c r="I57" s="756">
        <f>IFERROR(365/I52+365/I53-365/I54,"")</f>
        <v/>
      </c>
      <c r="J57" s="756">
        <f>IFERROR(365/J52+365/J53-365/J54,"")</f>
        <v/>
      </c>
      <c r="K57" s="756">
        <f>IFERROR(365/K52+365/K53-365/K54,"")</f>
        <v/>
      </c>
      <c r="L57" s="756">
        <f>IFERROR(365/L52+365/L53-365/L54,"")</f>
        <v/>
      </c>
      <c r="M57" s="756">
        <f>IFERROR(365/M52+365/M53-365/M54,"")</f>
        <v/>
      </c>
      <c r="N57" s="756">
        <f>IFERROR(365/N52+365/N53-365/N54,"")</f>
        <v/>
      </c>
      <c r="O57" s="896">
        <f>IFERROR(+AVERAGE(D57:N57),"")</f>
        <v/>
      </c>
      <c r="P57" s="417" t="n"/>
      <c r="Q57" s="417" t="n"/>
      <c r="R57" s="464" t="n"/>
    </row>
    <row r="58" ht="3.95" customFormat="1" customHeight="1" s="392">
      <c r="B58" s="417" t="n"/>
      <c r="C58" s="417" t="n"/>
      <c r="D58" s="896" t="n"/>
      <c r="E58" s="896" t="n"/>
      <c r="F58" s="896" t="n"/>
      <c r="G58" s="896" t="n"/>
      <c r="H58" s="896" t="n"/>
      <c r="I58" s="896" t="n"/>
      <c r="J58" s="896" t="n"/>
      <c r="K58" s="896" t="n"/>
      <c r="L58" s="896" t="n"/>
      <c r="M58" s="896" t="n"/>
      <c r="N58" s="896" t="n"/>
      <c r="O58" s="896" t="n"/>
      <c r="P58" s="417" t="n"/>
      <c r="Q58" s="417" t="n"/>
      <c r="R58" s="464" t="n"/>
    </row>
    <row r="59" ht="14.25" customFormat="1" customHeight="1" s="392">
      <c r="B59" s="628" t="inlineStr">
        <is>
          <t>Cash Flow</t>
        </is>
      </c>
      <c r="C59" s="629" t="n"/>
      <c r="D59" s="402">
        <f>+D38</f>
        <v/>
      </c>
      <c r="E59" s="402">
        <f>+E38</f>
        <v/>
      </c>
      <c r="F59" s="402">
        <f>+F38</f>
        <v/>
      </c>
      <c r="G59" s="402">
        <f>+G38</f>
        <v/>
      </c>
      <c r="H59" s="402">
        <f>+H38</f>
        <v/>
      </c>
      <c r="I59" s="402">
        <f>+I38</f>
        <v/>
      </c>
      <c r="J59" s="402">
        <f>+J38</f>
        <v/>
      </c>
      <c r="K59" s="402">
        <f>+K38</f>
        <v/>
      </c>
      <c r="L59" s="402">
        <f>+L38</f>
        <v/>
      </c>
      <c r="M59" s="402">
        <f>+M38</f>
        <v/>
      </c>
      <c r="N59" s="402">
        <f>+N38</f>
        <v/>
      </c>
      <c r="O59" s="402">
        <f>+O38</f>
        <v/>
      </c>
      <c r="P59" s="417" t="n"/>
      <c r="Q59" s="417" t="n"/>
      <c r="R59" s="464" t="n"/>
    </row>
    <row r="60" ht="3.95" customFormat="1" customHeight="1" s="392">
      <c r="B60" s="452" t="n"/>
      <c r="C60" s="452" t="n"/>
      <c r="D60" s="452" t="n"/>
      <c r="E60" s="452" t="n"/>
      <c r="F60" s="452" t="n"/>
      <c r="G60" s="452" t="n"/>
      <c r="H60" s="452" t="n"/>
      <c r="I60" s="452" t="n"/>
      <c r="J60" s="452" t="n"/>
      <c r="K60" s="452" t="n"/>
      <c r="L60" s="452" t="n"/>
      <c r="M60" s="452" t="n"/>
      <c r="N60" s="452" t="n"/>
      <c r="O60" s="463" t="n"/>
      <c r="P60" s="417" t="n"/>
      <c r="Q60" s="417" t="n"/>
      <c r="R60" s="464" t="n"/>
    </row>
    <row r="61" ht="14.25" customFormat="1" customHeight="1" s="392">
      <c r="B61" s="417" t="inlineStr">
        <is>
          <t>Cash Flow Margin</t>
        </is>
      </c>
      <c r="C61" s="417" t="n"/>
      <c r="D61" s="699">
        <f>IFERROR(D132/D97,"")</f>
        <v/>
      </c>
      <c r="E61" s="699">
        <f>IFERROR(E132/E97,"")</f>
        <v/>
      </c>
      <c r="F61" s="699">
        <f>IFERROR(F132/F97,"")</f>
        <v/>
      </c>
      <c r="G61" s="699">
        <f>IFERROR(G132/G97,"")</f>
        <v/>
      </c>
      <c r="H61" s="699">
        <f>IFERROR(H132/H97,"")</f>
        <v/>
      </c>
      <c r="I61" s="699">
        <f>IFERROR(I132/I97,"")</f>
        <v/>
      </c>
      <c r="J61" s="699">
        <f>IFERROR(J132/J97,"")</f>
        <v/>
      </c>
      <c r="K61" s="699">
        <f>IFERROR(K132/K97,"")</f>
        <v/>
      </c>
      <c r="L61" s="699">
        <f>IFERROR(L132/L97,"")</f>
        <v/>
      </c>
      <c r="M61" s="699">
        <f>IFERROR(M132/M97,"")</f>
        <v/>
      </c>
      <c r="N61" s="699">
        <f>IFERROR(N132/N97,"")</f>
        <v/>
      </c>
      <c r="O61" s="699">
        <f>IFERROR(+AVERAGE(D61:N61),"")</f>
        <v/>
      </c>
      <c r="P61" s="417" t="n"/>
      <c r="Q61" s="417" t="n"/>
      <c r="R61" s="464" t="n"/>
    </row>
    <row r="62" ht="14.25" customFormat="1" customHeight="1" s="392">
      <c r="B62" s="417" t="inlineStr">
        <is>
          <t>Cash Flow to Net Income</t>
        </is>
      </c>
      <c r="C62" s="417" t="n"/>
      <c r="D62" s="699">
        <f>IFERROR(D132/D96,"")</f>
        <v/>
      </c>
      <c r="E62" s="699">
        <f>IFERROR(E132/E96,"")</f>
        <v/>
      </c>
      <c r="F62" s="699">
        <f>IFERROR(F132/F96,"")</f>
        <v/>
      </c>
      <c r="G62" s="699">
        <f>IFERROR(G132/G96,"")</f>
        <v/>
      </c>
      <c r="H62" s="699">
        <f>IFERROR(H132/H96,"")</f>
        <v/>
      </c>
      <c r="I62" s="699">
        <f>IFERROR(I132/I96,"")</f>
        <v/>
      </c>
      <c r="J62" s="699">
        <f>IFERROR(J132/J96,"")</f>
        <v/>
      </c>
      <c r="K62" s="699">
        <f>IFERROR(K132/K96,"")</f>
        <v/>
      </c>
      <c r="L62" s="699">
        <f>IFERROR(L132/L96,"")</f>
        <v/>
      </c>
      <c r="M62" s="699">
        <f>IFERROR(M132/M96,"")</f>
        <v/>
      </c>
      <c r="N62" s="699">
        <f>IFERROR(N132/N96,"")</f>
        <v/>
      </c>
      <c r="O62" s="699">
        <f>IFERROR(+AVERAGE(D62:N62),"")</f>
        <v/>
      </c>
      <c r="P62" s="417" t="n"/>
      <c r="Q62" s="417" t="n"/>
      <c r="R62" s="464" t="n"/>
    </row>
    <row r="63" ht="14.25" customFormat="1" customHeight="1" s="392">
      <c r="B63" s="417" t="inlineStr">
        <is>
          <t>CFO to Net Income</t>
        </is>
      </c>
      <c r="C63" s="417" t="n"/>
      <c r="D63" s="699">
        <f>+IFERROR(D126/D105,"")</f>
        <v/>
      </c>
      <c r="E63" s="699">
        <f>+IFERROR(E126/E105,"")</f>
        <v/>
      </c>
      <c r="F63" s="699">
        <f>+IFERROR(F126/F105,"")</f>
        <v/>
      </c>
      <c r="G63" s="699">
        <f>+IFERROR(G126/G105,"")</f>
        <v/>
      </c>
      <c r="H63" s="699">
        <f>+IFERROR(H126/H105,"")</f>
        <v/>
      </c>
      <c r="I63" s="699">
        <f>+IFERROR(I126/I105,"")</f>
        <v/>
      </c>
      <c r="J63" s="699">
        <f>+IFERROR(J126/J105,"")</f>
        <v/>
      </c>
      <c r="K63" s="699">
        <f>+IFERROR(K126/K105,"")</f>
        <v/>
      </c>
      <c r="L63" s="699">
        <f>+IFERROR(L126/L105,"")</f>
        <v/>
      </c>
      <c r="M63" s="699">
        <f>+IFERROR(M126/M105,"")</f>
        <v/>
      </c>
      <c r="N63" s="699">
        <f>+IFERROR(N126/N105,"")</f>
        <v/>
      </c>
      <c r="O63" s="699">
        <f>IFERROR(+AVERAGE(D63:N63),"")</f>
        <v/>
      </c>
      <c r="P63" s="417" t="n"/>
      <c r="Q63" s="417" t="n"/>
      <c r="R63" s="464" t="n"/>
    </row>
    <row r="64" ht="14.25" customFormat="1" customHeight="1" s="392">
      <c r="B64" s="417" t="inlineStr">
        <is>
          <t>Net Capex to CFO</t>
        </is>
      </c>
      <c r="C64" s="417" t="n"/>
      <c r="D64" s="699">
        <f>IFERROR(-D127/D126,"")</f>
        <v/>
      </c>
      <c r="E64" s="699">
        <f>IFERROR(-E127/E126,"")</f>
        <v/>
      </c>
      <c r="F64" s="699">
        <f>IFERROR(-F127/F126,"")</f>
        <v/>
      </c>
      <c r="G64" s="699">
        <f>IFERROR(-G127/G126,"")</f>
        <v/>
      </c>
      <c r="H64" s="699">
        <f>IFERROR(-H127/H126,"")</f>
        <v/>
      </c>
      <c r="I64" s="699">
        <f>IFERROR(-I127/I126,"")</f>
        <v/>
      </c>
      <c r="J64" s="699">
        <f>IFERROR(-J127/J126,"")</f>
        <v/>
      </c>
      <c r="K64" s="699">
        <f>IFERROR(-K127/K126,"")</f>
        <v/>
      </c>
      <c r="L64" s="699">
        <f>IFERROR(-L127/L126,"")</f>
        <v/>
      </c>
      <c r="M64" s="699">
        <f>IFERROR(-M127/M126,"")</f>
        <v/>
      </c>
      <c r="N64" s="699">
        <f>IFERROR(-N127/N126,"")</f>
        <v/>
      </c>
      <c r="O64" s="699">
        <f>IFERROR(+AVERAGE(D64:N64),"")</f>
        <v/>
      </c>
      <c r="P64" s="417" t="n"/>
      <c r="Q64" s="417" t="n"/>
      <c r="R64" s="464" t="n"/>
    </row>
    <row r="65" ht="14.25" customFormat="1" customHeight="1" s="392">
      <c r="A65" s="417" t="n"/>
      <c r="B65" s="417" t="inlineStr">
        <is>
          <t>CFI to CFO</t>
        </is>
      </c>
      <c r="C65" s="417" t="n"/>
      <c r="D65" s="699">
        <f>IFERROR(-D128/D126,"")</f>
        <v/>
      </c>
      <c r="E65" s="699">
        <f>IFERROR(-E128/E126,"")</f>
        <v/>
      </c>
      <c r="F65" s="699">
        <f>IFERROR(-F128/F126,"")</f>
        <v/>
      </c>
      <c r="G65" s="699">
        <f>IFERROR(-G128/G126,"")</f>
        <v/>
      </c>
      <c r="H65" s="699">
        <f>IFERROR(-H128/H126,"")</f>
        <v/>
      </c>
      <c r="I65" s="699">
        <f>IFERROR(-I128/I126,"")</f>
        <v/>
      </c>
      <c r="J65" s="699">
        <f>IFERROR(-J128/J126,"")</f>
        <v/>
      </c>
      <c r="K65" s="699">
        <f>IFERROR(-K128/K126,"")</f>
        <v/>
      </c>
      <c r="L65" s="699">
        <f>IFERROR(-L128/L126,"")</f>
        <v/>
      </c>
      <c r="M65" s="699">
        <f>IFERROR(-M128/M126,"")</f>
        <v/>
      </c>
      <c r="N65" s="699">
        <f>IFERROR(-N128/N126,"")</f>
        <v/>
      </c>
      <c r="O65" s="699">
        <f>IFERROR(+AVERAGE(D65:N65),"")</f>
        <v/>
      </c>
      <c r="P65" s="417" t="n"/>
      <c r="Q65" s="417" t="n"/>
      <c r="R65" s="464" t="n"/>
      <c r="S65" s="417" t="n"/>
      <c r="T65" s="417" t="n"/>
      <c r="U65" s="417" t="n"/>
      <c r="V65" s="417" t="n"/>
      <c r="W65" s="417" t="n"/>
      <c r="X65" s="417" t="n"/>
      <c r="Y65" s="417" t="n"/>
      <c r="Z65" s="417" t="n"/>
      <c r="AA65" s="417" t="n"/>
      <c r="AB65" s="417" t="n"/>
      <c r="AC65" s="417" t="n"/>
      <c r="AD65" s="417" t="n"/>
      <c r="AE65" s="417" t="n"/>
      <c r="AF65" s="417" t="n"/>
      <c r="AG65" s="417" t="n"/>
      <c r="AH65" s="417" t="n"/>
      <c r="AI65" s="417" t="n"/>
      <c r="AJ65" s="417" t="n"/>
      <c r="AK65" s="417" t="n"/>
      <c r="AL65" s="417" t="n"/>
      <c r="AM65" s="417" t="n"/>
      <c r="AN65" s="417" t="n"/>
      <c r="AO65" s="417" t="n"/>
      <c r="AP65" s="417" t="n"/>
      <c r="AQ65" s="417" t="n"/>
      <c r="AR65" s="417" t="n"/>
      <c r="AS65" s="417" t="n"/>
      <c r="AT65" s="417" t="n"/>
      <c r="AU65" s="417" t="n"/>
      <c r="AV65" s="417" t="n"/>
      <c r="AW65" s="417" t="n"/>
      <c r="AX65" s="417" t="n"/>
      <c r="AY65" s="417" t="n"/>
      <c r="AZ65" s="417" t="n"/>
    </row>
    <row r="66" ht="14.25" customFormat="1" customHeight="1" s="392">
      <c r="A66" s="417" t="n"/>
      <c r="B66" s="417" t="inlineStr">
        <is>
          <t>Net Financing to CFO</t>
        </is>
      </c>
      <c r="C66" s="417" t="n"/>
      <c r="D66" s="699">
        <f>IFERROR((D129+D130)/D126,"")</f>
        <v/>
      </c>
      <c r="E66" s="699">
        <f>IFERROR((E129+E130)/E126,"")</f>
        <v/>
      </c>
      <c r="F66" s="699">
        <f>IFERROR((F129+F130)/F126,"")</f>
        <v/>
      </c>
      <c r="G66" s="699">
        <f>IFERROR((G129+G130)/G126,"")</f>
        <v/>
      </c>
      <c r="H66" s="699">
        <f>IFERROR((H129+H130)/H126,"")</f>
        <v/>
      </c>
      <c r="I66" s="699">
        <f>IFERROR((I129+I130)/I126,"")</f>
        <v/>
      </c>
      <c r="J66" s="699">
        <f>IFERROR((J129+J130)/J126,"")</f>
        <v/>
      </c>
      <c r="K66" s="699">
        <f>IFERROR((K129+K130)/K126,"")</f>
        <v/>
      </c>
      <c r="L66" s="699">
        <f>IFERROR((L129+L130)/L126,"")</f>
        <v/>
      </c>
      <c r="M66" s="699">
        <f>IFERROR((M129+M130)/M126,"")</f>
        <v/>
      </c>
      <c r="N66" s="699">
        <f>IFERROR((N129+N130)/N126,"")</f>
        <v/>
      </c>
      <c r="O66" s="699">
        <f>IFERROR(+AVERAGE(D66:N66),"")</f>
        <v/>
      </c>
      <c r="P66" s="417" t="n"/>
      <c r="Q66" s="417" t="n"/>
      <c r="R66" s="464" t="n"/>
      <c r="S66" s="417" t="n"/>
      <c r="T66" s="417" t="n"/>
      <c r="U66" s="417" t="n"/>
      <c r="V66" s="417" t="n"/>
      <c r="W66" s="417" t="n"/>
      <c r="X66" s="417" t="n"/>
      <c r="Y66" s="417" t="n"/>
      <c r="Z66" s="417" t="n"/>
      <c r="AA66" s="417" t="n"/>
      <c r="AB66" s="417" t="n"/>
      <c r="AC66" s="417" t="n"/>
      <c r="AD66" s="417" t="n"/>
      <c r="AE66" s="417" t="n"/>
      <c r="AF66" s="417" t="n"/>
      <c r="AG66" s="417" t="n"/>
      <c r="AH66" s="417" t="n"/>
      <c r="AI66" s="417" t="n"/>
      <c r="AJ66" s="417" t="n"/>
      <c r="AK66" s="417" t="n"/>
      <c r="AL66" s="417" t="n"/>
      <c r="AM66" s="417" t="n"/>
      <c r="AN66" s="417" t="n"/>
      <c r="AO66" s="417" t="n"/>
      <c r="AP66" s="417" t="n"/>
      <c r="AQ66" s="417" t="n"/>
      <c r="AR66" s="417" t="n"/>
      <c r="AS66" s="417" t="n"/>
      <c r="AT66" s="417" t="n"/>
      <c r="AU66" s="417" t="n"/>
      <c r="AV66" s="417" t="n"/>
      <c r="AW66" s="417" t="n"/>
      <c r="AX66" s="417" t="n"/>
      <c r="AY66" s="417" t="n"/>
      <c r="AZ66" s="417" t="n"/>
    </row>
    <row r="67" ht="14.25" customFormat="1" customHeight="1" s="392">
      <c r="A67" s="417" t="n"/>
      <c r="B67" s="417" t="inlineStr">
        <is>
          <t>Debt Borrowing to Debt Repayment</t>
        </is>
      </c>
      <c r="C67" s="417" t="n"/>
      <c r="D67" s="699">
        <f>+IFERROR(-D130/D129,"")</f>
        <v/>
      </c>
      <c r="E67" s="699">
        <f>+IFERROR(-E130/E129,"")</f>
        <v/>
      </c>
      <c r="F67" s="699">
        <f>+IFERROR(-F130/F129,"")</f>
        <v/>
      </c>
      <c r="G67" s="699">
        <f>+IFERROR(-G130/G129,"")</f>
        <v/>
      </c>
      <c r="H67" s="699">
        <f>+IFERROR(-H130/H129,"")</f>
        <v/>
      </c>
      <c r="I67" s="699">
        <f>+IFERROR(-I130/I129,"")</f>
        <v/>
      </c>
      <c r="J67" s="699">
        <f>+IFERROR(-J130/J129,"")</f>
        <v/>
      </c>
      <c r="K67" s="699">
        <f>+IFERROR(-K130/K129,"")</f>
        <v/>
      </c>
      <c r="L67" s="699">
        <f>+IFERROR(-L130/L129,"")</f>
        <v/>
      </c>
      <c r="M67" s="699">
        <f>+IFERROR(-M130/M129,"")</f>
        <v/>
      </c>
      <c r="N67" s="699">
        <f>+IFERROR(-N130/N129,"")</f>
        <v/>
      </c>
      <c r="O67" s="699">
        <f>IFERROR(+AVERAGE(D67:N67),"")</f>
        <v/>
      </c>
      <c r="P67" s="417" t="n"/>
      <c r="Q67" s="417" t="n"/>
      <c r="R67" s="464" t="n"/>
      <c r="S67" s="417" t="n"/>
      <c r="T67" s="417" t="n"/>
      <c r="U67" s="417" t="n"/>
      <c r="V67" s="417" t="n"/>
      <c r="W67" s="417" t="n"/>
      <c r="X67" s="417" t="n"/>
      <c r="Y67" s="417" t="n"/>
      <c r="Z67" s="417" t="n"/>
      <c r="AA67" s="417" t="n"/>
      <c r="AB67" s="417" t="n"/>
      <c r="AC67" s="417" t="n"/>
      <c r="AD67" s="417" t="n"/>
      <c r="AE67" s="417" t="n"/>
      <c r="AF67" s="417" t="n"/>
      <c r="AG67" s="417" t="n"/>
      <c r="AH67" s="417" t="n"/>
      <c r="AI67" s="417" t="n"/>
      <c r="AJ67" s="417" t="n"/>
      <c r="AK67" s="417" t="n"/>
      <c r="AL67" s="417" t="n"/>
      <c r="AM67" s="417" t="n"/>
      <c r="AN67" s="417" t="n"/>
      <c r="AO67" s="417" t="n"/>
      <c r="AP67" s="417" t="n"/>
      <c r="AQ67" s="417" t="n"/>
      <c r="AR67" s="417" t="n"/>
      <c r="AS67" s="417" t="n"/>
      <c r="AT67" s="417" t="n"/>
      <c r="AU67" s="417" t="n"/>
      <c r="AV67" s="417" t="n"/>
      <c r="AW67" s="417" t="n"/>
      <c r="AX67" s="417" t="n"/>
      <c r="AY67" s="417" t="n"/>
      <c r="AZ67" s="417" t="n"/>
    </row>
    <row r="68" ht="14.25" customFormat="1" customHeight="1" s="392">
      <c r="A68" s="417" t="n"/>
      <c r="B68" s="417" t="inlineStr">
        <is>
          <t>CFF to CFO</t>
        </is>
      </c>
      <c r="C68" s="417" t="n"/>
      <c r="D68" s="699">
        <f>IFERROR(-D131/D126,"")</f>
        <v/>
      </c>
      <c r="E68" s="699">
        <f>IFERROR(-E131/E126,"")</f>
        <v/>
      </c>
      <c r="F68" s="699">
        <f>IFERROR(-F131/F126,"")</f>
        <v/>
      </c>
      <c r="G68" s="699">
        <f>IFERROR(-G131/G126,"")</f>
        <v/>
      </c>
      <c r="H68" s="699">
        <f>IFERROR(-H131/H126,"")</f>
        <v/>
      </c>
      <c r="I68" s="699">
        <f>IFERROR(-I131/I126,"")</f>
        <v/>
      </c>
      <c r="J68" s="699">
        <f>IFERROR(-J131/J126,"")</f>
        <v/>
      </c>
      <c r="K68" s="699">
        <f>IFERROR(-K131/K126,"")</f>
        <v/>
      </c>
      <c r="L68" s="699">
        <f>IFERROR(-L131/L126,"")</f>
        <v/>
      </c>
      <c r="M68" s="699">
        <f>IFERROR(-M131/M126,"")</f>
        <v/>
      </c>
      <c r="N68" s="699">
        <f>IFERROR(-N131/N126,"")</f>
        <v/>
      </c>
      <c r="O68" s="699">
        <f>IFERROR(+AVERAGE(D68:N68),"")</f>
        <v/>
      </c>
      <c r="P68" s="417" t="n"/>
      <c r="Q68" s="417" t="n"/>
      <c r="R68" s="464" t="n"/>
      <c r="S68" s="417" t="n"/>
      <c r="T68" s="417" t="n"/>
      <c r="U68" s="417" t="n"/>
      <c r="V68" s="417" t="n"/>
      <c r="W68" s="417" t="n"/>
      <c r="X68" s="417" t="n"/>
      <c r="Y68" s="417" t="n"/>
      <c r="Z68" s="417" t="n"/>
      <c r="AA68" s="417" t="n"/>
      <c r="AB68" s="417" t="n"/>
      <c r="AC68" s="417" t="n"/>
      <c r="AD68" s="417" t="n"/>
      <c r="AE68" s="417" t="n"/>
      <c r="AF68" s="417" t="n"/>
      <c r="AG68" s="417" t="n"/>
      <c r="AH68" s="417" t="n"/>
      <c r="AI68" s="417" t="n"/>
      <c r="AJ68" s="417" t="n"/>
      <c r="AK68" s="417" t="n"/>
      <c r="AL68" s="417" t="n"/>
      <c r="AM68" s="417" t="n"/>
      <c r="AN68" s="417" t="n"/>
      <c r="AO68" s="417" t="n"/>
      <c r="AP68" s="417" t="n"/>
      <c r="AQ68" s="417" t="n"/>
      <c r="AR68" s="417" t="n"/>
      <c r="AS68" s="417" t="n"/>
      <c r="AT68" s="417" t="n"/>
      <c r="AU68" s="417" t="n"/>
      <c r="AV68" s="417" t="n"/>
      <c r="AW68" s="417" t="n"/>
      <c r="AX68" s="417" t="n"/>
      <c r="AY68" s="417" t="n"/>
      <c r="AZ68" s="417" t="n"/>
    </row>
    <row r="69" ht="14.25" customFormat="1" customHeight="1" s="392">
      <c r="A69" s="417" t="n"/>
      <c r="B69" s="417" t="inlineStr">
        <is>
          <t>Payout Ratio</t>
        </is>
      </c>
      <c r="C69" s="417" t="n"/>
      <c r="D69" s="467">
        <f>+_xll.BDP(D$91, "TOTAL_PAYOUT_RATIO")/100</f>
        <v/>
      </c>
      <c r="E69" s="467">
        <f>+_xll.BDP(E$91, "TOTAL_PAYOUT_RATIO")/100</f>
        <v/>
      </c>
      <c r="F69" s="467">
        <f>+_xll.BDP(F$91, "TOTAL_PAYOUT_RATIO")/100</f>
        <v/>
      </c>
      <c r="G69" s="467">
        <f>+_xll.BDP(G$91, "TOTAL_PAYOUT_RATIO")/100</f>
        <v/>
      </c>
      <c r="H69" s="467">
        <f>+_xll.BDP(H$91, "TOTAL_PAYOUT_RATIO")/100</f>
        <v/>
      </c>
      <c r="I69" s="467">
        <f>+_xll.BDP(I$91, "TOTAL_PAYOUT_RATIO")/100</f>
        <v/>
      </c>
      <c r="J69" s="467">
        <f>+_xll.BDP(J$91, "TOTAL_PAYOUT_RATIO")/100</f>
        <v/>
      </c>
      <c r="K69" s="467">
        <f>+_xll.BDP(K$91, "TOTAL_PAYOUT_RATIO")/100</f>
        <v/>
      </c>
      <c r="L69" s="467">
        <f>+_xll.BDP(L$91, "TOTAL_PAYOUT_RATIO")/100</f>
        <v/>
      </c>
      <c r="M69" s="467">
        <f>+_xll.BDP(M$91, "TOTAL_PAYOUT_RATIO")/100</f>
        <v/>
      </c>
      <c r="N69" s="467">
        <f>+_xll.BDP(N$91, "TOTAL_PAYOUT_RATIO")/100</f>
        <v/>
      </c>
      <c r="O69" s="699">
        <f>IFERROR(+AVERAGE(D69:N69),"")</f>
        <v/>
      </c>
      <c r="P69" s="417" t="n"/>
      <c r="Q69" s="417" t="n"/>
      <c r="R69" s="464" t="n"/>
      <c r="S69" s="417" t="n"/>
      <c r="T69" s="417" t="n"/>
      <c r="U69" s="417" t="n"/>
      <c r="V69" s="417" t="n"/>
      <c r="W69" s="417" t="n"/>
      <c r="X69" s="417" t="n"/>
      <c r="Y69" s="417" t="n"/>
      <c r="Z69" s="417" t="n"/>
      <c r="AA69" s="417" t="n"/>
      <c r="AB69" s="417" t="n"/>
      <c r="AC69" s="417" t="n"/>
      <c r="AD69" s="417" t="n"/>
      <c r="AE69" s="417" t="n"/>
      <c r="AF69" s="417" t="n"/>
      <c r="AG69" s="417" t="n"/>
      <c r="AH69" s="417" t="n"/>
      <c r="AI69" s="417" t="n"/>
      <c r="AJ69" s="417" t="n"/>
      <c r="AK69" s="417" t="n"/>
      <c r="AL69" s="417" t="n"/>
      <c r="AM69" s="417" t="n"/>
      <c r="AN69" s="417" t="n"/>
      <c r="AO69" s="417" t="n"/>
      <c r="AP69" s="417" t="n"/>
      <c r="AQ69" s="417" t="n"/>
      <c r="AR69" s="417" t="n"/>
      <c r="AS69" s="417" t="n"/>
      <c r="AT69" s="417" t="n"/>
      <c r="AU69" s="417" t="n"/>
      <c r="AV69" s="417" t="n"/>
      <c r="AW69" s="417" t="n"/>
      <c r="AX69" s="417" t="n"/>
      <c r="AY69" s="417" t="n"/>
      <c r="AZ69" s="417" t="n"/>
    </row>
    <row r="70" ht="3.75" customFormat="1" customHeight="1" s="392">
      <c r="A70" s="417" t="n"/>
      <c r="B70" s="417" t="n"/>
      <c r="C70" s="417" t="n"/>
      <c r="D70" s="417" t="n"/>
      <c r="E70" s="417" t="n"/>
      <c r="F70" s="417" t="n"/>
      <c r="G70" s="417" t="n"/>
      <c r="H70" s="417" t="n"/>
      <c r="I70" s="417" t="n"/>
      <c r="J70" s="417" t="n"/>
      <c r="K70" s="417" t="n"/>
      <c r="L70" s="417" t="n"/>
      <c r="M70" s="417" t="n"/>
      <c r="N70" s="417" t="n"/>
      <c r="O70" s="461" t="n"/>
      <c r="P70" s="417" t="n"/>
      <c r="Q70" s="417" t="n"/>
      <c r="R70" s="464" t="n"/>
      <c r="S70" s="417" t="n"/>
      <c r="T70" s="417" t="n"/>
      <c r="U70" s="417" t="n"/>
      <c r="V70" s="417" t="n"/>
      <c r="W70" s="417" t="n"/>
      <c r="X70" s="417" t="n"/>
      <c r="Y70" s="417" t="n"/>
      <c r="Z70" s="417" t="n"/>
      <c r="AA70" s="417" t="n"/>
      <c r="AB70" s="417" t="n"/>
      <c r="AC70" s="417" t="n"/>
      <c r="AD70" s="417" t="n"/>
      <c r="AE70" s="417" t="n"/>
      <c r="AF70" s="417" t="n"/>
      <c r="AG70" s="417" t="n"/>
      <c r="AH70" s="417" t="n"/>
      <c r="AI70" s="417" t="n"/>
      <c r="AJ70" s="417" t="n"/>
      <c r="AK70" s="417" t="n"/>
      <c r="AL70" s="417" t="n"/>
      <c r="AM70" s="417" t="n"/>
      <c r="AN70" s="417" t="n"/>
      <c r="AO70" s="417" t="n"/>
      <c r="AP70" s="417" t="n"/>
      <c r="AQ70" s="417" t="n"/>
      <c r="AR70" s="417" t="n"/>
      <c r="AS70" s="417" t="n"/>
      <c r="AT70" s="417" t="n"/>
      <c r="AU70" s="417" t="n"/>
      <c r="AV70" s="417" t="n"/>
      <c r="AW70" s="417" t="n"/>
      <c r="AX70" s="417" t="n"/>
      <c r="AY70" s="417" t="n"/>
      <c r="AZ70" s="417" t="n"/>
    </row>
    <row r="71" ht="14.25" customFormat="1" customHeight="1" s="395">
      <c r="A71" s="426" t="n"/>
      <c r="B71" s="628" t="inlineStr">
        <is>
          <t>Stock Information</t>
        </is>
      </c>
      <c r="C71" s="629" t="n"/>
      <c r="D71" s="402">
        <f>+D29</f>
        <v/>
      </c>
      <c r="E71" s="402">
        <f>+E29</f>
        <v/>
      </c>
      <c r="F71" s="402">
        <f>+F29</f>
        <v/>
      </c>
      <c r="G71" s="402">
        <f>+G29</f>
        <v/>
      </c>
      <c r="H71" s="402">
        <f>+H29</f>
        <v/>
      </c>
      <c r="I71" s="402">
        <f>+I29</f>
        <v/>
      </c>
      <c r="J71" s="402">
        <f>+J29</f>
        <v/>
      </c>
      <c r="K71" s="402">
        <f>+K29</f>
        <v/>
      </c>
      <c r="L71" s="402">
        <f>+L29</f>
        <v/>
      </c>
      <c r="M71" s="402">
        <f>+M29</f>
        <v/>
      </c>
      <c r="N71" s="402">
        <f>+N29</f>
        <v/>
      </c>
      <c r="O71" s="402">
        <f>+O29</f>
        <v/>
      </c>
      <c r="P71" s="426" t="n"/>
      <c r="Q71" s="426" t="n"/>
      <c r="R71" s="630" t="n"/>
      <c r="S71" s="426" t="n"/>
      <c r="T71" s="426" t="n"/>
      <c r="U71" s="426" t="n"/>
      <c r="V71" s="426" t="n"/>
      <c r="W71" s="426" t="n"/>
      <c r="X71" s="426" t="n"/>
      <c r="Y71" s="426" t="n"/>
      <c r="Z71" s="426" t="n"/>
      <c r="AA71" s="426" t="n"/>
      <c r="AB71" s="426" t="n"/>
      <c r="AC71" s="426" t="n"/>
      <c r="AD71" s="426" t="n"/>
      <c r="AE71" s="426" t="n"/>
      <c r="AF71" s="426" t="n"/>
      <c r="AG71" s="426" t="n"/>
      <c r="AH71" s="426" t="n"/>
      <c r="AI71" s="426" t="n"/>
      <c r="AJ71" s="426" t="n"/>
      <c r="AK71" s="426" t="n"/>
      <c r="AL71" s="426" t="n"/>
      <c r="AM71" s="426" t="n"/>
      <c r="AN71" s="426" t="n"/>
      <c r="AO71" s="426" t="n"/>
      <c r="AP71" s="426" t="n"/>
      <c r="AQ71" s="426" t="n"/>
      <c r="AR71" s="426" t="n"/>
      <c r="AS71" s="426" t="n"/>
      <c r="AT71" s="426" t="n"/>
      <c r="AU71" s="426" t="n"/>
      <c r="AV71" s="426" t="n"/>
      <c r="AW71" s="426" t="n"/>
      <c r="AX71" s="426" t="n"/>
      <c r="AY71" s="426" t="n"/>
      <c r="AZ71" s="426" t="n"/>
    </row>
    <row r="72" ht="3.75" customFormat="1" customHeight="1" s="392">
      <c r="A72" s="417" t="n"/>
      <c r="B72" s="452" t="n"/>
      <c r="C72" s="452" t="n"/>
      <c r="D72" s="452" t="n"/>
      <c r="E72" s="452" t="n"/>
      <c r="F72" s="452" t="n"/>
      <c r="G72" s="452" t="n"/>
      <c r="H72" s="452" t="n"/>
      <c r="I72" s="452" t="n"/>
      <c r="J72" s="452" t="n"/>
      <c r="K72" s="452" t="n"/>
      <c r="L72" s="452" t="n"/>
      <c r="M72" s="452" t="n"/>
      <c r="N72" s="452" t="n"/>
      <c r="O72" s="463" t="n"/>
      <c r="P72" s="417" t="n"/>
      <c r="Q72" s="417" t="n"/>
      <c r="R72" s="464" t="n"/>
      <c r="S72" s="417" t="n"/>
      <c r="T72" s="417" t="n"/>
      <c r="U72" s="417" t="n"/>
      <c r="V72" s="417" t="n"/>
      <c r="W72" s="417" t="n"/>
      <c r="X72" s="417" t="n"/>
      <c r="Y72" s="417" t="n"/>
      <c r="Z72" s="417" t="n"/>
      <c r="AA72" s="417" t="n"/>
      <c r="AB72" s="417" t="n"/>
      <c r="AC72" s="417" t="n"/>
      <c r="AD72" s="417" t="n"/>
      <c r="AE72" s="417" t="n"/>
      <c r="AF72" s="417" t="n"/>
      <c r="AG72" s="417" t="n"/>
      <c r="AH72" s="417" t="n"/>
      <c r="AI72" s="417" t="n"/>
      <c r="AJ72" s="417" t="n"/>
      <c r="AK72" s="417" t="n"/>
      <c r="AL72" s="417" t="n"/>
      <c r="AM72" s="417" t="n"/>
      <c r="AN72" s="417" t="n"/>
      <c r="AO72" s="417" t="n"/>
      <c r="AP72" s="417" t="n"/>
      <c r="AQ72" s="417" t="n"/>
      <c r="AR72" s="417" t="n"/>
      <c r="AS72" s="417" t="n"/>
      <c r="AT72" s="417" t="n"/>
      <c r="AU72" s="417" t="n"/>
      <c r="AV72" s="417" t="n"/>
      <c r="AW72" s="417" t="n"/>
      <c r="AX72" s="417" t="n"/>
      <c r="AY72" s="417" t="n"/>
      <c r="AZ72" s="417" t="n"/>
    </row>
    <row r="73" ht="14.25" customFormat="1" customHeight="1" s="392">
      <c r="A73" s="417" t="n"/>
      <c r="B73" s="417" t="inlineStr">
        <is>
          <t>(%) Float</t>
        </is>
      </c>
      <c r="C73" s="417" t="n"/>
      <c r="D73" s="772">
        <f>+_xll.BDP(D91, "EQY_FREE_FLOAT_PCT")/100</f>
        <v/>
      </c>
      <c r="E73" s="772">
        <f>+_xll.BDP(E91, "EQY_FREE_FLOAT_PCT")/100</f>
        <v/>
      </c>
      <c r="F73" s="772">
        <f>+_xll.BDP(F91, "EQY_FREE_FLOAT_PCT")/100</f>
        <v/>
      </c>
      <c r="G73" s="772">
        <f>+_xll.BDP(G91, "EQY_FREE_FLOAT_PCT")/100</f>
        <v/>
      </c>
      <c r="H73" s="772">
        <f>+_xll.BDP(H91, "EQY_FREE_FLOAT_PCT")/100</f>
        <v/>
      </c>
      <c r="I73" s="772">
        <f>+_xll.BDP(I91, "EQY_FREE_FLOAT_PCT")/100</f>
        <v/>
      </c>
      <c r="J73" s="772">
        <f>+_xll.BDP(J91, "EQY_FREE_FLOAT_PCT")/100</f>
        <v/>
      </c>
      <c r="K73" s="772">
        <f>+_xll.BDP(K91, "EQY_FREE_FLOAT_PCT")/100</f>
        <v/>
      </c>
      <c r="L73" s="772">
        <f>+_xll.BDP(L91, "EQY_FREE_FLOAT_PCT")/100</f>
        <v/>
      </c>
      <c r="M73" s="772">
        <f>+_xll.BDP(M91, "EQY_FREE_FLOAT_PCT")/100</f>
        <v/>
      </c>
      <c r="N73" s="772">
        <f>+_xll.BDP(N91, "EQY_FREE_FLOAT_PCT")/100</f>
        <v/>
      </c>
      <c r="O73" s="773">
        <f>IFERROR(+AVERAGE(D73:N73),"")</f>
        <v/>
      </c>
      <c r="P73" s="417" t="n"/>
      <c r="Q73" s="417" t="n"/>
      <c r="R73" s="464" t="n"/>
      <c r="S73" s="417" t="n"/>
      <c r="T73" s="417" t="n"/>
      <c r="U73" s="417" t="n"/>
      <c r="V73" s="417" t="n"/>
      <c r="W73" s="417" t="n"/>
      <c r="X73" s="417" t="n"/>
      <c r="Y73" s="417" t="n"/>
      <c r="Z73" s="417" t="n"/>
      <c r="AA73" s="417" t="n"/>
      <c r="AB73" s="417" t="n"/>
      <c r="AC73" s="417" t="n"/>
      <c r="AD73" s="417" t="n"/>
      <c r="AE73" s="417" t="n"/>
      <c r="AF73" s="417" t="n"/>
      <c r="AG73" s="417" t="n"/>
      <c r="AH73" s="417" t="n"/>
      <c r="AI73" s="417" t="n"/>
      <c r="AJ73" s="417" t="n"/>
      <c r="AK73" s="417" t="n"/>
      <c r="AL73" s="417" t="n"/>
      <c r="AM73" s="417" t="n"/>
      <c r="AN73" s="417" t="n"/>
      <c r="AO73" s="417" t="n"/>
      <c r="AP73" s="417" t="n"/>
      <c r="AQ73" s="417" t="n"/>
      <c r="AR73" s="417" t="n"/>
      <c r="AS73" s="417" t="n"/>
      <c r="AT73" s="417" t="n"/>
      <c r="AU73" s="417" t="n"/>
      <c r="AV73" s="417" t="n"/>
      <c r="AW73" s="417" t="n"/>
      <c r="AX73" s="417" t="n"/>
      <c r="AY73" s="417" t="n"/>
      <c r="AZ73" s="417" t="n"/>
    </row>
    <row r="74" ht="14.25" customFormat="1" customHeight="1" s="392">
      <c r="A74" s="417" t="n"/>
      <c r="B74" s="417" t="inlineStr">
        <is>
          <t>β (Levered)</t>
        </is>
      </c>
      <c r="C74" s="417" t="n"/>
      <c r="D74" s="442">
        <f>+_xll.BDP(D91, "EQY_BETA")</f>
        <v/>
      </c>
      <c r="E74" s="442">
        <f>+_xll.BDP(E91, "EQY_BETA")</f>
        <v/>
      </c>
      <c r="F74" s="442">
        <f>+_xll.BDP(F91, "EQY_BETA")</f>
        <v/>
      </c>
      <c r="G74" s="442">
        <f>+_xll.BDP(G91, "EQY_BETA")</f>
        <v/>
      </c>
      <c r="H74" s="442">
        <f>+_xll.BDP(H91, "EQY_BETA")</f>
        <v/>
      </c>
      <c r="I74" s="442">
        <f>+_xll.BDP(I91, "EQY_BETA")</f>
        <v/>
      </c>
      <c r="J74" s="442">
        <f>+_xll.BDP(J91, "EQY_BETA")</f>
        <v/>
      </c>
      <c r="K74" s="442">
        <f>+_xll.BDP(K91, "EQY_BETA")</f>
        <v/>
      </c>
      <c r="L74" s="442">
        <f>+_xll.BDP(L91, "EQY_BETA")</f>
        <v/>
      </c>
      <c r="M74" s="442">
        <f>+_xll.BDP(M91, "EQY_BETA")</f>
        <v/>
      </c>
      <c r="N74" s="442">
        <f>+_xll.BDP(N91, "EQY_BETA")</f>
        <v/>
      </c>
      <c r="O74" s="700">
        <f>IFERROR(+AVERAGE(D74:N74),"")</f>
        <v/>
      </c>
      <c r="P74" s="417" t="n"/>
      <c r="Q74" s="417" t="n"/>
      <c r="R74" s="464" t="n"/>
      <c r="S74" s="417" t="n"/>
      <c r="T74" s="417" t="n"/>
      <c r="U74" s="417" t="n"/>
      <c r="V74" s="417" t="n"/>
      <c r="W74" s="417" t="n"/>
      <c r="X74" s="417" t="n"/>
      <c r="Y74" s="417" t="n"/>
      <c r="Z74" s="417" t="n"/>
      <c r="AA74" s="417" t="n"/>
      <c r="AB74" s="417" t="n"/>
      <c r="AC74" s="417" t="n"/>
      <c r="AD74" s="417" t="n"/>
      <c r="AE74" s="417" t="n"/>
      <c r="AF74" s="417" t="n"/>
      <c r="AG74" s="417" t="n"/>
      <c r="AH74" s="417" t="n"/>
      <c r="AI74" s="417" t="n"/>
      <c r="AJ74" s="417" t="n"/>
      <c r="AK74" s="417" t="n"/>
      <c r="AL74" s="417" t="n"/>
      <c r="AM74" s="417" t="n"/>
      <c r="AN74" s="417" t="n"/>
      <c r="AO74" s="417" t="n"/>
      <c r="AP74" s="417" t="n"/>
      <c r="AQ74" s="417" t="n"/>
      <c r="AR74" s="417" t="n"/>
      <c r="AS74" s="417" t="n"/>
      <c r="AT74" s="417" t="n"/>
      <c r="AU74" s="417" t="n"/>
      <c r="AV74" s="417" t="n"/>
      <c r="AW74" s="417" t="n"/>
      <c r="AX74" s="417" t="n"/>
      <c r="AY74" s="417" t="n"/>
      <c r="AZ74" s="417" t="n"/>
    </row>
    <row r="75" ht="14.1" customFormat="1" customHeight="1" s="392">
      <c r="A75" s="417" t="n"/>
      <c r="B75" s="417" t="inlineStr">
        <is>
          <t>β (Unlevered)</t>
        </is>
      </c>
      <c r="C75" s="417" t="n"/>
      <c r="D75" s="442">
        <f>+_xll.BDP(D91, "UNLEVERED_BETA")</f>
        <v/>
      </c>
      <c r="E75" s="442">
        <f>+_xll.BDP(E91, "UNLEVERED_BETA")</f>
        <v/>
      </c>
      <c r="F75" s="442">
        <f>+_xll.BDP(F91, "UNLEVERED_BETA")</f>
        <v/>
      </c>
      <c r="G75" s="442">
        <f>+_xll.BDP(G91, "UNLEVERED_BETA")</f>
        <v/>
      </c>
      <c r="H75" s="442">
        <f>+_xll.BDP(H91, "UNLEVERED_BETA")</f>
        <v/>
      </c>
      <c r="I75" s="442">
        <f>+_xll.BDP(I91, "UNLEVERED_BETA")</f>
        <v/>
      </c>
      <c r="J75" s="442">
        <f>+_xll.BDP(J91, "UNLEVERED_BETA")</f>
        <v/>
      </c>
      <c r="K75" s="442">
        <f>+_xll.BDP(K91, "UNLEVERED_BETA")</f>
        <v/>
      </c>
      <c r="L75" s="442">
        <f>+_xll.BDP(L91, "UNLEVERED_BETA")</f>
        <v/>
      </c>
      <c r="M75" s="442">
        <f>+_xll.BDP(M91, "UNLEVERED_BETA")</f>
        <v/>
      </c>
      <c r="N75" s="442">
        <f>+_xll.BDP(N91, "UNLEVERED_BETA")</f>
        <v/>
      </c>
      <c r="O75" s="700">
        <f>IFERROR(+AVERAGE(D75:N75),"")</f>
        <v/>
      </c>
      <c r="P75" s="417" t="n"/>
      <c r="Q75" s="417" t="n"/>
      <c r="R75" s="464" t="n"/>
      <c r="S75" s="417" t="n"/>
      <c r="T75" s="417" t="n"/>
      <c r="U75" s="417" t="n"/>
      <c r="V75" s="417" t="n"/>
      <c r="W75" s="417" t="n"/>
      <c r="X75" s="417" t="n"/>
      <c r="Y75" s="417" t="n"/>
      <c r="Z75" s="417" t="n"/>
      <c r="AA75" s="417" t="n"/>
      <c r="AB75" s="417" t="n"/>
      <c r="AC75" s="417" t="n"/>
      <c r="AD75" s="417" t="n"/>
      <c r="AE75" s="417" t="n"/>
      <c r="AF75" s="417" t="n"/>
      <c r="AG75" s="417" t="n"/>
      <c r="AH75" s="417" t="n"/>
      <c r="AI75" s="417" t="n"/>
      <c r="AJ75" s="417" t="n"/>
      <c r="AK75" s="417" t="n"/>
      <c r="AL75" s="417" t="n"/>
      <c r="AM75" s="417" t="n"/>
      <c r="AN75" s="417" t="n"/>
      <c r="AO75" s="417" t="n"/>
      <c r="AP75" s="417" t="n"/>
      <c r="AQ75" s="417" t="n"/>
      <c r="AR75" s="417" t="n"/>
      <c r="AS75" s="417" t="n"/>
      <c r="AT75" s="417" t="n"/>
      <c r="AU75" s="417" t="n"/>
      <c r="AV75" s="417" t="n"/>
      <c r="AW75" s="417" t="n"/>
      <c r="AX75" s="417" t="n"/>
      <c r="AY75" s="417" t="n"/>
      <c r="AZ75" s="417" t="n"/>
    </row>
    <row r="76" ht="14.25" customFormat="1" customHeight="1" s="392">
      <c r="A76" s="417" t="n"/>
      <c r="B76" s="417" t="inlineStr">
        <is>
          <t>% Held by Insiders</t>
        </is>
      </c>
      <c r="C76" s="417" t="n"/>
      <c r="D76" s="897">
        <f>+_xll.BDP(D91, "PCT_INSIDER_SHARES_OUT")/100</f>
        <v/>
      </c>
      <c r="E76" s="897">
        <f>+_xll.BDP(E91, "PCT_INSIDER_SHARES_OUT")/100</f>
        <v/>
      </c>
      <c r="F76" s="897">
        <f>+_xll.BDP(F91, "PCT_INSIDER_SHARES_OUT")/100</f>
        <v/>
      </c>
      <c r="G76" s="897">
        <f>+_xll.BDP(G91, "PCT_INSIDER_SHARES_OUT")/100</f>
        <v/>
      </c>
      <c r="H76" s="897">
        <f>+_xll.BDP(H91, "PCT_INSIDER_SHARES_OUT")/100</f>
        <v/>
      </c>
      <c r="I76" s="897">
        <f>+_xll.BDP(I91, "PCT_INSIDER_SHARES_OUT")/100</f>
        <v/>
      </c>
      <c r="J76" s="897">
        <f>+_xll.BDP(J91, "PCT_INSIDER_SHARES_OUT")/100</f>
        <v/>
      </c>
      <c r="K76" s="897">
        <f>+_xll.BDP(K91, "PCT_INSIDER_SHARES_OUT")/100</f>
        <v/>
      </c>
      <c r="L76" s="897">
        <f>+_xll.BDP(L91, "PCT_INSIDER_SHARES_OUT")/100</f>
        <v/>
      </c>
      <c r="M76" s="897">
        <f>+_xll.BDP(M91, "PCT_INSIDER_SHARES_OUT")/100</f>
        <v/>
      </c>
      <c r="N76" s="897">
        <f>+_xll.BDP(N91, "PCT_INSIDER_SHARES_OUT")/100</f>
        <v/>
      </c>
      <c r="O76" s="898">
        <f>IFERROR(+AVERAGE(D76:N76),"")</f>
        <v/>
      </c>
      <c r="P76" s="417" t="n"/>
      <c r="Q76" s="417" t="n"/>
      <c r="R76" s="464" t="n"/>
      <c r="S76" s="417" t="n"/>
      <c r="T76" s="417" t="n"/>
      <c r="U76" s="417" t="n"/>
      <c r="V76" s="417" t="n"/>
      <c r="W76" s="417" t="n"/>
      <c r="X76" s="417" t="n"/>
      <c r="Y76" s="417" t="n"/>
      <c r="Z76" s="417" t="n"/>
      <c r="AA76" s="417" t="n"/>
      <c r="AB76" s="417" t="n"/>
      <c r="AC76" s="417" t="n"/>
      <c r="AD76" s="417" t="n"/>
      <c r="AE76" s="417" t="n"/>
      <c r="AF76" s="417" t="n"/>
      <c r="AG76" s="417" t="n"/>
      <c r="AH76" s="417" t="n"/>
      <c r="AI76" s="417" t="n"/>
      <c r="AJ76" s="417" t="n"/>
      <c r="AK76" s="417" t="n"/>
      <c r="AL76" s="417" t="n"/>
      <c r="AM76" s="417" t="n"/>
      <c r="AN76" s="417" t="n"/>
      <c r="AO76" s="417" t="n"/>
      <c r="AP76" s="417" t="n"/>
      <c r="AQ76" s="417" t="n"/>
      <c r="AR76" s="417" t="n"/>
      <c r="AS76" s="417" t="n"/>
      <c r="AT76" s="417" t="n"/>
      <c r="AU76" s="417" t="n"/>
      <c r="AV76" s="417" t="n"/>
      <c r="AW76" s="417" t="n"/>
      <c r="AX76" s="417" t="n"/>
      <c r="AY76" s="417" t="n"/>
      <c r="AZ76" s="417" t="n"/>
    </row>
    <row r="77" ht="14.25" customFormat="1" customHeight="1" s="392">
      <c r="A77" s="417" t="n"/>
      <c r="B77" s="417" t="inlineStr">
        <is>
          <t>% Held by Institutions</t>
        </is>
      </c>
      <c r="C77" s="417" t="n"/>
      <c r="D77" s="897">
        <f>+_xll.BDP(D91, "PCT_FLT_SHARES_INSTITUTIONS")/100</f>
        <v/>
      </c>
      <c r="E77" s="897">
        <f>+_xll.BDP(E91, "PCT_FLT_SHARES_INSTITUTIONS")/100</f>
        <v/>
      </c>
      <c r="F77" s="897">
        <f>+_xll.BDP(F91, "PCT_FLT_SHARES_INSTITUTIONS")/100</f>
        <v/>
      </c>
      <c r="G77" s="897">
        <f>+_xll.BDP(G91, "PCT_FLT_SHARES_INSTITUTIONS")/100</f>
        <v/>
      </c>
      <c r="H77" s="897">
        <f>+_xll.BDP(H91, "PCT_FLT_SHARES_INSTITUTIONS")/100</f>
        <v/>
      </c>
      <c r="I77" s="897">
        <f>+_xll.BDP(I91, "PCT_FLT_SHARES_INSTITUTIONS")/100</f>
        <v/>
      </c>
      <c r="J77" s="897">
        <f>+_xll.BDP(J91, "PCT_FLT_SHARES_INSTITUTIONS")/100</f>
        <v/>
      </c>
      <c r="K77" s="897">
        <f>+_xll.BDP(K91, "PCT_FLT_SHARES_INSTITUTIONS")/100</f>
        <v/>
      </c>
      <c r="L77" s="897">
        <f>+_xll.BDP(L91, "PCT_FLT_SHARES_INSTITUTIONS")/100</f>
        <v/>
      </c>
      <c r="M77" s="897">
        <f>+_xll.BDP(M91, "PCT_FLT_SHARES_INSTITUTIONS")/100</f>
        <v/>
      </c>
      <c r="N77" s="897">
        <f>+_xll.BDP(N91, "PCT_FLT_SHARES_INSTITUTIONS")/100</f>
        <v/>
      </c>
      <c r="O77" s="699">
        <f>IFERROR(+AVERAGE(D77:N77),"")</f>
        <v/>
      </c>
      <c r="P77" s="417" t="n"/>
      <c r="Q77" s="417" t="n"/>
      <c r="R77" s="464" t="n"/>
      <c r="S77" s="417" t="n"/>
      <c r="T77" s="417" t="n"/>
      <c r="U77" s="417" t="n"/>
      <c r="V77" s="417" t="n"/>
      <c r="W77" s="417" t="n"/>
      <c r="X77" s="417" t="n"/>
      <c r="Y77" s="417" t="n"/>
      <c r="Z77" s="417" t="n"/>
      <c r="AA77" s="417" t="n"/>
      <c r="AB77" s="417" t="n"/>
      <c r="AC77" s="417" t="n"/>
      <c r="AD77" s="417" t="n"/>
      <c r="AE77" s="417" t="n"/>
      <c r="AF77" s="417" t="n"/>
      <c r="AG77" s="417" t="n"/>
      <c r="AH77" s="417" t="n"/>
      <c r="AI77" s="417" t="n"/>
      <c r="AJ77" s="417" t="n"/>
      <c r="AK77" s="417" t="n"/>
      <c r="AL77" s="417" t="n"/>
      <c r="AM77" s="417" t="n"/>
      <c r="AN77" s="417" t="n"/>
      <c r="AO77" s="417" t="n"/>
      <c r="AP77" s="417" t="n"/>
      <c r="AQ77" s="417" t="n"/>
      <c r="AR77" s="417" t="n"/>
      <c r="AS77" s="417" t="n"/>
      <c r="AT77" s="417" t="n"/>
      <c r="AU77" s="417" t="n"/>
      <c r="AV77" s="417" t="n"/>
      <c r="AW77" s="417" t="n"/>
      <c r="AX77" s="417" t="n"/>
      <c r="AY77" s="417" t="n"/>
      <c r="AZ77" s="417" t="n"/>
    </row>
    <row r="78" ht="14.25" customFormat="1" customHeight="1" s="392">
      <c r="A78" s="417" t="n"/>
      <c r="B78" s="417" t="inlineStr">
        <is>
          <t>Short % Float</t>
        </is>
      </c>
      <c r="C78" s="417" t="n"/>
      <c r="D78" s="772">
        <f>+_xll.BDP(D91, "SI_PERCENT_EQUITY_FLOAT")/10</f>
        <v/>
      </c>
      <c r="E78" s="772">
        <f>+_xll.BDP(E91, "SI_PERCENT_EQUITY_FLOAT")/10</f>
        <v/>
      </c>
      <c r="F78" s="772">
        <f>+_xll.BDP(F91, "SI_PERCENT_EQUITY_FLOAT")/10</f>
        <v/>
      </c>
      <c r="G78" s="772">
        <f>+_xll.BDP(G91, "SI_PERCENT_EQUITY_FLOAT")/10</f>
        <v/>
      </c>
      <c r="H78" s="772">
        <f>+_xll.BDP(H91, "SI_PERCENT_EQUITY_FLOAT")/10</f>
        <v/>
      </c>
      <c r="I78" s="772">
        <f>+_xll.BDP(I91, "SI_PERCENT_EQUITY_FLOAT")/10</f>
        <v/>
      </c>
      <c r="J78" s="772">
        <f>+_xll.BDP(J91, "SI_PERCENT_EQUITY_FLOAT")/10</f>
        <v/>
      </c>
      <c r="K78" s="772">
        <f>+_xll.BDP(K91, "SI_PERCENT_EQUITY_FLOAT")/10</f>
        <v/>
      </c>
      <c r="L78" s="772">
        <f>+_xll.BDP(L91, "SI_PERCENT_EQUITY_FLOAT")/10</f>
        <v/>
      </c>
      <c r="M78" s="772">
        <f>+_xll.BDP(M91, "SI_PERCENT_EQUITY_FLOAT")/10</f>
        <v/>
      </c>
      <c r="N78" s="772">
        <f>+_xll.BDP(N91, "SI_PERCENT_EQUITY_FLOAT")/10</f>
        <v/>
      </c>
      <c r="O78" s="699">
        <f>IFERROR(+AVERAGE(D78:N78),"")</f>
        <v/>
      </c>
      <c r="P78" s="417" t="n"/>
      <c r="Q78" s="417" t="n"/>
      <c r="R78" s="464" t="n"/>
      <c r="S78" s="417" t="n"/>
      <c r="T78" s="417" t="n"/>
      <c r="U78" s="417" t="n"/>
      <c r="V78" s="417" t="n"/>
      <c r="W78" s="417" t="n"/>
      <c r="X78" s="417" t="n"/>
      <c r="Y78" s="417" t="n"/>
      <c r="Z78" s="417" t="n"/>
      <c r="AA78" s="417" t="n"/>
      <c r="AB78" s="417" t="n"/>
      <c r="AC78" s="417" t="n"/>
      <c r="AD78" s="417" t="n"/>
      <c r="AE78" s="417" t="n"/>
      <c r="AF78" s="417" t="n"/>
      <c r="AG78" s="417" t="n"/>
      <c r="AH78" s="417" t="n"/>
      <c r="AI78" s="417" t="n"/>
      <c r="AJ78" s="417" t="n"/>
      <c r="AK78" s="417" t="n"/>
      <c r="AL78" s="417" t="n"/>
      <c r="AM78" s="417" t="n"/>
      <c r="AN78" s="417" t="n"/>
      <c r="AO78" s="417" t="n"/>
      <c r="AP78" s="417" t="n"/>
      <c r="AQ78" s="417" t="n"/>
      <c r="AR78" s="417" t="n"/>
      <c r="AS78" s="417" t="n"/>
      <c r="AT78" s="417" t="n"/>
      <c r="AU78" s="417" t="n"/>
      <c r="AV78" s="417" t="n"/>
      <c r="AW78" s="417" t="n"/>
      <c r="AX78" s="417" t="n"/>
      <c r="AY78" s="417" t="n"/>
      <c r="AZ78" s="417" t="n"/>
    </row>
    <row r="79" ht="3.75" customFormat="1" customHeight="1" s="392">
      <c r="A79" s="417" t="n"/>
      <c r="B79" s="417" t="n"/>
      <c r="C79" s="417" t="n"/>
      <c r="D79" s="417" t="n"/>
      <c r="E79" s="417" t="n"/>
      <c r="F79" s="417" t="n"/>
      <c r="G79" s="417" t="n"/>
      <c r="H79" s="417" t="n"/>
      <c r="I79" s="417" t="n"/>
      <c r="J79" s="417" t="n"/>
      <c r="K79" s="417" t="n"/>
      <c r="L79" s="417" t="n"/>
      <c r="M79" s="417" t="n"/>
      <c r="N79" s="417" t="n"/>
      <c r="O79" s="417" t="n"/>
      <c r="P79" s="417" t="n"/>
      <c r="Q79" s="417" t="n"/>
      <c r="R79" s="464" t="n"/>
      <c r="S79" s="417" t="n"/>
      <c r="T79" s="417" t="n"/>
      <c r="U79" s="417" t="n"/>
      <c r="V79" s="417" t="n"/>
      <c r="W79" s="417" t="n"/>
      <c r="X79" s="417" t="n"/>
      <c r="Y79" s="417" t="n"/>
      <c r="Z79" s="417" t="n"/>
      <c r="AA79" s="417" t="n"/>
      <c r="AB79" s="417" t="n"/>
      <c r="AC79" s="417" t="n"/>
      <c r="AD79" s="417" t="n"/>
      <c r="AE79" s="417" t="n"/>
      <c r="AF79" s="417" t="n"/>
      <c r="AG79" s="417" t="n"/>
      <c r="AH79" s="417" t="n"/>
      <c r="AI79" s="417" t="n"/>
      <c r="AJ79" s="417" t="n"/>
      <c r="AK79" s="417" t="n"/>
      <c r="AL79" s="417" t="n"/>
      <c r="AM79" s="417" t="n"/>
      <c r="AN79" s="417" t="n"/>
      <c r="AO79" s="417" t="n"/>
      <c r="AP79" s="417" t="n"/>
      <c r="AQ79" s="417" t="n"/>
      <c r="AR79" s="417" t="n"/>
      <c r="AS79" s="417" t="n"/>
      <c r="AT79" s="417" t="n"/>
      <c r="AU79" s="417" t="n"/>
      <c r="AV79" s="417" t="n"/>
      <c r="AW79" s="417" t="n"/>
      <c r="AX79" s="417" t="n"/>
      <c r="AY79" s="417" t="n"/>
      <c r="AZ79" s="417" t="n"/>
    </row>
    <row r="80" ht="14.25" customFormat="1" customHeight="1" s="395">
      <c r="A80" s="426" t="n"/>
      <c r="B80" s="628" t="inlineStr">
        <is>
          <t>Stock Performance</t>
        </is>
      </c>
      <c r="C80" s="629" t="n"/>
      <c r="D80" s="402" t="inlineStr">
        <is>
          <t>AMD US Equity</t>
        </is>
      </c>
      <c r="E80" s="402">
        <f>+E29</f>
        <v/>
      </c>
      <c r="F80" s="402">
        <f>+F29</f>
        <v/>
      </c>
      <c r="G80" s="402">
        <f>+G29</f>
        <v/>
      </c>
      <c r="H80" s="402">
        <f>+H29</f>
        <v/>
      </c>
      <c r="I80" s="402">
        <f>+I29</f>
        <v/>
      </c>
      <c r="J80" s="402">
        <f>+J29</f>
        <v/>
      </c>
      <c r="K80" s="402">
        <f>+K29</f>
        <v/>
      </c>
      <c r="L80" s="402">
        <f>+L29</f>
        <v/>
      </c>
      <c r="M80" s="402">
        <f>+M29</f>
        <v/>
      </c>
      <c r="N80" s="402">
        <f>+N29</f>
        <v/>
      </c>
      <c r="O80" s="402">
        <f>+O29</f>
        <v/>
      </c>
      <c r="P80" s="426" t="n"/>
      <c r="Q80" s="426" t="n"/>
      <c r="R80" s="630" t="n"/>
      <c r="S80" s="426" t="n"/>
      <c r="T80" s="426" t="n"/>
      <c r="U80" s="426" t="n"/>
      <c r="V80" s="426" t="n"/>
      <c r="W80" s="426" t="n"/>
      <c r="X80" s="426" t="n"/>
      <c r="Y80" s="426" t="n"/>
      <c r="Z80" s="426" t="n"/>
      <c r="AA80" s="426" t="n"/>
      <c r="AB80" s="426" t="n"/>
      <c r="AC80" s="426" t="n"/>
      <c r="AD80" s="426" t="n"/>
      <c r="AE80" s="426" t="n"/>
      <c r="AF80" s="426" t="n"/>
      <c r="AG80" s="426" t="n"/>
      <c r="AH80" s="426" t="n"/>
      <c r="AI80" s="426" t="n"/>
      <c r="AJ80" s="426" t="n"/>
      <c r="AK80" s="426" t="n"/>
      <c r="AL80" s="426" t="n"/>
      <c r="AM80" s="426" t="n"/>
      <c r="AN80" s="426" t="n"/>
      <c r="AO80" s="426" t="n"/>
      <c r="AP80" s="426" t="n"/>
      <c r="AQ80" s="426" t="n"/>
      <c r="AR80" s="426" t="n"/>
      <c r="AS80" s="426" t="n"/>
      <c r="AT80" s="426" t="n"/>
      <c r="AU80" s="426" t="n"/>
      <c r="AV80" s="426" t="n"/>
      <c r="AW80" s="426" t="n"/>
      <c r="AX80" s="426" t="n"/>
      <c r="AY80" s="426" t="n"/>
      <c r="AZ80" s="426" t="n"/>
    </row>
    <row r="81" ht="3.75" customFormat="1" customHeight="1" s="392">
      <c r="A81" s="417" t="n"/>
      <c r="B81" s="452" t="n"/>
      <c r="C81" s="452" t="n"/>
      <c r="D81" s="452" t="n"/>
      <c r="E81" s="452" t="n"/>
      <c r="F81" s="452" t="n"/>
      <c r="G81" s="452" t="n"/>
      <c r="H81" s="452" t="n"/>
      <c r="I81" s="452" t="n"/>
      <c r="J81" s="452" t="n"/>
      <c r="K81" s="452" t="n"/>
      <c r="L81" s="452" t="n"/>
      <c r="M81" s="452" t="n"/>
      <c r="N81" s="452" t="n"/>
      <c r="O81" s="452" t="n"/>
      <c r="P81" s="417" t="n"/>
      <c r="Q81" s="417" t="n"/>
      <c r="R81" s="464" t="n"/>
      <c r="S81" s="417" t="n"/>
      <c r="T81" s="417" t="n"/>
      <c r="U81" s="417" t="n"/>
      <c r="V81" s="417" t="n"/>
      <c r="W81" s="417" t="n"/>
      <c r="X81" s="417" t="n"/>
      <c r="Y81" s="417" t="n"/>
      <c r="Z81" s="417" t="n"/>
      <c r="AA81" s="417" t="n"/>
      <c r="AB81" s="417" t="n"/>
      <c r="AC81" s="417" t="n"/>
      <c r="AD81" s="417" t="n"/>
      <c r="AE81" s="417" t="n"/>
      <c r="AF81" s="417" t="n"/>
      <c r="AG81" s="417" t="n"/>
      <c r="AH81" s="417" t="n"/>
      <c r="AI81" s="417" t="n"/>
      <c r="AJ81" s="417" t="n"/>
      <c r="AK81" s="417" t="n"/>
      <c r="AL81" s="417" t="n"/>
      <c r="AM81" s="417" t="n"/>
      <c r="AN81" s="417" t="n"/>
      <c r="AO81" s="417" t="n"/>
      <c r="AP81" s="417" t="n"/>
      <c r="AQ81" s="417" t="n"/>
      <c r="AR81" s="417" t="n"/>
      <c r="AS81" s="417" t="n"/>
      <c r="AT81" s="417" t="n"/>
      <c r="AU81" s="417" t="n"/>
      <c r="AV81" s="417" t="n"/>
      <c r="AW81" s="417" t="n"/>
      <c r="AX81" s="417" t="n"/>
      <c r="AY81" s="417" t="n"/>
      <c r="AZ81" s="417" t="n"/>
    </row>
    <row r="82" ht="14.25" customFormat="1" customHeight="1" s="392">
      <c r="A82" s="417" t="n"/>
      <c r="B82" s="417" t="inlineStr">
        <is>
          <t>1 day</t>
        </is>
      </c>
      <c r="C82" s="417" t="n"/>
      <c r="D82" s="468">
        <f>+_xll.BDP(D$91, "CHG_PCT_1D")/100</f>
        <v/>
      </c>
      <c r="E82" s="468">
        <f>+_xll.BDP(E$91, "CHG_PCT_1D")/100</f>
        <v/>
      </c>
      <c r="F82" s="468">
        <f>+_xll.BDP(F$91, "CHG_PCT_1D")/100</f>
        <v/>
      </c>
      <c r="G82" s="468">
        <f>+_xll.BDP(G$91, "CHG_PCT_1D")/100</f>
        <v/>
      </c>
      <c r="H82" s="468">
        <f>+_xll.BDP(H$91, "CHG_PCT_1D")/100</f>
        <v/>
      </c>
      <c r="I82" s="468">
        <f>+_xll.BDP(I$91, "CHG_PCT_1D")/100</f>
        <v/>
      </c>
      <c r="J82" s="468">
        <f>+_xll.BDP(J$91, "CHG_PCT_1D")/100</f>
        <v/>
      </c>
      <c r="K82" s="468">
        <f>+_xll.BDP(K$91, "CHG_PCT_1D")/100</f>
        <v/>
      </c>
      <c r="L82" s="468">
        <f>+_xll.BDP(L$91, "CHG_PCT_1D")/100</f>
        <v/>
      </c>
      <c r="M82" s="468">
        <f>+_xll.BDP(M$91, "CHG_PCT_1D")/100</f>
        <v/>
      </c>
      <c r="N82" s="468">
        <f>+_xll.BDP(N$91, "CHG_PCT_1D")/100</f>
        <v/>
      </c>
      <c r="O82" s="894">
        <f>IFERROR(+AVERAGE(D82:N82),"")</f>
        <v/>
      </c>
      <c r="P82" s="417" t="n"/>
      <c r="Q82" s="417" t="n"/>
      <c r="R82" s="464" t="n"/>
      <c r="S82" s="417" t="n"/>
      <c r="T82" s="417" t="n"/>
      <c r="U82" s="417" t="n"/>
      <c r="V82" s="417" t="n"/>
      <c r="W82" s="417" t="n"/>
      <c r="X82" s="417" t="n"/>
      <c r="Y82" s="417" t="n"/>
      <c r="Z82" s="417" t="n"/>
      <c r="AA82" s="417" t="n"/>
      <c r="AB82" s="417" t="n"/>
      <c r="AC82" s="417" t="n"/>
      <c r="AD82" s="417" t="n"/>
      <c r="AE82" s="417" t="n"/>
      <c r="AF82" s="417" t="n"/>
      <c r="AG82" s="417" t="n"/>
      <c r="AH82" s="417" t="n"/>
      <c r="AI82" s="417" t="n"/>
      <c r="AJ82" s="417" t="n"/>
      <c r="AK82" s="417" t="n"/>
      <c r="AL82" s="417" t="n"/>
      <c r="AM82" s="417" t="n"/>
      <c r="AN82" s="417" t="n"/>
      <c r="AO82" s="417" t="n"/>
      <c r="AP82" s="417" t="n"/>
      <c r="AQ82" s="417" t="n"/>
      <c r="AR82" s="417" t="n"/>
      <c r="AS82" s="417" t="n"/>
      <c r="AT82" s="417" t="n"/>
      <c r="AU82" s="417" t="n"/>
      <c r="AV82" s="417" t="n"/>
      <c r="AW82" s="417" t="n"/>
      <c r="AX82" s="417" t="n"/>
      <c r="AY82" s="417" t="n"/>
      <c r="AZ82" s="417" t="n"/>
    </row>
    <row r="83" ht="14.25" customFormat="1" customHeight="1" s="392">
      <c r="A83" s="417" t="n"/>
      <c r="B83" s="417" t="inlineStr">
        <is>
          <t>1 month</t>
        </is>
      </c>
      <c r="C83" s="417" t="n"/>
      <c r="D83" s="468">
        <f>+_xll.BDP(D$91, "CHG_PCT_1M")/100</f>
        <v/>
      </c>
      <c r="E83" s="468">
        <f>+_xll.BDP(E$91, "CHG_PCT_1M")/100</f>
        <v/>
      </c>
      <c r="F83" s="468">
        <f>+_xll.BDP(F$91, "CHG_PCT_1M")/100</f>
        <v/>
      </c>
      <c r="G83" s="468">
        <f>+_xll.BDP(G$91, "CHG_PCT_1M")/100</f>
        <v/>
      </c>
      <c r="H83" s="468">
        <f>+_xll.BDP(H$91, "CHG_PCT_1M")/100</f>
        <v/>
      </c>
      <c r="I83" s="468">
        <f>+_xll.BDP(I$91, "CHG_PCT_1M")/100</f>
        <v/>
      </c>
      <c r="J83" s="468">
        <f>+_xll.BDP(J$91, "CHG_PCT_1M")/100</f>
        <v/>
      </c>
      <c r="K83" s="468">
        <f>+_xll.BDP(K$91, "CHG_PCT_1M")/100</f>
        <v/>
      </c>
      <c r="L83" s="468">
        <f>+_xll.BDP(L$91, "CHG_PCT_1M")/100</f>
        <v/>
      </c>
      <c r="M83" s="468">
        <f>+_xll.BDP(M$91, "CHG_PCT_1M")/100</f>
        <v/>
      </c>
      <c r="N83" s="468">
        <f>+_xll.BDP(N$91, "CHG_PCT_1M")/100</f>
        <v/>
      </c>
      <c r="O83" s="894">
        <f>IFERROR(AVERAGE(D83:N83),"")</f>
        <v/>
      </c>
      <c r="P83" s="417" t="n"/>
      <c r="Q83" s="417" t="n"/>
      <c r="R83" s="464" t="n"/>
      <c r="S83" s="417" t="n"/>
      <c r="T83" s="417" t="n"/>
      <c r="U83" s="417" t="n"/>
      <c r="V83" s="417" t="n"/>
      <c r="W83" s="417" t="n"/>
      <c r="X83" s="417" t="n"/>
      <c r="Y83" s="417" t="n"/>
      <c r="Z83" s="417" t="n"/>
      <c r="AA83" s="417" t="n"/>
      <c r="AB83" s="417" t="n"/>
      <c r="AC83" s="417" t="n"/>
      <c r="AD83" s="417" t="n"/>
      <c r="AE83" s="417" t="n"/>
      <c r="AF83" s="417" t="n"/>
      <c r="AG83" s="417" t="n"/>
      <c r="AH83" s="417" t="n"/>
      <c r="AI83" s="417" t="n"/>
      <c r="AJ83" s="417" t="n"/>
      <c r="AK83" s="417" t="n"/>
      <c r="AL83" s="417" t="n"/>
      <c r="AM83" s="417" t="n"/>
      <c r="AN83" s="417" t="n"/>
      <c r="AO83" s="417" t="n"/>
      <c r="AP83" s="417" t="n"/>
      <c r="AQ83" s="417" t="n"/>
      <c r="AR83" s="417" t="n"/>
      <c r="AS83" s="417" t="n"/>
      <c r="AT83" s="417" t="n"/>
      <c r="AU83" s="417" t="n"/>
      <c r="AV83" s="417" t="n"/>
      <c r="AW83" s="417" t="n"/>
      <c r="AX83" s="417" t="n"/>
      <c r="AY83" s="417" t="n"/>
      <c r="AZ83" s="417" t="n"/>
    </row>
    <row r="84" ht="14.25" customFormat="1" customHeight="1" s="392">
      <c r="A84" s="417" t="n"/>
      <c r="B84" s="417" t="inlineStr">
        <is>
          <t>YTD</t>
        </is>
      </c>
      <c r="C84" s="417" t="n"/>
      <c r="D84" s="468">
        <f>+_xll.BDP(D$91, "CHG_PCT_YTD")/100</f>
        <v/>
      </c>
      <c r="E84" s="468">
        <f>+_xll.BDP(E$91, "CHG_PCT_YTD")/100</f>
        <v/>
      </c>
      <c r="F84" s="468">
        <f>+_xll.BDP(F$91, "CHG_PCT_YTD")/100</f>
        <v/>
      </c>
      <c r="G84" s="468">
        <f>+_xll.BDP(G$91, "CHG_PCT_YTD")/100</f>
        <v/>
      </c>
      <c r="H84" s="468">
        <f>+_xll.BDP(H$91, "CHG_PCT_YTD")/100</f>
        <v/>
      </c>
      <c r="I84" s="468">
        <f>+_xll.BDP(I$91, "CHG_PCT_YTD")/100</f>
        <v/>
      </c>
      <c r="J84" s="468">
        <f>+_xll.BDP(J$91, "CHG_PCT_YTD")/100</f>
        <v/>
      </c>
      <c r="K84" s="468">
        <f>+_xll.BDP(K$91, "CHG_PCT_YTD")/100</f>
        <v/>
      </c>
      <c r="L84" s="468">
        <f>+_xll.BDP(L$91, "CHG_PCT_YTD")/100</f>
        <v/>
      </c>
      <c r="M84" s="468">
        <f>+_xll.BDP(M$91, "CHG_PCT_YTD")/100</f>
        <v/>
      </c>
      <c r="N84" s="468">
        <f>+_xll.BDP(N$91, "CHG_PCT_YTD")/100</f>
        <v/>
      </c>
      <c r="O84" s="894">
        <f>IFERROR(AVERAGE(D84:N84),"")</f>
        <v/>
      </c>
      <c r="P84" s="417" t="n"/>
      <c r="Q84" s="417" t="n"/>
      <c r="R84" s="464" t="n"/>
      <c r="S84" s="417" t="n"/>
      <c r="T84" s="417" t="n"/>
      <c r="U84" s="417" t="n"/>
      <c r="V84" s="417" t="n"/>
      <c r="W84" s="417" t="n"/>
      <c r="X84" s="417" t="n"/>
      <c r="Y84" s="417" t="n"/>
      <c r="Z84" s="417" t="n"/>
      <c r="AA84" s="417" t="n"/>
      <c r="AB84" s="417" t="n"/>
      <c r="AC84" s="417" t="n"/>
      <c r="AD84" s="417" t="n"/>
      <c r="AE84" s="417" t="n"/>
      <c r="AF84" s="417" t="n"/>
      <c r="AG84" s="417" t="n"/>
      <c r="AH84" s="417" t="n"/>
      <c r="AI84" s="417" t="n"/>
      <c r="AJ84" s="417" t="n"/>
      <c r="AK84" s="417" t="n"/>
      <c r="AL84" s="417" t="n"/>
      <c r="AM84" s="417" t="n"/>
      <c r="AN84" s="417" t="n"/>
      <c r="AO84" s="417" t="n"/>
      <c r="AP84" s="417" t="n"/>
      <c r="AQ84" s="417" t="n"/>
      <c r="AR84" s="417" t="n"/>
      <c r="AS84" s="417" t="n"/>
      <c r="AT84" s="417" t="n"/>
      <c r="AU84" s="417" t="n"/>
      <c r="AV84" s="417" t="n"/>
      <c r="AW84" s="417" t="n"/>
      <c r="AX84" s="417" t="n"/>
      <c r="AY84" s="417" t="n"/>
      <c r="AZ84" s="417" t="n"/>
    </row>
    <row r="85" ht="14.25" customFormat="1" customHeight="1" s="392">
      <c r="A85" s="417" t="n"/>
      <c r="B85" s="417" t="inlineStr">
        <is>
          <t>Current Price</t>
        </is>
      </c>
      <c r="C85" s="417" t="n"/>
      <c r="D85" s="899">
        <f>_xll.BQL(D$91, "px_last", "currency", "usd")</f>
        <v/>
      </c>
      <c r="E85" s="899">
        <f>_xll.BQL(E$91, "px_last", "currency", "usd")</f>
        <v/>
      </c>
      <c r="F85" s="899">
        <f>_xll.BQL(F$91, "px_last", "currency", "usd")</f>
        <v/>
      </c>
      <c r="G85" s="899">
        <f>_xll.BQL(G$91, "px_last", "currency", "usd")</f>
        <v/>
      </c>
      <c r="H85" s="899">
        <f>_xll.BQL(H$91, "px_last", "currency", "usd")</f>
        <v/>
      </c>
      <c r="I85" s="899">
        <f>_xll.BQL(I$91, "px_last", "currency", "usd")</f>
        <v/>
      </c>
      <c r="J85" s="899">
        <f>_xll.BQL(J$91, "px_last", "currency", "usd")</f>
        <v/>
      </c>
      <c r="K85" s="899">
        <f>_xll.BQL(K$91, "px_last", "currency", "usd")</f>
        <v/>
      </c>
      <c r="L85" s="899">
        <f>_xll.BQL(L$91, "px_last", "currency", "usd")</f>
        <v/>
      </c>
      <c r="M85" s="899">
        <f>_xll.BQL(M$91, "px_last", "currency", "usd")</f>
        <v/>
      </c>
      <c r="N85" s="899">
        <f>_xll.BQL(N$91, "px_last", "currency", "usd")</f>
        <v/>
      </c>
      <c r="O85" s="894">
        <f>IFERROR(AVERAGE(D85:N85),"")</f>
        <v/>
      </c>
      <c r="P85" s="417" t="n"/>
      <c r="Q85" s="417" t="n"/>
      <c r="R85" s="464" t="n"/>
      <c r="S85" s="417" t="n"/>
      <c r="T85" s="417" t="n"/>
      <c r="U85" s="417" t="n"/>
      <c r="V85" s="417" t="n"/>
      <c r="W85" s="417" t="n"/>
      <c r="X85" s="417" t="n"/>
      <c r="Y85" s="417" t="n"/>
      <c r="Z85" s="417" t="n"/>
      <c r="AA85" s="417" t="n"/>
      <c r="AB85" s="417" t="n"/>
      <c r="AC85" s="417" t="n"/>
      <c r="AD85" s="417" t="n"/>
      <c r="AE85" s="417" t="n"/>
      <c r="AF85" s="417" t="n"/>
      <c r="AG85" s="417" t="n"/>
      <c r="AH85" s="417" t="n"/>
      <c r="AI85" s="417" t="n"/>
      <c r="AJ85" s="417" t="n"/>
      <c r="AK85" s="417" t="n"/>
      <c r="AL85" s="417" t="n"/>
      <c r="AM85" s="417" t="n"/>
      <c r="AN85" s="417" t="n"/>
      <c r="AO85" s="417" t="n"/>
      <c r="AP85" s="417" t="n"/>
      <c r="AQ85" s="417" t="n"/>
      <c r="AR85" s="417" t="n"/>
      <c r="AS85" s="417" t="n"/>
      <c r="AT85" s="417" t="n"/>
      <c r="AU85" s="417" t="n"/>
      <c r="AV85" s="417" t="n"/>
      <c r="AW85" s="417" t="n"/>
      <c r="AX85" s="417" t="n"/>
      <c r="AY85" s="417" t="n"/>
      <c r="AZ85" s="417" t="n"/>
    </row>
    <row r="86" ht="3.75" customFormat="1" customHeight="1" s="392">
      <c r="A86" s="417" t="n"/>
      <c r="B86" s="417" t="n"/>
      <c r="C86" s="417" t="n"/>
      <c r="D86" s="417" t="n"/>
      <c r="E86" s="417" t="n"/>
      <c r="F86" s="417" t="n"/>
      <c r="G86" s="417" t="n"/>
      <c r="H86" s="417" t="n"/>
      <c r="I86" s="417" t="n"/>
      <c r="J86" s="417" t="n"/>
      <c r="K86" s="417" t="n"/>
      <c r="L86" s="417" t="n"/>
      <c r="M86" s="417" t="n"/>
      <c r="N86" s="417" t="n"/>
      <c r="O86" s="417" t="n"/>
      <c r="P86" s="417" t="n"/>
      <c r="Q86" s="417" t="n"/>
      <c r="R86" s="464" t="n"/>
      <c r="S86" s="417" t="n"/>
      <c r="T86" s="417" t="n"/>
      <c r="U86" s="417" t="n"/>
      <c r="V86" s="417" t="n"/>
      <c r="W86" s="417" t="n"/>
      <c r="X86" s="417" t="n"/>
      <c r="Y86" s="417" t="n"/>
      <c r="Z86" s="417" t="n"/>
      <c r="AA86" s="417" t="n"/>
      <c r="AB86" s="417" t="n"/>
      <c r="AC86" s="417" t="n"/>
      <c r="AD86" s="417" t="n"/>
      <c r="AE86" s="417" t="n"/>
      <c r="AF86" s="417" t="n"/>
      <c r="AG86" s="417" t="n"/>
      <c r="AH86" s="417" t="n"/>
      <c r="AI86" s="417" t="n"/>
      <c r="AJ86" s="417" t="n"/>
      <c r="AK86" s="417" t="n"/>
      <c r="AL86" s="417" t="n"/>
      <c r="AM86" s="417" t="n"/>
      <c r="AN86" s="417" t="n"/>
      <c r="AO86" s="417" t="n"/>
      <c r="AP86" s="417" t="n"/>
      <c r="AQ86" s="417" t="n"/>
      <c r="AR86" s="417" t="n"/>
      <c r="AS86" s="417" t="n"/>
      <c r="AT86" s="417" t="n"/>
      <c r="AU86" s="417" t="n"/>
      <c r="AV86" s="417" t="n"/>
      <c r="AW86" s="417" t="n"/>
      <c r="AX86" s="417" t="n"/>
      <c r="AY86" s="417" t="n"/>
      <c r="AZ86" s="417" t="n"/>
    </row>
    <row r="87" ht="14.25" customFormat="1" customHeight="1" s="395">
      <c r="A87" s="426" t="n"/>
      <c r="B87" s="628" t="inlineStr">
        <is>
          <t>Extra</t>
        </is>
      </c>
      <c r="C87" s="629" t="n"/>
      <c r="D87" s="628" t="n"/>
      <c r="E87" s="628" t="n"/>
      <c r="F87" s="628" t="n"/>
      <c r="G87" s="628" t="n"/>
      <c r="H87" s="628" t="n"/>
      <c r="I87" s="628" t="n"/>
      <c r="J87" s="628" t="n"/>
      <c r="K87" s="628" t="n"/>
      <c r="L87" s="628" t="n"/>
      <c r="M87" s="628" t="n"/>
      <c r="N87" s="628" t="n"/>
      <c r="O87" s="628" t="n"/>
      <c r="P87" s="426" t="n"/>
      <c r="Q87" s="426" t="n"/>
      <c r="R87" s="630" t="n"/>
      <c r="S87" s="426" t="n"/>
      <c r="T87" s="426" t="n"/>
      <c r="U87" s="426" t="n"/>
      <c r="V87" s="426" t="n"/>
      <c r="W87" s="426" t="n"/>
      <c r="X87" s="426" t="n"/>
      <c r="Y87" s="426" t="n"/>
      <c r="Z87" s="426" t="n"/>
      <c r="AA87" s="426" t="n"/>
      <c r="AB87" s="426" t="n"/>
      <c r="AC87" s="426" t="n"/>
      <c r="AD87" s="426" t="n"/>
      <c r="AE87" s="426" t="n"/>
      <c r="AF87" s="426" t="n"/>
      <c r="AG87" s="426" t="n"/>
      <c r="AH87" s="426" t="n"/>
      <c r="AI87" s="426" t="n"/>
      <c r="AJ87" s="426" t="n"/>
      <c r="AK87" s="426" t="n"/>
      <c r="AL87" s="426" t="n"/>
      <c r="AM87" s="426" t="n"/>
      <c r="AN87" s="426" t="n"/>
      <c r="AO87" s="426" t="n"/>
      <c r="AP87" s="426" t="n"/>
      <c r="AQ87" s="426" t="n"/>
      <c r="AR87" s="426" t="n"/>
      <c r="AS87" s="426" t="n"/>
      <c r="AT87" s="426" t="n"/>
      <c r="AU87" s="426" t="n"/>
      <c r="AV87" s="426" t="n"/>
      <c r="AW87" s="426" t="n"/>
      <c r="AX87" s="426" t="n"/>
      <c r="AY87" s="426" t="n"/>
      <c r="AZ87" s="426" t="n"/>
    </row>
    <row r="88" ht="3.75" customFormat="1" customHeight="1" s="392">
      <c r="A88" s="417" t="n"/>
      <c r="B88" s="452" t="n"/>
      <c r="C88" s="452" t="n"/>
      <c r="D88" s="452" t="n"/>
      <c r="E88" s="452" t="n"/>
      <c r="F88" s="452" t="n"/>
      <c r="G88" s="452" t="n"/>
      <c r="H88" s="452" t="n"/>
      <c r="I88" s="452" t="n"/>
      <c r="J88" s="452" t="n"/>
      <c r="K88" s="452" t="n"/>
      <c r="L88" s="452" t="n"/>
      <c r="M88" s="452" t="n"/>
      <c r="N88" s="452" t="n"/>
      <c r="O88" s="452" t="n"/>
      <c r="P88" s="417" t="n"/>
      <c r="Q88" s="417" t="n"/>
      <c r="R88" s="464" t="n"/>
      <c r="S88" s="417" t="n"/>
      <c r="T88" s="417" t="n"/>
      <c r="U88" s="417" t="n"/>
      <c r="V88" s="417" t="n"/>
      <c r="W88" s="417" t="n"/>
      <c r="X88" s="417" t="n"/>
      <c r="Y88" s="417" t="n"/>
      <c r="Z88" s="417" t="n"/>
      <c r="AA88" s="417" t="n"/>
      <c r="AB88" s="417" t="n"/>
      <c r="AC88" s="417" t="n"/>
      <c r="AD88" s="417" t="n"/>
      <c r="AE88" s="417" t="n"/>
      <c r="AF88" s="417" t="n"/>
      <c r="AG88" s="417" t="n"/>
      <c r="AH88" s="417" t="n"/>
      <c r="AI88" s="417" t="n"/>
      <c r="AJ88" s="417" t="n"/>
      <c r="AK88" s="417" t="n"/>
      <c r="AL88" s="417" t="n"/>
      <c r="AM88" s="417" t="n"/>
      <c r="AN88" s="417" t="n"/>
      <c r="AO88" s="417" t="n"/>
      <c r="AP88" s="417" t="n"/>
      <c r="AQ88" s="417" t="n"/>
      <c r="AR88" s="417" t="n"/>
      <c r="AS88" s="417" t="n"/>
      <c r="AT88" s="417" t="n"/>
      <c r="AU88" s="417" t="n"/>
      <c r="AV88" s="417" t="n"/>
      <c r="AW88" s="417" t="n"/>
      <c r="AX88" s="417" t="n"/>
      <c r="AY88" s="417" t="n"/>
      <c r="AZ88" s="417" t="n"/>
    </row>
    <row r="89" ht="14.25" customFormat="1" customHeight="1" s="392">
      <c r="A89" s="417" t="n"/>
      <c r="B89" s="417" t="inlineStr">
        <is>
          <t>% Revenues in the US</t>
        </is>
      </c>
      <c r="C89" s="417" t="n"/>
      <c r="D89" s="417">
        <f>_xll.BQL(D91, "sales_rev_turn(fpr='us')")</f>
        <v/>
      </c>
      <c r="E89" s="417">
        <f>_xll.BQL(E91, "sales_rev_turn(fpr='us')")</f>
        <v/>
      </c>
      <c r="F89" s="417">
        <f>_xll.BQL(F91, "sales_rev_turn(fpr='us')")</f>
        <v/>
      </c>
      <c r="G89" s="417">
        <f>_xll.BQL(G91, "sales_rev_turn(fpr='us')")</f>
        <v/>
      </c>
      <c r="H89" s="417">
        <f>_xll.BQL(H91, "sales_rev_turn(fpr='us')")</f>
        <v/>
      </c>
      <c r="I89" s="417">
        <f>_xll.BQL(I91, "sales_rev_turn(fpr='us')")</f>
        <v/>
      </c>
      <c r="J89" s="417">
        <f>_xll.BQL(J91, "sales_rev_turn(fpr='us')")</f>
        <v/>
      </c>
      <c r="K89" s="417">
        <f>_xll.BQL(K91, "sales_rev_turn(fpr='us')")</f>
        <v/>
      </c>
      <c r="L89" s="417">
        <f>_xll.BQL(L91, "sales_rev_turn(fpr='us')")</f>
        <v/>
      </c>
      <c r="M89" s="417">
        <f>_xll.BQL(M91, "sales_rev_turn(fpr='us')")</f>
        <v/>
      </c>
      <c r="N89" s="417">
        <f>_xll.BQL(N91, "sales_rev_turn(fpr='us')")</f>
        <v/>
      </c>
      <c r="O89" s="417" t="n"/>
      <c r="P89" s="417" t="n"/>
      <c r="Q89" s="417" t="n"/>
      <c r="R89" s="464" t="n"/>
      <c r="S89" s="417" t="n"/>
      <c r="T89" s="417" t="n"/>
      <c r="U89" s="417" t="n"/>
      <c r="V89" s="417" t="n"/>
      <c r="W89" s="417" t="n"/>
      <c r="X89" s="417" t="n"/>
      <c r="Y89" s="417" t="n"/>
      <c r="Z89" s="417" t="n"/>
      <c r="AA89" s="417" t="n"/>
      <c r="AB89" s="417" t="n"/>
      <c r="AC89" s="417" t="n"/>
      <c r="AD89" s="417" t="n"/>
      <c r="AE89" s="417" t="n"/>
      <c r="AF89" s="417" t="n"/>
      <c r="AG89" s="417" t="n"/>
      <c r="AH89" s="417" t="n"/>
      <c r="AI89" s="417" t="n"/>
      <c r="AJ89" s="417" t="n"/>
      <c r="AK89" s="417" t="n"/>
      <c r="AL89" s="417" t="n"/>
      <c r="AM89" s="417" t="n"/>
      <c r="AN89" s="417" t="n"/>
      <c r="AO89" s="417" t="n"/>
      <c r="AP89" s="417" t="n"/>
      <c r="AQ89" s="417" t="n"/>
      <c r="AR89" s="417" t="n"/>
      <c r="AS89" s="417" t="n"/>
      <c r="AT89" s="417" t="n"/>
      <c r="AU89" s="417" t="n"/>
      <c r="AV89" s="417" t="n"/>
      <c r="AW89" s="417" t="n"/>
      <c r="AX89" s="417" t="n"/>
      <c r="AY89" s="417" t="n"/>
      <c r="AZ89" s="417" t="n"/>
    </row>
    <row r="90" ht="5.25" customFormat="1" customHeight="1" s="392">
      <c r="A90" s="417" t="n"/>
      <c r="B90" s="417" t="n"/>
      <c r="C90" s="417" t="n"/>
      <c r="D90" s="417" t="n"/>
      <c r="E90" s="417" t="n"/>
      <c r="F90" s="417" t="n"/>
      <c r="G90" s="417" t="n"/>
      <c r="H90" s="417" t="n"/>
      <c r="I90" s="417" t="n"/>
      <c r="J90" s="417" t="n"/>
      <c r="K90" s="417" t="n"/>
      <c r="L90" s="417" t="n"/>
      <c r="M90" s="417" t="n"/>
      <c r="N90" s="417" t="n"/>
      <c r="O90" s="417" t="n"/>
      <c r="P90" s="417" t="n"/>
      <c r="Q90" s="417" t="n"/>
      <c r="R90" s="464" t="n"/>
      <c r="S90" s="417" t="n"/>
      <c r="T90" s="417" t="n"/>
      <c r="U90" s="417" t="n"/>
      <c r="V90" s="417" t="n"/>
      <c r="W90" s="417" t="n"/>
      <c r="X90" s="417" t="n"/>
      <c r="Y90" s="417" t="n"/>
      <c r="Z90" s="417" t="n"/>
      <c r="AA90" s="417" t="n"/>
      <c r="AB90" s="417" t="n"/>
      <c r="AC90" s="417" t="n"/>
      <c r="AD90" s="417" t="n"/>
      <c r="AE90" s="417" t="n"/>
      <c r="AF90" s="417" t="n"/>
      <c r="AG90" s="417" t="n"/>
      <c r="AH90" s="417" t="n"/>
      <c r="AI90" s="417" t="n"/>
      <c r="AJ90" s="417" t="n"/>
      <c r="AK90" s="417" t="n"/>
      <c r="AL90" s="417" t="n"/>
      <c r="AM90" s="417" t="n"/>
      <c r="AN90" s="417" t="n"/>
      <c r="AO90" s="417" t="n"/>
      <c r="AP90" s="417" t="n"/>
      <c r="AQ90" s="417" t="n"/>
      <c r="AR90" s="417" t="n"/>
      <c r="AS90" s="417" t="n"/>
      <c r="AT90" s="417" t="n"/>
      <c r="AU90" s="417" t="n"/>
      <c r="AV90" s="417" t="n"/>
      <c r="AW90" s="417" t="n"/>
      <c r="AX90" s="417" t="n"/>
      <c r="AY90" s="417" t="n"/>
      <c r="AZ90" s="417" t="n"/>
    </row>
    <row r="91" ht="24.75" customFormat="1" customHeight="1" s="392">
      <c r="A91" s="417" t="n"/>
      <c r="B91" s="469" t="inlineStr">
        <is>
          <t>Income Statement</t>
        </is>
      </c>
      <c r="C91" s="454" t="n"/>
      <c r="D91" s="403">
        <f>+Summary!D6</f>
        <v/>
      </c>
      <c r="E91" s="404" t="inlineStr">
        <is>
          <t>PEER 1</t>
        </is>
      </c>
      <c r="F91" s="406" t="inlineStr">
        <is>
          <t>PEER 2</t>
        </is>
      </c>
      <c r="G91" s="686" t="inlineStr">
        <is>
          <t>PEER 3</t>
        </is>
      </c>
      <c r="H91" s="692" t="inlineStr">
        <is>
          <t>PEER 4</t>
        </is>
      </c>
      <c r="I91" s="692" t="inlineStr">
        <is>
          <t>PEER 5</t>
        </is>
      </c>
      <c r="J91" s="692" t="inlineStr">
        <is>
          <t>PEER 6</t>
        </is>
      </c>
      <c r="K91" s="692" t="inlineStr">
        <is>
          <t>PEER 7</t>
        </is>
      </c>
      <c r="L91" s="692" t="inlineStr">
        <is>
          <t>PEER 8</t>
        </is>
      </c>
      <c r="M91" s="692" t="inlineStr">
        <is>
          <t>PEER 9</t>
        </is>
      </c>
      <c r="N91" s="405" t="inlineStr">
        <is>
          <t>PEER 10</t>
        </is>
      </c>
      <c r="O91" s="417" t="n"/>
      <c r="P91" s="417" t="n"/>
      <c r="Q91" s="417" t="n"/>
      <c r="R91" s="464" t="n"/>
      <c r="S91" s="417" t="n"/>
      <c r="T91" s="417" t="n"/>
      <c r="U91" s="417" t="n"/>
      <c r="V91" s="417" t="n"/>
      <c r="W91" s="417" t="n"/>
      <c r="X91" s="417" t="n"/>
      <c r="Y91" s="417" t="n"/>
      <c r="Z91" s="417" t="n"/>
      <c r="AA91" s="417" t="n"/>
      <c r="AB91" s="417" t="n"/>
      <c r="AC91" s="417" t="n"/>
      <c r="AD91" s="417" t="n"/>
      <c r="AE91" s="417" t="n"/>
      <c r="AF91" s="417" t="n"/>
      <c r="AG91" s="417" t="n"/>
      <c r="AH91" s="417" t="n"/>
      <c r="AI91" s="417" t="n"/>
      <c r="AJ91" s="417" t="n"/>
      <c r="AK91" s="417" t="n"/>
      <c r="AL91" s="417" t="n"/>
      <c r="AM91" s="417" t="n"/>
      <c r="AN91" s="417" t="n"/>
      <c r="AO91" s="417" t="n"/>
      <c r="AP91" s="417" t="n"/>
      <c r="AQ91" s="417" t="n"/>
      <c r="AR91" s="417" t="n"/>
      <c r="AS91" s="417" t="n"/>
      <c r="AT91" s="417" t="n"/>
      <c r="AU91" s="417" t="n"/>
      <c r="AV91" s="417" t="n"/>
      <c r="AW91" s="417" t="n"/>
      <c r="AX91" s="417" t="n"/>
      <c r="AY91" s="417" t="n"/>
      <c r="AZ91" s="417" t="n"/>
    </row>
    <row r="92" ht="3.75" customFormat="1" customHeight="1" s="392">
      <c r="A92" s="417" t="n"/>
      <c r="B92" s="470" t="n"/>
      <c r="C92" s="458" t="n"/>
      <c r="D92" s="407" t="n"/>
      <c r="E92" s="408" t="n"/>
      <c r="F92" s="410" t="n"/>
      <c r="G92" s="687" t="n"/>
      <c r="H92" s="693" t="n"/>
      <c r="I92" s="693" t="n"/>
      <c r="J92" s="693" t="n"/>
      <c r="K92" s="693" t="n"/>
      <c r="L92" s="693" t="n"/>
      <c r="M92" s="693" t="n"/>
      <c r="N92" s="409" t="n"/>
      <c r="O92" s="417" t="n"/>
      <c r="P92" s="417" t="n"/>
      <c r="Q92" s="417" t="n"/>
      <c r="R92" s="464" t="n"/>
      <c r="S92" s="417" t="n"/>
      <c r="T92" s="417" t="n"/>
      <c r="U92" s="417" t="n"/>
      <c r="V92" s="417" t="n"/>
      <c r="W92" s="417" t="n"/>
      <c r="X92" s="417" t="n"/>
      <c r="Y92" s="417" t="n"/>
      <c r="Z92" s="417" t="n"/>
      <c r="AA92" s="417" t="n"/>
      <c r="AB92" s="417" t="n"/>
      <c r="AC92" s="417" t="n"/>
      <c r="AD92" s="417" t="n"/>
      <c r="AE92" s="417" t="n"/>
      <c r="AF92" s="417" t="n"/>
      <c r="AG92" s="417" t="n"/>
      <c r="AH92" s="417" t="n"/>
      <c r="AI92" s="417" t="n"/>
      <c r="AJ92" s="417" t="n"/>
      <c r="AK92" s="417" t="n"/>
      <c r="AL92" s="417" t="n"/>
      <c r="AM92" s="417" t="n"/>
      <c r="AN92" s="417" t="n"/>
      <c r="AO92" s="417" t="n"/>
      <c r="AP92" s="417" t="n"/>
      <c r="AQ92" s="417" t="n"/>
      <c r="AR92" s="417" t="n"/>
      <c r="AS92" s="417" t="n"/>
      <c r="AT92" s="417" t="n"/>
      <c r="AU92" s="417" t="n"/>
      <c r="AV92" s="417" t="n"/>
      <c r="AW92" s="417" t="n"/>
      <c r="AX92" s="417" t="n"/>
      <c r="AY92" s="417" t="n"/>
      <c r="AZ92" s="417" t="n"/>
    </row>
    <row r="93" ht="14.25" customFormat="1" customHeight="1" s="392">
      <c r="A93" s="417" t="n"/>
      <c r="B93" s="471">
        <f>+Inputs!$B$6&amp;" ("&amp;Inputs!O$4&amp;")"</f>
        <v/>
      </c>
      <c r="C93" s="472" t="n"/>
      <c r="D93" s="473">
        <f>+_xlfn.XLOOKUP("Revenue (Sales)",Inputs!$B:$B,Inputs!O:O)</f>
        <v/>
      </c>
      <c r="E93" s="474">
        <f>+_xll.BDH(E$91, "SALES_REV_TURN", "FY2022")</f>
        <v/>
      </c>
      <c r="F93" s="474">
        <f>+_xll.BDH(F$91, "SALES_REV_TURN", "FY2022")</f>
        <v/>
      </c>
      <c r="G93" s="474">
        <f>+_xll.BDH(G$91, "SALES_REV_TURN", "FY2022")</f>
        <v/>
      </c>
      <c r="H93" s="474">
        <f>+_xll.BDH(H$91, "SALES_REV_TURN", "FY2022")</f>
        <v/>
      </c>
      <c r="I93" s="474">
        <f>+_xll.BDH(I$91, "SALES_REV_TURN", "FY2022")</f>
        <v/>
      </c>
      <c r="J93" s="474">
        <f>+_xll.BDH(J$91, "SALES_REV_TURN", "FY2022")</f>
        <v/>
      </c>
      <c r="K93" s="474">
        <f>+_xll.BDH(K$91, "SALES_REV_TURN", "FY2022")</f>
        <v/>
      </c>
      <c r="L93" s="474">
        <f>+_xll.BDH(L$91, "SALES_REV_TURN", "FY2022")</f>
        <v/>
      </c>
      <c r="M93" s="474">
        <f>+_xll.BDH(M$91, "SALES_REV_TURN", "FY2022")</f>
        <v/>
      </c>
      <c r="N93" s="474">
        <f>+_xll.BDH(N$91, "SALES_REV_TURN", "FY2022")</f>
        <v/>
      </c>
      <c r="O93" s="417" t="n"/>
      <c r="P93" s="417" t="n"/>
      <c r="Q93" s="417" t="n"/>
      <c r="R93" s="464" t="n"/>
      <c r="S93" s="417" t="n"/>
      <c r="T93" s="417" t="n"/>
      <c r="U93" s="417" t="n"/>
      <c r="V93" s="417" t="n"/>
      <c r="W93" s="417" t="n"/>
      <c r="X93" s="417" t="n"/>
      <c r="Y93" s="417" t="n"/>
      <c r="Z93" s="417" t="n"/>
      <c r="AA93" s="417" t="n"/>
      <c r="AB93" s="417" t="n"/>
      <c r="AC93" s="417" t="n"/>
      <c r="AD93" s="417" t="n"/>
      <c r="AE93" s="417" t="n"/>
      <c r="AF93" s="417" t="n"/>
      <c r="AG93" s="417" t="n"/>
      <c r="AH93" s="417" t="n"/>
      <c r="AI93" s="417" t="n"/>
      <c r="AJ93" s="417" t="n"/>
      <c r="AK93" s="417" t="n"/>
      <c r="AL93" s="417" t="n"/>
      <c r="AM93" s="417" t="n"/>
      <c r="AN93" s="417" t="n"/>
      <c r="AO93" s="417" t="n"/>
      <c r="AP93" s="417" t="n"/>
      <c r="AQ93" s="417" t="n"/>
      <c r="AR93" s="417" t="n"/>
      <c r="AS93" s="417" t="n"/>
      <c r="AT93" s="417" t="n"/>
      <c r="AU93" s="417" t="n"/>
      <c r="AV93" s="417" t="n"/>
      <c r="AW93" s="417" t="n"/>
      <c r="AX93" s="417" t="n"/>
      <c r="AY93" s="417" t="n"/>
      <c r="AZ93" s="417" t="n"/>
    </row>
    <row r="94" ht="14.25" customFormat="1" customHeight="1" s="392">
      <c r="A94" s="417" t="n"/>
      <c r="B94" s="475">
        <f>+Inputs!$B$6&amp;" ("&amp;Inputs!P$4&amp;")"</f>
        <v/>
      </c>
      <c r="C94" s="417" t="n"/>
      <c r="D94" s="476">
        <f>+_xlfn.XLOOKUP("Revenue (Sales)",Inputs!$B:$B,Inputs!P:P)</f>
        <v/>
      </c>
      <c r="E94" s="477">
        <f>+_xll.BDH(E$91, "SALES_REV_TURN", "FY2023")</f>
        <v/>
      </c>
      <c r="F94" s="477">
        <f>+_xll.BDH(F$91, "SALES_REV_TURN", "FY2023")</f>
        <v/>
      </c>
      <c r="G94" s="477">
        <f>+_xll.BDH(G$91, "SALES_REV_TURN", "FY2023")</f>
        <v/>
      </c>
      <c r="H94" s="477">
        <f>+_xll.BDH(H$91, "SALES_REV_TURN", "FY2023")</f>
        <v/>
      </c>
      <c r="I94" s="477">
        <f>+_xll.BDH(I$91, "SALES_REV_TURN", "FY2023")</f>
        <v/>
      </c>
      <c r="J94" s="477">
        <f>+_xll.BDH(J$91, "SALES_REV_TURN", "FY2023")</f>
        <v/>
      </c>
      <c r="K94" s="477">
        <f>+_xll.BDH(K$91, "SALES_REV_TURN", "FY2023")</f>
        <v/>
      </c>
      <c r="L94" s="477">
        <f>+_xll.BDH(L$91, "SALES_REV_TURN", "FY2023")</f>
        <v/>
      </c>
      <c r="M94" s="477">
        <f>+_xll.BDH(M$91, "SALES_REV_TURN", "FY2023")</f>
        <v/>
      </c>
      <c r="N94" s="477">
        <f>+_xll.BDH(N$91, "SALES_REV_TURN", "FY2023")</f>
        <v/>
      </c>
      <c r="O94" s="417" t="n"/>
      <c r="P94" s="417" t="n"/>
      <c r="Q94" s="417" t="n"/>
      <c r="R94" s="464" t="n"/>
      <c r="S94" s="417" t="n"/>
      <c r="T94" s="417" t="n"/>
      <c r="U94" s="417" t="n"/>
      <c r="V94" s="417" t="n"/>
      <c r="W94" s="417" t="n"/>
      <c r="X94" s="417" t="n"/>
      <c r="Y94" s="417" t="n"/>
      <c r="Z94" s="417" t="n"/>
      <c r="AA94" s="417" t="n"/>
      <c r="AB94" s="417" t="n"/>
      <c r="AC94" s="417" t="n"/>
      <c r="AD94" s="417" t="n"/>
      <c r="AE94" s="417" t="n"/>
      <c r="AF94" s="417" t="n"/>
      <c r="AG94" s="417" t="n"/>
      <c r="AH94" s="417" t="n"/>
      <c r="AI94" s="417" t="n"/>
      <c r="AJ94" s="417" t="n"/>
      <c r="AK94" s="417" t="n"/>
      <c r="AL94" s="417" t="n"/>
      <c r="AM94" s="417" t="n"/>
      <c r="AN94" s="417" t="n"/>
      <c r="AO94" s="417" t="n"/>
      <c r="AP94" s="417" t="n"/>
      <c r="AQ94" s="417" t="n"/>
      <c r="AR94" s="417" t="n"/>
      <c r="AS94" s="417" t="n"/>
      <c r="AT94" s="417" t="n"/>
      <c r="AU94" s="417" t="n"/>
      <c r="AV94" s="417" t="n"/>
      <c r="AW94" s="417" t="n"/>
      <c r="AX94" s="417" t="n"/>
      <c r="AY94" s="417" t="n"/>
      <c r="AZ94" s="417" t="n"/>
    </row>
    <row r="95" ht="14.25" customFormat="1" customHeight="1" s="392">
      <c r="A95" s="417" t="n"/>
      <c r="B95" s="475" t="inlineStr">
        <is>
          <t>EBITDA (2023)</t>
        </is>
      </c>
      <c r="C95" s="417" t="n"/>
      <c r="D95" s="776">
        <f>+_xlfn.XLOOKUP("EBITDA",Inputs!$B:$B,Inputs!P:P)</f>
        <v/>
      </c>
      <c r="E95" s="777">
        <f>+_xll.BDH(E$91, "EBITDA", "FY2023")</f>
        <v/>
      </c>
      <c r="F95" s="777">
        <f>+_xll.BDH(F$91, "EBITDA", "FY2023")</f>
        <v/>
      </c>
      <c r="G95" s="777">
        <f>+_xll.BDH(G$91, "EBITDA", "FY2023")</f>
        <v/>
      </c>
      <c r="H95" s="777">
        <f>+_xll.BDH(H$91, "EBITDA", "FY2023")</f>
        <v/>
      </c>
      <c r="I95" s="777">
        <f>+_xll.BDH(I$91, "EBITDA", "FY2023")</f>
        <v/>
      </c>
      <c r="J95" s="777">
        <f>+_xll.BDH(J$91, "EBITDA", "FY2023")</f>
        <v/>
      </c>
      <c r="K95" s="777">
        <f>+_xll.BDH(K$91, "EBITDA", "FY2023")</f>
        <v/>
      </c>
      <c r="L95" s="777">
        <f>+_xll.BDH(L$91, "EBITDA", "FY2023")</f>
        <v/>
      </c>
      <c r="M95" s="777">
        <f>+_xll.BDH(M$91, "EBITDA", "FY2023")</f>
        <v/>
      </c>
      <c r="N95" s="694">
        <f>+_xll.BDH(N$91, "EBITDA", "FY2023")</f>
        <v/>
      </c>
      <c r="O95" s="417" t="n"/>
      <c r="P95" s="417" t="n"/>
      <c r="Q95" s="417">
        <f>+_xll.BDH("AAPL US Equity", "NET_INCOME",  "FY2022")</f>
        <v/>
      </c>
      <c r="R95" s="464" t="n"/>
      <c r="S95" s="417" t="n"/>
      <c r="T95" s="417" t="n"/>
      <c r="U95" s="417" t="n"/>
      <c r="V95" s="417" t="n"/>
      <c r="W95" s="417" t="n"/>
      <c r="X95" s="417" t="n"/>
      <c r="Y95" s="417" t="n"/>
      <c r="Z95" s="417" t="n"/>
      <c r="AA95" s="417" t="n"/>
      <c r="AB95" s="417" t="n"/>
      <c r="AC95" s="417" t="n"/>
      <c r="AD95" s="417" t="n"/>
      <c r="AE95" s="417" t="n"/>
      <c r="AF95" s="417" t="n"/>
      <c r="AG95" s="417" t="n"/>
      <c r="AH95" s="417" t="n"/>
      <c r="AI95" s="417" t="n"/>
      <c r="AJ95" s="417" t="n"/>
      <c r="AK95" s="417" t="n"/>
      <c r="AL95" s="417" t="n"/>
      <c r="AM95" s="417" t="n"/>
      <c r="AN95" s="417" t="n"/>
      <c r="AO95" s="417" t="n"/>
      <c r="AP95" s="417" t="n"/>
      <c r="AQ95" s="417" t="n"/>
      <c r="AR95" s="417" t="n"/>
      <c r="AS95" s="417" t="n"/>
      <c r="AT95" s="417" t="n"/>
      <c r="AU95" s="417" t="n"/>
      <c r="AV95" s="417" t="n"/>
      <c r="AW95" s="417" t="n"/>
      <c r="AX95" s="417" t="n"/>
      <c r="AY95" s="417" t="n"/>
      <c r="AZ95" s="417" t="n"/>
    </row>
    <row r="96" ht="14.25" customFormat="1" customHeight="1" s="392">
      <c r="A96" s="417" t="n"/>
      <c r="B96" s="471" t="inlineStr">
        <is>
          <t>Net Income (2023)</t>
        </is>
      </c>
      <c r="C96" s="472" t="n"/>
      <c r="D96" s="473">
        <f>+_xlfn.XLOOKUP("Net Income",Inputs!$B:$B,Inputs!P:P)</f>
        <v/>
      </c>
      <c r="E96" s="474">
        <f>+_xll.BDH(E$91, "NET_INCOME", "FY2023")</f>
        <v/>
      </c>
      <c r="F96" s="474">
        <f>+_xll.BDH(F$91, "NET_INCOME", "FY2023")</f>
        <v/>
      </c>
      <c r="G96" s="474">
        <f>+_xll.BDH(G$91, "NET_INCOME", "FY2023")</f>
        <v/>
      </c>
      <c r="H96" s="474">
        <f>+_xll.BDH(H$91, "NET_INCOME", "FY2023")</f>
        <v/>
      </c>
      <c r="I96" s="474">
        <f>+_xll.BDH(I$91, "NET_INCOME", "FY2023")</f>
        <v/>
      </c>
      <c r="J96" s="474">
        <f>+_xll.BDH(J$91, "NET_INCOME", "FY2023")</f>
        <v/>
      </c>
      <c r="K96" s="474">
        <f>+_xll.BDH(K$91, "NET_INCOME", "FY2023")</f>
        <v/>
      </c>
      <c r="L96" s="474">
        <f>+_xll.BDH(L$91, "NET_INCOME", "FY2023")</f>
        <v/>
      </c>
      <c r="M96" s="474">
        <f>+_xll.BDH(M$91, "NET_INCOME", "FY2023")</f>
        <v/>
      </c>
      <c r="N96" s="474">
        <f>+_xll.BDH(N$91, "NET_INCOME", "FY2023")</f>
        <v/>
      </c>
      <c r="O96" s="417" t="n"/>
      <c r="P96" s="417" t="n"/>
      <c r="Q96" s="417" t="n"/>
      <c r="R96" s="464" t="n"/>
      <c r="S96" s="417" t="n"/>
      <c r="T96" s="417" t="n"/>
      <c r="U96" s="417" t="n"/>
      <c r="V96" s="417" t="n"/>
      <c r="W96" s="417" t="n"/>
      <c r="X96" s="417" t="n"/>
      <c r="Y96" s="417" t="n"/>
      <c r="Z96" s="417" t="n"/>
      <c r="AA96" s="417" t="n"/>
      <c r="AB96" s="417" t="n"/>
      <c r="AC96" s="417" t="n"/>
      <c r="AD96" s="417" t="n"/>
      <c r="AE96" s="417" t="n"/>
      <c r="AF96" s="417" t="n"/>
      <c r="AG96" s="417" t="n"/>
      <c r="AH96" s="417" t="n"/>
      <c r="AI96" s="417" t="n"/>
      <c r="AJ96" s="417" t="n"/>
      <c r="AK96" s="417" t="n"/>
      <c r="AL96" s="417" t="n"/>
      <c r="AM96" s="417" t="n"/>
      <c r="AN96" s="417" t="n"/>
      <c r="AO96" s="417" t="n"/>
      <c r="AP96" s="417" t="n"/>
      <c r="AQ96" s="417" t="n"/>
      <c r="AR96" s="417" t="n"/>
      <c r="AS96" s="417" t="n"/>
      <c r="AT96" s="417" t="n"/>
      <c r="AU96" s="417" t="n"/>
      <c r="AV96" s="417" t="n"/>
      <c r="AW96" s="417" t="n"/>
      <c r="AX96" s="417" t="n"/>
      <c r="AY96" s="417" t="n"/>
      <c r="AZ96" s="417" t="n"/>
    </row>
    <row r="97" ht="14.25" customFormat="1" customHeight="1" s="392">
      <c r="A97" s="417" t="n"/>
      <c r="B97" s="475">
        <f>+Inputs!$B$6&amp;" ("&amp;Inputs!Q$4&amp;")"</f>
        <v/>
      </c>
      <c r="C97" s="417" t="n"/>
      <c r="D97" s="476">
        <f>+_xlfn.XLOOKUP("Revenue (Sales)",Inputs!$B:$B,Inputs!Q:Q)</f>
        <v/>
      </c>
      <c r="E97" s="479">
        <f>+_xll.BDP(E91, "SALES_REV_TURN")</f>
        <v/>
      </c>
      <c r="F97" s="479">
        <f>+_xll.BDP(F91, "SALES_REV_TURN")</f>
        <v/>
      </c>
      <c r="G97" s="479">
        <f>+_xll.BDP(G91, "SALES_REV_TURN")</f>
        <v/>
      </c>
      <c r="H97" s="479">
        <f>+_xll.BDP(H91, "SALES_REV_TURN")</f>
        <v/>
      </c>
      <c r="I97" s="479">
        <f>+_xll.BDP(I91, "SALES_REV_TURN")</f>
        <v/>
      </c>
      <c r="J97" s="479">
        <f>+_xll.BDP(J91, "SALES_REV_TURN")</f>
        <v/>
      </c>
      <c r="K97" s="479">
        <f>+_xll.BDP(K91, "SALES_REV_TURN")</f>
        <v/>
      </c>
      <c r="L97" s="479">
        <f>+_xll.BDP(L91, "SALES_REV_TURN")</f>
        <v/>
      </c>
      <c r="M97" s="479">
        <f>+_xll.BDP(M91, "SALES_REV_TURN")</f>
        <v/>
      </c>
      <c r="N97" s="479">
        <f>+_xll.BDP(N91, "SALES_REV_TURN")</f>
        <v/>
      </c>
      <c r="O97" s="417" t="n"/>
      <c r="P97" s="417" t="n"/>
      <c r="Q97" s="417" t="n"/>
      <c r="R97" s="464" t="n"/>
      <c r="S97" s="417" t="n"/>
      <c r="T97" s="417" t="n"/>
      <c r="U97" s="417" t="n"/>
      <c r="V97" s="417" t="n"/>
      <c r="W97" s="417" t="n"/>
      <c r="X97" s="417" t="n"/>
      <c r="Y97" s="417" t="n"/>
      <c r="Z97" s="417" t="n"/>
      <c r="AA97" s="417" t="n"/>
      <c r="AB97" s="417" t="n"/>
      <c r="AC97" s="417" t="n"/>
      <c r="AD97" s="417" t="n"/>
      <c r="AE97" s="417" t="n"/>
      <c r="AF97" s="417" t="n"/>
      <c r="AG97" s="417" t="n"/>
      <c r="AH97" s="417" t="n"/>
      <c r="AI97" s="417" t="n"/>
      <c r="AJ97" s="417" t="n"/>
      <c r="AK97" s="417" t="n"/>
      <c r="AL97" s="417" t="n"/>
      <c r="AM97" s="417" t="n"/>
      <c r="AN97" s="417" t="n"/>
      <c r="AO97" s="417" t="n"/>
      <c r="AP97" s="417" t="n"/>
      <c r="AQ97" s="417" t="n"/>
      <c r="AR97" s="417" t="n"/>
      <c r="AS97" s="417" t="n"/>
      <c r="AT97" s="417" t="n"/>
      <c r="AU97" s="417" t="n"/>
      <c r="AV97" s="417" t="n"/>
      <c r="AW97" s="417" t="n"/>
      <c r="AX97" s="417" t="n"/>
      <c r="AY97" s="417" t="n"/>
      <c r="AZ97" s="417" t="n"/>
    </row>
    <row r="98" ht="14.25" customFormat="1" customHeight="1" s="392">
      <c r="A98" s="417" t="n"/>
      <c r="B98" s="480" t="inlineStr">
        <is>
          <t>COGS (Cost of Goods Sold)</t>
        </is>
      </c>
      <c r="C98" s="417" t="n"/>
      <c r="D98" s="476">
        <f>+_xlfn.XLOOKUP($B98,Inputs!$B:$B,Inputs!Q:Q)</f>
        <v/>
      </c>
      <c r="E98" s="477">
        <f>+_xll.BDP(E91, "IS_COGS_TO_FE_AND_PP_AND_G")</f>
        <v/>
      </c>
      <c r="F98" s="477">
        <f>+_xll.BDP(F91, "IS_COGS_TO_FE_AND_PP_AND_G")</f>
        <v/>
      </c>
      <c r="G98" s="477">
        <f>+_xll.BDP(G91, "IS_COGS_TO_FE_AND_PP_AND_G")</f>
        <v/>
      </c>
      <c r="H98" s="477">
        <f>+_xll.BDP(H91, "IS_COGS_TO_FE_AND_PP_AND_G")</f>
        <v/>
      </c>
      <c r="I98" s="477">
        <f>+_xll.BDP(I91, "IS_COGS_TO_FE_AND_PP_AND_G")</f>
        <v/>
      </c>
      <c r="J98" s="477">
        <f>+_xll.BDP(J91, "IS_COGS_TO_FE_AND_PP_AND_G")</f>
        <v/>
      </c>
      <c r="K98" s="477">
        <f>+_xll.BDP(K91, "IS_COGS_TO_FE_AND_PP_AND_G")</f>
        <v/>
      </c>
      <c r="L98" s="477">
        <f>+_xll.BDP(L91, "IS_COGS_TO_FE_AND_PP_AND_G")</f>
        <v/>
      </c>
      <c r="M98" s="477">
        <f>+_xll.BDP(M91, "IS_COGS_TO_FE_AND_PP_AND_G")</f>
        <v/>
      </c>
      <c r="N98" s="477">
        <f>+_xll.BDP(N91, "IS_COGS_TO_FE_AND_PP_AND_G")</f>
        <v/>
      </c>
      <c r="O98" s="417" t="n"/>
      <c r="P98" s="417" t="n"/>
      <c r="Q98" s="417" t="n"/>
      <c r="R98" s="464" t="n"/>
      <c r="S98" s="417" t="n"/>
      <c r="T98" s="417" t="n"/>
      <c r="U98" s="417" t="n"/>
      <c r="V98" s="417" t="n"/>
      <c r="W98" s="417" t="n"/>
      <c r="X98" s="417" t="n"/>
      <c r="Y98" s="417" t="n"/>
      <c r="Z98" s="417" t="n"/>
      <c r="AA98" s="417" t="n"/>
      <c r="AB98" s="417" t="n"/>
      <c r="AC98" s="417" t="n"/>
      <c r="AD98" s="417" t="n"/>
      <c r="AE98" s="417" t="n"/>
      <c r="AF98" s="417" t="n"/>
      <c r="AG98" s="417" t="n"/>
      <c r="AH98" s="417" t="n"/>
      <c r="AI98" s="417" t="n"/>
      <c r="AJ98" s="417" t="n"/>
      <c r="AK98" s="417" t="n"/>
      <c r="AL98" s="417" t="n"/>
      <c r="AM98" s="417" t="n"/>
      <c r="AN98" s="417" t="n"/>
      <c r="AO98" s="417" t="n"/>
      <c r="AP98" s="417" t="n"/>
      <c r="AQ98" s="417" t="n"/>
      <c r="AR98" s="417" t="n"/>
      <c r="AS98" s="417" t="n"/>
      <c r="AT98" s="417" t="n"/>
      <c r="AU98" s="417" t="n"/>
      <c r="AV98" s="417" t="n"/>
      <c r="AW98" s="417" t="n"/>
      <c r="AX98" s="417" t="n"/>
      <c r="AY98" s="417" t="n"/>
      <c r="AZ98" s="417" t="n"/>
    </row>
    <row r="99" ht="14.25" customFormat="1" customHeight="1" s="392">
      <c r="A99" s="417" t="n"/>
      <c r="B99" s="481" t="inlineStr">
        <is>
          <t>Gross Profit</t>
        </is>
      </c>
      <c r="C99" s="417" t="n"/>
      <c r="D99" s="476">
        <f>+_xlfn.XLOOKUP($B99,Inputs!$B:$B,Inputs!Q:Q)</f>
        <v/>
      </c>
      <c r="E99" s="482">
        <f>+E97-E98</f>
        <v/>
      </c>
      <c r="F99" s="483">
        <f>+F97-F98</f>
        <v/>
      </c>
      <c r="G99" s="689">
        <f>G97-G98</f>
        <v/>
      </c>
      <c r="H99" s="695">
        <f>+H97-H98</f>
        <v/>
      </c>
      <c r="I99" s="697">
        <f>I97-I98</f>
        <v/>
      </c>
      <c r="J99" s="697">
        <f>+J97-J98</f>
        <v/>
      </c>
      <c r="K99" s="697">
        <f>+K97-K98</f>
        <v/>
      </c>
      <c r="L99" s="697">
        <f>+L97-L98</f>
        <v/>
      </c>
      <c r="M99" s="697">
        <f>+M97-M98</f>
        <v/>
      </c>
      <c r="N99" s="778">
        <f>+N97-N98</f>
        <v/>
      </c>
      <c r="O99" s="438" t="n"/>
      <c r="P99" s="438" t="n"/>
      <c r="Q99" s="438" t="n"/>
      <c r="R99" s="124" t="n"/>
      <c r="S99" s="417" t="n"/>
      <c r="T99" s="417" t="n"/>
      <c r="U99" s="417" t="n"/>
      <c r="V99" s="417" t="n"/>
      <c r="W99" s="417" t="n"/>
      <c r="X99" s="417" t="n"/>
      <c r="Y99" s="417" t="n"/>
      <c r="Z99" s="417" t="n"/>
      <c r="AA99" s="417" t="n"/>
      <c r="AB99" s="417" t="n"/>
      <c r="AC99" s="417" t="n"/>
      <c r="AD99" s="417" t="n"/>
      <c r="AE99" s="417" t="n"/>
      <c r="AF99" s="417" t="n"/>
      <c r="AG99" s="417" t="n"/>
      <c r="AH99" s="417" t="n"/>
      <c r="AI99" s="417" t="n"/>
      <c r="AJ99" s="417" t="n"/>
      <c r="AK99" s="417" t="n"/>
      <c r="AL99" s="417" t="n"/>
      <c r="AM99" s="417" t="n"/>
      <c r="AN99" s="417" t="n"/>
      <c r="AO99" s="417" t="n"/>
      <c r="AP99" s="417" t="n"/>
      <c r="AQ99" s="417" t="n"/>
      <c r="AR99" s="417" t="n"/>
      <c r="AS99" s="417" t="n"/>
      <c r="AT99" s="417" t="n"/>
      <c r="AU99" s="417" t="n"/>
      <c r="AV99" s="417" t="n"/>
      <c r="AW99" s="417" t="n"/>
      <c r="AX99" s="417" t="n"/>
      <c r="AY99" s="417" t="n"/>
      <c r="AZ99" s="417" t="n"/>
    </row>
    <row r="100" ht="14.25" customFormat="1" customHeight="1" s="392">
      <c r="A100" s="417" t="n"/>
      <c r="B100" s="480" t="inlineStr">
        <is>
          <t>EBITDA</t>
        </is>
      </c>
      <c r="C100" s="417" t="n"/>
      <c r="D100" s="476">
        <f>+_xlfn.XLOOKUP($B100,Inputs!$B:$B,Inputs!Q:Q)</f>
        <v/>
      </c>
      <c r="E100" s="479">
        <f>+_xll.BDP(E91, "EBITDA")</f>
        <v/>
      </c>
      <c r="F100" s="479">
        <f>+_xll.BDP(F91, "EBITDA")</f>
        <v/>
      </c>
      <c r="G100" s="479">
        <f>+_xll.BDP(G91, "EBITDA")</f>
        <v/>
      </c>
      <c r="H100" s="479">
        <f>+_xll.BDP(H91, "EBITDA")</f>
        <v/>
      </c>
      <c r="I100" s="479">
        <f>+_xll.BDP(I91, "EBITDA")</f>
        <v/>
      </c>
      <c r="J100" s="479">
        <f>+_xll.BDP(J91, "EBITDA")</f>
        <v/>
      </c>
      <c r="K100" s="479">
        <f>+_xll.BDP(K91, "EBITDA")</f>
        <v/>
      </c>
      <c r="L100" s="479">
        <f>+_xll.BDP(L91, "EBITDA")</f>
        <v/>
      </c>
      <c r="M100" s="479">
        <f>+_xll.BDP(M91, "EBITDA")</f>
        <v/>
      </c>
      <c r="N100" s="479">
        <f>+_xll.BDP(N91, "EBITDA")</f>
        <v/>
      </c>
      <c r="O100" s="417" t="n"/>
      <c r="P100" s="417" t="n"/>
      <c r="Q100" s="417" t="n"/>
      <c r="R100" s="417" t="n"/>
      <c r="S100" s="417" t="n"/>
      <c r="T100" s="417" t="n"/>
      <c r="U100" s="417" t="n"/>
      <c r="V100" s="417" t="n"/>
      <c r="W100" s="417" t="n"/>
      <c r="X100" s="417" t="n"/>
      <c r="Y100" s="417" t="n"/>
      <c r="Z100" s="417" t="n"/>
      <c r="AA100" s="417" t="n"/>
      <c r="AB100" s="417" t="n"/>
      <c r="AC100" s="417" t="n"/>
      <c r="AD100" s="417" t="n"/>
      <c r="AE100" s="417" t="n"/>
      <c r="AF100" s="417" t="n"/>
      <c r="AG100" s="417" t="n"/>
      <c r="AH100" s="417" t="n"/>
      <c r="AI100" s="417" t="n"/>
      <c r="AJ100" s="417" t="n"/>
      <c r="AK100" s="417" t="n"/>
      <c r="AL100" s="417" t="n"/>
      <c r="AM100" s="417" t="n"/>
      <c r="AN100" s="417" t="n"/>
      <c r="AO100" s="417" t="n"/>
      <c r="AP100" s="417" t="n"/>
      <c r="AQ100" s="417" t="n"/>
      <c r="AR100" s="417" t="n"/>
      <c r="AS100" s="417" t="n"/>
      <c r="AT100" s="417" t="n"/>
      <c r="AU100" s="417" t="n"/>
      <c r="AV100" s="417" t="n"/>
      <c r="AW100" s="417" t="n"/>
      <c r="AX100" s="417" t="n"/>
      <c r="AY100" s="417" t="n"/>
      <c r="AZ100" s="417" t="n"/>
    </row>
    <row r="101" ht="14.25" customFormat="1" customHeight="1" s="392">
      <c r="A101" s="417" t="n"/>
      <c r="B101" s="480" t="inlineStr">
        <is>
          <t>Operating Income (EBIT)</t>
        </is>
      </c>
      <c r="C101" s="417" t="n"/>
      <c r="D101" s="476">
        <f>+_xlfn.XLOOKUP($B101,Inputs!$B:$B,Inputs!Q:Q)</f>
        <v/>
      </c>
      <c r="E101" s="479">
        <f>+_xll.BDP(E91, "EBIT")</f>
        <v/>
      </c>
      <c r="F101" s="479">
        <f>+_xll.BDP(F92, "EBIT")</f>
        <v/>
      </c>
      <c r="G101" s="479">
        <f>+_xll.BDP(G92, "EBIT")</f>
        <v/>
      </c>
      <c r="H101" s="479">
        <f>+_xll.BDP(H92, "EBIT")</f>
        <v/>
      </c>
      <c r="I101" s="479">
        <f>+_xll.BDP(I92, "EBIT")</f>
        <v/>
      </c>
      <c r="J101" s="479">
        <f>+_xll.BDP(J92, "EBIT")</f>
        <v/>
      </c>
      <c r="K101" s="479">
        <f>+_xll.BDP(K92, "EBIT")</f>
        <v/>
      </c>
      <c r="L101" s="479">
        <f>+_xll.BDP(L92, "EBIT")</f>
        <v/>
      </c>
      <c r="M101" s="479">
        <f>+_xll.BDP(M92, "EBIT")</f>
        <v/>
      </c>
      <c r="N101" s="479">
        <f>+_xll.BDP(N92, "EBIT")</f>
        <v/>
      </c>
      <c r="O101" s="417" t="n"/>
      <c r="P101" s="417" t="n"/>
      <c r="Q101" s="417" t="n"/>
      <c r="R101" s="417" t="n"/>
      <c r="S101" s="417" t="n"/>
      <c r="T101" s="417" t="n"/>
      <c r="U101" s="417" t="n"/>
      <c r="V101" s="417" t="n"/>
      <c r="W101" s="417" t="n"/>
      <c r="X101" s="417" t="n"/>
      <c r="Y101" s="417" t="n"/>
      <c r="Z101" s="417" t="n"/>
      <c r="AA101" s="417" t="n"/>
      <c r="AB101" s="417" t="n"/>
      <c r="AC101" s="417" t="n"/>
      <c r="AD101" s="417" t="n"/>
      <c r="AE101" s="417" t="n"/>
      <c r="AF101" s="417" t="n"/>
      <c r="AG101" s="417" t="n"/>
      <c r="AH101" s="417" t="n"/>
      <c r="AI101" s="417" t="n"/>
      <c r="AJ101" s="417" t="n"/>
      <c r="AK101" s="417" t="n"/>
      <c r="AL101" s="417" t="n"/>
      <c r="AM101" s="417" t="n"/>
      <c r="AN101" s="417" t="n"/>
      <c r="AO101" s="417" t="n"/>
      <c r="AP101" s="417" t="n"/>
      <c r="AQ101" s="417" t="n"/>
      <c r="AR101" s="417" t="n"/>
      <c r="AS101" s="417" t="n"/>
      <c r="AT101" s="417" t="n"/>
      <c r="AU101" s="417" t="n"/>
      <c r="AV101" s="417" t="n"/>
      <c r="AW101" s="417" t="n"/>
      <c r="AX101" s="417" t="n"/>
      <c r="AY101" s="417" t="n"/>
      <c r="AZ101" s="417" t="n"/>
    </row>
    <row r="102" ht="14.25" customFormat="1" customHeight="1" s="392">
      <c r="A102" s="417" t="n"/>
      <c r="B102" s="480" t="inlineStr">
        <is>
          <t>Net Interest Expense (Income)</t>
        </is>
      </c>
      <c r="C102" s="417" t="n"/>
      <c r="D102" s="476">
        <f>+_xlfn.XLOOKUP($B102,Inputs!$B:$B,Inputs!Q:Q)</f>
        <v/>
      </c>
      <c r="E102" s="479">
        <f>+_xll.BDP(E91, "IS_NET_INTEREST_EXPENSE")</f>
        <v/>
      </c>
      <c r="F102" s="479">
        <f>+_xll.BDP(F91, "NET_INT_INC")</f>
        <v/>
      </c>
      <c r="G102" s="479">
        <f>+_xll.BDP(G91, "NET_INT_INC")</f>
        <v/>
      </c>
      <c r="H102" s="479">
        <f>+_xll.BDP(H91, "NET_INT_INC")</f>
        <v/>
      </c>
      <c r="I102" s="479">
        <f>+_xll.BDP(I91, "NET_INT_INC")</f>
        <v/>
      </c>
      <c r="J102" s="479">
        <f>+_xll.BDP(J91, "NET_INT_INC")</f>
        <v/>
      </c>
      <c r="K102" s="479">
        <f>+_xll.BDP(K91, "NET_INT_INC")</f>
        <v/>
      </c>
      <c r="L102" s="479">
        <f>+_xll.BDP(L91, "NET_INT_INC")</f>
        <v/>
      </c>
      <c r="M102" s="479">
        <f>+_xll.BDP(M91, "NET_INT_INC")</f>
        <v/>
      </c>
      <c r="N102" s="479">
        <f>+_xll.BDP(N91, "NET_INT_INC")</f>
        <v/>
      </c>
      <c r="O102" s="417" t="n"/>
      <c r="P102" s="417" t="n"/>
      <c r="Q102" s="417" t="n"/>
      <c r="R102" s="417" t="n"/>
      <c r="S102" s="417" t="n"/>
      <c r="T102" s="417" t="n"/>
      <c r="U102" s="417" t="n"/>
      <c r="V102" s="417" t="n"/>
      <c r="W102" s="417" t="n"/>
      <c r="X102" s="417" t="n"/>
      <c r="Y102" s="417" t="n"/>
      <c r="Z102" s="417" t="n"/>
      <c r="AA102" s="417" t="n"/>
      <c r="AB102" s="417" t="n"/>
      <c r="AC102" s="417" t="n"/>
      <c r="AD102" s="417" t="n"/>
      <c r="AE102" s="417" t="n"/>
      <c r="AF102" s="417" t="n"/>
      <c r="AG102" s="417" t="n"/>
      <c r="AH102" s="417" t="n"/>
      <c r="AI102" s="417" t="n"/>
      <c r="AJ102" s="417" t="n"/>
      <c r="AK102" s="417" t="n"/>
      <c r="AL102" s="417" t="n"/>
      <c r="AM102" s="417" t="n"/>
      <c r="AN102" s="417" t="n"/>
      <c r="AO102" s="417" t="n"/>
      <c r="AP102" s="417" t="n"/>
      <c r="AQ102" s="417" t="n"/>
      <c r="AR102" s="417" t="n"/>
      <c r="AS102" s="417" t="n"/>
      <c r="AT102" s="417" t="n"/>
      <c r="AU102" s="417" t="n"/>
      <c r="AV102" s="417" t="n"/>
      <c r="AW102" s="417" t="n"/>
      <c r="AX102" s="417" t="n"/>
      <c r="AY102" s="417" t="n"/>
      <c r="AZ102" s="417" t="n"/>
    </row>
    <row r="103" ht="14.25" customFormat="1" customHeight="1" s="392">
      <c r="A103" s="417" t="n"/>
      <c r="B103" s="480" t="inlineStr">
        <is>
          <t>Pre-Tax Income (EBT)</t>
        </is>
      </c>
      <c r="C103" s="417" t="n"/>
      <c r="D103" s="476">
        <f>+_xlfn.XLOOKUP($B103,Inputs!$B:$B,Inputs!Q:Q)</f>
        <v/>
      </c>
      <c r="E103" s="479">
        <f>+_xll.BDP(E91, "PRETAX_INC")</f>
        <v/>
      </c>
      <c r="F103" s="479">
        <f>+_xll.BDP(F91, "PRETAX_INC")</f>
        <v/>
      </c>
      <c r="G103" s="479">
        <f>+_xll.BDP(G91, "PRETAX_INC")</f>
        <v/>
      </c>
      <c r="H103" s="479">
        <f>+_xll.BDP(H91, "PRETAX_INC")</f>
        <v/>
      </c>
      <c r="I103" s="479">
        <f>+_xll.BDP(I91, "PRETAX_INC")</f>
        <v/>
      </c>
      <c r="J103" s="479">
        <f>+_xll.BDP(J91, "PRETAX_INC")</f>
        <v/>
      </c>
      <c r="K103" s="479">
        <f>+_xll.BDP(K91, "PRETAX_INC")</f>
        <v/>
      </c>
      <c r="L103" s="479">
        <f>+_xll.BDP(L91, "PRETAX_INC")</f>
        <v/>
      </c>
      <c r="M103" s="479">
        <f>+_xll.BDP(M91, "PRETAX_INC")</f>
        <v/>
      </c>
      <c r="N103" s="479">
        <f>+_xll.BDP(N91, "PRETAX_INC")</f>
        <v/>
      </c>
      <c r="O103" s="417" t="n"/>
      <c r="P103" s="417" t="n"/>
      <c r="Q103" s="417" t="n"/>
      <c r="R103" s="417" t="n"/>
      <c r="S103" s="417" t="n"/>
      <c r="T103" s="417" t="n"/>
      <c r="U103" s="417" t="n"/>
      <c r="V103" s="417" t="n"/>
      <c r="W103" s="417" t="n"/>
      <c r="X103" s="417" t="n"/>
      <c r="Y103" s="417" t="n"/>
      <c r="Z103" s="417" t="n"/>
      <c r="AA103" s="417" t="n"/>
      <c r="AB103" s="417" t="n"/>
      <c r="AC103" s="417" t="n"/>
      <c r="AD103" s="417" t="n"/>
      <c r="AE103" s="417" t="n"/>
      <c r="AF103" s="417" t="n"/>
      <c r="AG103" s="417" t="n"/>
      <c r="AH103" s="417" t="n"/>
      <c r="AI103" s="417" t="n"/>
      <c r="AJ103" s="417" t="n"/>
      <c r="AK103" s="417" t="n"/>
      <c r="AL103" s="417" t="n"/>
      <c r="AM103" s="417" t="n"/>
      <c r="AN103" s="417" t="n"/>
      <c r="AO103" s="417" t="n"/>
      <c r="AP103" s="417" t="n"/>
      <c r="AQ103" s="417" t="n"/>
      <c r="AR103" s="417" t="n"/>
      <c r="AS103" s="417" t="n"/>
      <c r="AT103" s="417" t="n"/>
      <c r="AU103" s="417" t="n"/>
      <c r="AV103" s="417" t="n"/>
      <c r="AW103" s="417" t="n"/>
      <c r="AX103" s="417" t="n"/>
      <c r="AY103" s="417" t="n"/>
      <c r="AZ103" s="417" t="n"/>
    </row>
    <row r="104" ht="14.25" customFormat="1" customHeight="1" s="392">
      <c r="A104" s="417" t="n"/>
      <c r="B104" s="480" t="inlineStr">
        <is>
          <t>Tax Expense (Benefits)</t>
        </is>
      </c>
      <c r="C104" s="417" t="n"/>
      <c r="D104" s="476">
        <f>+_xlfn.XLOOKUP($B104,Inputs!$B:$B,Inputs!Q:Q)</f>
        <v/>
      </c>
      <c r="E104" s="479">
        <f>+_xll.BDP(E91, "IS_INC_TAX_EXP")</f>
        <v/>
      </c>
      <c r="F104" s="479">
        <f>+_xll.BDP(F91, "IS_INC_TAX_EXP")</f>
        <v/>
      </c>
      <c r="G104" s="479">
        <f>+_xll.BDP(G91, "IS_INC_TAX_EXP")</f>
        <v/>
      </c>
      <c r="H104" s="479">
        <f>+_xll.BDP(H91, "IS_INC_TAX_EXP")</f>
        <v/>
      </c>
      <c r="I104" s="479">
        <f>+_xll.BDP(I91, "IS_INC_TAX_EXP")</f>
        <v/>
      </c>
      <c r="J104" s="479">
        <f>+_xll.BDP(J91, "IS_INC_TAX_EXP")</f>
        <v/>
      </c>
      <c r="K104" s="479">
        <f>+_xll.BDP(K91, "IS_INC_TAX_EXP")</f>
        <v/>
      </c>
      <c r="L104" s="479">
        <f>+_xll.BDP(L91, "IS_INC_TAX_EXP")</f>
        <v/>
      </c>
      <c r="M104" s="479">
        <f>+_xll.BDP(M91, "IS_INC_TAX_EXP")</f>
        <v/>
      </c>
      <c r="N104" s="479">
        <f>+_xll.BDP(N91, "IS_INC_TAX_EXP")</f>
        <v/>
      </c>
      <c r="O104" s="417" t="n"/>
      <c r="P104" s="417" t="n"/>
      <c r="Q104" s="417" t="n"/>
      <c r="R104" s="417" t="n"/>
      <c r="S104" s="417" t="n"/>
      <c r="T104" s="417" t="n"/>
      <c r="U104" s="417" t="n"/>
      <c r="V104" s="417" t="n"/>
      <c r="W104" s="417" t="n"/>
      <c r="X104" s="417" t="n"/>
      <c r="Y104" s="417" t="n"/>
      <c r="Z104" s="417" t="n"/>
      <c r="AA104" s="417" t="n"/>
      <c r="AB104" s="417" t="n"/>
      <c r="AC104" s="417" t="n"/>
      <c r="AD104" s="417" t="n"/>
      <c r="AE104" s="417" t="n"/>
      <c r="AF104" s="417" t="n"/>
      <c r="AG104" s="417" t="n"/>
      <c r="AH104" s="417" t="n"/>
      <c r="AI104" s="417" t="n"/>
      <c r="AJ104" s="417" t="n"/>
      <c r="AK104" s="417" t="n"/>
      <c r="AL104" s="417" t="n"/>
      <c r="AM104" s="417" t="n"/>
      <c r="AN104" s="417" t="n"/>
      <c r="AO104" s="417" t="n"/>
      <c r="AP104" s="417" t="n"/>
      <c r="AQ104" s="417" t="n"/>
      <c r="AR104" s="417" t="n"/>
      <c r="AS104" s="417" t="n"/>
      <c r="AT104" s="417" t="n"/>
      <c r="AU104" s="417" t="n"/>
      <c r="AV104" s="417" t="n"/>
      <c r="AW104" s="417" t="n"/>
      <c r="AX104" s="417" t="n"/>
      <c r="AY104" s="417" t="n"/>
      <c r="AZ104" s="417" t="n"/>
    </row>
    <row r="105" ht="14.25" customFormat="1" customHeight="1" s="392">
      <c r="A105" s="417" t="n"/>
      <c r="B105" s="480" t="inlineStr">
        <is>
          <t>Net Income</t>
        </is>
      </c>
      <c r="C105" s="417" t="n"/>
      <c r="D105" s="476">
        <f>+_xlfn.XLOOKUP($B105,Inputs!$B:$B,Inputs!Q:Q)</f>
        <v/>
      </c>
      <c r="E105" s="479">
        <f>+_xll.BDP(E91, "NET_INCOME")</f>
        <v/>
      </c>
      <c r="F105" s="479">
        <f>+_xll.BDP(F91, "NET_INCOME")</f>
        <v/>
      </c>
      <c r="G105" s="479">
        <f>+_xll.BDP(G91, "NET_INCOME")</f>
        <v/>
      </c>
      <c r="H105" s="479">
        <f>+_xll.BDP(H91, "NET_INCOME")</f>
        <v/>
      </c>
      <c r="I105" s="479">
        <f>+_xll.BDP(I91, "NET_INCOME")</f>
        <v/>
      </c>
      <c r="J105" s="479">
        <f>+_xll.BDP(J91, "NET_INCOME")</f>
        <v/>
      </c>
      <c r="K105" s="479">
        <f>+_xll.BDP(K91, "NET_INCOME")</f>
        <v/>
      </c>
      <c r="L105" s="479">
        <f>+_xll.BDP(L91, "NET_INCOME")</f>
        <v/>
      </c>
      <c r="M105" s="479">
        <f>+_xll.BDP(M91, "NET_INCOME")</f>
        <v/>
      </c>
      <c r="N105" s="479">
        <f>+_xll.BDP(N91, "NET_INCOME")</f>
        <v/>
      </c>
      <c r="O105" s="417" t="n"/>
      <c r="P105" s="417" t="n"/>
      <c r="Q105" s="417" t="n"/>
      <c r="R105" s="417" t="n"/>
      <c r="S105" s="417" t="n"/>
      <c r="T105" s="417" t="n"/>
      <c r="U105" s="417" t="n"/>
      <c r="V105" s="417" t="n"/>
      <c r="W105" s="417" t="n"/>
      <c r="X105" s="417" t="n"/>
      <c r="Y105" s="417" t="n"/>
      <c r="Z105" s="417" t="n"/>
      <c r="AA105" s="417" t="n"/>
      <c r="AB105" s="417" t="n"/>
      <c r="AC105" s="417" t="n"/>
      <c r="AD105" s="417" t="n"/>
      <c r="AE105" s="417" t="n"/>
      <c r="AF105" s="417" t="n"/>
      <c r="AG105" s="417" t="n"/>
      <c r="AH105" s="417" t="n"/>
      <c r="AI105" s="417" t="n"/>
      <c r="AJ105" s="417" t="n"/>
      <c r="AK105" s="417" t="n"/>
      <c r="AL105" s="417" t="n"/>
      <c r="AM105" s="417" t="n"/>
      <c r="AN105" s="417" t="n"/>
      <c r="AO105" s="417" t="n"/>
      <c r="AP105" s="417" t="n"/>
      <c r="AQ105" s="417" t="n"/>
      <c r="AR105" s="417" t="n"/>
      <c r="AS105" s="417" t="n"/>
      <c r="AT105" s="417" t="n"/>
      <c r="AU105" s="417" t="n"/>
      <c r="AV105" s="417" t="n"/>
      <c r="AW105" s="417" t="n"/>
      <c r="AX105" s="417" t="n"/>
      <c r="AY105" s="417" t="n"/>
      <c r="AZ105" s="417" t="n"/>
    </row>
    <row r="106" ht="14.25" customFormat="1" customHeight="1" s="392">
      <c r="A106" s="417" t="n"/>
      <c r="B106" s="480" t="inlineStr">
        <is>
          <t>EPS basic</t>
        </is>
      </c>
      <c r="C106" s="417" t="n"/>
      <c r="D106" s="476">
        <f>+_xlfn.XLOOKUP($B106,Inputs!$B:$B,Inputs!Q:Q)</f>
        <v/>
      </c>
      <c r="E106" s="484">
        <f>+_xll.BDP(E91, "IS_EPS")</f>
        <v/>
      </c>
      <c r="F106" s="479">
        <f>+_xll.BDP(F91, "IS_EPS")</f>
        <v/>
      </c>
      <c r="G106" s="479">
        <f>+_xll.BDP(G91, "IS_EPS")</f>
        <v/>
      </c>
      <c r="H106" s="479">
        <f>+_xll.BDP(H91, "IS_EPS")</f>
        <v/>
      </c>
      <c r="I106" s="479">
        <f>+_xll.BDP(I91, "IS_EPS")</f>
        <v/>
      </c>
      <c r="J106" s="479">
        <f>+_xll.BDP(J91, "IS_EPS")</f>
        <v/>
      </c>
      <c r="K106" s="479">
        <f>+_xll.BDP(K91, "IS_EPS")</f>
        <v/>
      </c>
      <c r="L106" s="479">
        <f>+_xll.BDP(L91, "IS_EPS")</f>
        <v/>
      </c>
      <c r="M106" s="479">
        <f>+_xll.BDP(M91, "IS_EPS")</f>
        <v/>
      </c>
      <c r="N106" s="479">
        <f>+_xll.BDP(N91, "IS_EPS")</f>
        <v/>
      </c>
      <c r="O106" s="417" t="n"/>
      <c r="P106" s="417" t="n"/>
      <c r="Q106" s="417" t="n"/>
      <c r="R106" s="417" t="n"/>
      <c r="S106" s="417" t="n"/>
      <c r="T106" s="417" t="n"/>
      <c r="U106" s="417" t="n"/>
      <c r="V106" s="417" t="n"/>
      <c r="W106" s="417" t="n"/>
      <c r="X106" s="417" t="n"/>
      <c r="Y106" s="417" t="n"/>
      <c r="Z106" s="417" t="n"/>
      <c r="AA106" s="417" t="n"/>
      <c r="AB106" s="417" t="n"/>
      <c r="AC106" s="417" t="n"/>
      <c r="AD106" s="417" t="n"/>
      <c r="AE106" s="417" t="n"/>
      <c r="AF106" s="417" t="n"/>
      <c r="AG106" s="417" t="n"/>
      <c r="AH106" s="417" t="n"/>
      <c r="AI106" s="417" t="n"/>
      <c r="AJ106" s="417" t="n"/>
      <c r="AK106" s="417" t="n"/>
      <c r="AL106" s="417" t="n"/>
      <c r="AM106" s="417" t="n"/>
      <c r="AN106" s="417" t="n"/>
      <c r="AO106" s="417" t="n"/>
      <c r="AP106" s="417" t="n"/>
      <c r="AQ106" s="417" t="n"/>
      <c r="AR106" s="417" t="n"/>
      <c r="AS106" s="417" t="n"/>
      <c r="AT106" s="417" t="n"/>
      <c r="AU106" s="417" t="n"/>
      <c r="AV106" s="417" t="n"/>
      <c r="AW106" s="417" t="n"/>
      <c r="AX106" s="417" t="n"/>
      <c r="AY106" s="417" t="n"/>
      <c r="AZ106" s="417" t="n"/>
    </row>
    <row r="107" ht="14.25" customFormat="1" customHeight="1" s="392">
      <c r="A107" s="417" t="n"/>
      <c r="B107" s="480" t="inlineStr">
        <is>
          <t>R&amp;D (Research &amp; Development)</t>
        </is>
      </c>
      <c r="C107" s="417" t="n"/>
      <c r="D107" s="476">
        <f>+_xlfn.XLOOKUP($B107,Inputs!$B:$B,Inputs!Q:Q)</f>
        <v/>
      </c>
      <c r="E107" s="479">
        <f>+_xll.BDP(E91, "IS_RD_EXPEND")</f>
        <v/>
      </c>
      <c r="F107" s="479">
        <f>+_xll.BDP(F91, "IS_RD_EXPEND")</f>
        <v/>
      </c>
      <c r="G107" s="479">
        <f>+_xll.BDP(G91, "IS_RD_EXPEND")</f>
        <v/>
      </c>
      <c r="H107" s="479">
        <f>+_xll.BDP(H91, "IS_RD_EXPEND")</f>
        <v/>
      </c>
      <c r="I107" s="479">
        <f>+_xll.BDP(I91, "IS_RD_EXPEND")</f>
        <v/>
      </c>
      <c r="J107" s="479">
        <f>+_xll.BDP(J91, "IS_RD_EXPEND")</f>
        <v/>
      </c>
      <c r="K107" s="479">
        <f>+_xll.BDP(K91, "IS_RD_EXPEND")</f>
        <v/>
      </c>
      <c r="L107" s="479">
        <f>+_xll.BDP(L91, "IS_RD_EXPEND")</f>
        <v/>
      </c>
      <c r="M107" s="479">
        <f>+_xll.BDP(M91, "IS_RD_EXPEND")</f>
        <v/>
      </c>
      <c r="N107" s="479">
        <f>+_xll.BDP(N91, "IS_RD_EXPEND")</f>
        <v/>
      </c>
      <c r="O107" s="417" t="n"/>
      <c r="P107" s="417" t="n"/>
      <c r="Q107" s="417" t="n"/>
      <c r="R107" s="417" t="n"/>
      <c r="S107" s="417" t="n"/>
      <c r="T107" s="417" t="n"/>
      <c r="U107" s="417" t="n"/>
      <c r="V107" s="417" t="n"/>
      <c r="W107" s="417" t="n"/>
      <c r="X107" s="417" t="n"/>
      <c r="Y107" s="417" t="n"/>
      <c r="Z107" s="417" t="n"/>
      <c r="AA107" s="417" t="n"/>
      <c r="AB107" s="417" t="n"/>
      <c r="AC107" s="417" t="n"/>
      <c r="AD107" s="417" t="n"/>
      <c r="AE107" s="417" t="n"/>
      <c r="AF107" s="417" t="n"/>
      <c r="AG107" s="417" t="n"/>
      <c r="AH107" s="417" t="n"/>
      <c r="AI107" s="417" t="n"/>
      <c r="AJ107" s="417" t="n"/>
      <c r="AK107" s="417" t="n"/>
      <c r="AL107" s="417" t="n"/>
      <c r="AM107" s="417" t="n"/>
      <c r="AN107" s="417" t="n"/>
      <c r="AO107" s="417" t="n"/>
      <c r="AP107" s="417" t="n"/>
      <c r="AQ107" s="417" t="n"/>
      <c r="AR107" s="417" t="n"/>
      <c r="AS107" s="417" t="n"/>
      <c r="AT107" s="417" t="n"/>
      <c r="AU107" s="417" t="n"/>
      <c r="AV107" s="417" t="n"/>
      <c r="AW107" s="417" t="n"/>
      <c r="AX107" s="417" t="n"/>
      <c r="AY107" s="417" t="n"/>
      <c r="AZ107" s="417" t="n"/>
    </row>
    <row r="108" ht="3.75" customFormat="1" customHeight="1" s="392">
      <c r="A108" s="417" t="n"/>
      <c r="B108" s="480" t="n"/>
      <c r="C108" s="417" t="n"/>
      <c r="D108" s="485" t="n"/>
      <c r="E108" s="486" t="n"/>
      <c r="F108" s="487" t="n"/>
      <c r="G108" s="690" t="n"/>
      <c r="H108" s="696" t="n"/>
      <c r="I108" s="696" t="n"/>
      <c r="J108" s="696" t="n"/>
      <c r="K108" s="696" t="n"/>
      <c r="L108" s="696" t="n"/>
      <c r="M108" s="696" t="n"/>
      <c r="N108" s="461" t="n"/>
      <c r="O108" s="417" t="n"/>
      <c r="P108" s="417" t="n"/>
      <c r="Q108" s="417" t="n"/>
      <c r="R108" s="417" t="n"/>
      <c r="S108" s="417" t="n"/>
      <c r="T108" s="417" t="n"/>
      <c r="U108" s="417" t="n"/>
      <c r="V108" s="417" t="n"/>
      <c r="W108" s="417" t="n"/>
      <c r="X108" s="417" t="n"/>
      <c r="Y108" s="417" t="n"/>
      <c r="Z108" s="417" t="n"/>
      <c r="AA108" s="417" t="n"/>
      <c r="AB108" s="417" t="n"/>
      <c r="AC108" s="417" t="n"/>
      <c r="AD108" s="417" t="n"/>
      <c r="AE108" s="417" t="n"/>
      <c r="AF108" s="417" t="n"/>
      <c r="AG108" s="417" t="n"/>
      <c r="AH108" s="417" t="n"/>
      <c r="AI108" s="417" t="n"/>
      <c r="AJ108" s="417" t="n"/>
      <c r="AK108" s="417" t="n"/>
      <c r="AL108" s="417" t="n"/>
      <c r="AM108" s="417" t="n"/>
      <c r="AN108" s="417" t="n"/>
      <c r="AO108" s="417" t="n"/>
      <c r="AP108" s="417" t="n"/>
      <c r="AQ108" s="417" t="n"/>
      <c r="AR108" s="417" t="n"/>
      <c r="AS108" s="417" t="n"/>
      <c r="AT108" s="417" t="n"/>
      <c r="AU108" s="417" t="n"/>
      <c r="AV108" s="417" t="n"/>
      <c r="AW108" s="417" t="n"/>
      <c r="AX108" s="417" t="n"/>
      <c r="AY108" s="417" t="n"/>
      <c r="AZ108" s="417" t="n"/>
    </row>
    <row r="109" ht="14.25" customFormat="1" customHeight="1" s="392">
      <c r="A109" s="417" t="n"/>
      <c r="B109" s="469" t="inlineStr">
        <is>
          <t>Balance Sheet</t>
        </is>
      </c>
      <c r="C109" s="454" t="n"/>
      <c r="D109" s="488" t="n"/>
      <c r="E109" s="489" t="n"/>
      <c r="F109" s="490" t="n"/>
      <c r="G109" s="691" t="n"/>
      <c r="H109" s="684" t="n"/>
      <c r="I109" s="684" t="n"/>
      <c r="J109" s="684" t="n"/>
      <c r="K109" s="684" t="n"/>
      <c r="L109" s="684" t="n"/>
      <c r="M109" s="684" t="n"/>
      <c r="N109" s="491" t="n"/>
      <c r="O109" s="417" t="n"/>
      <c r="P109" s="417" t="n"/>
      <c r="Q109" s="417" t="n"/>
      <c r="R109" s="417" t="n"/>
      <c r="S109" s="417" t="n"/>
      <c r="T109" s="417" t="n"/>
      <c r="U109" s="417" t="n"/>
      <c r="V109" s="417" t="n"/>
      <c r="W109" s="417" t="n"/>
      <c r="X109" s="417" t="n"/>
      <c r="Y109" s="417" t="n"/>
      <c r="Z109" s="417" t="n"/>
      <c r="AA109" s="417" t="n"/>
      <c r="AB109" s="417" t="n"/>
      <c r="AC109" s="417" t="n"/>
      <c r="AD109" s="417" t="n"/>
      <c r="AE109" s="417" t="n"/>
      <c r="AF109" s="417" t="n"/>
      <c r="AG109" s="417" t="n"/>
      <c r="AH109" s="417" t="n"/>
      <c r="AI109" s="417" t="n"/>
      <c r="AJ109" s="417" t="n"/>
      <c r="AK109" s="417" t="n"/>
      <c r="AL109" s="417" t="n"/>
      <c r="AM109" s="417" t="n"/>
      <c r="AN109" s="417" t="n"/>
      <c r="AO109" s="417" t="n"/>
      <c r="AP109" s="417" t="n"/>
      <c r="AQ109" s="417" t="n"/>
      <c r="AR109" s="417" t="n"/>
      <c r="AS109" s="417" t="n"/>
      <c r="AT109" s="417" t="n"/>
      <c r="AU109" s="417" t="n"/>
      <c r="AV109" s="417" t="n"/>
      <c r="AW109" s="417" t="n"/>
      <c r="AX109" s="417" t="n"/>
      <c r="AY109" s="417" t="n"/>
      <c r="AZ109" s="417" t="n"/>
    </row>
    <row r="110" ht="3.75" customFormat="1" customHeight="1" s="392">
      <c r="A110" s="417" t="n"/>
      <c r="B110" s="470" t="n"/>
      <c r="C110" s="458" t="n"/>
      <c r="D110" s="492" t="n"/>
      <c r="E110" s="493" t="n"/>
      <c r="F110" s="494" t="n"/>
      <c r="G110" s="682" t="n"/>
      <c r="H110" s="685" t="n"/>
      <c r="I110" s="685" t="n"/>
      <c r="J110" s="685" t="n"/>
      <c r="K110" s="685" t="n"/>
      <c r="L110" s="685" t="n"/>
      <c r="M110" s="685" t="n"/>
      <c r="N110" s="463" t="n"/>
      <c r="O110" s="417" t="n"/>
      <c r="P110" s="417" t="n"/>
      <c r="Q110" s="417" t="n"/>
      <c r="R110" s="417" t="n"/>
      <c r="S110" s="417" t="n"/>
      <c r="T110" s="417" t="n"/>
      <c r="U110" s="417" t="n"/>
      <c r="V110" s="417" t="n"/>
      <c r="W110" s="417" t="n"/>
      <c r="X110" s="417" t="n"/>
      <c r="Y110" s="417" t="n"/>
      <c r="Z110" s="417" t="n"/>
      <c r="AA110" s="417" t="n"/>
      <c r="AB110" s="417" t="n"/>
      <c r="AC110" s="417" t="n"/>
      <c r="AD110" s="417" t="n"/>
      <c r="AE110" s="417" t="n"/>
      <c r="AF110" s="417" t="n"/>
      <c r="AG110" s="417" t="n"/>
      <c r="AH110" s="417" t="n"/>
      <c r="AI110" s="417" t="n"/>
      <c r="AJ110" s="417" t="n"/>
      <c r="AK110" s="417" t="n"/>
      <c r="AL110" s="417" t="n"/>
      <c r="AM110" s="417" t="n"/>
      <c r="AN110" s="417" t="n"/>
      <c r="AO110" s="417" t="n"/>
      <c r="AP110" s="417" t="n"/>
      <c r="AQ110" s="417" t="n"/>
      <c r="AR110" s="417" t="n"/>
      <c r="AS110" s="417" t="n"/>
      <c r="AT110" s="417" t="n"/>
      <c r="AU110" s="417" t="n"/>
      <c r="AV110" s="417" t="n"/>
      <c r="AW110" s="417" t="n"/>
      <c r="AX110" s="417" t="n"/>
      <c r="AY110" s="417" t="n"/>
      <c r="AZ110" s="417" t="n"/>
    </row>
    <row r="111" ht="14.25" customFormat="1" customHeight="1" s="392">
      <c r="A111" s="417" t="n"/>
      <c r="B111" s="480" t="inlineStr">
        <is>
          <t>Cash &amp; Cash Equivalents</t>
        </is>
      </c>
      <c r="C111" s="417" t="n"/>
      <c r="D111" s="476">
        <f>+_xlfn.XLOOKUP($B111,Inputs!$B:$B,Inputs!Q:Q)</f>
        <v/>
      </c>
      <c r="E111" s="479">
        <f>+_xll.BDP($E$91, "BS_CASH_NEAR_CASH_ITEM")</f>
        <v/>
      </c>
      <c r="F111" s="479">
        <f>+_xll.BDP(F91, "(BS_CASH_NEAR_CASH_ITEM")</f>
        <v/>
      </c>
      <c r="G111" s="479">
        <f>+_xll.BDP(G91, "(BS_CASH_NEAR_CASH_ITEM")</f>
        <v/>
      </c>
      <c r="H111" s="479">
        <f>+_xll.BDP(H91, "(BS_CASH_NEAR_CASH_ITEM")</f>
        <v/>
      </c>
      <c r="I111" s="479">
        <f>+_xll.BDP(I91, "(BS_CASH_NEAR_CASH_ITEM")</f>
        <v/>
      </c>
      <c r="J111" s="479">
        <f>+_xll.BDP(J91, "(BS_CASH_NEAR_CASH_ITEM")</f>
        <v/>
      </c>
      <c r="K111" s="479">
        <f>+_xll.BDP(K91, "(BS_CASH_NEAR_CASH_ITEM")</f>
        <v/>
      </c>
      <c r="L111" s="479">
        <f>+_xll.BDP(L91, "(BS_CASH_NEAR_CASH_ITEM")</f>
        <v/>
      </c>
      <c r="M111" s="479">
        <f>+_xll.BDP(M91, "(BS_CASH_NEAR_CASH_ITEM")</f>
        <v/>
      </c>
      <c r="N111" s="479">
        <f>+_xll.BDP(N91, "(BS_CASH_NEAR_CASH_ITEM")</f>
        <v/>
      </c>
      <c r="O111" s="417" t="n"/>
      <c r="P111" s="417" t="n"/>
      <c r="Q111" s="417" t="n"/>
      <c r="R111" s="417" t="n"/>
      <c r="S111" s="417" t="n"/>
      <c r="T111" s="417" t="n"/>
      <c r="U111" s="417" t="n"/>
      <c r="V111" s="417" t="n"/>
      <c r="W111" s="417" t="n"/>
      <c r="X111" s="417" t="n"/>
      <c r="Y111" s="417" t="n"/>
      <c r="Z111" s="417" t="n"/>
      <c r="AA111" s="417" t="n"/>
      <c r="AB111" s="417" t="n"/>
      <c r="AC111" s="417" t="n"/>
      <c r="AD111" s="417" t="n"/>
      <c r="AE111" s="417" t="n"/>
      <c r="AF111" s="417" t="n"/>
      <c r="AG111" s="417" t="n"/>
      <c r="AH111" s="417" t="n"/>
      <c r="AI111" s="417" t="n"/>
      <c r="AJ111" s="417" t="n"/>
      <c r="AK111" s="417" t="n"/>
      <c r="AL111" s="417" t="n"/>
      <c r="AM111" s="417" t="n"/>
      <c r="AN111" s="417" t="n"/>
      <c r="AO111" s="417" t="n"/>
      <c r="AP111" s="417" t="n"/>
      <c r="AQ111" s="417" t="n"/>
      <c r="AR111" s="417" t="n"/>
      <c r="AS111" s="417" t="n"/>
      <c r="AT111" s="417" t="n"/>
      <c r="AU111" s="417" t="n"/>
      <c r="AV111" s="417" t="n"/>
      <c r="AW111" s="417" t="n"/>
      <c r="AX111" s="417" t="n"/>
      <c r="AY111" s="417" t="n"/>
      <c r="AZ111" s="417" t="n"/>
    </row>
    <row r="112" ht="14.25" customFormat="1" customHeight="1" s="392">
      <c r="A112" s="417" t="n"/>
      <c r="B112" s="480" t="inlineStr">
        <is>
          <t>Accounts Receivable</t>
        </is>
      </c>
      <c r="C112" s="417" t="n"/>
      <c r="D112" s="476">
        <f>+_xlfn.XLOOKUP($B112,Inputs!$B:$B,Inputs!Q:Q)</f>
        <v/>
      </c>
      <c r="E112" s="479">
        <f>+_xll.BDP(E$91, "BS_ACCT_NOTE_RCV")</f>
        <v/>
      </c>
      <c r="F112" s="479">
        <f>+_xll.BDP(F$91, "BS_ACCT_NOTE_RCV")</f>
        <v/>
      </c>
      <c r="G112" s="479">
        <f>+_xll.BDP(G$91, "BS_ACCT_NOTE_RCV")</f>
        <v/>
      </c>
      <c r="H112" s="479">
        <f>+_xll.BDP(H$91, "BS_ACCT_NOTE_RCV")</f>
        <v/>
      </c>
      <c r="I112" s="479">
        <f>+_xll.BDP(I$91, "BS_ACCT_NOTE_RCV")</f>
        <v/>
      </c>
      <c r="J112" s="479">
        <f>+_xll.BDP(J$91, "BS_ACCT_NOTE_RCV")</f>
        <v/>
      </c>
      <c r="K112" s="479">
        <f>+_xll.BDP(K$91, "BS_ACCT_NOTE_RCV")</f>
        <v/>
      </c>
      <c r="L112" s="479">
        <f>+_xll.BDP(L$91, "BS_ACCT_NOTE_RCV")</f>
        <v/>
      </c>
      <c r="M112" s="479">
        <f>+_xll.BDP(M$91, "BS_ACCT_NOTE_RCV")</f>
        <v/>
      </c>
      <c r="N112" s="479">
        <f>+_xll.BDP(N$91, "BS_ACCT_NOTE_RCV")</f>
        <v/>
      </c>
      <c r="O112" s="417" t="n"/>
      <c r="P112" s="417" t="n"/>
      <c r="Q112" s="417" t="n"/>
      <c r="R112" s="417" t="n"/>
      <c r="S112" s="417" t="n"/>
      <c r="T112" s="417" t="n"/>
      <c r="U112" s="417" t="n"/>
      <c r="V112" s="417" t="n"/>
      <c r="W112" s="417" t="n"/>
      <c r="X112" s="417" t="n"/>
      <c r="Y112" s="417" t="n"/>
      <c r="Z112" s="417" t="n"/>
      <c r="AA112" s="417" t="n"/>
      <c r="AB112" s="417" t="n"/>
      <c r="AC112" s="417" t="n"/>
      <c r="AD112" s="417" t="n"/>
      <c r="AE112" s="417" t="n"/>
      <c r="AF112" s="417" t="n"/>
      <c r="AG112" s="417" t="n"/>
      <c r="AH112" s="417" t="n"/>
      <c r="AI112" s="417" t="n"/>
      <c r="AJ112" s="417" t="n"/>
      <c r="AK112" s="417" t="n"/>
      <c r="AL112" s="417" t="n"/>
      <c r="AM112" s="417" t="n"/>
      <c r="AN112" s="417" t="n"/>
      <c r="AO112" s="417" t="n"/>
      <c r="AP112" s="417" t="n"/>
      <c r="AQ112" s="417" t="n"/>
      <c r="AR112" s="417" t="n"/>
      <c r="AS112" s="417" t="n"/>
      <c r="AT112" s="417" t="n"/>
      <c r="AU112" s="417" t="n"/>
      <c r="AV112" s="417" t="n"/>
      <c r="AW112" s="417" t="n"/>
      <c r="AX112" s="417" t="n"/>
      <c r="AY112" s="417" t="n"/>
      <c r="AZ112" s="417" t="n"/>
    </row>
    <row r="113" ht="14.25" customFormat="1" customHeight="1" s="392">
      <c r="A113" s="417" t="n"/>
      <c r="B113" s="480" t="inlineStr">
        <is>
          <t>Beginning Inventory</t>
        </is>
      </c>
      <c r="C113" s="417" t="n"/>
      <c r="D113" s="476">
        <f>+_xlfn.XLOOKUP("Inventory",Inputs!$B:$B,Inputs!P:P)</f>
        <v/>
      </c>
      <c r="E113" s="479">
        <f>+_xll.BDP(E$91, "ARD_BEGINNING_INVENTORY")</f>
        <v/>
      </c>
      <c r="F113" s="479">
        <f>+_xll.BDP(F$91, "ARD_BEGINNING_INVENTORY")</f>
        <v/>
      </c>
      <c r="G113" s="479">
        <f>+_xll.BDP(G$91, "ARD_BEGINNING_INVENTORY")</f>
        <v/>
      </c>
      <c r="H113" s="479">
        <f>+_xll.BDP(H$91, "ARD_BEGINNING_INVENTORY")</f>
        <v/>
      </c>
      <c r="I113" s="479">
        <f>+_xll.BDP(I$91, "ARD_BEGINNING_INVENTORY")</f>
        <v/>
      </c>
      <c r="J113" s="479">
        <f>+_xll.BDP(J$91, "ARD_BEGINNING_INVENTORY")</f>
        <v/>
      </c>
      <c r="K113" s="479">
        <f>+_xll.BDP(K$91, "ARD_BEGINNING_INVENTORY")</f>
        <v/>
      </c>
      <c r="L113" s="479">
        <f>+_xll.BDP(L$91, "ARD_BEGINNING_INVENTORY")</f>
        <v/>
      </c>
      <c r="M113" s="479">
        <f>+_xll.BDP(M$91, "ARD_BEGINNING_INVENTORY")</f>
        <v/>
      </c>
      <c r="N113" s="479">
        <f>+_xll.BDP(N$91, "ARD_BEGINNING_INVENTORY")</f>
        <v/>
      </c>
      <c r="O113" s="417" t="n"/>
      <c r="P113" s="417" t="n"/>
      <c r="Q113" s="417" t="n"/>
      <c r="R113" s="417" t="n"/>
      <c r="S113" s="417" t="n"/>
      <c r="T113" s="417" t="n"/>
      <c r="U113" s="417" t="n"/>
      <c r="V113" s="417" t="n"/>
      <c r="W113" s="417" t="n"/>
      <c r="X113" s="417" t="n"/>
      <c r="Y113" s="417" t="n"/>
      <c r="Z113" s="417" t="n"/>
      <c r="AA113" s="417" t="n"/>
      <c r="AB113" s="417" t="n"/>
      <c r="AC113" s="417" t="n"/>
      <c r="AD113" s="417" t="n"/>
      <c r="AE113" s="417" t="n"/>
      <c r="AF113" s="417" t="n"/>
      <c r="AG113" s="417" t="n"/>
      <c r="AH113" s="417" t="n"/>
      <c r="AI113" s="417" t="n"/>
      <c r="AJ113" s="417" t="n"/>
      <c r="AK113" s="417" t="n"/>
      <c r="AL113" s="417" t="n"/>
      <c r="AM113" s="417" t="n"/>
      <c r="AN113" s="417" t="n"/>
      <c r="AO113" s="417" t="n"/>
      <c r="AP113" s="417" t="n"/>
      <c r="AQ113" s="417" t="n"/>
      <c r="AR113" s="417" t="n"/>
      <c r="AS113" s="417" t="n"/>
      <c r="AT113" s="417" t="n"/>
      <c r="AU113" s="417" t="n"/>
      <c r="AV113" s="417" t="n"/>
      <c r="AW113" s="417" t="n"/>
      <c r="AX113" s="417" t="n"/>
      <c r="AY113" s="417" t="n"/>
      <c r="AZ113" s="417" t="n"/>
    </row>
    <row r="114" ht="14.25" customFormat="1" customHeight="1" s="392">
      <c r="A114" s="417" t="n"/>
      <c r="B114" s="480" t="inlineStr">
        <is>
          <t>Ending Inventory</t>
        </is>
      </c>
      <c r="C114" s="417" t="n"/>
      <c r="D114" s="476">
        <f>+_xlfn.XLOOKUP("Inventory",Inputs!$B:$B,Inputs!Q:Q)</f>
        <v/>
      </c>
      <c r="E114" s="479">
        <f>+_xll.BDP(E$91, "ARD_ENDING_INVENTORY")</f>
        <v/>
      </c>
      <c r="F114" s="479">
        <f>+_xll.BDP(F$91, "ARD_ENDING_INVENTORY")</f>
        <v/>
      </c>
      <c r="G114" s="479">
        <f>+_xll.BDP(G$91, "ARD_ENDING_INVENTORY")</f>
        <v/>
      </c>
      <c r="H114" s="479">
        <f>+_xll.BDP(H$91, "ARD_ENDING_INVENTORY")</f>
        <v/>
      </c>
      <c r="I114" s="479">
        <f>+_xll.BDP(I$91, "ARD_ENDING_INVENTORY")</f>
        <v/>
      </c>
      <c r="J114" s="479">
        <f>+_xll.BDP(J$91, "ARD_ENDING_INVENTORY")</f>
        <v/>
      </c>
      <c r="K114" s="479">
        <f>+_xll.BDP(K$91, "ARD_ENDING_INVENTORY")</f>
        <v/>
      </c>
      <c r="L114" s="479">
        <f>+_xll.BDP(L$91, "ARD_ENDING_INVENTORY")</f>
        <v/>
      </c>
      <c r="M114" s="479">
        <f>+_xll.BDP(M$91, "ARD_ENDING_INVENTORY")</f>
        <v/>
      </c>
      <c r="N114" s="479">
        <f>+_xll.BDP(N$91, "ARD_ENDING_INVENTORY")</f>
        <v/>
      </c>
      <c r="O114" s="417" t="n"/>
      <c r="P114" s="417" t="n"/>
      <c r="Q114" s="417" t="n"/>
      <c r="R114" s="417" t="n"/>
      <c r="S114" s="417" t="n"/>
      <c r="T114" s="417" t="n"/>
      <c r="U114" s="417" t="n"/>
      <c r="V114" s="417" t="n"/>
      <c r="W114" s="417" t="n"/>
      <c r="X114" s="417" t="n"/>
      <c r="Y114" s="417" t="n"/>
      <c r="Z114" s="417" t="n"/>
      <c r="AA114" s="417" t="n"/>
      <c r="AB114" s="417" t="n"/>
      <c r="AC114" s="417" t="n"/>
      <c r="AD114" s="417" t="n"/>
      <c r="AE114" s="417" t="n"/>
      <c r="AF114" s="417" t="n"/>
      <c r="AG114" s="417" t="n"/>
      <c r="AH114" s="417" t="n"/>
      <c r="AI114" s="417" t="n"/>
      <c r="AJ114" s="417" t="n"/>
      <c r="AK114" s="417" t="n"/>
      <c r="AL114" s="417" t="n"/>
      <c r="AM114" s="417" t="n"/>
      <c r="AN114" s="417" t="n"/>
      <c r="AO114" s="417" t="n"/>
      <c r="AP114" s="417" t="n"/>
      <c r="AQ114" s="417" t="n"/>
      <c r="AR114" s="417" t="n"/>
      <c r="AS114" s="417" t="n"/>
      <c r="AT114" s="417" t="n"/>
      <c r="AU114" s="417" t="n"/>
      <c r="AV114" s="417" t="n"/>
      <c r="AW114" s="417" t="n"/>
      <c r="AX114" s="417" t="n"/>
      <c r="AY114" s="417" t="n"/>
      <c r="AZ114" s="417" t="n"/>
    </row>
    <row r="115" ht="14.25" customFormat="1" customHeight="1" s="392">
      <c r="A115" s="417" t="n"/>
      <c r="B115" s="480" t="inlineStr">
        <is>
          <t>Current Assets</t>
        </is>
      </c>
      <c r="C115" s="417" t="n"/>
      <c r="D115" s="476">
        <f>+_xlfn.XLOOKUP($B115,Inputs!$B:$B,Inputs!Q:Q)</f>
        <v/>
      </c>
      <c r="E115" s="479">
        <f>+_xll.BDP(E$91, "BS_CUR_ASSET_REPORT")</f>
        <v/>
      </c>
      <c r="F115" s="479">
        <f>+_xll.BDP(F$91, "BS_CUR_ASSET_REPORT")</f>
        <v/>
      </c>
      <c r="G115" s="479">
        <f>+_xll.BDP(G$91, "BS_CUR_ASSET_REPORT")</f>
        <v/>
      </c>
      <c r="H115" s="479">
        <f>+_xll.BDP(H$91, "BS_CUR_ASSET_REPORT")</f>
        <v/>
      </c>
      <c r="I115" s="479">
        <f>+_xll.BDP(I$91, "BS_CUR_ASSET_REPORT")</f>
        <v/>
      </c>
      <c r="J115" s="479">
        <f>+_xll.BDP(J$91, "BS_CUR_ASSET_REPORT")</f>
        <v/>
      </c>
      <c r="K115" s="479">
        <f>+_xll.BDP(K$91, "BS_CUR_ASSET_REPORT")</f>
        <v/>
      </c>
      <c r="L115" s="479">
        <f>+_xll.BDP(L$91, "BS_CUR_ASSET_REPORT")</f>
        <v/>
      </c>
      <c r="M115" s="479">
        <f>+_xll.BDP(M$91, "BS_CUR_ASSET_REPORT")</f>
        <v/>
      </c>
      <c r="N115" s="479">
        <f>+_xll.BDP(N$91, "BS_CUR_ASSET_REPORT")</f>
        <v/>
      </c>
      <c r="O115" s="417" t="n"/>
      <c r="P115" s="417" t="n"/>
      <c r="Q115" s="417" t="n"/>
      <c r="R115" s="417" t="n"/>
      <c r="S115" s="417" t="n"/>
      <c r="T115" s="417" t="n"/>
      <c r="U115" s="417" t="n"/>
      <c r="V115" s="417" t="n"/>
      <c r="W115" s="417" t="n"/>
      <c r="X115" s="417" t="n"/>
      <c r="Y115" s="417" t="n"/>
      <c r="Z115" s="417" t="n"/>
      <c r="AA115" s="417" t="n"/>
      <c r="AB115" s="417" t="n"/>
      <c r="AC115" s="417" t="n"/>
      <c r="AD115" s="417" t="n"/>
      <c r="AE115" s="417" t="n"/>
      <c r="AF115" s="417" t="n"/>
      <c r="AG115" s="417" t="n"/>
      <c r="AH115" s="417" t="n"/>
      <c r="AI115" s="417" t="n"/>
      <c r="AJ115" s="417" t="n"/>
      <c r="AK115" s="417" t="n"/>
      <c r="AL115" s="417" t="n"/>
      <c r="AM115" s="417" t="n"/>
      <c r="AN115" s="417" t="n"/>
      <c r="AO115" s="417" t="n"/>
      <c r="AP115" s="417" t="n"/>
      <c r="AQ115" s="417" t="n"/>
      <c r="AR115" s="417" t="n"/>
      <c r="AS115" s="417" t="n"/>
      <c r="AT115" s="417" t="n"/>
      <c r="AU115" s="417" t="n"/>
      <c r="AV115" s="417" t="n"/>
      <c r="AW115" s="417" t="n"/>
      <c r="AX115" s="417" t="n"/>
      <c r="AY115" s="417" t="n"/>
      <c r="AZ115" s="417" t="n"/>
    </row>
    <row r="116" ht="14.25" customFormat="1" customHeight="1" s="392">
      <c r="A116" s="417" t="n"/>
      <c r="B116" s="480" t="inlineStr">
        <is>
          <t>Net PP&amp;E (Property, Plant and Equipment)</t>
        </is>
      </c>
      <c r="C116" s="417" t="n"/>
      <c r="D116" s="476">
        <f>+_xlfn.XLOOKUP($B116,Inputs!$B:$B,Inputs!Q:Q)</f>
        <v/>
      </c>
      <c r="E116" s="479">
        <f>+_xll.BDP(E$91, "ARD_PROPERTY_PLANT_EQUIP_NET")</f>
        <v/>
      </c>
      <c r="F116" s="479">
        <f>+_xll.BDP(F$91, "ARD_PROPERTY_PLANT_EQUIP_NET")</f>
        <v/>
      </c>
      <c r="G116" s="479">
        <f>+_xll.BDP(G$91, "ARD_PROPERTY_PLANT_EQUIP_NET")</f>
        <v/>
      </c>
      <c r="H116" s="479">
        <f>+_xll.BDP(H$91, "ARD_PROPERTY_PLANT_EQUIP_NET")</f>
        <v/>
      </c>
      <c r="I116" s="479">
        <f>+_xll.BDP(I$91, "ARD_PROPERTY_PLANT_EQUIP_NET")</f>
        <v/>
      </c>
      <c r="J116" s="479">
        <f>+_xll.BDP(J$91, "ARD_PROPERTY_PLANT_EQUIP_NET")</f>
        <v/>
      </c>
      <c r="K116" s="479">
        <f>+_xll.BDP(K$91, "ARD_PROPERTY_PLANT_EQUIP_NET")</f>
        <v/>
      </c>
      <c r="L116" s="479">
        <f>+_xll.BDP(L$91, "ARD_PROPERTY_PLANT_EQUIP_NET")</f>
        <v/>
      </c>
      <c r="M116" s="479">
        <f>+_xll.BDP(M$91, "ARD_PROPERTY_PLANT_EQUIP_NET")</f>
        <v/>
      </c>
      <c r="N116" s="479">
        <f>+_xll.BDP(N$91, "ARD_PROPERTY_PLANT_EQUIP_NET")</f>
        <v/>
      </c>
      <c r="O116" s="417" t="n"/>
      <c r="P116" s="417" t="n"/>
      <c r="Q116" s="417" t="n"/>
      <c r="R116" s="417" t="n"/>
      <c r="S116" s="417" t="n"/>
      <c r="T116" s="417" t="n"/>
      <c r="U116" s="417" t="n"/>
      <c r="V116" s="417" t="n"/>
      <c r="W116" s="417" t="n"/>
      <c r="X116" s="417" t="n"/>
      <c r="Y116" s="417" t="n"/>
      <c r="Z116" s="417" t="n"/>
      <c r="AA116" s="417" t="n"/>
      <c r="AB116" s="417" t="n"/>
      <c r="AC116" s="417" t="n"/>
      <c r="AD116" s="417" t="n"/>
      <c r="AE116" s="417" t="n"/>
      <c r="AF116" s="417" t="n"/>
      <c r="AG116" s="417" t="n"/>
      <c r="AH116" s="417" t="n"/>
      <c r="AI116" s="417" t="n"/>
      <c r="AJ116" s="417" t="n"/>
      <c r="AK116" s="417" t="n"/>
      <c r="AL116" s="417" t="n"/>
      <c r="AM116" s="417" t="n"/>
      <c r="AN116" s="417" t="n"/>
      <c r="AO116" s="417" t="n"/>
      <c r="AP116" s="417" t="n"/>
      <c r="AQ116" s="417" t="n"/>
      <c r="AR116" s="417" t="n"/>
      <c r="AS116" s="417" t="n"/>
      <c r="AT116" s="417" t="n"/>
      <c r="AU116" s="417" t="n"/>
      <c r="AV116" s="417" t="n"/>
      <c r="AW116" s="417" t="n"/>
      <c r="AX116" s="417" t="n"/>
      <c r="AY116" s="417" t="n"/>
      <c r="AZ116" s="417" t="n"/>
    </row>
    <row r="117" ht="14.25" customFormat="1" customHeight="1" s="392">
      <c r="A117" s="417" t="n"/>
      <c r="B117" s="480" t="inlineStr">
        <is>
          <t>Total Assets</t>
        </is>
      </c>
      <c r="C117" s="495" t="n"/>
      <c r="D117" s="496">
        <f>+_xlfn.XLOOKUP($B117,Inputs!$B:$B,Inputs!Q:Q)</f>
        <v/>
      </c>
      <c r="E117" s="479">
        <f>+_xll.BDP(E$91, "BS_TOT_ASSET")</f>
        <v/>
      </c>
      <c r="F117" s="479">
        <f>+_xll.BDP(F$91, "BS_TOT_ASSET")</f>
        <v/>
      </c>
      <c r="G117" s="479">
        <f>+_xll.BDP(G$91, "BS_TOT_ASSET")</f>
        <v/>
      </c>
      <c r="H117" s="479">
        <f>+_xll.BDP(H$91, "BS_TOT_ASSET")</f>
        <v/>
      </c>
      <c r="I117" s="479">
        <f>+_xll.BDP(I$91, "BS_TOT_ASSET")</f>
        <v/>
      </c>
      <c r="J117" s="479">
        <f>+_xll.BDP(J$91, "BS_TOT_ASSET")</f>
        <v/>
      </c>
      <c r="K117" s="479">
        <f>+_xll.BDP(K$91, "BS_TOT_ASSET")</f>
        <v/>
      </c>
      <c r="L117" s="479">
        <f>+_xll.BDP(L$91, "BS_TOT_ASSET")</f>
        <v/>
      </c>
      <c r="M117" s="479">
        <f>+_xll.BDP(M$91, "BS_TOT_ASSET")</f>
        <v/>
      </c>
      <c r="N117" s="479">
        <f>+_xll.BDP(N$91, "BS_TOT_ASSET")</f>
        <v/>
      </c>
      <c r="O117" s="417" t="n"/>
      <c r="P117" s="417" t="n"/>
      <c r="Q117" s="417" t="n"/>
      <c r="R117" s="417" t="n"/>
      <c r="S117" s="417" t="n"/>
      <c r="T117" s="417" t="n"/>
      <c r="U117" s="417" t="n"/>
      <c r="V117" s="417" t="n"/>
      <c r="W117" s="417" t="n"/>
      <c r="X117" s="417" t="n"/>
      <c r="Y117" s="417" t="n"/>
      <c r="Z117" s="417" t="n"/>
      <c r="AA117" s="417" t="n"/>
      <c r="AB117" s="417" t="n"/>
      <c r="AC117" s="417" t="n"/>
      <c r="AD117" s="417" t="n"/>
      <c r="AE117" s="417" t="n"/>
      <c r="AF117" s="417" t="n"/>
      <c r="AG117" s="417" t="n"/>
      <c r="AH117" s="417" t="n"/>
      <c r="AI117" s="417" t="n"/>
      <c r="AJ117" s="417" t="n"/>
      <c r="AK117" s="417" t="n"/>
      <c r="AL117" s="417" t="n"/>
      <c r="AM117" s="417" t="n"/>
      <c r="AN117" s="417" t="n"/>
      <c r="AO117" s="417" t="n"/>
      <c r="AP117" s="417" t="n"/>
      <c r="AQ117" s="417" t="n"/>
      <c r="AR117" s="417" t="n"/>
      <c r="AS117" s="417" t="n"/>
      <c r="AT117" s="417" t="n"/>
      <c r="AU117" s="417" t="n"/>
      <c r="AV117" s="417" t="n"/>
      <c r="AW117" s="417" t="n"/>
      <c r="AX117" s="417" t="n"/>
      <c r="AY117" s="417" t="n"/>
      <c r="AZ117" s="417" t="n"/>
    </row>
    <row r="118" ht="14.25" customFormat="1" customHeight="1" s="392">
      <c r="A118" s="417" t="n"/>
      <c r="B118" s="480" t="inlineStr">
        <is>
          <t>Accounts Payable</t>
        </is>
      </c>
      <c r="C118" s="417" t="n"/>
      <c r="D118" s="476">
        <f>+_xlfn.XLOOKUP($B118,Inputs!$B:$B,Inputs!Q:Q)</f>
        <v/>
      </c>
      <c r="E118" s="479">
        <f>+_xll.BDP(E$91, "BS_ACCT_PAYABLE")</f>
        <v/>
      </c>
      <c r="F118" s="479">
        <f>+_xll.BDP(F$91, "BS_ACCT_PAYABLE")</f>
        <v/>
      </c>
      <c r="G118" s="479">
        <f>+_xll.BDP(G$91, "BS_ACCT_PAYABLE")</f>
        <v/>
      </c>
      <c r="H118" s="479">
        <f>+_xll.BDP(H$91, "BS_ACCT_PAYABLE")</f>
        <v/>
      </c>
      <c r="I118" s="479">
        <f>+_xll.BDP(I$91, "BS_ACCT_PAYABLE")</f>
        <v/>
      </c>
      <c r="J118" s="479">
        <f>+_xll.BDP(J$91, "BS_ACCT_PAYABLE")</f>
        <v/>
      </c>
      <c r="K118" s="479">
        <f>+_xll.BDP(K$91, "BS_ACCT_PAYABLE")</f>
        <v/>
      </c>
      <c r="L118" s="479">
        <f>+_xll.BDP(L$91, "BS_ACCT_PAYABLE")</f>
        <v/>
      </c>
      <c r="M118" s="479">
        <f>+_xll.BDP(M$91, "BS_ACCT_PAYABLE")</f>
        <v/>
      </c>
      <c r="N118" s="479">
        <f>+_xll.BDP(N$91, "BS_ACCT_PAYABLE")</f>
        <v/>
      </c>
      <c r="O118" s="417" t="n"/>
      <c r="P118" s="417" t="n"/>
      <c r="Q118" s="417" t="n"/>
      <c r="R118" s="417" t="n"/>
      <c r="S118" s="417" t="n"/>
      <c r="T118" s="417" t="n"/>
      <c r="U118" s="417" t="n"/>
      <c r="V118" s="417" t="n"/>
      <c r="W118" s="417" t="n"/>
      <c r="X118" s="417" t="n"/>
      <c r="Y118" s="417" t="n"/>
      <c r="Z118" s="417" t="n"/>
      <c r="AA118" s="417" t="n"/>
      <c r="AB118" s="417" t="n"/>
      <c r="AC118" s="417" t="n"/>
      <c r="AD118" s="417" t="n"/>
      <c r="AE118" s="417" t="n"/>
      <c r="AF118" s="417" t="n"/>
      <c r="AG118" s="417" t="n"/>
      <c r="AH118" s="417" t="n"/>
      <c r="AI118" s="417" t="n"/>
      <c r="AJ118" s="417" t="n"/>
      <c r="AK118" s="417" t="n"/>
      <c r="AL118" s="417" t="n"/>
      <c r="AM118" s="417" t="n"/>
      <c r="AN118" s="417" t="n"/>
      <c r="AO118" s="417" t="n"/>
      <c r="AP118" s="417" t="n"/>
      <c r="AQ118" s="417" t="n"/>
      <c r="AR118" s="417" t="n"/>
      <c r="AS118" s="417" t="n"/>
      <c r="AT118" s="417" t="n"/>
      <c r="AU118" s="417" t="n"/>
      <c r="AV118" s="417" t="n"/>
      <c r="AW118" s="417" t="n"/>
      <c r="AX118" s="417" t="n"/>
      <c r="AY118" s="417" t="n"/>
      <c r="AZ118" s="417" t="n"/>
    </row>
    <row r="119" ht="14.25" customFormat="1" customHeight="1" s="392">
      <c r="A119" s="417" t="n"/>
      <c r="B119" s="480" t="inlineStr">
        <is>
          <t>Current Liabilities</t>
        </is>
      </c>
      <c r="C119" s="417" t="n"/>
      <c r="D119" s="476">
        <f>+_xlfn.XLOOKUP($B119,Inputs!$B:$B,Inputs!Q:Q)</f>
        <v/>
      </c>
      <c r="E119" s="479">
        <f>+_xll.BDP(E$91, "BS_CUR_LIAB")</f>
        <v/>
      </c>
      <c r="F119" s="479">
        <f>+_xll.BDP(F$91, "BS_CUR_LIAB")</f>
        <v/>
      </c>
      <c r="G119" s="479">
        <f>+_xll.BDP(G$91, "BS_CUR_LIAB")</f>
        <v/>
      </c>
      <c r="H119" s="479">
        <f>+_xll.BDP(H$91, "BS_CUR_LIAB")</f>
        <v/>
      </c>
      <c r="I119" s="479">
        <f>+_xll.BDP(I$91, "BS_CUR_LIAB")</f>
        <v/>
      </c>
      <c r="J119" s="479">
        <f>+_xll.BDP(J$91, "BS_CUR_LIAB")</f>
        <v/>
      </c>
      <c r="K119" s="479">
        <f>+_xll.BDP(K$91, "BS_CUR_LIAB")</f>
        <v/>
      </c>
      <c r="L119" s="479">
        <f>+_xll.BDP(L$91, "BS_CUR_LIAB")</f>
        <v/>
      </c>
      <c r="M119" s="479">
        <f>+_xll.BDP(M$91, "BS_CUR_LIAB")</f>
        <v/>
      </c>
      <c r="N119" s="479">
        <f>+_xll.BDP(N$91, "BS_CUR_LIAB")</f>
        <v/>
      </c>
      <c r="O119" s="417" t="n"/>
      <c r="P119" s="417" t="n"/>
      <c r="Q119" s="417" t="n"/>
      <c r="R119" s="417" t="n"/>
      <c r="S119" s="417" t="n"/>
      <c r="T119" s="417" t="n"/>
      <c r="U119" s="417" t="n"/>
      <c r="V119" s="417" t="n"/>
      <c r="W119" s="417" t="n"/>
      <c r="X119" s="417" t="n"/>
      <c r="Y119" s="417" t="n"/>
      <c r="Z119" s="417" t="n"/>
      <c r="AA119" s="417" t="n"/>
      <c r="AB119" s="417" t="n"/>
      <c r="AC119" s="417" t="n"/>
      <c r="AD119" s="417" t="n"/>
      <c r="AE119" s="417" t="n"/>
      <c r="AF119" s="417" t="n"/>
      <c r="AG119" s="417" t="n"/>
      <c r="AH119" s="417" t="n"/>
      <c r="AI119" s="417" t="n"/>
      <c r="AJ119" s="417" t="n"/>
      <c r="AK119" s="417" t="n"/>
      <c r="AL119" s="417" t="n"/>
      <c r="AM119" s="417" t="n"/>
      <c r="AN119" s="417" t="n"/>
      <c r="AO119" s="417" t="n"/>
      <c r="AP119" s="417" t="n"/>
      <c r="AQ119" s="417" t="n"/>
      <c r="AR119" s="417" t="n"/>
      <c r="AS119" s="417" t="n"/>
      <c r="AT119" s="417" t="n"/>
      <c r="AU119" s="417" t="n"/>
      <c r="AV119" s="417" t="n"/>
      <c r="AW119" s="417" t="n"/>
      <c r="AX119" s="417" t="n"/>
      <c r="AY119" s="417" t="n"/>
      <c r="AZ119" s="417" t="n"/>
    </row>
    <row r="120" ht="14.25" customFormat="1" customHeight="1" s="392">
      <c r="A120" s="417" t="n"/>
      <c r="B120" s="480" t="inlineStr">
        <is>
          <t>Long-term debt</t>
        </is>
      </c>
      <c r="C120" s="417" t="n"/>
      <c r="D120" s="476">
        <f>+_xlfn.XLOOKUP($B120,Inputs!$B:$B,Inputs!Q:Q)</f>
        <v/>
      </c>
      <c r="E120" s="479">
        <f>+_xll.BDP(E$91, "BS_LT_BORROW")</f>
        <v/>
      </c>
      <c r="F120" s="479">
        <f>+_xll.BDP(F$91, "BS_LT_BORROW")</f>
        <v/>
      </c>
      <c r="G120" s="479">
        <f>+_xll.BDP(G$91, "BS_LT_BORROW")</f>
        <v/>
      </c>
      <c r="H120" s="479">
        <f>+_xll.BDP(H$91, "BS_LT_BORROW")</f>
        <v/>
      </c>
      <c r="I120" s="479">
        <f>+_xll.BDP(I$91, "BS_LT_BORROW")</f>
        <v/>
      </c>
      <c r="J120" s="479">
        <f>+_xll.BDP(J$91, "BS_LT_BORROW")</f>
        <v/>
      </c>
      <c r="K120" s="479">
        <f>+_xll.BDP(K$91, "BS_LT_BORROW")</f>
        <v/>
      </c>
      <c r="L120" s="479">
        <f>+_xll.BDP(L$91, "BS_LT_BORROW")</f>
        <v/>
      </c>
      <c r="M120" s="479">
        <f>+_xll.BDP(M$91, "BS_LT_BORROW")</f>
        <v/>
      </c>
      <c r="N120" s="479">
        <f>+_xll.BDP(N$91, "BS_LT_BORROW")</f>
        <v/>
      </c>
      <c r="O120" s="417" t="n"/>
      <c r="P120" s="417" t="n"/>
      <c r="Q120" s="417" t="n"/>
      <c r="R120" s="417" t="n"/>
      <c r="S120" s="417" t="n"/>
      <c r="T120" s="417" t="n"/>
      <c r="U120" s="417" t="n"/>
      <c r="V120" s="417" t="n"/>
      <c r="W120" s="417" t="n"/>
      <c r="X120" s="417" t="n"/>
      <c r="Y120" s="417" t="n"/>
      <c r="Z120" s="417" t="n"/>
      <c r="AA120" s="417" t="n"/>
      <c r="AB120" s="417" t="n"/>
      <c r="AC120" s="417" t="n"/>
      <c r="AD120" s="417" t="n"/>
      <c r="AE120" s="417" t="n"/>
      <c r="AF120" s="417" t="n"/>
      <c r="AG120" s="417" t="n"/>
      <c r="AH120" s="417" t="n"/>
      <c r="AI120" s="417" t="n"/>
      <c r="AJ120" s="417" t="n"/>
      <c r="AK120" s="417" t="n"/>
      <c r="AL120" s="417" t="n"/>
      <c r="AM120" s="417" t="n"/>
      <c r="AN120" s="417" t="n"/>
      <c r="AO120" s="417" t="n"/>
      <c r="AP120" s="417" t="n"/>
      <c r="AQ120" s="417" t="n"/>
      <c r="AR120" s="417" t="n"/>
      <c r="AS120" s="417" t="n"/>
      <c r="AT120" s="417" t="n"/>
      <c r="AU120" s="417" t="n"/>
      <c r="AV120" s="417" t="n"/>
      <c r="AW120" s="417" t="n"/>
      <c r="AX120" s="417" t="n"/>
      <c r="AY120" s="417" t="n"/>
      <c r="AZ120" s="417" t="n"/>
    </row>
    <row r="121" ht="14.25" customFormat="1" customHeight="1" s="392">
      <c r="A121" s="417" t="n"/>
      <c r="B121" s="480" t="inlineStr">
        <is>
          <t>Total Debt</t>
        </is>
      </c>
      <c r="C121" s="417" t="n"/>
      <c r="D121" s="476">
        <f>+_xlfn.XLOOKUP($B121,Inputs!$B:$B,Inputs!Q:Q,,,-1)</f>
        <v/>
      </c>
      <c r="E121" s="479">
        <f>+_xll.BDP(E$91, "SHORT_AND_LONG_TERM_DEBT")</f>
        <v/>
      </c>
      <c r="F121" s="479">
        <f>+_xll.BDP(F$91, "SHORT_AND_LONG_TERM_DEBT")</f>
        <v/>
      </c>
      <c r="G121" s="479">
        <f>+_xll.BDP(G$91, "SHORT_AND_LONG_TERM_DEBT")</f>
        <v/>
      </c>
      <c r="H121" s="479">
        <f>+_xll.BDP(H$91, "SHORT_AND_LONG_TERM_DEBT")</f>
        <v/>
      </c>
      <c r="I121" s="479">
        <f>+_xll.BDP(I$91, "SHORT_AND_LONG_TERM_DEBT")</f>
        <v/>
      </c>
      <c r="J121" s="479">
        <f>+_xll.BDP(J$91, "SHORT_AND_LONG_TERM_DEBT")</f>
        <v/>
      </c>
      <c r="K121" s="479">
        <f>+_xll.BDP(K$91, "SHORT_AND_LONG_TERM_DEBT")</f>
        <v/>
      </c>
      <c r="L121" s="479">
        <f>+_xll.BDP(L$91, "SHORT_AND_LONG_TERM_DEBT")</f>
        <v/>
      </c>
      <c r="M121" s="479">
        <f>+_xll.BDP(M$91, "SHORT_AND_LONG_TERM_DEBT")</f>
        <v/>
      </c>
      <c r="N121" s="479">
        <f>+_xll.BDP(N$91, "SHORT_AND_LONG_TERM_DEBT")</f>
        <v/>
      </c>
      <c r="O121" s="417" t="n"/>
      <c r="P121" s="417" t="n"/>
      <c r="Q121" s="417" t="n"/>
      <c r="R121" s="417" t="n"/>
      <c r="S121" s="417" t="n"/>
      <c r="T121" s="417" t="n"/>
      <c r="U121" s="417" t="n"/>
      <c r="V121" s="417" t="n"/>
      <c r="W121" s="417" t="n"/>
      <c r="X121" s="417" t="n"/>
      <c r="Y121" s="417" t="n"/>
      <c r="Z121" s="417" t="n"/>
      <c r="AA121" s="417" t="n"/>
      <c r="AB121" s="417" t="n"/>
      <c r="AC121" s="417" t="n"/>
      <c r="AD121" s="417" t="n"/>
      <c r="AE121" s="417" t="n"/>
      <c r="AF121" s="417" t="n"/>
      <c r="AG121" s="417" t="n"/>
      <c r="AH121" s="417" t="n"/>
      <c r="AI121" s="417" t="n"/>
      <c r="AJ121" s="417" t="n"/>
      <c r="AK121" s="417" t="n"/>
      <c r="AL121" s="417" t="n"/>
      <c r="AM121" s="417" t="n"/>
      <c r="AN121" s="417" t="n"/>
      <c r="AO121" s="417" t="n"/>
      <c r="AP121" s="417" t="n"/>
      <c r="AQ121" s="417" t="n"/>
      <c r="AR121" s="417" t="n"/>
      <c r="AS121" s="417" t="n"/>
      <c r="AT121" s="417" t="n"/>
      <c r="AU121" s="417" t="n"/>
      <c r="AV121" s="417" t="n"/>
      <c r="AW121" s="417" t="n"/>
      <c r="AX121" s="417" t="n"/>
      <c r="AY121" s="417" t="n"/>
      <c r="AZ121" s="417" t="n"/>
    </row>
    <row r="122" ht="14.25" customFormat="1" customHeight="1" s="392">
      <c r="A122" s="417" t="n"/>
      <c r="B122" s="480" t="inlineStr">
        <is>
          <t>Shareholder's Equity</t>
        </is>
      </c>
      <c r="C122" s="417" t="n"/>
      <c r="D122" s="476">
        <f>+_xlfn.XLOOKUP($B122,Inputs!$B:$B,Inputs!Q:Q)</f>
        <v/>
      </c>
      <c r="E122" s="479">
        <f>+_xll.BDP(E$91, "TOTAL_EQUITY")</f>
        <v/>
      </c>
      <c r="F122" s="479">
        <f>+_xll.BDP(F$91, "TOTAL_EQUITY")</f>
        <v/>
      </c>
      <c r="G122" s="479">
        <f>+_xll.BDP(G$91, "TOTAL_EQUITY")</f>
        <v/>
      </c>
      <c r="H122" s="479">
        <f>+_xll.BDP(H$91, "TOTAL_EQUITY")</f>
        <v/>
      </c>
      <c r="I122" s="479">
        <f>+_xll.BDP(I$91, "TOTAL_EQUITY")</f>
        <v/>
      </c>
      <c r="J122" s="479">
        <f>+_xll.BDP(J$91, "TOTAL_EQUITY")</f>
        <v/>
      </c>
      <c r="K122" s="479">
        <f>+_xll.BDP(K$91, "TOTAL_EQUITY")</f>
        <v/>
      </c>
      <c r="L122" s="479">
        <f>+_xll.BDP(L$91, "TOTAL_EQUITY")</f>
        <v/>
      </c>
      <c r="M122" s="479">
        <f>+_xll.BDP(M$91, "TOTAL_EQUITY")</f>
        <v/>
      </c>
      <c r="N122" s="479">
        <f>+_xll.BDP(N$91, "TOTAL_EQUITY")</f>
        <v/>
      </c>
      <c r="O122" s="417" t="n"/>
      <c r="P122" s="417" t="n"/>
      <c r="Q122" s="417" t="n"/>
      <c r="R122" s="417" t="n"/>
      <c r="S122" s="417" t="n"/>
      <c r="T122" s="417" t="n"/>
      <c r="U122" s="417" t="n"/>
      <c r="V122" s="417" t="n"/>
      <c r="W122" s="417" t="n"/>
      <c r="X122" s="417" t="n"/>
      <c r="Y122" s="417" t="n"/>
      <c r="Z122" s="417" t="n"/>
      <c r="AA122" s="417" t="n"/>
      <c r="AB122" s="417" t="n"/>
      <c r="AC122" s="417" t="n"/>
      <c r="AD122" s="417" t="n"/>
      <c r="AE122" s="417" t="n"/>
      <c r="AF122" s="417" t="n"/>
      <c r="AG122" s="417" t="n"/>
      <c r="AH122" s="417" t="n"/>
      <c r="AI122" s="417" t="n"/>
      <c r="AJ122" s="417" t="n"/>
      <c r="AK122" s="417" t="n"/>
      <c r="AL122" s="417" t="n"/>
      <c r="AM122" s="417" t="n"/>
      <c r="AN122" s="417" t="n"/>
      <c r="AO122" s="417" t="n"/>
      <c r="AP122" s="417" t="n"/>
      <c r="AQ122" s="417" t="n"/>
      <c r="AR122" s="417" t="n"/>
      <c r="AS122" s="417" t="n"/>
      <c r="AT122" s="417" t="n"/>
      <c r="AU122" s="417" t="n"/>
      <c r="AV122" s="417" t="n"/>
      <c r="AW122" s="417" t="n"/>
      <c r="AX122" s="417" t="n"/>
      <c r="AY122" s="417" t="n"/>
      <c r="AZ122" s="417" t="n"/>
    </row>
    <row r="123" ht="3.95" customFormat="1" customHeight="1" s="392">
      <c r="A123" s="417" t="n"/>
      <c r="B123" s="480" t="n"/>
      <c r="C123" s="417" t="n"/>
      <c r="D123" s="680" t="n"/>
      <c r="E123" s="683" t="n"/>
      <c r="F123" s="683" t="n"/>
      <c r="G123" s="688" t="n"/>
      <c r="H123" s="683" t="n"/>
      <c r="I123" s="683" t="n"/>
      <c r="J123" s="683" t="n"/>
      <c r="K123" s="683" t="n"/>
      <c r="L123" s="683" t="n"/>
      <c r="M123" s="683" t="n"/>
      <c r="N123" s="478" t="n"/>
      <c r="O123" s="417" t="n"/>
      <c r="P123" s="417" t="n"/>
      <c r="Q123" s="417" t="n"/>
      <c r="R123" s="417" t="n"/>
      <c r="S123" s="417" t="n"/>
      <c r="T123" s="417" t="n"/>
      <c r="U123" s="417" t="n"/>
      <c r="V123" s="417" t="n"/>
      <c r="W123" s="417" t="n"/>
      <c r="X123" s="417" t="n"/>
      <c r="Y123" s="417" t="n"/>
      <c r="Z123" s="417" t="n"/>
      <c r="AA123" s="417" t="n"/>
      <c r="AB123" s="417" t="n"/>
      <c r="AC123" s="417" t="n"/>
      <c r="AD123" s="417" t="n"/>
      <c r="AE123" s="417" t="n"/>
      <c r="AF123" s="417" t="n"/>
      <c r="AG123" s="417" t="n"/>
      <c r="AH123" s="417" t="n"/>
      <c r="AI123" s="417" t="n"/>
      <c r="AJ123" s="417" t="n"/>
      <c r="AK123" s="417" t="n"/>
      <c r="AL123" s="417" t="n"/>
      <c r="AM123" s="417" t="n"/>
      <c r="AN123" s="417" t="n"/>
      <c r="AO123" s="417" t="n"/>
      <c r="AP123" s="417" t="n"/>
      <c r="AQ123" s="417" t="n"/>
      <c r="AR123" s="417" t="n"/>
      <c r="AS123" s="417" t="n"/>
      <c r="AT123" s="417" t="n"/>
      <c r="AU123" s="417" t="n"/>
      <c r="AV123" s="417" t="n"/>
      <c r="AW123" s="417" t="n"/>
      <c r="AX123" s="417" t="n"/>
      <c r="AY123" s="417" t="n"/>
      <c r="AZ123" s="417" t="n"/>
    </row>
    <row r="124" ht="14.25" customFormat="1" customHeight="1" s="392">
      <c r="A124" s="417" t="n"/>
      <c r="B124" s="469" t="inlineStr">
        <is>
          <t>Cash Flow Statement</t>
        </is>
      </c>
      <c r="C124" s="454" t="n"/>
      <c r="D124" s="681" t="n"/>
      <c r="E124" s="684" t="n"/>
      <c r="F124" s="684" t="n"/>
      <c r="G124" s="691" t="n"/>
      <c r="H124" s="684" t="n"/>
      <c r="I124" s="684" t="n"/>
      <c r="J124" s="684" t="n"/>
      <c r="K124" s="684" t="n"/>
      <c r="L124" s="684" t="n"/>
      <c r="M124" s="684" t="n"/>
      <c r="N124" s="491" t="n"/>
      <c r="O124" s="417" t="n"/>
      <c r="P124" s="417" t="n"/>
      <c r="Q124" s="417" t="n"/>
      <c r="R124" s="417" t="n"/>
      <c r="S124" s="417" t="n"/>
      <c r="T124" s="417" t="n"/>
      <c r="U124" s="417" t="n"/>
      <c r="V124" s="417" t="n"/>
      <c r="W124" s="417" t="n"/>
      <c r="X124" s="417" t="n"/>
      <c r="Y124" s="417" t="n"/>
      <c r="Z124" s="417" t="n"/>
      <c r="AA124" s="417" t="n"/>
      <c r="AB124" s="417" t="n"/>
      <c r="AC124" s="417" t="n"/>
      <c r="AD124" s="417" t="n"/>
      <c r="AE124" s="417" t="n"/>
      <c r="AF124" s="417" t="n"/>
      <c r="AG124" s="417" t="n"/>
      <c r="AH124" s="417" t="n"/>
      <c r="AI124" s="417" t="n"/>
      <c r="AJ124" s="417" t="n"/>
      <c r="AK124" s="417" t="n"/>
      <c r="AL124" s="417" t="n"/>
      <c r="AM124" s="417" t="n"/>
      <c r="AN124" s="417" t="n"/>
      <c r="AO124" s="417" t="n"/>
      <c r="AP124" s="417" t="n"/>
      <c r="AQ124" s="417" t="n"/>
      <c r="AR124" s="417" t="n"/>
      <c r="AS124" s="417" t="n"/>
      <c r="AT124" s="417" t="n"/>
      <c r="AU124" s="417" t="n"/>
      <c r="AV124" s="417" t="n"/>
      <c r="AW124" s="417" t="n"/>
      <c r="AX124" s="417" t="n"/>
      <c r="AY124" s="417" t="n"/>
      <c r="AZ124" s="417" t="n"/>
    </row>
    <row r="125" ht="3.95" customFormat="1" customHeight="1" s="392">
      <c r="A125" s="417" t="n"/>
      <c r="B125" s="470" t="n"/>
      <c r="C125" s="458" t="n"/>
      <c r="D125" s="682" t="n"/>
      <c r="E125" s="682" t="n"/>
      <c r="F125" s="685" t="n"/>
      <c r="G125" s="682" t="n"/>
      <c r="H125" s="685" t="n"/>
      <c r="I125" s="685" t="n"/>
      <c r="J125" s="685" t="n"/>
      <c r="K125" s="685" t="n"/>
      <c r="L125" s="685" t="n"/>
      <c r="M125" s="685" t="n"/>
      <c r="N125" s="463" t="n"/>
      <c r="O125" s="417" t="n"/>
      <c r="P125" s="417" t="n"/>
      <c r="Q125" s="417" t="n"/>
      <c r="R125" s="417" t="n"/>
      <c r="S125" s="417" t="n"/>
      <c r="T125" s="417" t="n"/>
      <c r="U125" s="417" t="n"/>
      <c r="V125" s="417" t="n"/>
      <c r="W125" s="417" t="n"/>
      <c r="X125" s="417" t="n"/>
      <c r="Y125" s="417" t="n"/>
      <c r="Z125" s="417" t="n"/>
      <c r="AA125" s="417" t="n"/>
      <c r="AB125" s="417" t="n"/>
      <c r="AC125" s="417" t="n"/>
      <c r="AD125" s="417" t="n"/>
      <c r="AE125" s="417" t="n"/>
      <c r="AF125" s="417" t="n"/>
      <c r="AG125" s="417" t="n"/>
      <c r="AH125" s="417" t="n"/>
      <c r="AI125" s="417" t="n"/>
      <c r="AJ125" s="417" t="n"/>
      <c r="AK125" s="417" t="n"/>
      <c r="AL125" s="417" t="n"/>
      <c r="AM125" s="417" t="n"/>
      <c r="AN125" s="417" t="n"/>
      <c r="AO125" s="417" t="n"/>
      <c r="AP125" s="417" t="n"/>
      <c r="AQ125" s="417" t="n"/>
      <c r="AR125" s="417" t="n"/>
      <c r="AS125" s="417" t="n"/>
      <c r="AT125" s="417" t="n"/>
      <c r="AU125" s="417" t="n"/>
      <c r="AV125" s="417" t="n"/>
      <c r="AW125" s="417" t="n"/>
      <c r="AX125" s="417" t="n"/>
      <c r="AY125" s="417" t="n"/>
      <c r="AZ125" s="417" t="n"/>
    </row>
    <row r="126" ht="14.25" customFormat="1" customHeight="1" s="392">
      <c r="A126" s="417" t="n"/>
      <c r="B126" s="480" t="inlineStr">
        <is>
          <t>Operating Cash Flow</t>
        </is>
      </c>
      <c r="C126" s="417" t="n"/>
      <c r="D126" s="476">
        <f>+_xlfn.XLOOKUP($B126,Inputs!$B:$B,Inputs!Q:Q)</f>
        <v/>
      </c>
      <c r="E126" s="479">
        <f>+_xll.BDP(E$91, "CF_NET_CASH_OPERATING_ACT_CB")</f>
        <v/>
      </c>
      <c r="F126" s="479">
        <f>+_xll.BDP(F$91, "CF_NET_CASH_OPERATING_ACT_CB")</f>
        <v/>
      </c>
      <c r="G126" s="479">
        <f>+_xll.BDP(G$91, "CF_NET_CASH_OPERATING_ACT_CB")</f>
        <v/>
      </c>
      <c r="H126" s="479">
        <f>+_xll.BDP(H$91, "CF_NET_CASH_OPERATING_ACT_CB")</f>
        <v/>
      </c>
      <c r="I126" s="479">
        <f>+_xll.BDP(I$91, "CF_NET_CASH_OPERATING_ACT_CB")</f>
        <v/>
      </c>
      <c r="J126" s="479">
        <f>+_xll.BDP(J$91, "CF_NET_CASH_OPERATING_ACT_CB")</f>
        <v/>
      </c>
      <c r="K126" s="479">
        <f>+_xll.BDP(K$91, "CF_NET_CASH_OPERATING_ACT_CB")</f>
        <v/>
      </c>
      <c r="L126" s="479">
        <f>+_xll.BDP(L$91, "CF_NET_CASH_OPERATING_ACT_CB")</f>
        <v/>
      </c>
      <c r="M126" s="479">
        <f>+_xll.BDP(M$91, "CF_NET_CASH_OPERATING_ACT_CB")</f>
        <v/>
      </c>
      <c r="N126" s="479">
        <f>+_xll.BDP(N$91, "CF_NET_CASH_OPERATING_ACT_CB")</f>
        <v/>
      </c>
      <c r="O126" s="417" t="n"/>
      <c r="P126" s="417" t="n"/>
      <c r="Q126" s="417" t="n"/>
      <c r="R126" s="417" t="n"/>
      <c r="S126" s="417" t="n"/>
      <c r="T126" s="417" t="n"/>
      <c r="U126" s="417" t="n"/>
      <c r="V126" s="417" t="n"/>
      <c r="W126" s="417" t="n"/>
      <c r="X126" s="417" t="n"/>
      <c r="Y126" s="417" t="n"/>
      <c r="Z126" s="417" t="n"/>
      <c r="AA126" s="417" t="n"/>
      <c r="AB126" s="417" t="n"/>
      <c r="AC126" s="417" t="n"/>
      <c r="AD126" s="417" t="n"/>
      <c r="AE126" s="417" t="n"/>
      <c r="AF126" s="417" t="n"/>
      <c r="AG126" s="417" t="n"/>
      <c r="AH126" s="417" t="n"/>
      <c r="AI126" s="417" t="n"/>
      <c r="AJ126" s="417" t="n"/>
      <c r="AK126" s="417" t="n"/>
      <c r="AL126" s="417" t="n"/>
      <c r="AM126" s="417" t="n"/>
      <c r="AN126" s="417" t="n"/>
      <c r="AO126" s="417" t="n"/>
      <c r="AP126" s="417" t="n"/>
      <c r="AQ126" s="417" t="n"/>
      <c r="AR126" s="417" t="n"/>
      <c r="AS126" s="417" t="n"/>
      <c r="AT126" s="417" t="n"/>
      <c r="AU126" s="417" t="n"/>
      <c r="AV126" s="417" t="n"/>
      <c r="AW126" s="417" t="n"/>
      <c r="AX126" s="417" t="n"/>
      <c r="AY126" s="417" t="n"/>
      <c r="AZ126" s="417" t="n"/>
    </row>
    <row r="127" ht="14.25" customFormat="1" customHeight="1" s="392">
      <c r="A127" s="417" t="n"/>
      <c r="B127" s="480" t="inlineStr">
        <is>
          <t>Net Capex</t>
        </is>
      </c>
      <c r="C127" s="417" t="n"/>
      <c r="D127" s="476">
        <f>+_xlfn.XLOOKUP($B127,Inputs!$B:$B,Inputs!Q:Q)</f>
        <v/>
      </c>
      <c r="E127" s="479">
        <f>+_xll.BDP(E$91, "IS_CAPEX_AS_REPORTED")</f>
        <v/>
      </c>
      <c r="F127" s="479">
        <f>+_xll.BDP(F$91, "IS_CAPEX_AS_REPORTED")</f>
        <v/>
      </c>
      <c r="G127" s="479">
        <f>+_xll.BDP(G$91, "IS_CAPEX_AS_REPORTED")</f>
        <v/>
      </c>
      <c r="H127" s="479">
        <f>+_xll.BDP(H$91, "IS_CAPEX_AS_REPORTED")</f>
        <v/>
      </c>
      <c r="I127" s="479">
        <f>+_xll.BDP(I$91, "IS_CAPEX_AS_REPORTED")</f>
        <v/>
      </c>
      <c r="J127" s="479">
        <f>+_xll.BDP(J$91, "IS_CAPEX_AS_REPORTED")</f>
        <v/>
      </c>
      <c r="K127" s="479">
        <f>+_xll.BDP(K$91, "IS_CAPEX_AS_REPORTED")</f>
        <v/>
      </c>
      <c r="L127" s="479">
        <f>+_xll.BDP(L$91, "IS_CAPEX_AS_REPORTED")</f>
        <v/>
      </c>
      <c r="M127" s="479">
        <f>+_xll.BDP(M$91, "IS_CAPEX_AS_REPORTED")</f>
        <v/>
      </c>
      <c r="N127" s="479">
        <f>+_xll.BDP(N$91, "IS_CAPEX_AS_REPORTED")</f>
        <v/>
      </c>
      <c r="O127" s="417" t="n"/>
      <c r="P127" s="417" t="n"/>
      <c r="Q127" s="417" t="n"/>
      <c r="R127" s="417" t="n"/>
      <c r="S127" s="417" t="n"/>
      <c r="T127" s="417" t="n"/>
      <c r="U127" s="417" t="n"/>
      <c r="V127" s="417" t="n"/>
      <c r="W127" s="417" t="n"/>
      <c r="X127" s="417" t="n"/>
      <c r="Y127" s="417" t="n"/>
      <c r="Z127" s="417" t="n"/>
      <c r="AA127" s="417" t="n"/>
      <c r="AB127" s="417" t="n"/>
      <c r="AC127" s="417" t="n"/>
      <c r="AD127" s="417" t="n"/>
      <c r="AE127" s="417" t="n"/>
      <c r="AF127" s="417" t="n"/>
      <c r="AG127" s="417" t="n"/>
      <c r="AH127" s="417" t="n"/>
      <c r="AI127" s="417" t="n"/>
      <c r="AJ127" s="417" t="n"/>
      <c r="AK127" s="417" t="n"/>
      <c r="AL127" s="417" t="n"/>
      <c r="AM127" s="417" t="n"/>
      <c r="AN127" s="417" t="n"/>
      <c r="AO127" s="417" t="n"/>
      <c r="AP127" s="417" t="n"/>
      <c r="AQ127" s="417" t="n"/>
      <c r="AR127" s="417" t="n"/>
      <c r="AS127" s="417" t="n"/>
      <c r="AT127" s="417" t="n"/>
      <c r="AU127" s="417" t="n"/>
      <c r="AV127" s="417" t="n"/>
      <c r="AW127" s="417" t="n"/>
      <c r="AX127" s="417" t="n"/>
      <c r="AY127" s="417" t="n"/>
      <c r="AZ127" s="417" t="n"/>
    </row>
    <row r="128" ht="14.25" customFormat="1" customHeight="1" s="392">
      <c r="A128" s="417" t="n"/>
      <c r="B128" s="480" t="inlineStr">
        <is>
          <t>Investing Cash Flow</t>
        </is>
      </c>
      <c r="C128" s="417" t="n"/>
      <c r="D128" s="476">
        <f>+_xlfn.XLOOKUP($B128,Inputs!$B:$B,Inputs!Q:Q)</f>
        <v/>
      </c>
      <c r="E128" s="479">
        <f>+_xll.BDP(E$91, "CF_NET_CASH_INVESTING_ACT_CB")</f>
        <v/>
      </c>
      <c r="F128" s="479">
        <f>+_xll.BDP(F$91, "CF_NET_CASH_INVESTING_ACT_CB")</f>
        <v/>
      </c>
      <c r="G128" s="479">
        <f>+_xll.BDP(G$91, "CF_NET_CASH_INVESTING_ACT_CB")</f>
        <v/>
      </c>
      <c r="H128" s="479">
        <f>+_xll.BDP(H$91, "CF_NET_CASH_INVESTING_ACT_CB")</f>
        <v/>
      </c>
      <c r="I128" s="479">
        <f>+_xll.BDP(I$91, "CF_NET_CASH_INVESTING_ACT_CB")</f>
        <v/>
      </c>
      <c r="J128" s="479">
        <f>+_xll.BDP(J$91, "CF_NET_CASH_INVESTING_ACT_CB")</f>
        <v/>
      </c>
      <c r="K128" s="479">
        <f>+_xll.BDP(K$91, "CF_NET_CASH_INVESTING_ACT_CB")</f>
        <v/>
      </c>
      <c r="L128" s="479">
        <f>+_xll.BDP(L$91, "CF_NET_CASH_INVESTING_ACT_CB")</f>
        <v/>
      </c>
      <c r="M128" s="479">
        <f>+_xll.BDP(M$91, "CF_NET_CASH_INVESTING_ACT_CB")</f>
        <v/>
      </c>
      <c r="N128" s="479">
        <f>+_xll.BDP(N$91, "CF_NET_CASH_INVESTING_ACT_CB")</f>
        <v/>
      </c>
      <c r="O128" s="417" t="n"/>
      <c r="P128" s="417" t="n"/>
      <c r="Q128" s="417" t="n"/>
      <c r="R128" s="417" t="n"/>
      <c r="S128" s="417" t="n"/>
      <c r="T128" s="417" t="n"/>
      <c r="U128" s="417" t="n"/>
      <c r="V128" s="417" t="n"/>
      <c r="W128" s="417" t="n"/>
      <c r="X128" s="417" t="n"/>
      <c r="Y128" s="417" t="n"/>
      <c r="Z128" s="417" t="n"/>
      <c r="AA128" s="417" t="n"/>
      <c r="AB128" s="417" t="n"/>
      <c r="AC128" s="417" t="n"/>
      <c r="AD128" s="417" t="n"/>
      <c r="AE128" s="417" t="n"/>
      <c r="AF128" s="417" t="n"/>
      <c r="AG128" s="417" t="n"/>
      <c r="AH128" s="417" t="n"/>
      <c r="AI128" s="417" t="n"/>
      <c r="AJ128" s="417" t="n"/>
      <c r="AK128" s="417" t="n"/>
      <c r="AL128" s="417" t="n"/>
      <c r="AM128" s="417" t="n"/>
      <c r="AN128" s="417" t="n"/>
      <c r="AO128" s="417" t="n"/>
      <c r="AP128" s="417" t="n"/>
      <c r="AQ128" s="417" t="n"/>
      <c r="AR128" s="417" t="n"/>
      <c r="AS128" s="417" t="n"/>
      <c r="AT128" s="417" t="n"/>
      <c r="AU128" s="417" t="n"/>
      <c r="AV128" s="417" t="n"/>
      <c r="AW128" s="417" t="n"/>
      <c r="AX128" s="417" t="n"/>
      <c r="AY128" s="417" t="n"/>
      <c r="AZ128" s="417" t="n"/>
    </row>
    <row r="129" ht="14.25" customFormat="1" customHeight="1" s="392">
      <c r="A129" s="417" t="n"/>
      <c r="B129" s="480" t="inlineStr">
        <is>
          <t>Debt Borrowing</t>
        </is>
      </c>
      <c r="C129" s="417" t="n"/>
      <c r="D129" s="476">
        <f>+_xlfn.XLOOKUP($B129,Inputs!$B:$B,Inputs!Q:Q)</f>
        <v/>
      </c>
      <c r="E129" s="479">
        <f>+_xll.BDP(E$91, "CF_INCR_LT_BORROW")</f>
        <v/>
      </c>
      <c r="F129" s="479">
        <f>+_xll.BDP(F$91, "CF_INCR_LT_BORROW")</f>
        <v/>
      </c>
      <c r="G129" s="479">
        <f>+_xll.BDP(G$91, "CF_INCR_LT_BORROW")</f>
        <v/>
      </c>
      <c r="H129" s="479">
        <f>+_xll.BDP(H$91, "CF_INCR_LT_BORROW")</f>
        <v/>
      </c>
      <c r="I129" s="479">
        <f>+_xll.BDP(I$91, "CF_INCR_LT_BORROW")</f>
        <v/>
      </c>
      <c r="J129" s="479">
        <f>+_xll.BDP(J$91, "CF_INCR_LT_BORROW")</f>
        <v/>
      </c>
      <c r="K129" s="479">
        <f>+_xll.BDP(K$91, "CF_INCR_LT_BORROW")</f>
        <v/>
      </c>
      <c r="L129" s="479">
        <f>+_xll.BDP(L$91, "CF_INCR_LT_BORROW")</f>
        <v/>
      </c>
      <c r="M129" s="479">
        <f>+_xll.BDP(M$91, "CF_INCR_LT_BORROW")</f>
        <v/>
      </c>
      <c r="N129" s="479">
        <f>+_xll.BDP(N$91, "CF_INCR_LT_BORROW")</f>
        <v/>
      </c>
      <c r="O129" s="417" t="n"/>
      <c r="P129" s="417" t="n"/>
      <c r="Q129" s="417" t="n"/>
      <c r="R129" s="417" t="n"/>
      <c r="S129" s="417" t="n"/>
      <c r="T129" s="417" t="n"/>
      <c r="U129" s="417" t="n"/>
      <c r="V129" s="417" t="n"/>
      <c r="W129" s="417" t="n"/>
      <c r="X129" s="417" t="n"/>
      <c r="Y129" s="417" t="n"/>
      <c r="Z129" s="417" t="n"/>
      <c r="AA129" s="417" t="n"/>
      <c r="AB129" s="417" t="n"/>
      <c r="AC129" s="417" t="n"/>
      <c r="AD129" s="417" t="n"/>
      <c r="AE129" s="417" t="n"/>
      <c r="AF129" s="417" t="n"/>
      <c r="AG129" s="417" t="n"/>
      <c r="AH129" s="417" t="n"/>
      <c r="AI129" s="417" t="n"/>
      <c r="AJ129" s="417" t="n"/>
      <c r="AK129" s="417" t="n"/>
      <c r="AL129" s="417" t="n"/>
      <c r="AM129" s="417" t="n"/>
      <c r="AN129" s="417" t="n"/>
      <c r="AO129" s="417" t="n"/>
      <c r="AP129" s="417" t="n"/>
      <c r="AQ129" s="417" t="n"/>
      <c r="AR129" s="417" t="n"/>
      <c r="AS129" s="417" t="n"/>
      <c r="AT129" s="417" t="n"/>
      <c r="AU129" s="417" t="n"/>
      <c r="AV129" s="417" t="n"/>
      <c r="AW129" s="417" t="n"/>
      <c r="AX129" s="417" t="n"/>
      <c r="AY129" s="417" t="n"/>
      <c r="AZ129" s="417" t="n"/>
    </row>
    <row r="130" ht="14.25" customFormat="1" customHeight="1" s="392">
      <c r="A130" s="417" t="n"/>
      <c r="B130" s="480" t="inlineStr">
        <is>
          <t>Debt Repayment</t>
        </is>
      </c>
      <c r="C130" s="417" t="n"/>
      <c r="D130" s="476">
        <f>+_xlfn.XLOOKUP($B130,Inputs!$B:$B,Inputs!Q:Q)</f>
        <v/>
      </c>
      <c r="E130" s="479">
        <f>+_xll.BDP(E$91, "REPAYMENT_LONG_TERM_DEBT")</f>
        <v/>
      </c>
      <c r="F130" s="479">
        <f>+_xll.BDP(F$91, "REPAYMENT_LONG_TERM_DEBT")</f>
        <v/>
      </c>
      <c r="G130" s="479">
        <f>+_xll.BDP(G$91, "REPAYMENT_LONG_TERM_DEBT")</f>
        <v/>
      </c>
      <c r="H130" s="479">
        <f>+_xll.BDP(H$91, "REPAYMENT_LONG_TERM_DEBT")</f>
        <v/>
      </c>
      <c r="I130" s="479">
        <f>+_xll.BDP(I$91, "REPAYMENT_LONG_TERM_DEBT")</f>
        <v/>
      </c>
      <c r="J130" s="479">
        <f>+_xll.BDP(J$91, "REPAYMENT_LONG_TERM_DEBT")</f>
        <v/>
      </c>
      <c r="K130" s="479">
        <f>+_xll.BDP(K$91, "REPAYMENT_LONG_TERM_DEBT")</f>
        <v/>
      </c>
      <c r="L130" s="479">
        <f>+_xll.BDP(L$91, "REPAYMENT_LONG_TERM_DEBT")</f>
        <v/>
      </c>
      <c r="M130" s="479">
        <f>+_xll.BDP(M$91, "REPAYMENT_LONG_TERM_DEBT")</f>
        <v/>
      </c>
      <c r="N130" s="479">
        <f>+_xll.BDP(N$91, "REPAYMENT_LONG_TERM_DEBT")</f>
        <v/>
      </c>
      <c r="O130" s="417" t="n"/>
      <c r="P130" s="417" t="n"/>
      <c r="Q130" s="417" t="n"/>
      <c r="R130" s="417" t="n"/>
      <c r="S130" s="417" t="n"/>
      <c r="T130" s="417" t="n"/>
      <c r="U130" s="417" t="n"/>
      <c r="V130" s="417" t="n"/>
      <c r="W130" s="417" t="n"/>
      <c r="X130" s="417" t="n"/>
      <c r="Y130" s="417" t="n"/>
      <c r="Z130" s="417" t="n"/>
      <c r="AA130" s="417" t="n"/>
      <c r="AB130" s="417" t="n"/>
      <c r="AC130" s="417" t="n"/>
      <c r="AD130" s="417" t="n"/>
      <c r="AE130" s="417" t="n"/>
      <c r="AF130" s="417" t="n"/>
      <c r="AG130" s="417" t="n"/>
      <c r="AH130" s="417" t="n"/>
      <c r="AI130" s="417" t="n"/>
      <c r="AJ130" s="417" t="n"/>
      <c r="AK130" s="417" t="n"/>
      <c r="AL130" s="417" t="n"/>
      <c r="AM130" s="417" t="n"/>
      <c r="AN130" s="417" t="n"/>
      <c r="AO130" s="417" t="n"/>
      <c r="AP130" s="417" t="n"/>
      <c r="AQ130" s="417" t="n"/>
      <c r="AR130" s="417" t="n"/>
      <c r="AS130" s="417" t="n"/>
      <c r="AT130" s="417" t="n"/>
      <c r="AU130" s="417" t="n"/>
      <c r="AV130" s="417" t="n"/>
      <c r="AW130" s="417" t="n"/>
      <c r="AX130" s="417" t="n"/>
      <c r="AY130" s="417" t="n"/>
      <c r="AZ130" s="417" t="n"/>
    </row>
    <row r="131" ht="14.25" customFormat="1" customHeight="1" s="392">
      <c r="A131" s="417" t="n"/>
      <c r="B131" s="480" t="inlineStr">
        <is>
          <t>Financing Cash Flow</t>
        </is>
      </c>
      <c r="C131" s="417" t="n"/>
      <c r="D131" s="476">
        <f>+_xlfn.XLOOKUP($B131,Inputs!$B:$B,Inputs!Q:Q)</f>
        <v/>
      </c>
      <c r="E131" s="479">
        <f>+_xll.BDP(E$91, "CF_NET_CASH_FINANCING_ACT_CB")</f>
        <v/>
      </c>
      <c r="F131" s="479">
        <f>+_xll.BDP(F$91, "CF_NET_CASH_FINANCING_ACT_CB")</f>
        <v/>
      </c>
      <c r="G131" s="479">
        <f>+_xll.BDP(G$91, "CF_NET_CASH_FINANCING_ACT_CB")</f>
        <v/>
      </c>
      <c r="H131" s="479">
        <f>+_xll.BDP(H$91, "CF_NET_CASH_FINANCING_ACT_CB")</f>
        <v/>
      </c>
      <c r="I131" s="479">
        <f>+_xll.BDP(I$91, "CF_NET_CASH_FINANCING_ACT_CB")</f>
        <v/>
      </c>
      <c r="J131" s="479">
        <f>+_xll.BDP(J$91, "CF_NET_CASH_FINANCING_ACT_CB")</f>
        <v/>
      </c>
      <c r="K131" s="479">
        <f>+_xll.BDP(K$91, "CF_NET_CASH_FINANCING_ACT_CB")</f>
        <v/>
      </c>
      <c r="L131" s="479">
        <f>+_xll.BDP(L$91, "CF_NET_CASH_FINANCING_ACT_CB")</f>
        <v/>
      </c>
      <c r="M131" s="479">
        <f>+_xll.BDP(M$91, "CF_NET_CASH_FINANCING_ACT_CB")</f>
        <v/>
      </c>
      <c r="N131" s="479">
        <f>+_xll.BDP(N$91, "CF_NET_CASH_FINANCING_ACT_CB")</f>
        <v/>
      </c>
      <c r="O131" s="417" t="n"/>
      <c r="P131" s="417" t="n"/>
      <c r="Q131" s="417" t="n"/>
      <c r="R131" s="417" t="n"/>
      <c r="S131" s="417" t="n"/>
      <c r="T131" s="417" t="n"/>
      <c r="U131" s="417" t="n"/>
      <c r="V131" s="417" t="n"/>
      <c r="W131" s="417" t="n"/>
      <c r="X131" s="417" t="n"/>
      <c r="Y131" s="417" t="n"/>
      <c r="Z131" s="417" t="n"/>
      <c r="AA131" s="417" t="n"/>
      <c r="AB131" s="417" t="n"/>
      <c r="AC131" s="417" t="n"/>
      <c r="AD131" s="417" t="n"/>
      <c r="AE131" s="417" t="n"/>
      <c r="AF131" s="417" t="n"/>
      <c r="AG131" s="417" t="n"/>
      <c r="AH131" s="417" t="n"/>
      <c r="AI131" s="417" t="n"/>
      <c r="AJ131" s="417" t="n"/>
      <c r="AK131" s="417" t="n"/>
      <c r="AL131" s="417" t="n"/>
      <c r="AM131" s="417" t="n"/>
      <c r="AN131" s="417" t="n"/>
      <c r="AO131" s="417" t="n"/>
      <c r="AP131" s="417" t="n"/>
      <c r="AQ131" s="417" t="n"/>
      <c r="AR131" s="417" t="n"/>
      <c r="AS131" s="417" t="n"/>
      <c r="AT131" s="417" t="n"/>
      <c r="AU131" s="417" t="n"/>
      <c r="AV131" s="417" t="n"/>
      <c r="AW131" s="417" t="n"/>
      <c r="AX131" s="417" t="n"/>
      <c r="AY131" s="417" t="n"/>
      <c r="AZ131" s="417" t="n"/>
    </row>
    <row r="132" ht="14.25" customFormat="1" customHeight="1" s="392">
      <c r="A132" s="417" t="n"/>
      <c r="B132" s="480" t="inlineStr">
        <is>
          <t>Net Changes in Cash</t>
        </is>
      </c>
      <c r="C132" s="417" t="n"/>
      <c r="D132" s="476">
        <f>+_xlfn.XLOOKUP($B132,Inputs!$B:$B,Inputs!Q:Q)</f>
        <v/>
      </c>
      <c r="E132" s="479">
        <f>+_xll.BDP(E$91, "CF_NET_CHNG_CASH")</f>
        <v/>
      </c>
      <c r="F132" s="479">
        <f>+_xll.BDP(F$91, "CF_NET_CHNG_CASH")</f>
        <v/>
      </c>
      <c r="G132" s="479">
        <f>+_xll.BDP(G$91, "CF_NET_CHNG_CASH")</f>
        <v/>
      </c>
      <c r="H132" s="479">
        <f>+_xll.BDP(H$91, "CF_NET_CHNG_CASH")</f>
        <v/>
      </c>
      <c r="I132" s="479">
        <f>+_xll.BDP(I$91, "CF_NET_CHNG_CASH")</f>
        <v/>
      </c>
      <c r="J132" s="479">
        <f>+_xll.BDP(J$91, "CF_NET_CHNG_CASH")</f>
        <v/>
      </c>
      <c r="K132" s="479">
        <f>+_xll.BDP(K$91, "CF_NET_CHNG_CASH")</f>
        <v/>
      </c>
      <c r="L132" s="479">
        <f>+_xll.BDP(L$91, "CF_NET_CHNG_CASH")</f>
        <v/>
      </c>
      <c r="M132" s="479">
        <f>+_xll.BDP(M$91, "CF_NET_CHNG_CASH")</f>
        <v/>
      </c>
      <c r="N132" s="479">
        <f>+_xll.BDP(N$91, "CF_NET_CHNG_CASH")</f>
        <v/>
      </c>
      <c r="O132" s="417" t="n"/>
      <c r="P132" s="417" t="n"/>
      <c r="Q132" s="417" t="n"/>
      <c r="R132" s="417" t="n"/>
      <c r="S132" s="417" t="n"/>
      <c r="T132" s="417" t="n"/>
      <c r="U132" s="417" t="n"/>
      <c r="V132" s="417" t="n"/>
      <c r="W132" s="417" t="n"/>
      <c r="X132" s="417" t="n"/>
      <c r="Y132" s="417" t="n"/>
      <c r="Z132" s="417" t="n"/>
      <c r="AA132" s="417" t="n"/>
      <c r="AB132" s="417" t="n"/>
      <c r="AC132" s="417" t="n"/>
      <c r="AD132" s="417" t="n"/>
      <c r="AE132" s="417" t="n"/>
      <c r="AF132" s="417" t="n"/>
      <c r="AG132" s="417" t="n"/>
      <c r="AH132" s="417" t="n"/>
      <c r="AI132" s="417" t="n"/>
      <c r="AJ132" s="417" t="n"/>
      <c r="AK132" s="417" t="n"/>
      <c r="AL132" s="417" t="n"/>
      <c r="AM132" s="417" t="n"/>
      <c r="AN132" s="417" t="n"/>
      <c r="AO132" s="417" t="n"/>
      <c r="AP132" s="417" t="n"/>
      <c r="AQ132" s="417" t="n"/>
      <c r="AR132" s="417" t="n"/>
      <c r="AS132" s="417" t="n"/>
      <c r="AT132" s="417" t="n"/>
      <c r="AU132" s="417" t="n"/>
      <c r="AV132" s="417" t="n"/>
      <c r="AW132" s="417" t="n"/>
      <c r="AX132" s="417" t="n"/>
      <c r="AY132" s="417" t="n"/>
      <c r="AZ132" s="417" t="n"/>
    </row>
    <row r="133" ht="3.95" customFormat="1" customHeight="1" s="392">
      <c r="A133" s="417" t="n"/>
      <c r="B133" s="481" t="n"/>
      <c r="C133" s="417" t="n"/>
      <c r="D133" s="677" t="n"/>
      <c r="E133" s="678" t="n"/>
      <c r="F133" s="678" t="n"/>
      <c r="G133" s="678" t="n"/>
      <c r="H133" s="678" t="n"/>
      <c r="I133" s="678" t="n"/>
      <c r="J133" s="678" t="n"/>
      <c r="K133" s="678" t="n"/>
      <c r="L133" s="678" t="n"/>
      <c r="M133" s="678" t="n"/>
      <c r="N133" s="679" t="n"/>
      <c r="O133" s="417" t="n"/>
      <c r="P133" s="417" t="n"/>
      <c r="Q133" s="417" t="n"/>
      <c r="R133" s="417" t="n"/>
      <c r="S133" s="417" t="n"/>
      <c r="T133" s="417" t="n"/>
      <c r="U133" s="417" t="n"/>
      <c r="V133" s="417" t="n"/>
      <c r="W133" s="417" t="n"/>
      <c r="X133" s="417" t="n"/>
      <c r="Y133" s="417" t="n"/>
      <c r="Z133" s="417" t="n"/>
      <c r="AA133" s="417" t="n"/>
      <c r="AB133" s="417" t="n"/>
      <c r="AC133" s="417" t="n"/>
      <c r="AD133" s="417" t="n"/>
      <c r="AE133" s="417" t="n"/>
      <c r="AF133" s="417" t="n"/>
      <c r="AG133" s="417" t="n"/>
      <c r="AH133" s="417" t="n"/>
      <c r="AI133" s="417" t="n"/>
      <c r="AJ133" s="417" t="n"/>
      <c r="AK133" s="417" t="n"/>
      <c r="AL133" s="417" t="n"/>
      <c r="AM133" s="417" t="n"/>
      <c r="AN133" s="417" t="n"/>
      <c r="AO133" s="417" t="n"/>
      <c r="AP133" s="417" t="n"/>
      <c r="AQ133" s="417" t="n"/>
      <c r="AR133" s="417" t="n"/>
      <c r="AS133" s="417" t="n"/>
      <c r="AT133" s="417" t="n"/>
      <c r="AU133" s="417" t="n"/>
      <c r="AV133" s="417" t="n"/>
      <c r="AW133" s="417" t="n"/>
      <c r="AX133" s="417" t="n"/>
      <c r="AY133" s="417" t="n"/>
      <c r="AZ133" s="417" t="n"/>
    </row>
    <row r="134" ht="14.25" customHeight="1" s="783">
      <c r="B134" s="69" t="inlineStr">
        <is>
          <t>Extra Notes</t>
        </is>
      </c>
      <c r="C134" s="70" t="n"/>
      <c r="D134" s="69" t="n"/>
      <c r="E134" s="70" t="n"/>
      <c r="F134" s="70" t="n"/>
      <c r="G134" s="70" t="n"/>
      <c r="H134" s="70" t="n"/>
      <c r="I134" s="70" t="n"/>
      <c r="J134" s="100" t="n"/>
      <c r="K134" s="101" t="n"/>
      <c r="L134" s="101" t="n"/>
      <c r="M134" s="101" t="n"/>
      <c r="N134" s="101" t="n"/>
      <c r="O134" s="101" t="n"/>
    </row>
    <row r="135" ht="3.75" customHeight="1" s="783">
      <c r="B135" s="71" t="n"/>
      <c r="C135" s="71" t="n"/>
      <c r="D135" s="71" t="n"/>
      <c r="E135" s="71" t="n"/>
      <c r="F135" s="71" t="n"/>
      <c r="G135" s="71" t="n"/>
      <c r="H135" s="71" t="n"/>
      <c r="I135" s="71" t="n"/>
      <c r="J135" s="102" t="n"/>
      <c r="K135" s="102" t="n"/>
      <c r="L135" s="102" t="n"/>
      <c r="M135" s="102" t="n"/>
      <c r="N135" s="102" t="n"/>
      <c r="O135" s="102" t="n"/>
    </row>
    <row r="143" ht="14.25" customHeight="1" s="783">
      <c r="B143" s="69" t="inlineStr">
        <is>
          <t>Graphs</t>
        </is>
      </c>
      <c r="C143" s="70" t="n"/>
      <c r="D143" s="69" t="n"/>
      <c r="E143" s="70" t="n"/>
      <c r="F143" s="70" t="n"/>
      <c r="G143" s="70" t="n"/>
      <c r="H143" s="70" t="n"/>
      <c r="I143" s="70" t="n"/>
      <c r="J143" s="100" t="n"/>
      <c r="K143" s="101" t="n"/>
      <c r="L143" s="101" t="n"/>
      <c r="M143" s="101" t="n"/>
      <c r="N143" s="101" t="n"/>
      <c r="O143" s="101" t="n"/>
    </row>
    <row r="144" ht="4.15" customHeight="1" s="783">
      <c r="B144" s="734" t="n"/>
      <c r="C144" s="734" t="n"/>
      <c r="D144" s="734" t="n"/>
      <c r="E144" s="734" t="n"/>
      <c r="F144" s="734" t="n"/>
      <c r="G144" s="734" t="n"/>
      <c r="H144" s="734" t="n"/>
      <c r="I144" s="734" t="n"/>
      <c r="J144" s="734" t="n"/>
      <c r="K144" s="734" t="n"/>
      <c r="L144" s="734" t="n"/>
      <c r="M144" s="734" t="n"/>
      <c r="N144" s="734" t="n"/>
      <c r="O144" s="734" t="n"/>
    </row>
    <row r="157" ht="14.25" customHeight="1" s="783">
      <c r="E157" s="393">
        <f>_xll.BQL("['AAPL US Equity']", "px_last(dates=range(-1Y, 0D))")</f>
        <v/>
      </c>
    </row>
  </sheetData>
  <mergeCells count="10">
    <mergeCell ref="F3:G3"/>
    <mergeCell ref="L3:M3"/>
    <mergeCell ref="J3:K3"/>
    <mergeCell ref="N3:O3"/>
    <mergeCell ref="D2:E2"/>
    <mergeCell ref="D21:F21"/>
    <mergeCell ref="D3:E3"/>
    <mergeCell ref="J21:L21"/>
    <mergeCell ref="M21:O21"/>
    <mergeCell ref="H3:I3"/>
  </mergeCells>
  <conditionalFormatting sqref="D6 D8:D17">
    <cfRule type="colorScale" priority="25">
      <colorScale>
        <cfvo type="min"/>
        <cfvo type="percentile" val="50"/>
        <cfvo type="max"/>
        <color rgb="FFF8696B"/>
        <color rgb="FFFFEB84"/>
        <color rgb="FF63BE7B"/>
      </colorScale>
    </cfRule>
  </conditionalFormatting>
  <conditionalFormatting sqref="E6 E8:E17">
    <cfRule type="colorScale" priority="24">
      <colorScale>
        <cfvo type="min"/>
        <cfvo type="percentile" val="50"/>
        <cfvo type="max"/>
        <color rgb="FFF8696B"/>
        <color rgb="FFFFEB84"/>
        <color rgb="FF63BE7B"/>
      </colorScale>
    </cfRule>
  </conditionalFormatting>
  <conditionalFormatting sqref="F6:G6 F8:G17">
    <cfRule type="colorScale" priority="22">
      <colorScale>
        <cfvo type="min"/>
        <cfvo type="percentile" val="50"/>
        <cfvo type="max"/>
        <color rgb="FFF8696B"/>
        <color rgb="FFFFEB84"/>
        <color rgb="FF63BE7B"/>
      </colorScale>
    </cfRule>
  </conditionalFormatting>
  <conditionalFormatting sqref="H6:H12">
    <cfRule type="colorScale" priority="28">
      <colorScale>
        <cfvo type="min"/>
        <cfvo type="percentile" val="50"/>
        <cfvo type="max"/>
        <color rgb="FF63BE7B"/>
        <color rgb="FFFFEB84"/>
        <color rgb="FFF8696B"/>
      </colorScale>
    </cfRule>
    <cfRule type="colorScale" priority="34">
      <colorScale>
        <cfvo type="min"/>
        <cfvo type="percentile" val="50"/>
        <cfvo type="max"/>
        <color rgb="FF63BE7B"/>
        <color rgb="FFFFEB84"/>
        <color rgb="FFF8696B"/>
      </colorScale>
    </cfRule>
  </conditionalFormatting>
  <conditionalFormatting sqref="H6 H8:H17">
    <cfRule type="colorScale" priority="21">
      <colorScale>
        <cfvo type="min"/>
        <cfvo type="percentile" val="50"/>
        <cfvo type="max"/>
        <color rgb="FFF8696B"/>
        <color rgb="FFFFEB84"/>
        <color rgb="FF63BE7B"/>
      </colorScale>
    </cfRule>
  </conditionalFormatting>
  <conditionalFormatting sqref="H13:H17">
    <cfRule type="colorScale" priority="58">
      <colorScale>
        <cfvo type="min"/>
        <cfvo type="percentile" val="50"/>
        <cfvo type="max"/>
        <color rgb="FFF8696B"/>
        <color rgb="FFFFEB84"/>
        <color rgb="FF63BE7B"/>
      </colorScale>
    </cfRule>
  </conditionalFormatting>
  <conditionalFormatting sqref="I7">
    <cfRule type="colorScale" priority="19">
      <colorScale>
        <cfvo type="min"/>
        <cfvo type="percentile" val="50"/>
        <cfvo type="max"/>
        <color rgb="FF63BE7B"/>
        <color rgb="FFFFEB84"/>
        <color rgb="FFF8696B"/>
      </colorScale>
    </cfRule>
    <cfRule type="colorScale" priority="20">
      <colorScale>
        <cfvo type="min"/>
        <cfvo type="percentile" val="50"/>
        <cfvo type="max"/>
        <color rgb="FF63BE7B"/>
        <color rgb="FFFFEB84"/>
        <color rgb="FFF8696B"/>
      </colorScale>
    </cfRule>
  </conditionalFormatting>
  <conditionalFormatting sqref="I6 I8:I17">
    <cfRule type="colorScale" priority="18">
      <colorScale>
        <cfvo type="min"/>
        <cfvo type="percentile" val="50"/>
        <cfvo type="max"/>
        <color rgb="FFF8696B"/>
        <color rgb="FFFFEB84"/>
        <color rgb="FF63BE7B"/>
      </colorScale>
    </cfRule>
    <cfRule type="colorScale" priority="75">
      <colorScale>
        <cfvo type="min"/>
        <cfvo type="percentile" val="50"/>
        <cfvo type="max"/>
        <color rgb="FF63BE7B"/>
        <color rgb="FFFFEB84"/>
        <color rgb="FFF8696B"/>
      </colorScale>
    </cfRule>
    <cfRule type="colorScale" priority="76">
      <colorScale>
        <cfvo type="min"/>
        <cfvo type="percentile" val="50"/>
        <cfvo type="max"/>
        <color rgb="FF63BE7B"/>
        <color rgb="FFFFEB84"/>
        <color rgb="FFF8696B"/>
      </colorScale>
    </cfRule>
  </conditionalFormatting>
  <conditionalFormatting sqref="J6:J17">
    <cfRule type="colorScale" priority="26">
      <colorScale>
        <cfvo type="min"/>
        <cfvo type="percentile" val="50"/>
        <cfvo type="max"/>
        <color rgb="FF63BE7B"/>
        <color rgb="FFFFEB84"/>
        <color rgb="FFF8696B"/>
      </colorScale>
    </cfRule>
    <cfRule type="colorScale" priority="32">
      <colorScale>
        <cfvo type="min"/>
        <cfvo type="percentile" val="50"/>
        <cfvo type="max"/>
        <color rgb="FF63BE7B"/>
        <color rgb="FFFFEB84"/>
        <color rgb="FFF8696B"/>
      </colorScale>
    </cfRule>
  </conditionalFormatting>
  <conditionalFormatting sqref="J13:J17">
    <cfRule type="colorScale" priority="56">
      <colorScale>
        <cfvo type="min"/>
        <cfvo type="percentile" val="50"/>
        <cfvo type="max"/>
        <color rgb="FFF8696B"/>
        <color rgb="FFFFEB84"/>
        <color rgb="FF63BE7B"/>
      </colorScale>
    </cfRule>
  </conditionalFormatting>
  <conditionalFormatting sqref="J6:K6 J8:K17">
    <cfRule type="colorScale" priority="17">
      <colorScale>
        <cfvo type="min"/>
        <cfvo type="percentile" val="50"/>
        <cfvo type="max"/>
        <color rgb="FF63BE7B"/>
        <color rgb="FFFFEB84"/>
        <color rgb="FFF8696B"/>
      </colorScale>
    </cfRule>
  </conditionalFormatting>
  <conditionalFormatting sqref="K6:K17">
    <cfRule type="colorScale" priority="10">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onditionalFormatting>
  <conditionalFormatting sqref="K6 K8:K17">
    <cfRule type="colorScale" priority="9">
      <colorScale>
        <cfvo type="min"/>
        <cfvo type="percentile" val="50"/>
        <cfvo type="max"/>
        <color rgb="FF63BE7B"/>
        <color rgb="FFFFEB84"/>
        <color rgb="FFF8696B"/>
      </colorScale>
    </cfRule>
  </conditionalFormatting>
  <conditionalFormatting sqref="K13:K17">
    <cfRule type="colorScale" priority="12">
      <colorScale>
        <cfvo type="min"/>
        <cfvo type="percentile" val="50"/>
        <cfvo type="max"/>
        <color rgb="FFF8696B"/>
        <color rgb="FFFFEB84"/>
        <color rgb="FF63BE7B"/>
      </colorScale>
    </cfRule>
  </conditionalFormatting>
  <conditionalFormatting sqref="L6 L8:L17">
    <cfRule type="colorScale" priority="8">
      <colorScale>
        <cfvo type="min"/>
        <cfvo type="percentile" val="50"/>
        <cfvo type="max"/>
        <color rgb="FF63BE7B"/>
        <color rgb="FFFFEB84"/>
        <color rgb="FFF8696B"/>
      </colorScale>
    </cfRule>
  </conditionalFormatting>
  <conditionalFormatting sqref="L13:L17">
    <cfRule type="colorScale" priority="74">
      <colorScale>
        <cfvo type="min"/>
        <cfvo type="percentile" val="50"/>
        <cfvo type="max"/>
        <color rgb="FFF8696B"/>
        <color rgb="FFFFEB84"/>
        <color rgb="FF63BE7B"/>
      </colorScale>
    </cfRule>
  </conditionalFormatting>
  <conditionalFormatting sqref="M6 M8:M17">
    <cfRule type="colorScale" priority="7">
      <colorScale>
        <cfvo type="min"/>
        <cfvo type="percentile" val="50"/>
        <cfvo type="max"/>
        <color rgb="FF63BE7B"/>
        <color rgb="FFFFEB84"/>
        <color rgb="FFF8696B"/>
      </colorScale>
    </cfRule>
  </conditionalFormatting>
  <conditionalFormatting sqref="M13:M17">
    <cfRule type="colorScale" priority="73">
      <colorScale>
        <cfvo type="min"/>
        <cfvo type="percentile" val="50"/>
        <cfvo type="max"/>
        <color rgb="FFF8696B"/>
        <color rgb="FFFFEB84"/>
        <color rgb="FF63BE7B"/>
      </colorScale>
    </cfRule>
  </conditionalFormatting>
  <conditionalFormatting sqref="M24:O27">
    <cfRule type="colorScale" priority="1">
      <colorScale>
        <cfvo type="min"/>
        <cfvo type="num" val="0"/>
        <cfvo type="max"/>
        <color rgb="FFF8696B"/>
        <color rgb="FFFCFCFF"/>
        <color rgb="FF63BE7B"/>
      </colorScale>
    </cfRule>
  </conditionalFormatting>
  <conditionalFormatting sqref="N6 N8:N17">
    <cfRule type="colorScale" priority="6">
      <colorScale>
        <cfvo type="min"/>
        <cfvo type="percentile" val="50"/>
        <cfvo type="max"/>
        <color rgb="FF63BE7B"/>
        <color rgb="FFFFEB84"/>
        <color rgb="FFF8696B"/>
      </colorScale>
    </cfRule>
  </conditionalFormatting>
  <conditionalFormatting sqref="O6 O8:O17">
    <cfRule type="colorScale" priority="5">
      <colorScale>
        <cfvo type="min"/>
        <cfvo type="percentile" val="50"/>
        <cfvo type="max"/>
        <color rgb="FF63BE7B"/>
        <color rgb="FFFFEB84"/>
        <color rgb="FFF8696B"/>
      </colorScale>
    </cfRule>
  </conditionalFormatting>
  <conditionalFormatting sqref="P13:P17">
    <cfRule type="colorScale" priority="51">
      <colorScale>
        <cfvo type="min"/>
        <cfvo type="percentile" val="50"/>
        <cfvo type="max"/>
        <color rgb="FF63BE7B"/>
        <color rgb="FFFFEB84"/>
        <color rgb="FFF8696B"/>
      </colorScale>
    </cfRule>
  </conditionalFormatting>
  <conditionalFormatting sqref="Q13:Q17">
    <cfRule type="colorScale" priority="50">
      <colorScale>
        <cfvo type="min"/>
        <cfvo type="percentile" val="50"/>
        <cfvo type="max"/>
        <color rgb="FF63BE7B"/>
        <color rgb="FFFFEB84"/>
        <color rgb="FFF8696B"/>
      </colorScale>
    </cfRule>
  </conditionalFormatting>
  <conditionalFormatting sqref="R13:R17">
    <cfRule type="colorScale" priority="49">
      <colorScale>
        <cfvo type="min"/>
        <cfvo type="percentile" val="50"/>
        <cfvo type="max"/>
        <color rgb="FFF8696B"/>
        <color rgb="FFFFEB84"/>
        <color rgb="FF63BE7B"/>
      </colorScale>
    </cfRule>
  </conditionalFormatting>
  <conditionalFormatting sqref="T13:T17">
    <cfRule type="colorScale" priority="48">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U13:U17">
    <cfRule type="colorScale" priority="47">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W13:W17">
    <cfRule type="colorScale" priority="46">
      <colorScale>
        <cfvo type="min"/>
        <cfvo type="percentile" val="50"/>
        <cfvo type="max"/>
        <color rgb="FFF8696B"/>
        <color rgb="FFFFEB84"/>
        <color rgb="FF63BE7B"/>
      </colorScale>
    </cfRule>
    <cfRule type="colorScale" priority="66">
      <colorScale>
        <cfvo type="min"/>
        <cfvo type="percentile" val="50"/>
        <cfvo type="max"/>
        <color rgb="FFF8696B"/>
        <color rgb="FFFFEB84"/>
        <color rgb="FF63BE7B"/>
      </colorScale>
    </cfRule>
  </conditionalFormatting>
  <conditionalFormatting sqref="X13:X17">
    <cfRule type="colorScale" priority="45">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Y13:Y17">
    <cfRule type="colorScale" priority="64">
      <colorScale>
        <cfvo type="min"/>
        <cfvo type="percentile" val="50"/>
        <cfvo type="max"/>
        <color rgb="FF63BE7B"/>
        <color rgb="FFFFEB84"/>
        <color rgb="FFF8696B"/>
      </colorScale>
    </cfRule>
  </conditionalFormatting>
  <conditionalFormatting sqref="Z13:Z17">
    <cfRule type="colorScale" priority="44">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AA13:AA17">
    <cfRule type="colorScale" priority="43">
      <colorScale>
        <cfvo type="min"/>
        <cfvo type="percentile" val="50"/>
        <cfvo type="max"/>
        <color rgb="FFF8696B"/>
        <color rgb="FFFFEB84"/>
        <color rgb="FF63BE7B"/>
      </colorScale>
    </cfRule>
    <cfRule type="colorScale" priority="62">
      <colorScale>
        <cfvo type="min"/>
        <cfvo type="percentile" val="50"/>
        <cfvo type="max"/>
        <color rgb="FFF8696B"/>
        <color rgb="FFFFEB84"/>
        <color rgb="FF63BE7B"/>
      </colorScale>
    </cfRule>
  </conditionalFormatting>
  <conditionalFormatting sqref="AB13:AB17">
    <cfRule type="colorScale" priority="42">
      <colorScale>
        <cfvo type="min"/>
        <cfvo type="percentile" val="50"/>
        <cfvo type="max"/>
        <color rgb="FF63BE7B"/>
        <color rgb="FFFFEB84"/>
        <color rgb="FFF8696B"/>
      </colorScale>
    </cfRule>
  </conditionalFormatting>
  <conditionalFormatting sqref="AD6:AD17">
    <cfRule type="colorScale" priority="41">
      <colorScale>
        <cfvo type="min"/>
        <cfvo type="percentile" val="50"/>
        <cfvo type="max"/>
        <color rgb="FF63BE7B"/>
        <color rgb="FFFFEB84"/>
        <color rgb="FFF8696B"/>
      </colorScale>
    </cfRule>
    <cfRule type="colorScale" priority="61">
      <colorScale>
        <cfvo type="min"/>
        <cfvo type="percentile" val="50"/>
        <cfvo type="max"/>
        <color rgb="FF63BE7B"/>
        <color rgb="FFFFEB84"/>
        <color rgb="FFF8696B"/>
      </colorScale>
    </cfRule>
  </conditionalFormatting>
  <conditionalFormatting sqref="AE6:AE17">
    <cfRule type="colorScale" priority="40">
      <colorScale>
        <cfvo type="min"/>
        <cfvo type="percentile" val="50"/>
        <cfvo type="max"/>
        <color rgb="FF63BE7B"/>
        <color rgb="FFFFEB84"/>
        <color rgb="FFF8696B"/>
      </colorScale>
    </cfRule>
    <cfRule type="colorScale" priority="72">
      <colorScale>
        <cfvo type="min"/>
        <cfvo type="percentile" val="50"/>
        <cfvo type="max"/>
        <color rgb="FF63BE7B"/>
        <color rgb="FFFFEB84"/>
        <color rgb="FFF8696B"/>
      </colorScale>
    </cfRule>
  </conditionalFormatting>
  <conditionalFormatting sqref="AF6:AF17">
    <cfRule type="colorScale" priority="39">
      <colorScale>
        <cfvo type="min"/>
        <cfvo type="percentile" val="50"/>
        <cfvo type="max"/>
        <color rgb="FF63BE7B"/>
        <color rgb="FFFFEB84"/>
        <color rgb="FFF8696B"/>
      </colorScale>
    </cfRule>
    <cfRule type="colorScale" priority="71">
      <colorScale>
        <cfvo type="min"/>
        <cfvo type="percentile" val="50"/>
        <cfvo type="max"/>
        <color rgb="FF63BE7B"/>
        <color rgb="FFFFEB84"/>
        <color rgb="FFF8696B"/>
      </colorScale>
    </cfRule>
  </conditionalFormatting>
  <conditionalFormatting sqref="AG6:AG17">
    <cfRule type="colorScale" priority="38">
      <colorScale>
        <cfvo type="min"/>
        <cfvo type="percentile" val="50"/>
        <cfvo type="max"/>
        <color rgb="FF63BE7B"/>
        <color rgb="FFFFEB84"/>
        <color rgb="FFF8696B"/>
      </colorScale>
    </cfRule>
    <cfRule type="colorScale" priority="70">
      <colorScale>
        <cfvo type="min"/>
        <cfvo type="percentile" val="50"/>
        <cfvo type="max"/>
        <color rgb="FF63BE7B"/>
        <color rgb="FFFFEB84"/>
        <color rgb="FFF8696B"/>
      </colorScale>
    </cfRule>
  </conditionalFormatting>
  <conditionalFormatting sqref="AH6:AH17">
    <cfRule type="colorScale" priority="37">
      <colorScale>
        <cfvo type="min"/>
        <cfvo type="percentile" val="50"/>
        <cfvo type="max"/>
        <color rgb="FF63BE7B"/>
        <color rgb="FFFFEB84"/>
        <color rgb="FFF8696B"/>
      </colorScale>
    </cfRule>
    <cfRule type="colorScale" priority="69">
      <colorScale>
        <cfvo type="min"/>
        <cfvo type="percentile" val="50"/>
        <cfvo type="max"/>
        <color rgb="FF63BE7B"/>
        <color rgb="FFFFEB84"/>
        <color rgb="FFF8696B"/>
      </colorScale>
    </cfRule>
  </conditionalFormatting>
  <conditionalFormatting sqref="AN6:AN17">
    <cfRule type="colorScale" priority="36">
      <colorScale>
        <cfvo type="min"/>
        <cfvo type="percentile" val="50"/>
        <cfvo type="max"/>
        <color rgb="FFF8696B"/>
        <color rgb="FFFFEB84"/>
        <color rgb="FF63BE7B"/>
      </colorScale>
    </cfRule>
  </conditionalFormatting>
  <pageMargins left="0.7" right="0.7" top="0.75" bottom="0.75" header="0.3" footer="0.3"/>
  <pageSetup orientation="portrait"/>
</worksheet>
</file>

<file path=xl/worksheets/sheet5.xml><?xml version="1.0" encoding="utf-8"?>
<worksheet xmlns="http://schemas.openxmlformats.org/spreadsheetml/2006/main">
  <sheetPr>
    <tabColor theme="9"/>
    <outlinePr summaryBelow="1" summaryRight="1"/>
    <pageSetUpPr/>
  </sheetPr>
  <dimension ref="B1:AD95"/>
  <sheetViews>
    <sheetView showGridLines="0" topLeftCell="B1" zoomScale="70" zoomScaleNormal="70" workbookViewId="0">
      <selection activeCell="E7" sqref="E7"/>
    </sheetView>
  </sheetViews>
  <sheetFormatPr baseColWidth="8" defaultColWidth="7.75" defaultRowHeight="12.75" customHeight="1"/>
  <cols>
    <col width="2" customWidth="1" style="44" min="1" max="1"/>
    <col width="26.375" customWidth="1" style="44" min="2" max="2"/>
    <col width="21.125" customWidth="1" style="43" min="3" max="3"/>
    <col width="4.125" customWidth="1" style="44" min="4" max="4"/>
    <col width="44.5" customWidth="1" style="44" min="5" max="5"/>
    <col width="3.375" customWidth="1" style="44" min="6" max="6"/>
    <col width="11.25" customWidth="1" style="44" min="7" max="12"/>
    <col width="4.25" customWidth="1" style="44" min="13" max="13"/>
    <col width="11.125" customWidth="1" style="44" min="14" max="21"/>
    <col width="12.5" customWidth="1" style="44" min="22" max="22"/>
    <col width="9.875" customWidth="1" style="44" min="23" max="23"/>
    <col width="14" customWidth="1" style="44" min="24" max="24"/>
    <col width="11.375" customWidth="1" style="44" min="25" max="25"/>
    <col width="14.25" customWidth="1" style="44" min="26" max="26"/>
    <col width="8" customWidth="1" style="44" min="27" max="27"/>
    <col width="8.75" bestFit="1" customWidth="1" style="44" min="28" max="28"/>
    <col width="6.375" customWidth="1" style="44" min="29" max="29"/>
    <col width="7.25" customWidth="1" style="44" min="30" max="30"/>
    <col width="8.75" customWidth="1" style="44" min="31" max="31"/>
    <col width="8.5" customWidth="1" style="44" min="32" max="32"/>
    <col width="9.75" customWidth="1" style="44" min="33" max="33"/>
    <col width="8.875" customWidth="1" style="44" min="34" max="34"/>
    <col width="7.75" customWidth="1" style="44" min="35" max="35"/>
    <col width="7.125" customWidth="1" style="44" min="36" max="36"/>
    <col width="7.25" customWidth="1" style="44" min="37" max="37"/>
    <col width="8.125" customWidth="1" style="44" min="38" max="38"/>
    <col width="7.625" customWidth="1" style="44" min="39" max="39"/>
    <col width="7.75" customWidth="1" style="44" min="40" max="16384"/>
  </cols>
  <sheetData>
    <row r="1" ht="14.25" customHeight="1" s="783">
      <c r="Q1" s="6" t="n"/>
    </row>
    <row r="2" ht="20.1" customFormat="1" customHeight="1" s="41">
      <c r="B2" s="40" t="inlineStr">
        <is>
          <t>Environmental, Social and Governance Analysis</t>
        </is>
      </c>
      <c r="Q2" s="42" t="n"/>
    </row>
    <row r="3" ht="14.25" customHeight="1" s="783">
      <c r="Q3" s="6" t="n"/>
      <c r="Z3" s="44" t="n"/>
      <c r="AA3" s="44" t="n"/>
      <c r="AB3" s="44" t="n"/>
      <c r="AC3" s="44" t="n"/>
      <c r="AD3" s="44" t="n"/>
    </row>
    <row r="4" ht="15.75" customHeight="1" s="783" thickBot="1">
      <c r="B4" s="1" t="inlineStr">
        <is>
          <t>Author:</t>
        </is>
      </c>
      <c r="E4" s="1" t="inlineStr">
        <is>
          <t>Highlights</t>
        </is>
      </c>
      <c r="F4" s="1" t="n"/>
      <c r="G4" s="1" t="n"/>
      <c r="H4" s="1" t="n"/>
      <c r="I4" s="1" t="n"/>
      <c r="J4" s="1" t="n"/>
      <c r="N4" s="1" t="inlineStr">
        <is>
          <t>Recent News</t>
        </is>
      </c>
      <c r="O4" s="1" t="n"/>
      <c r="P4" s="1" t="n"/>
      <c r="Q4" s="1" t="n"/>
      <c r="R4" s="1" t="n"/>
      <c r="S4" s="1" t="n"/>
    </row>
    <row r="5" ht="15" customHeight="1" s="783">
      <c r="B5" s="45" t="n"/>
      <c r="C5" s="46" t="n"/>
      <c r="E5" s="47" t="n"/>
      <c r="F5" s="47" t="n"/>
      <c r="G5" s="808" t="n"/>
      <c r="H5" s="900" t="n"/>
      <c r="I5" s="900" t="n"/>
      <c r="J5" s="900" t="n"/>
      <c r="K5" s="900" t="n"/>
      <c r="L5" s="900" t="n"/>
      <c r="N5" s="809" t="n"/>
      <c r="O5" s="900" t="n"/>
      <c r="P5" s="900" t="n"/>
      <c r="Q5" s="900" t="n"/>
      <c r="R5" s="809" t="n"/>
      <c r="S5" s="900" t="n"/>
      <c r="T5" s="900" t="n"/>
      <c r="U5" s="900" t="n"/>
    </row>
    <row r="6" ht="15.75" customHeight="1" s="783" thickBot="1">
      <c r="B6" s="1" t="inlineStr">
        <is>
          <t>Overview</t>
        </is>
      </c>
      <c r="C6" s="44" t="n"/>
      <c r="D6" s="44" t="inlineStr">
        <is>
          <t>.</t>
        </is>
      </c>
    </row>
    <row r="7" ht="15" customHeight="1" s="783">
      <c r="B7" s="45" t="inlineStr">
        <is>
          <t>Last Update</t>
        </is>
      </c>
      <c r="C7" s="48" t="n"/>
      <c r="D7" s="44" t="inlineStr">
        <is>
          <t>.</t>
        </is>
      </c>
      <c r="E7" s="23" t="n"/>
      <c r="G7" s="798" t="n"/>
    </row>
    <row r="8" ht="14.25" customHeight="1" s="783">
      <c r="B8" s="25" t="inlineStr">
        <is>
          <t>Latest year with data</t>
        </is>
      </c>
      <c r="C8" s="39" t="n"/>
    </row>
    <row r="9" ht="15" customHeight="1" s="783">
      <c r="B9" s="25" t="inlineStr">
        <is>
          <t>GICS Sector</t>
        </is>
      </c>
      <c r="C9" s="26" t="n"/>
      <c r="E9" s="23" t="n"/>
      <c r="G9" s="798" t="n"/>
    </row>
    <row r="10" ht="13.9" customHeight="1" s="783">
      <c r="B10" s="25" t="inlineStr">
        <is>
          <t>GICS Industry Group</t>
        </is>
      </c>
      <c r="C10" s="26" t="n"/>
    </row>
    <row r="11" ht="15" customHeight="1" s="783">
      <c r="B11" s="23" t="inlineStr">
        <is>
          <t>Final Review</t>
        </is>
      </c>
      <c r="C11" s="706" t="n"/>
      <c r="E11" s="23" t="n"/>
      <c r="G11" s="798" t="n"/>
    </row>
    <row r="12" ht="13.9" customHeight="1" s="783">
      <c r="B12" s="25" t="n"/>
    </row>
    <row r="13" ht="15" customHeight="1" s="783">
      <c r="B13" s="1" t="inlineStr">
        <is>
          <t>ESG Scores</t>
        </is>
      </c>
      <c r="C13" s="44" t="n"/>
      <c r="E13" s="23" t="n"/>
      <c r="G13" s="798" t="n"/>
    </row>
    <row r="14" ht="15" customHeight="1" s="783">
      <c r="B14" s="47" t="inlineStr">
        <is>
          <t>LSEG ESG Score</t>
        </is>
      </c>
      <c r="C14" s="736" t="n"/>
    </row>
    <row r="15" ht="14.25" customHeight="1" s="783">
      <c r="B15" s="25" t="inlineStr">
        <is>
          <t xml:space="preserve">   E-Score</t>
        </is>
      </c>
      <c r="C15" s="735" t="n"/>
    </row>
    <row r="16" ht="15" customHeight="1" s="783">
      <c r="B16" s="25" t="inlineStr">
        <is>
          <t xml:space="preserve">   S-Score</t>
        </is>
      </c>
      <c r="C16" s="735" t="n"/>
      <c r="E16" s="1" t="inlineStr">
        <is>
          <t>GHG Scope 1 and 2 Emissions:</t>
        </is>
      </c>
      <c r="F16" s="1" t="n"/>
      <c r="G16" s="1" t="n"/>
      <c r="H16" s="1" t="n"/>
      <c r="I16" s="1" t="n"/>
      <c r="J16" s="1" t="n"/>
      <c r="N16" s="1" t="inlineStr">
        <is>
          <t>Water, Waste, Energy Management:</t>
        </is>
      </c>
      <c r="O16" s="1" t="n"/>
      <c r="P16" s="1" t="n"/>
      <c r="Q16" s="1" t="n"/>
      <c r="R16" s="1" t="n"/>
      <c r="S16" s="1" t="n"/>
    </row>
    <row r="17" ht="15" customHeight="1" s="783">
      <c r="B17" s="25" t="inlineStr">
        <is>
          <t xml:space="preserve">   G-Score</t>
        </is>
      </c>
      <c r="C17" s="735" t="n"/>
      <c r="E17" s="47" t="n"/>
      <c r="F17" s="47" t="n"/>
      <c r="G17" s="808" t="n"/>
      <c r="H17" s="900" t="n"/>
      <c r="I17" s="900" t="n"/>
      <c r="J17" s="900" t="n"/>
      <c r="K17" s="900" t="n"/>
      <c r="L17" s="900" t="n"/>
      <c r="N17" s="47" t="n"/>
      <c r="O17" s="47" t="n"/>
      <c r="P17" s="47" t="n"/>
      <c r="Q17" s="47" t="n"/>
      <c r="R17" s="47" t="n"/>
      <c r="S17" s="47" t="n"/>
      <c r="T17" s="47" t="n"/>
      <c r="U17" s="47" t="n"/>
      <c r="V17" s="47" t="n"/>
    </row>
    <row r="18" ht="15" customHeight="1" s="783">
      <c r="B18" s="23" t="inlineStr">
        <is>
          <t>S&amp;P Global ESG Score</t>
        </is>
      </c>
      <c r="C18" s="737" t="n"/>
      <c r="O18" s="798" t="n"/>
      <c r="P18" s="798" t="n"/>
      <c r="Q18" s="798" t="n"/>
      <c r="R18" s="798" t="n"/>
      <c r="S18" s="798" t="n"/>
      <c r="T18" s="798" t="n"/>
      <c r="U18" s="798" t="n"/>
      <c r="V18" s="798" t="n"/>
    </row>
    <row r="19" ht="15" customHeight="1" s="783">
      <c r="B19" s="25" t="inlineStr">
        <is>
          <t xml:space="preserve">   Environmental</t>
        </is>
      </c>
      <c r="C19" s="44" t="n"/>
      <c r="E19" s="23" t="n"/>
      <c r="G19" s="798" t="n"/>
      <c r="N19" s="23" t="n"/>
      <c r="P19" s="798" t="n"/>
      <c r="Q19" s="798" t="n"/>
      <c r="R19" s="798" t="n"/>
      <c r="S19" s="798" t="n"/>
      <c r="T19" s="798" t="n"/>
      <c r="U19" s="798" t="n"/>
      <c r="V19" s="798" t="n"/>
    </row>
    <row r="20" ht="14.25" customHeight="1" s="783">
      <c r="B20" s="25" t="inlineStr">
        <is>
          <t xml:space="preserve">   Social</t>
        </is>
      </c>
      <c r="C20" s="44" t="n"/>
      <c r="P20" s="798" t="n"/>
      <c r="Q20" s="798" t="n"/>
      <c r="R20" s="798" t="n"/>
      <c r="S20" s="798" t="n"/>
      <c r="T20" s="798" t="n"/>
      <c r="U20" s="798" t="n"/>
    </row>
    <row r="21" ht="15" customHeight="1" s="783">
      <c r="B21" s="25" t="inlineStr">
        <is>
          <t xml:space="preserve">   Governance &amp; Economic</t>
        </is>
      </c>
      <c r="C21" s="44" t="n"/>
      <c r="E21" s="23" t="n"/>
      <c r="G21" s="798" t="n"/>
      <c r="N21" s="23" t="n"/>
      <c r="P21" s="798" t="n"/>
    </row>
    <row r="22" ht="15" customHeight="1" s="783">
      <c r="B22" s="23" t="inlineStr">
        <is>
          <t>Sustainalytics</t>
        </is>
      </c>
      <c r="C22" s="851" t="n"/>
    </row>
    <row r="23" ht="15" customHeight="1" s="783">
      <c r="B23" s="23" t="inlineStr">
        <is>
          <t>ISS ESG Corporate Rating</t>
        </is>
      </c>
      <c r="C23" s="50" t="n"/>
      <c r="E23" s="23" t="n"/>
      <c r="G23" s="798" t="n"/>
      <c r="N23" s="23" t="n"/>
      <c r="P23" s="798" t="n"/>
    </row>
    <row r="24" ht="14.25" customHeight="1" s="783">
      <c r="B24" s="25" t="inlineStr">
        <is>
          <t xml:space="preserve">   SDG Impact Rating</t>
        </is>
      </c>
      <c r="C24" s="44" t="n"/>
    </row>
    <row r="25" ht="14.25" customHeight="1" s="783">
      <c r="B25" s="25" t="inlineStr">
        <is>
          <t xml:space="preserve">   Governance Quality Score</t>
        </is>
      </c>
    </row>
    <row r="26" ht="15" customHeight="1" s="783">
      <c r="B26" s="23" t="inlineStr">
        <is>
          <t>MSCI ESG Ratings</t>
        </is>
      </c>
      <c r="C26" s="759" t="n"/>
    </row>
    <row r="29" ht="15.75" customHeight="1" s="783" thickBot="1">
      <c r="B29" s="1" t="inlineStr">
        <is>
          <t>Industry ESG Overview:</t>
        </is>
      </c>
    </row>
    <row r="30" ht="14.45" customHeight="1" s="783">
      <c r="B30" s="811" t="n"/>
      <c r="C30" s="900" t="n"/>
    </row>
    <row r="31"/>
    <row r="32"/>
    <row r="33" ht="15.75" customHeight="1" s="783">
      <c r="E33" s="52" t="inlineStr">
        <is>
          <t>ENVIRONMENTAL</t>
        </is>
      </c>
      <c r="F33" s="52" t="n"/>
      <c r="G33" s="52" t="n"/>
      <c r="H33" s="52" t="n"/>
      <c r="I33" s="52" t="n"/>
      <c r="J33" s="52" t="n"/>
      <c r="K33" s="52" t="n"/>
      <c r="L33" s="52" t="n"/>
      <c r="M33" s="52" t="n"/>
      <c r="N33" s="52" t="n"/>
      <c r="O33" s="52" t="n"/>
      <c r="P33" s="52" t="n"/>
      <c r="Q33" s="52" t="n"/>
      <c r="R33" s="52" t="n"/>
      <c r="S33" s="52" t="n"/>
      <c r="T33" s="52" t="n"/>
      <c r="U33" s="52" t="n"/>
      <c r="V33" s="52" t="n"/>
    </row>
    <row r="34" ht="3.95" customHeight="1" s="783">
      <c r="D34" s="44" t="n"/>
      <c r="E34" s="53" t="n"/>
      <c r="F34" s="53" t="n"/>
      <c r="G34" s="53" t="n"/>
      <c r="H34" s="53" t="n"/>
      <c r="I34" s="53" t="n"/>
      <c r="J34" s="53" t="n"/>
      <c r="K34" s="53" t="n"/>
      <c r="L34" s="53" t="n"/>
      <c r="M34" s="53" t="n"/>
      <c r="N34" s="53" t="n"/>
      <c r="O34" s="53" t="n"/>
      <c r="P34" s="53" t="n"/>
      <c r="Q34" s="53" t="n"/>
      <c r="R34" s="53" t="n"/>
      <c r="S34" s="53" t="n"/>
      <c r="T34" s="53" t="n"/>
      <c r="U34" s="53" t="n"/>
      <c r="V34" s="53" t="n"/>
    </row>
    <row r="35">
      <c r="E35" s="54" t="n"/>
      <c r="F35" s="54" t="n"/>
      <c r="G35" s="55" t="inlineStr">
        <is>
          <t>Overview</t>
        </is>
      </c>
      <c r="H35" s="55" t="inlineStr">
        <is>
          <t>Targets</t>
        </is>
      </c>
      <c r="I35" s="55" t="n"/>
      <c r="J35" s="55" t="n"/>
      <c r="K35" s="55" t="inlineStr">
        <is>
          <t>Improvements</t>
        </is>
      </c>
      <c r="L35" s="55" t="n"/>
      <c r="M35" s="55" t="n"/>
      <c r="N35" s="55" t="n"/>
      <c r="O35" s="55" t="inlineStr">
        <is>
          <t>Comments</t>
        </is>
      </c>
      <c r="P35" s="54" t="n"/>
      <c r="Q35" s="54" t="n"/>
      <c r="R35" s="54" t="n"/>
      <c r="S35" s="54" t="n"/>
      <c r="T35" s="54" t="n"/>
      <c r="U35" s="54" t="n"/>
      <c r="V35" s="54" t="n"/>
    </row>
    <row r="36" ht="20.25" customHeight="1" s="783">
      <c r="E36" s="23" t="inlineStr">
        <is>
          <t>GHG (or CO2) Scope 1 Emissions</t>
        </is>
      </c>
      <c r="G36" s="813" t="n"/>
      <c r="H36" s="814" t="n"/>
      <c r="K36" s="814" t="n"/>
      <c r="O36" s="813" t="n"/>
    </row>
    <row r="37" ht="20.25" customHeight="1" s="783"/>
    <row r="38" ht="22.5" customHeight="1" s="783">
      <c r="E38" s="23" t="inlineStr">
        <is>
          <t>Water Consumption</t>
        </is>
      </c>
      <c r="G38" s="813" t="n"/>
      <c r="H38" s="814" t="n"/>
      <c r="K38" s="814" t="n"/>
      <c r="O38" s="813" t="n"/>
    </row>
    <row r="39" ht="19.5" customHeight="1" s="783"/>
    <row r="40" ht="15" customHeight="1" s="783">
      <c r="E40" s="23" t="inlineStr">
        <is>
          <t>Energy Consumption</t>
        </is>
      </c>
      <c r="G40" s="813" t="n"/>
      <c r="H40" s="814" t="n"/>
      <c r="K40" s="814" t="n"/>
      <c r="O40" s="813" t="n"/>
    </row>
    <row r="41"/>
    <row r="42" ht="15" customHeight="1" s="783">
      <c r="E42" s="23" t="inlineStr">
        <is>
          <t>Waste Management</t>
        </is>
      </c>
      <c r="G42" s="813" t="n"/>
      <c r="H42" s="814" t="n"/>
      <c r="K42" s="814" t="n"/>
      <c r="O42" s="813" t="n"/>
    </row>
    <row r="43"/>
    <row r="44" ht="15" customHeight="1" s="783">
      <c r="E44" s="23" t="inlineStr">
        <is>
          <t>Other</t>
        </is>
      </c>
      <c r="G44" s="813" t="n"/>
      <c r="H44" s="814" t="n"/>
      <c r="K44" s="814" t="n"/>
      <c r="O44" s="814" t="n"/>
    </row>
    <row r="45"/>
    <row r="46" ht="15.75" customHeight="1" s="783">
      <c r="E46" s="52" t="inlineStr">
        <is>
          <t>SOCIAL</t>
        </is>
      </c>
      <c r="F46" s="52" t="n"/>
      <c r="G46" s="52" t="n"/>
      <c r="H46" s="52" t="n"/>
      <c r="I46" s="52" t="n"/>
      <c r="J46" s="52" t="n"/>
      <c r="K46" s="52" t="n"/>
      <c r="L46" s="52" t="n"/>
      <c r="M46" s="52" t="n"/>
      <c r="N46" s="52" t="n"/>
      <c r="O46" s="52" t="n"/>
      <c r="P46" s="52" t="n"/>
      <c r="Q46" s="52" t="n"/>
      <c r="R46" s="52" t="n"/>
      <c r="S46" s="52" t="n"/>
      <c r="T46" s="52" t="n"/>
      <c r="U46" s="52" t="n"/>
      <c r="V46" s="52" t="n"/>
    </row>
    <row r="47" ht="3.95" customHeight="1" s="783">
      <c r="B47" s="44" t="n"/>
      <c r="C47" s="43" t="n"/>
      <c r="D47" s="44" t="n"/>
      <c r="E47" s="53" t="n"/>
      <c r="F47" s="53" t="n"/>
      <c r="G47" s="53" t="n"/>
      <c r="H47" s="53" t="n"/>
      <c r="I47" s="53" t="n"/>
      <c r="J47" s="53" t="n"/>
      <c r="K47" s="53" t="n"/>
      <c r="L47" s="53" t="n"/>
      <c r="M47" s="53" t="n"/>
      <c r="N47" s="53" t="n"/>
      <c r="O47" s="53" t="n"/>
      <c r="P47" s="53" t="n"/>
      <c r="Q47" s="53" t="n"/>
      <c r="R47" s="53" t="n"/>
      <c r="S47" s="53" t="n"/>
      <c r="T47" s="53" t="n"/>
      <c r="U47" s="53" t="n"/>
      <c r="V47" s="53" t="n"/>
    </row>
    <row r="48" ht="15.75" customHeight="1" s="783" thickBot="1">
      <c r="B48" s="1" t="inlineStr">
        <is>
          <t>Important Sources:</t>
        </is>
      </c>
      <c r="C48" s="44" t="n"/>
      <c r="E48" s="54" t="n"/>
      <c r="F48" s="54" t="n"/>
      <c r="G48" s="55" t="inlineStr">
        <is>
          <t>Overview</t>
        </is>
      </c>
      <c r="H48" s="55" t="inlineStr">
        <is>
          <t>Targets</t>
        </is>
      </c>
      <c r="I48" s="55" t="n"/>
      <c r="J48" s="55" t="n"/>
      <c r="K48" s="55" t="inlineStr">
        <is>
          <t>Improvements</t>
        </is>
      </c>
      <c r="L48" s="55" t="n"/>
      <c r="M48" s="55" t="n"/>
      <c r="N48" s="55" t="n"/>
      <c r="O48" s="55" t="inlineStr">
        <is>
          <t>Comments</t>
        </is>
      </c>
      <c r="P48" s="54" t="n"/>
      <c r="Q48" s="54" t="n"/>
      <c r="R48" s="54" t="n"/>
      <c r="S48" s="54" t="n"/>
      <c r="T48" s="54" t="n"/>
      <c r="U48" s="54" t="n"/>
      <c r="V48" s="54" t="n"/>
    </row>
    <row r="49" ht="15" customHeight="1" s="783">
      <c r="B49" s="45" t="inlineStr">
        <is>
          <t>Annual Report</t>
        </is>
      </c>
      <c r="C49" s="46" t="n"/>
      <c r="E49" s="23" t="inlineStr">
        <is>
          <t>Employee Turnover %</t>
        </is>
      </c>
      <c r="G49" s="815" t="n"/>
      <c r="H49" s="816" t="n"/>
      <c r="I49" s="655" t="n"/>
      <c r="J49" s="655" t="n"/>
      <c r="K49" s="816" t="n"/>
      <c r="L49" s="655" t="n"/>
      <c r="M49" s="655" t="n"/>
      <c r="N49" s="655" t="n"/>
      <c r="O49" s="816" t="n"/>
      <c r="P49" s="655" t="n"/>
      <c r="Q49" s="655" t="n"/>
      <c r="R49" s="655" t="n"/>
      <c r="S49" s="655" t="n"/>
      <c r="T49" s="655" t="n"/>
      <c r="U49" s="655" t="n"/>
      <c r="V49" s="655" t="n"/>
    </row>
    <row r="50" ht="14.25" customHeight="1" s="783">
      <c r="B50" s="25" t="inlineStr">
        <is>
          <t>Sustainability Report</t>
        </is>
      </c>
      <c r="C50" s="61" t="n"/>
      <c r="D50" s="44" t="inlineStr">
        <is>
          <t>.</t>
        </is>
      </c>
    </row>
    <row r="51" ht="15" customHeight="1" s="783">
      <c r="B51" s="25" t="inlineStr">
        <is>
          <t>Proxy Statement</t>
        </is>
      </c>
      <c r="C51" s="61" t="n"/>
      <c r="D51" s="44" t="inlineStr">
        <is>
          <t>.</t>
        </is>
      </c>
      <c r="E51" s="23" t="inlineStr">
        <is>
          <t>Salaries &amp; Compensation</t>
        </is>
      </c>
      <c r="G51" s="813" t="n"/>
      <c r="H51" s="814" t="n"/>
      <c r="K51" s="814" t="n"/>
      <c r="O51" s="814" t="n"/>
    </row>
    <row r="52"/>
    <row r="53" ht="15" customHeight="1" s="783">
      <c r="E53" s="23" t="inlineStr">
        <is>
          <t>Reputation</t>
        </is>
      </c>
      <c r="G53" s="813" t="n"/>
      <c r="H53" s="814" t="n"/>
      <c r="K53" s="814" t="n"/>
      <c r="O53" s="814" t="n"/>
    </row>
    <row r="54"/>
    <row r="55" ht="15" customHeight="1" s="783">
      <c r="E55" s="23" t="inlineStr">
        <is>
          <t>Discrimination Events</t>
        </is>
      </c>
      <c r="G55" s="813" t="n"/>
      <c r="H55" s="814" t="n"/>
      <c r="K55" s="814" t="n"/>
      <c r="O55" s="814" t="n"/>
    </row>
    <row r="56"/>
    <row r="57" ht="32.25" customHeight="1" s="783">
      <c r="E57" s="23" t="inlineStr">
        <is>
          <t>Work Safety</t>
        </is>
      </c>
      <c r="G57" s="813" t="n"/>
      <c r="H57" s="814" t="n"/>
      <c r="K57" s="814" t="n"/>
      <c r="O57" s="814" t="n"/>
    </row>
    <row r="58"/>
    <row r="59" ht="20.25" customHeight="1" s="783">
      <c r="E59" s="23" t="inlineStr">
        <is>
          <t>Damage to consumer health</t>
        </is>
      </c>
      <c r="G59" s="813" t="n"/>
      <c r="H59" s="814" t="n"/>
      <c r="K59" s="814" t="n"/>
      <c r="O59" s="814" t="n"/>
    </row>
    <row r="60" ht="20.25" customHeight="1" s="783"/>
    <row r="61" ht="15" customHeight="1" s="783">
      <c r="E61" s="23" t="inlineStr">
        <is>
          <t>Pension Plan</t>
        </is>
      </c>
      <c r="G61" s="813" t="n"/>
      <c r="H61" s="814" t="n"/>
      <c r="K61" s="814" t="n"/>
      <c r="O61" s="813" t="n"/>
    </row>
    <row r="62"/>
    <row r="63" ht="27.75" customHeight="1" s="783">
      <c r="E63" s="23" t="inlineStr">
        <is>
          <t>Supply chain</t>
        </is>
      </c>
      <c r="G63" s="813" t="n"/>
      <c r="H63" s="814" t="n"/>
      <c r="K63" s="814" t="n"/>
      <c r="O63" s="814" t="n"/>
    </row>
    <row r="64" ht="27.75" customHeight="1" s="783"/>
    <row r="65" ht="24" customHeight="1" s="783">
      <c r="E65" s="23" t="inlineStr">
        <is>
          <t>Community involvement</t>
        </is>
      </c>
      <c r="G65" s="813" t="n"/>
      <c r="H65" s="814" t="n"/>
      <c r="K65" s="814" t="n"/>
      <c r="O65" s="814" t="n"/>
    </row>
    <row r="66" ht="32.25" customHeight="1" s="783"/>
    <row r="67" ht="15" customHeight="1" s="783">
      <c r="E67" s="23" t="inlineStr">
        <is>
          <t>Public Sector</t>
        </is>
      </c>
      <c r="G67" s="813" t="n"/>
      <c r="H67" s="814" t="n"/>
      <c r="K67" s="814" t="n"/>
      <c r="O67" s="814" t="n"/>
    </row>
    <row r="68" ht="15" customHeight="1" s="783">
      <c r="E68" s="23" t="n"/>
    </row>
    <row r="69" ht="33" customHeight="1" s="783">
      <c r="E69" s="23" t="inlineStr">
        <is>
          <t>Litigation</t>
        </is>
      </c>
      <c r="G69" s="813" t="n"/>
      <c r="H69" s="814" t="n"/>
      <c r="K69" s="814" t="n"/>
      <c r="O69" s="814" t="n"/>
    </row>
    <row r="70"/>
    <row r="71" ht="15.75" customHeight="1" s="783">
      <c r="E71" s="52" t="inlineStr">
        <is>
          <t>GOVERNANCE</t>
        </is>
      </c>
      <c r="F71" s="52" t="n"/>
      <c r="G71" s="52" t="n"/>
      <c r="H71" s="52" t="n"/>
      <c r="I71" s="52" t="n"/>
      <c r="J71" s="52" t="n"/>
      <c r="K71" s="52" t="n"/>
      <c r="L71" s="52" t="n"/>
      <c r="M71" s="52" t="n"/>
      <c r="N71" s="52" t="n"/>
      <c r="O71" s="52" t="n"/>
      <c r="P71" s="52" t="n"/>
      <c r="Q71" s="52" t="n"/>
      <c r="R71" s="52" t="n"/>
      <c r="S71" s="52" t="n"/>
      <c r="T71" s="52" t="n"/>
      <c r="U71" s="52" t="n"/>
      <c r="V71" s="52" t="n"/>
    </row>
    <row r="72" ht="3.95" customHeight="1" s="783">
      <c r="B72" s="44" t="n"/>
      <c r="C72" s="43" t="n"/>
      <c r="D72" s="44" t="n"/>
      <c r="E72" s="53" t="n"/>
      <c r="F72" s="53" t="n"/>
      <c r="G72" s="53" t="n"/>
      <c r="H72" s="53" t="n"/>
      <c r="I72" s="53" t="n"/>
      <c r="J72" s="53" t="n"/>
      <c r="K72" s="53" t="n"/>
      <c r="L72" s="53" t="n"/>
      <c r="M72" s="53" t="n"/>
      <c r="N72" s="53" t="n"/>
      <c r="O72" s="53" t="n"/>
      <c r="P72" s="53" t="n"/>
      <c r="Q72" s="53" t="n"/>
      <c r="R72" s="53" t="n"/>
      <c r="S72" s="53" t="n"/>
      <c r="T72" s="53" t="n"/>
      <c r="U72" s="53" t="n"/>
      <c r="V72" s="53" t="n"/>
    </row>
    <row r="73" ht="13.5" customHeight="1" s="783" thickBot="1">
      <c r="E73" s="54" t="n"/>
      <c r="F73" s="54" t="n"/>
      <c r="G73" s="55" t="inlineStr">
        <is>
          <t>Overview</t>
        </is>
      </c>
      <c r="H73" s="55" t="inlineStr">
        <is>
          <t>Targets</t>
        </is>
      </c>
      <c r="I73" s="55" t="n"/>
      <c r="J73" s="55" t="n"/>
      <c r="K73" s="55" t="inlineStr">
        <is>
          <t>Improvements</t>
        </is>
      </c>
      <c r="L73" s="55" t="n"/>
      <c r="M73" s="55" t="n"/>
      <c r="N73" s="55" t="n"/>
      <c r="O73" s="55" t="inlineStr">
        <is>
          <t>Comments</t>
        </is>
      </c>
      <c r="P73" s="54" t="n"/>
      <c r="Q73" s="54" t="n"/>
      <c r="R73" s="54" t="n"/>
      <c r="S73" s="54" t="n"/>
      <c r="T73" s="54" t="n"/>
      <c r="U73" s="54" t="n"/>
      <c r="V73" s="54" t="n"/>
    </row>
    <row r="74" ht="25.5" customHeight="1" s="783">
      <c r="E74" s="23" t="inlineStr">
        <is>
          <t>Diversity (Gender, Age, Industry, Region)</t>
        </is>
      </c>
      <c r="G74" s="815" t="n"/>
      <c r="H74" s="816" t="n"/>
      <c r="I74" s="655" t="n"/>
      <c r="J74" s="655" t="n"/>
      <c r="K74" s="816" t="n"/>
      <c r="L74" s="655" t="n"/>
      <c r="M74" s="655" t="n"/>
      <c r="N74" s="655" t="n"/>
      <c r="O74" s="816" t="n"/>
      <c r="P74" s="655" t="n"/>
      <c r="Q74" s="655" t="n"/>
      <c r="R74" s="655" t="n"/>
      <c r="S74" s="655" t="n"/>
      <c r="T74" s="655" t="n"/>
      <c r="U74" s="655" t="n"/>
      <c r="V74" s="655" t="n"/>
    </row>
    <row r="75" ht="25.5" customHeight="1" s="783"/>
    <row r="76" ht="14.1" customHeight="1" s="783">
      <c r="E76" s="23" t="inlineStr">
        <is>
          <t>% Independence</t>
        </is>
      </c>
      <c r="G76" s="813" t="n"/>
      <c r="H76" s="814" t="n"/>
      <c r="K76" s="814" t="n"/>
      <c r="O76" s="813" t="n"/>
    </row>
    <row r="77" ht="12.4" customHeight="1" s="783"/>
    <row r="78" ht="14.1" customHeight="1" s="783">
      <c r="E78" s="23" t="inlineStr">
        <is>
          <t>Average time as independent directors</t>
        </is>
      </c>
      <c r="G78" s="813" t="n"/>
      <c r="H78" s="814" t="n"/>
      <c r="K78" s="814" t="n"/>
      <c r="O78" s="813" t="n"/>
    </row>
    <row r="79" ht="12.4" customHeight="1" s="783"/>
    <row r="80" ht="14.1" customHeight="1" s="783">
      <c r="E80" s="23" t="inlineStr">
        <is>
          <t>Departures of C-level executives</t>
        </is>
      </c>
      <c r="G80" s="813" t="n"/>
      <c r="H80" s="814" t="n"/>
      <c r="K80" s="814" t="n"/>
      <c r="O80" s="813" t="n"/>
    </row>
    <row r="81" ht="12.4" customHeight="1" s="783"/>
    <row r="82" ht="15" customHeight="1" s="783">
      <c r="E82" s="23" t="inlineStr">
        <is>
          <t>CEO/Chairman duality</t>
        </is>
      </c>
      <c r="G82" s="817" t="n"/>
      <c r="H82" s="814" t="n"/>
      <c r="K82" s="814" t="n"/>
      <c r="O82" s="813" t="n"/>
    </row>
    <row r="83"/>
    <row r="84" ht="14.1" customHeight="1" s="783">
      <c r="E84" s="23" t="inlineStr">
        <is>
          <t>Transparency when reporting</t>
        </is>
      </c>
      <c r="G84" s="813" t="n"/>
      <c r="H84" s="814" t="n"/>
      <c r="K84" s="814" t="n"/>
      <c r="O84" s="813" t="n"/>
    </row>
    <row r="85" ht="12.4" customHeight="1" s="783"/>
    <row r="86" ht="14.1" customHeight="1" s="783">
      <c r="E86" s="23" t="inlineStr">
        <is>
          <t>Time taken to report</t>
        </is>
      </c>
      <c r="G86" s="813" t="n"/>
      <c r="H86" s="814" t="n"/>
      <c r="K86" s="814" t="n"/>
      <c r="O86" s="813" t="n"/>
    </row>
    <row r="87" ht="12.4" customHeight="1" s="783"/>
    <row r="88" ht="13.9" customHeight="1" s="783">
      <c r="E88" s="23" t="inlineStr">
        <is>
          <t>CEO or Chairman in other boards?</t>
        </is>
      </c>
      <c r="G88" s="813" t="n"/>
      <c r="H88" s="814" t="n"/>
      <c r="K88" s="814" t="n"/>
      <c r="O88" s="813" t="n"/>
    </row>
    <row r="89" ht="13.15" customHeight="1" s="783">
      <c r="E89" s="23" t="n"/>
    </row>
    <row r="90" ht="14.1" customHeight="1" s="783">
      <c r="E90" s="23" t="inlineStr">
        <is>
          <t>Audit / Consulting</t>
        </is>
      </c>
      <c r="G90" s="813" t="n"/>
      <c r="H90" s="814" t="n"/>
      <c r="K90" s="814" t="n"/>
      <c r="O90" s="813" t="n"/>
    </row>
    <row r="91" ht="14.1" customHeight="1" s="783">
      <c r="E91" s="23" t="n"/>
    </row>
    <row r="92" ht="14.1" customHeight="1" s="783">
      <c r="E92" s="23" t="inlineStr">
        <is>
          <t>ESG-compensation related</t>
        </is>
      </c>
      <c r="G92" s="813" t="n"/>
      <c r="H92" s="814" t="n"/>
      <c r="K92" s="814" t="n"/>
      <c r="O92" s="813" t="n"/>
    </row>
    <row r="93" ht="12.4" customHeight="1" s="783"/>
    <row r="94" ht="14.1" customHeight="1" s="783">
      <c r="E94" s="23" t="inlineStr">
        <is>
          <t>Management compensation schemes</t>
        </is>
      </c>
      <c r="G94" s="813" t="n"/>
      <c r="H94" s="814" t="n"/>
      <c r="K94" s="814" t="n"/>
      <c r="O94" s="813" t="n"/>
    </row>
    <row r="95" ht="12.4" customHeight="1" s="783"/>
  </sheetData>
  <mergeCells count="122">
    <mergeCell ref="K80:N81"/>
    <mergeCell ref="K92:N93"/>
    <mergeCell ref="G82:G83"/>
    <mergeCell ref="P23:U23"/>
    <mergeCell ref="O40:V41"/>
    <mergeCell ref="K94:N95"/>
    <mergeCell ref="G21:L22"/>
    <mergeCell ref="G65:G66"/>
    <mergeCell ref="H82:J83"/>
    <mergeCell ref="H53:J54"/>
    <mergeCell ref="G74:G75"/>
    <mergeCell ref="O67:V68"/>
    <mergeCell ref="K40:N41"/>
    <mergeCell ref="G49:G50"/>
    <mergeCell ref="G13:L14"/>
    <mergeCell ref="H59:J60"/>
    <mergeCell ref="G7:L8"/>
    <mergeCell ref="H55:J56"/>
    <mergeCell ref="G76:G77"/>
    <mergeCell ref="O82:V83"/>
    <mergeCell ref="G51:G52"/>
    <mergeCell ref="K57:N58"/>
    <mergeCell ref="H61:J62"/>
    <mergeCell ref="H88:J89"/>
    <mergeCell ref="O53:V54"/>
    <mergeCell ref="H36:J37"/>
    <mergeCell ref="G84:G85"/>
    <mergeCell ref="H94:J95"/>
    <mergeCell ref="G44:G45"/>
    <mergeCell ref="H90:J91"/>
    <mergeCell ref="K74:N75"/>
    <mergeCell ref="H65:J66"/>
    <mergeCell ref="G86:G87"/>
    <mergeCell ref="O92:V93"/>
    <mergeCell ref="O36:V37"/>
    <mergeCell ref="G36:G37"/>
    <mergeCell ref="K76:N77"/>
    <mergeCell ref="O65:V66"/>
    <mergeCell ref="H76:J77"/>
    <mergeCell ref="O74:V75"/>
    <mergeCell ref="H92:J93"/>
    <mergeCell ref="R5:U14"/>
    <mergeCell ref="G9:L10"/>
    <mergeCell ref="G78:G79"/>
    <mergeCell ref="K59:N60"/>
    <mergeCell ref="O76:V77"/>
    <mergeCell ref="H63:J64"/>
    <mergeCell ref="G11:L12"/>
    <mergeCell ref="O51:V52"/>
    <mergeCell ref="O57:V58"/>
    <mergeCell ref="G63:G64"/>
    <mergeCell ref="H49:J50"/>
    <mergeCell ref="O86:V87"/>
    <mergeCell ref="G88:G89"/>
    <mergeCell ref="O49:V50"/>
    <mergeCell ref="O69:V70"/>
    <mergeCell ref="H80:J81"/>
    <mergeCell ref="G90:G91"/>
    <mergeCell ref="K65:N66"/>
    <mergeCell ref="G23:L23"/>
    <mergeCell ref="B30:C45"/>
    <mergeCell ref="O44:V45"/>
    <mergeCell ref="K49:N50"/>
    <mergeCell ref="G67:G68"/>
    <mergeCell ref="K63:N64"/>
    <mergeCell ref="G61:G62"/>
    <mergeCell ref="K36:N37"/>
    <mergeCell ref="O55:V56"/>
    <mergeCell ref="G42:G43"/>
    <mergeCell ref="K51:N52"/>
    <mergeCell ref="G69:G70"/>
    <mergeCell ref="G38:G39"/>
    <mergeCell ref="G53:G54"/>
    <mergeCell ref="K84:N85"/>
    <mergeCell ref="K44:N45"/>
    <mergeCell ref="K90:N91"/>
    <mergeCell ref="H38:J39"/>
    <mergeCell ref="G17:L18"/>
    <mergeCell ref="G55:G56"/>
    <mergeCell ref="K86:N87"/>
    <mergeCell ref="G80:G81"/>
    <mergeCell ref="H74:J75"/>
    <mergeCell ref="G92:G93"/>
    <mergeCell ref="K67:N68"/>
    <mergeCell ref="P21:U22"/>
    <mergeCell ref="K61:N62"/>
    <mergeCell ref="H40:J41"/>
    <mergeCell ref="G19:L20"/>
    <mergeCell ref="O38:V39"/>
    <mergeCell ref="N5:Q14"/>
    <mergeCell ref="O90:V91"/>
    <mergeCell ref="G94:G95"/>
    <mergeCell ref="K69:N70"/>
    <mergeCell ref="H51:J52"/>
    <mergeCell ref="K38:N39"/>
    <mergeCell ref="K78:N79"/>
    <mergeCell ref="H69:J70"/>
    <mergeCell ref="K53:N54"/>
    <mergeCell ref="G5:L6"/>
    <mergeCell ref="H84:J85"/>
    <mergeCell ref="K55:N56"/>
    <mergeCell ref="O88:V89"/>
    <mergeCell ref="H86:J87"/>
    <mergeCell ref="O84:V85"/>
    <mergeCell ref="G57:G58"/>
    <mergeCell ref="K88:N89"/>
    <mergeCell ref="H67:J68"/>
    <mergeCell ref="O59:V60"/>
    <mergeCell ref="O80:V81"/>
    <mergeCell ref="H42:J43"/>
    <mergeCell ref="H78:J79"/>
    <mergeCell ref="O61:V62"/>
    <mergeCell ref="H44:J45"/>
    <mergeCell ref="O42:V43"/>
    <mergeCell ref="O94:V95"/>
    <mergeCell ref="K82:N83"/>
    <mergeCell ref="O78:V79"/>
    <mergeCell ref="K42:N43"/>
    <mergeCell ref="G59:G60"/>
    <mergeCell ref="H57:J58"/>
    <mergeCell ref="O63:V64"/>
    <mergeCell ref="G40:G41"/>
  </mergeCells>
  <dataValidations count="1">
    <dataValidation sqref="F6" showDropDown="0" showInputMessage="1" showErrorMessage="1" allowBlank="1" type="list">
      <formula1>#REF!</formula1>
    </dataValidation>
  </dataValidations>
  <pageMargins left="0.7" right="0.7" top="0.75" bottom="0.75" header="0.3" footer="0.3"/>
  <pageSetup orientation="portrait" paperSize="9"/>
  <drawing xmlns:r="http://schemas.openxmlformats.org/officeDocument/2006/relationships" r:id="rId1"/>
</worksheet>
</file>

<file path=xl/worksheets/sheet6.xml><?xml version="1.0" encoding="utf-8"?>
<worksheet xmlns="http://schemas.openxmlformats.org/spreadsheetml/2006/main">
  <sheetPr>
    <tabColor rgb="FF92D050"/>
    <outlinePr summaryBelow="1" summaryRight="1"/>
    <pageSetUpPr/>
  </sheetPr>
  <dimension ref="A2:R86"/>
  <sheetViews>
    <sheetView showGridLines="0" zoomScale="65" zoomScaleNormal="85" workbookViewId="0">
      <selection activeCell="G78" sqref="G78"/>
    </sheetView>
  </sheetViews>
  <sheetFormatPr baseColWidth="8" defaultRowHeight="14.25"/>
  <cols>
    <col width="2.625" customWidth="1" style="783" min="1" max="1"/>
    <col width="30.625" customWidth="1" style="783" min="5" max="5"/>
    <col width="13.125" customWidth="1" style="783" min="6" max="6"/>
    <col width="11.125" customWidth="1" style="783" min="7" max="17"/>
    <col width="20.625" customWidth="1" style="6" min="18" max="18"/>
  </cols>
  <sheetData>
    <row r="2" ht="20.25" customFormat="1" customHeight="1" s="38">
      <c r="B2" s="667" t="inlineStr">
        <is>
          <t>ESG Inputs</t>
        </is>
      </c>
      <c r="R2" s="702" t="n"/>
    </row>
    <row r="4" ht="15.75" customHeight="1" s="783">
      <c r="A4" t="inlineStr">
        <is>
          <t>x</t>
        </is>
      </c>
      <c r="B4" s="234" t="inlineStr">
        <is>
          <t>Total GHG Scope 1 Emissions</t>
        </is>
      </c>
      <c r="C4" s="56" t="n"/>
      <c r="D4" s="56" t="n"/>
      <c r="E4" s="56" t="n"/>
      <c r="F4" s="56" t="n"/>
      <c r="G4" s="235" t="n">
        <v>2014</v>
      </c>
      <c r="H4" s="235">
        <f>+G4+1</f>
        <v/>
      </c>
      <c r="I4" s="235">
        <f>+H4+1</f>
        <v/>
      </c>
      <c r="J4" s="235">
        <f>+I4+1</f>
        <v/>
      </c>
      <c r="K4" s="235">
        <f>+J4+1</f>
        <v/>
      </c>
      <c r="L4" s="235">
        <f>+K4+1</f>
        <v/>
      </c>
      <c r="M4" s="235">
        <f>+L4+1</f>
        <v/>
      </c>
      <c r="N4" s="235">
        <f>+M4+1</f>
        <v/>
      </c>
      <c r="O4" s="235">
        <f>+N4+1</f>
        <v/>
      </c>
      <c r="P4" s="235">
        <f>+O4+1</f>
        <v/>
      </c>
      <c r="Q4" s="235">
        <f>+P4+1</f>
        <v/>
      </c>
      <c r="R4" s="58">
        <f>"CAGR "&amp;$G$4&amp;" - "&amp;$Q$4</f>
        <v/>
      </c>
    </row>
    <row r="5" ht="3.75" customHeight="1" s="783">
      <c r="B5" s="53" t="n"/>
      <c r="C5" s="53" t="n"/>
      <c r="D5" s="53" t="n"/>
      <c r="E5" s="53" t="n"/>
      <c r="F5" s="53" t="n"/>
      <c r="G5" s="236" t="n"/>
      <c r="H5" s="236" t="n"/>
      <c r="I5" s="236" t="n"/>
      <c r="J5" s="236" t="n"/>
      <c r="K5" s="236" t="n"/>
      <c r="L5" s="236" t="n"/>
      <c r="M5" s="236" t="n"/>
      <c r="N5" s="236" t="n"/>
      <c r="O5" s="236" t="n"/>
      <c r="P5" s="236" t="n"/>
      <c r="Q5" s="236" t="n"/>
      <c r="R5" s="60" t="n"/>
    </row>
    <row r="6">
      <c r="B6">
        <f>+Peers!B6</f>
        <v/>
      </c>
      <c r="G6" s="214" t="n"/>
      <c r="H6" s="214" t="n"/>
      <c r="I6" s="214" t="n"/>
      <c r="J6" s="214" t="n"/>
      <c r="K6" s="214" t="n"/>
      <c r="L6" s="214" t="n"/>
      <c r="M6" s="214" t="n"/>
      <c r="N6" s="214" t="n"/>
      <c r="O6" s="214" t="n"/>
      <c r="P6" s="214" t="n"/>
      <c r="Q6" s="214" t="n"/>
      <c r="R6" s="703">
        <f>IFERROR((Q6/G6)^(1/COUNT($G$4:$Q$4))-1,"")</f>
        <v/>
      </c>
    </row>
    <row r="7">
      <c r="B7" s="672">
        <f>+Peers!B8</f>
        <v/>
      </c>
      <c r="C7" s="672" t="n"/>
      <c r="D7" s="672" t="n"/>
      <c r="E7" s="672" t="n"/>
      <c r="F7" s="672" t="n"/>
      <c r="G7" s="673" t="n"/>
      <c r="H7" s="673" t="n"/>
      <c r="I7" s="673" t="n"/>
      <c r="J7" s="673" t="n"/>
      <c r="K7" s="673" t="n"/>
      <c r="L7" s="673" t="n"/>
      <c r="M7" s="673" t="n"/>
      <c r="N7" s="673" t="n"/>
      <c r="O7" s="673" t="n"/>
      <c r="P7" s="673" t="n"/>
      <c r="Q7" s="673" t="n"/>
      <c r="R7" s="704">
        <f>IFERROR((Q7/G7)^(1/COUNT($G$4:$Q$4))-1,"")</f>
        <v/>
      </c>
    </row>
    <row r="8">
      <c r="B8">
        <f>+Peers!B9</f>
        <v/>
      </c>
      <c r="G8" s="214" t="n"/>
      <c r="H8" s="214" t="n"/>
      <c r="I8" s="214" t="n"/>
      <c r="J8" s="214" t="n"/>
      <c r="K8" s="214" t="n"/>
      <c r="L8" s="214" t="n"/>
      <c r="M8" s="214" t="n"/>
      <c r="N8" s="214" t="n"/>
      <c r="O8" s="214" t="n"/>
      <c r="P8" s="214" t="n"/>
      <c r="Q8" s="214" t="n"/>
      <c r="R8" s="703">
        <f>IFERROR((Q8/G8)^(1/COUNT($G$4:$Q$4))-1,"")</f>
        <v/>
      </c>
    </row>
    <row r="9">
      <c r="B9" s="672">
        <f>+Peers!B10</f>
        <v/>
      </c>
      <c r="C9" s="672" t="n"/>
      <c r="D9" s="672" t="n"/>
      <c r="E9" s="672" t="n"/>
      <c r="F9" s="672" t="n"/>
      <c r="G9" s="673" t="n"/>
      <c r="H9" s="673" t="n"/>
      <c r="I9" s="673" t="n"/>
      <c r="J9" s="673" t="n"/>
      <c r="K9" s="673" t="n"/>
      <c r="L9" s="673" t="n"/>
      <c r="M9" s="673" t="n"/>
      <c r="N9" s="673" t="n"/>
      <c r="O9" s="673" t="n"/>
      <c r="P9" s="673" t="n"/>
      <c r="Q9" s="672" t="n"/>
      <c r="R9" s="704">
        <f>IFERROR((Q9/G9)^(1/COUNT($G$4:$Q$4))-1,"")</f>
        <v/>
      </c>
    </row>
    <row r="10">
      <c r="B10">
        <f>+Peers!B11</f>
        <v/>
      </c>
      <c r="G10" s="214" t="n"/>
      <c r="H10" s="214" t="n"/>
      <c r="I10" s="214" t="n"/>
      <c r="J10" s="214" t="n"/>
      <c r="K10" s="214" t="n"/>
      <c r="L10" s="214" t="n"/>
      <c r="M10" s="214" t="n"/>
      <c r="N10" s="214" t="n"/>
      <c r="O10" s="214" t="n"/>
      <c r="P10" s="214" t="n"/>
      <c r="Q10" s="214" t="n"/>
      <c r="R10" s="703">
        <f>IFERROR((Q10/G10)^(1/COUNT($G$4:$Q$4))-1,"")</f>
        <v/>
      </c>
    </row>
    <row r="11">
      <c r="B11" s="672">
        <f>+Peers!B12</f>
        <v/>
      </c>
      <c r="C11" s="672" t="n"/>
      <c r="D11" s="672" t="n"/>
      <c r="E11" s="672" t="n"/>
      <c r="F11" s="672" t="n"/>
      <c r="G11" s="673" t="n"/>
      <c r="H11" s="673" t="n"/>
      <c r="I11" s="673" t="n"/>
      <c r="J11" s="673" t="n"/>
      <c r="K11" s="673" t="n"/>
      <c r="L11" s="673" t="n"/>
      <c r="M11" s="673" t="n"/>
      <c r="N11" s="673" t="n"/>
      <c r="O11" s="673" t="n"/>
      <c r="P11" s="673" t="n"/>
      <c r="Q11" s="673" t="n"/>
      <c r="R11" s="704">
        <f>IFERROR((Q11/G11)^(1/COUNT($G$4:$Q$4))-1,"")</f>
        <v/>
      </c>
    </row>
    <row r="12">
      <c r="B12">
        <f>+Peers!B13</f>
        <v/>
      </c>
      <c r="G12" s="214" t="n"/>
      <c r="H12" s="214" t="n"/>
      <c r="I12" s="214" t="n"/>
      <c r="J12" s="214" t="n"/>
      <c r="K12" s="214" t="n"/>
      <c r="L12" s="214" t="n"/>
      <c r="M12" s="214" t="n"/>
      <c r="N12" s="214" t="n"/>
      <c r="O12" s="214" t="n"/>
      <c r="P12" s="214" t="n"/>
      <c r="Q12" s="214" t="n"/>
      <c r="R12" s="703">
        <f>IFERROR((Q12/G12)^(1/COUNT($G$4:$Q$4))-1,"")</f>
        <v/>
      </c>
    </row>
    <row r="13">
      <c r="B13" s="672">
        <f>+Peers!B14</f>
        <v/>
      </c>
      <c r="C13" s="672" t="n"/>
      <c r="D13" s="672" t="n"/>
      <c r="E13" s="672" t="n"/>
      <c r="F13" s="672" t="n"/>
      <c r="G13" s="673" t="n"/>
      <c r="H13" s="673" t="n"/>
      <c r="I13" s="673" t="n"/>
      <c r="J13" s="673" t="n"/>
      <c r="K13" s="673" t="n"/>
      <c r="L13" s="673" t="n"/>
      <c r="M13" s="673" t="n"/>
      <c r="N13" s="673" t="n"/>
      <c r="O13" s="673" t="n"/>
      <c r="P13" s="673" t="n"/>
      <c r="Q13" s="673" t="n"/>
      <c r="R13" s="704">
        <f>IFERROR((Q13/G13)^(1/COUNT($G$4:$Q$4))-1,"")</f>
        <v/>
      </c>
    </row>
    <row r="14">
      <c r="B14">
        <f>+Peers!B15</f>
        <v/>
      </c>
      <c r="G14" s="214" t="n"/>
      <c r="H14" s="214" t="n"/>
      <c r="I14" s="214" t="n"/>
      <c r="J14" s="214" t="n"/>
      <c r="K14" s="214" t="n"/>
      <c r="L14" s="214" t="n"/>
      <c r="M14" s="214" t="n"/>
      <c r="N14" s="214" t="n"/>
      <c r="O14" s="214" t="n"/>
      <c r="P14" s="214" t="n"/>
      <c r="Q14" s="214" t="n"/>
      <c r="R14" s="703">
        <f>IFERROR((Q14/G14)^(1/COUNT($G$4:$Q$4))-1,"")</f>
        <v/>
      </c>
    </row>
    <row r="15">
      <c r="B15" s="672">
        <f>+Peers!B16</f>
        <v/>
      </c>
      <c r="C15" s="672" t="n"/>
      <c r="D15" s="672" t="n"/>
      <c r="E15" s="672" t="n"/>
      <c r="F15" s="672" t="n"/>
      <c r="G15" s="673" t="n"/>
      <c r="H15" s="673" t="n"/>
      <c r="I15" s="673" t="n"/>
      <c r="J15" s="673" t="n"/>
      <c r="K15" s="673" t="n"/>
      <c r="L15" s="673" t="n"/>
      <c r="M15" s="673" t="n"/>
      <c r="N15" s="673" t="n"/>
      <c r="O15" s="673" t="n"/>
      <c r="P15" s="673" t="n"/>
      <c r="Q15" s="673" t="n"/>
      <c r="R15" s="704">
        <f>IFERROR((Q15/G15)^(1/COUNT($G$4:$Q$4))-1,"")</f>
        <v/>
      </c>
    </row>
    <row r="16">
      <c r="B16">
        <f>+Peers!B17</f>
        <v/>
      </c>
      <c r="G16" s="214" t="n"/>
      <c r="H16" s="214" t="n"/>
      <c r="I16" s="214" t="n"/>
      <c r="J16" s="214" t="n"/>
      <c r="K16" s="214" t="n"/>
      <c r="L16" s="214" t="n"/>
      <c r="M16" s="214" t="n"/>
      <c r="N16" s="214" t="n"/>
      <c r="O16" s="214" t="n"/>
      <c r="P16" s="214" t="n"/>
      <c r="Q16" s="214" t="n"/>
      <c r="R16" s="703">
        <f>IFERROR((Q16/G16)^(1/COUNT($G$4:$Q$4))-1,"")</f>
        <v/>
      </c>
    </row>
    <row r="17">
      <c r="G17" s="214" t="n"/>
      <c r="H17" s="214" t="n"/>
      <c r="I17" s="214" t="n"/>
      <c r="J17" s="214" t="n"/>
      <c r="K17" s="214" t="n"/>
      <c r="L17" s="214" t="n"/>
      <c r="M17" s="214" t="n"/>
      <c r="N17" s="214" t="n"/>
      <c r="O17" s="214" t="n"/>
      <c r="P17" s="214" t="n"/>
      <c r="Q17" s="214" t="n"/>
    </row>
    <row r="18" ht="15.75" customHeight="1" s="783">
      <c r="A18" t="inlineStr">
        <is>
          <t>x</t>
        </is>
      </c>
      <c r="B18" s="234" t="inlineStr">
        <is>
          <t>Total GHG Scope 2 (Location-Based) Emissions</t>
        </is>
      </c>
      <c r="C18" s="56" t="n"/>
      <c r="D18" s="56" t="n"/>
      <c r="E18" s="56" t="n"/>
      <c r="F18" s="56" t="n"/>
      <c r="G18" s="235" t="n">
        <v>2014</v>
      </c>
      <c r="H18" s="235">
        <f>+G18+1</f>
        <v/>
      </c>
      <c r="I18" s="235">
        <f>+H18+1</f>
        <v/>
      </c>
      <c r="J18" s="235">
        <f>+I18+1</f>
        <v/>
      </c>
      <c r="K18" s="235">
        <f>+J18+1</f>
        <v/>
      </c>
      <c r="L18" s="235">
        <f>+K18+1</f>
        <v/>
      </c>
      <c r="M18" s="235">
        <f>+L18+1</f>
        <v/>
      </c>
      <c r="N18" s="235">
        <f>+M18+1</f>
        <v/>
      </c>
      <c r="O18" s="235">
        <f>+N18+1</f>
        <v/>
      </c>
      <c r="P18" s="235">
        <f>+O18+1</f>
        <v/>
      </c>
      <c r="Q18" s="235">
        <f>+P18+1</f>
        <v/>
      </c>
      <c r="R18" s="58">
        <f>"CAGR "&amp;$G$4&amp;" - "&amp;$Q$4</f>
        <v/>
      </c>
    </row>
    <row r="19" ht="3.75" customFormat="1" customHeight="1" s="98">
      <c r="B19" s="668" t="n"/>
      <c r="C19" s="668" t="n"/>
      <c r="D19" s="668" t="n"/>
      <c r="E19" s="668" t="n"/>
      <c r="F19" s="668" t="n"/>
      <c r="G19" s="669" t="n"/>
      <c r="H19" s="669" t="n"/>
      <c r="I19" s="669" t="n"/>
      <c r="J19" s="669" t="n"/>
      <c r="K19" s="669" t="n"/>
      <c r="L19" s="669" t="n"/>
      <c r="M19" s="669" t="n"/>
      <c r="N19" s="669" t="n"/>
      <c r="O19" s="669" t="n"/>
      <c r="P19" s="669" t="n"/>
      <c r="Q19" s="669" t="n"/>
      <c r="R19" s="670" t="n"/>
    </row>
    <row r="20">
      <c r="B20">
        <f>+$B$6</f>
        <v/>
      </c>
      <c r="G20" s="214" t="n"/>
      <c r="H20" s="214" t="n"/>
      <c r="I20" s="214" t="n"/>
      <c r="J20" s="214" t="n"/>
      <c r="K20" s="214" t="n"/>
      <c r="L20" s="214" t="n"/>
      <c r="M20" s="214" t="n"/>
      <c r="N20" s="214" t="n"/>
      <c r="O20" s="214" t="n"/>
      <c r="P20" s="214" t="n"/>
      <c r="Q20" s="214" t="n"/>
      <c r="R20" s="703">
        <f>IFERROR((Q20/G20)^(1/COUNT($G$4:$Q$4))-1,"")</f>
        <v/>
      </c>
    </row>
    <row r="21">
      <c r="B21" s="672">
        <f>+$B$7</f>
        <v/>
      </c>
      <c r="C21" s="672" t="n"/>
      <c r="D21" s="672" t="n"/>
      <c r="E21" s="672" t="n"/>
      <c r="F21" s="672" t="n"/>
      <c r="G21" s="673" t="n"/>
      <c r="H21" s="673" t="n"/>
      <c r="I21" s="673" t="n"/>
      <c r="J21" s="673" t="n"/>
      <c r="K21" s="673" t="n"/>
      <c r="L21" s="673" t="n"/>
      <c r="M21" s="673" t="n"/>
      <c r="N21" s="673" t="n"/>
      <c r="O21" s="673" t="n"/>
      <c r="P21" s="673" t="n"/>
      <c r="Q21" s="673" t="n"/>
      <c r="R21" s="704">
        <f>IFERROR((Q21/G21)^(1/COUNT($G$4:$Q$4))-1,"")</f>
        <v/>
      </c>
    </row>
    <row r="22">
      <c r="B22">
        <f>+$B$8</f>
        <v/>
      </c>
      <c r="G22" s="214" t="n"/>
      <c r="H22" s="214" t="n"/>
      <c r="I22" s="214" t="n"/>
      <c r="J22" s="214" t="n"/>
      <c r="K22" s="214" t="n"/>
      <c r="L22" s="214" t="n"/>
      <c r="M22" s="214" t="n"/>
      <c r="N22" s="214" t="n"/>
      <c r="O22" s="214" t="n"/>
      <c r="P22" s="214" t="n"/>
      <c r="Q22" s="214" t="n"/>
      <c r="R22" s="703">
        <f>IFERROR((Q22/G22)^(1/COUNT($G$4:$Q$4))-1,"")</f>
        <v/>
      </c>
    </row>
    <row r="23">
      <c r="B23" s="672">
        <f>+$B$9</f>
        <v/>
      </c>
      <c r="C23" s="672" t="n"/>
      <c r="D23" s="672" t="n"/>
      <c r="E23" s="672" t="n"/>
      <c r="F23" s="672" t="n"/>
      <c r="G23" s="674" t="n"/>
      <c r="H23" s="674" t="n"/>
      <c r="I23" s="674" t="n"/>
      <c r="J23" s="673" t="n"/>
      <c r="K23" s="673" t="n"/>
      <c r="L23" s="673" t="n"/>
      <c r="M23" s="673" t="n"/>
      <c r="N23" s="673" t="n"/>
      <c r="O23" s="673" t="n"/>
      <c r="P23" s="673" t="n"/>
      <c r="Q23" s="672" t="n"/>
      <c r="R23" s="704">
        <f>IFERROR((Q23/G23)^(1/COUNT($G$4:$Q$4))-1,"")</f>
        <v/>
      </c>
    </row>
    <row r="24">
      <c r="B24">
        <f>+$B$10</f>
        <v/>
      </c>
      <c r="G24" s="214" t="n"/>
      <c r="H24" s="214" t="n"/>
      <c r="I24" s="214" t="n"/>
      <c r="J24" s="214" t="n"/>
      <c r="K24" s="214" t="n"/>
      <c r="L24" s="214" t="n"/>
      <c r="M24" s="214" t="n"/>
      <c r="N24" s="214" t="n"/>
      <c r="O24" s="214" t="n"/>
      <c r="P24" s="214" t="n"/>
      <c r="Q24" s="214" t="n"/>
      <c r="R24" s="703">
        <f>IFERROR((Q24/G24)^(1/COUNT($G$4:$Q$4))-1,"")</f>
        <v/>
      </c>
    </row>
    <row r="25">
      <c r="B25" s="672">
        <f>+$B$11</f>
        <v/>
      </c>
      <c r="C25" s="672" t="n"/>
      <c r="D25" s="672" t="n"/>
      <c r="E25" s="672" t="n"/>
      <c r="F25" s="672" t="n"/>
      <c r="G25" s="673" t="n"/>
      <c r="H25" s="673" t="n"/>
      <c r="I25" s="673" t="n"/>
      <c r="J25" s="673" t="n"/>
      <c r="K25" s="673" t="n"/>
      <c r="L25" s="673" t="n"/>
      <c r="M25" s="673" t="n"/>
      <c r="N25" s="673" t="n"/>
      <c r="O25" s="673" t="n"/>
      <c r="P25" s="673" t="n"/>
      <c r="Q25" s="673" t="n"/>
      <c r="R25" s="704">
        <f>IFERROR((Q25/G25)^(1/COUNT($G$4:$Q$4))-1,"")</f>
        <v/>
      </c>
    </row>
    <row r="26">
      <c r="B26">
        <f>+$B$12</f>
        <v/>
      </c>
      <c r="G26" s="214" t="n"/>
      <c r="H26" s="214" t="n"/>
      <c r="I26" s="214" t="n"/>
      <c r="J26" s="214" t="n"/>
      <c r="K26" s="214" t="n"/>
      <c r="L26" s="214" t="n"/>
      <c r="M26" s="214" t="n"/>
      <c r="N26" s="214" t="n"/>
      <c r="O26" s="214" t="n"/>
      <c r="P26" s="214" t="n"/>
      <c r="Q26" s="214" t="n"/>
      <c r="R26" s="703">
        <f>IFERROR((Q26/G26)^(1/COUNT($G$4:$Q$4))-1,"")</f>
        <v/>
      </c>
    </row>
    <row r="27">
      <c r="B27" s="672">
        <f>+$B$13</f>
        <v/>
      </c>
      <c r="C27" s="672" t="n"/>
      <c r="D27" s="672" t="n"/>
      <c r="E27" s="672" t="n"/>
      <c r="F27" s="672" t="n"/>
      <c r="G27" s="673" t="n"/>
      <c r="H27" s="673" t="n"/>
      <c r="I27" s="673" t="n"/>
      <c r="J27" s="673" t="n"/>
      <c r="K27" s="673" t="n"/>
      <c r="L27" s="673" t="n"/>
      <c r="M27" s="673" t="n"/>
      <c r="N27" s="673" t="n"/>
      <c r="O27" s="673" t="n"/>
      <c r="P27" s="673" t="n"/>
      <c r="Q27" s="673" t="n"/>
      <c r="R27" s="704">
        <f>IFERROR((Q27/G27)^(1/COUNT($G$4:$Q$4))-1,"")</f>
        <v/>
      </c>
    </row>
    <row r="28">
      <c r="B28">
        <f>+$B$14</f>
        <v/>
      </c>
      <c r="G28" s="214" t="n"/>
      <c r="H28" s="214" t="n"/>
      <c r="I28" s="214" t="n"/>
      <c r="J28" s="214" t="n"/>
      <c r="K28" s="214" t="n"/>
      <c r="L28" s="214" t="n"/>
      <c r="M28" s="214" t="n"/>
      <c r="N28" s="214" t="n"/>
      <c r="O28" s="214" t="n"/>
      <c r="P28" s="214" t="n"/>
      <c r="Q28" s="214" t="n"/>
      <c r="R28" s="703">
        <f>IFERROR((Q28/G28)^(1/COUNT($G$4:$Q$4))-1,"")</f>
        <v/>
      </c>
    </row>
    <row r="29">
      <c r="B29" s="672">
        <f>+$B$15</f>
        <v/>
      </c>
      <c r="C29" s="672" t="n"/>
      <c r="D29" s="672" t="n"/>
      <c r="E29" s="672" t="n"/>
      <c r="F29" s="672" t="n"/>
      <c r="G29" s="673" t="n"/>
      <c r="H29" s="673" t="n"/>
      <c r="I29" s="673" t="n"/>
      <c r="J29" s="673" t="n"/>
      <c r="K29" s="673" t="n"/>
      <c r="L29" s="673" t="n"/>
      <c r="M29" s="673" t="n"/>
      <c r="N29" s="673" t="n"/>
      <c r="O29" s="673" t="n"/>
      <c r="P29" s="673" t="n"/>
      <c r="Q29" s="673" t="n"/>
      <c r="R29" s="704">
        <f>IFERROR((Q29/G29)^(1/COUNT($G$4:$Q$4))-1,"")</f>
        <v/>
      </c>
    </row>
    <row r="30">
      <c r="B30">
        <f>+$B$16</f>
        <v/>
      </c>
      <c r="G30" s="214" t="n"/>
      <c r="H30" s="214" t="n"/>
      <c r="I30" s="214" t="n"/>
      <c r="J30" s="214" t="n"/>
      <c r="K30" s="214" t="n"/>
      <c r="L30" s="214" t="n"/>
      <c r="M30" s="214" t="n"/>
      <c r="N30" s="214" t="n"/>
      <c r="O30" s="214" t="n"/>
      <c r="P30" s="214" t="n"/>
      <c r="Q30" s="214" t="n"/>
      <c r="R30" s="703">
        <f>IFERROR((Q30/G30)^(1/COUNT($G$4:$Q$4))-1,"")</f>
        <v/>
      </c>
    </row>
    <row r="31">
      <c r="G31" s="214" t="n"/>
      <c r="H31" s="214" t="n"/>
      <c r="I31" s="214" t="n"/>
      <c r="J31" s="214" t="n"/>
      <c r="K31" s="214" t="n"/>
      <c r="L31" s="214" t="n"/>
      <c r="M31" s="214" t="n"/>
      <c r="N31" s="214" t="n"/>
      <c r="O31" s="214" t="n"/>
      <c r="P31" s="214" t="n"/>
      <c r="Q31" s="214" t="n"/>
    </row>
    <row r="32" ht="15.75" customHeight="1" s="783">
      <c r="A32" t="inlineStr">
        <is>
          <t>x</t>
        </is>
      </c>
      <c r="B32" s="234" t="inlineStr">
        <is>
          <t>Total Energy Usage</t>
        </is>
      </c>
      <c r="C32" s="56" t="n"/>
      <c r="D32" s="56" t="n"/>
      <c r="E32" s="56" t="n"/>
      <c r="F32" s="56" t="n"/>
      <c r="G32" s="235" t="n">
        <v>2014</v>
      </c>
      <c r="H32" s="235">
        <f>+G32+1</f>
        <v/>
      </c>
      <c r="I32" s="235">
        <f>+H32+1</f>
        <v/>
      </c>
      <c r="J32" s="235">
        <f>+I32+1</f>
        <v/>
      </c>
      <c r="K32" s="235">
        <f>+J32+1</f>
        <v/>
      </c>
      <c r="L32" s="235">
        <f>+K32+1</f>
        <v/>
      </c>
      <c r="M32" s="235">
        <f>+L32+1</f>
        <v/>
      </c>
      <c r="N32" s="235">
        <f>+M32+1</f>
        <v/>
      </c>
      <c r="O32" s="235">
        <f>+N32+1</f>
        <v/>
      </c>
      <c r="P32" s="235">
        <f>+O32+1</f>
        <v/>
      </c>
      <c r="Q32" s="235">
        <f>+P32+1</f>
        <v/>
      </c>
      <c r="R32" s="58">
        <f>"CAGR "&amp;$G$4&amp;" - "&amp;$Q$4</f>
        <v/>
      </c>
    </row>
    <row r="33" ht="3.75" customHeight="1" s="783">
      <c r="B33" s="53" t="n"/>
      <c r="C33" s="53" t="n"/>
      <c r="D33" s="53" t="n"/>
      <c r="E33" s="53" t="n"/>
      <c r="F33" s="53" t="n"/>
      <c r="G33" s="236" t="n"/>
      <c r="H33" s="236" t="n"/>
      <c r="I33" s="236" t="n"/>
      <c r="J33" s="236" t="n"/>
      <c r="K33" s="236" t="n"/>
      <c r="L33" s="236" t="n"/>
      <c r="M33" s="236" t="n"/>
      <c r="N33" s="236" t="n"/>
      <c r="O33" s="236" t="n"/>
      <c r="P33" s="236" t="n"/>
      <c r="Q33" s="236" t="n"/>
      <c r="R33" s="60" t="n"/>
    </row>
    <row r="34">
      <c r="B34">
        <f>+$B$6</f>
        <v/>
      </c>
      <c r="G34" s="214" t="n"/>
      <c r="H34" s="214" t="n"/>
      <c r="I34" s="214" t="n"/>
      <c r="J34" s="214" t="n"/>
      <c r="K34" s="214" t="n"/>
      <c r="L34" s="214" t="n"/>
      <c r="M34" s="214" t="n"/>
      <c r="N34" s="214" t="n"/>
      <c r="O34" s="214" t="n"/>
      <c r="P34" s="214" t="n"/>
      <c r="Q34" s="214" t="n"/>
      <c r="R34" s="703">
        <f>IFERROR((Q34/G34)^(1/COUNT($G$4:$Q$4))-1,"")</f>
        <v/>
      </c>
    </row>
    <row r="35">
      <c r="B35" s="672">
        <f>+$B$7</f>
        <v/>
      </c>
      <c r="C35" s="672" t="n"/>
      <c r="D35" s="672" t="n"/>
      <c r="E35" s="672" t="n"/>
      <c r="F35" s="672" t="n"/>
      <c r="G35" s="673" t="n"/>
      <c r="H35" s="673" t="n"/>
      <c r="I35" s="673" t="n"/>
      <c r="J35" s="673" t="n"/>
      <c r="K35" s="673" t="n"/>
      <c r="L35" s="673" t="n"/>
      <c r="M35" s="673" t="n"/>
      <c r="N35" s="673" t="n"/>
      <c r="O35" s="673" t="n"/>
      <c r="P35" s="673" t="n"/>
      <c r="Q35" s="673" t="n"/>
      <c r="R35" s="704">
        <f>IFERROR((Q35/G35)^(1/COUNT($G$4:$Q$4))-1,"")</f>
        <v/>
      </c>
    </row>
    <row r="36">
      <c r="B36">
        <f>+$B$8</f>
        <v/>
      </c>
      <c r="G36" s="214" t="n"/>
      <c r="H36" s="214" t="n"/>
      <c r="I36" s="214" t="n"/>
      <c r="J36" s="214" t="n"/>
      <c r="K36" s="214" t="n"/>
      <c r="L36" s="214" t="n"/>
      <c r="M36" s="214" t="n"/>
      <c r="N36" s="214" t="n"/>
      <c r="O36" s="214" t="n"/>
      <c r="P36" s="214" t="n"/>
      <c r="Q36" s="214" t="n"/>
      <c r="R36" s="703">
        <f>IFERROR((Q36/G36)^(1/COUNT($G$4:$Q$4))-1,"")</f>
        <v/>
      </c>
    </row>
    <row r="37">
      <c r="B37" s="672">
        <f>+$B$9</f>
        <v/>
      </c>
      <c r="C37" s="672" t="n"/>
      <c r="D37" s="672" t="n"/>
      <c r="E37" s="672" t="n"/>
      <c r="F37" s="672" t="n"/>
      <c r="G37" s="674" t="n"/>
      <c r="H37" s="674" t="n"/>
      <c r="I37" s="674" t="n"/>
      <c r="J37" s="674" t="n"/>
      <c r="K37" s="673" t="n"/>
      <c r="L37" s="673" t="n"/>
      <c r="M37" s="673" t="n"/>
      <c r="N37" s="673" t="n"/>
      <c r="O37" s="673" t="n"/>
      <c r="P37" s="673" t="n"/>
      <c r="Q37" s="672" t="n"/>
      <c r="R37" s="704">
        <f>IFERROR((Q37/G37)^(1/COUNT($G$4:$Q$4))-1,"")</f>
        <v/>
      </c>
    </row>
    <row r="38">
      <c r="B38">
        <f>+$B$10</f>
        <v/>
      </c>
      <c r="G38" s="214" t="n"/>
      <c r="H38" s="214" t="n"/>
      <c r="I38" s="214" t="n"/>
      <c r="J38" s="214" t="n"/>
      <c r="K38" s="214" t="n"/>
      <c r="L38" s="214" t="n"/>
      <c r="M38" s="214" t="n"/>
      <c r="N38" s="214" t="n"/>
      <c r="O38" s="214" t="n"/>
      <c r="P38" s="214" t="n"/>
      <c r="Q38" s="214" t="n"/>
      <c r="R38" s="703">
        <f>IFERROR((Q38/G38)^(1/COUNT($G$4:$Q$4))-1,"")</f>
        <v/>
      </c>
    </row>
    <row r="39">
      <c r="B39" s="672">
        <f>+$B$11</f>
        <v/>
      </c>
      <c r="C39" s="672" t="n"/>
      <c r="D39" s="672" t="n"/>
      <c r="E39" s="672" t="n"/>
      <c r="F39" s="672" t="n"/>
      <c r="G39" s="673" t="n"/>
      <c r="H39" s="673" t="n"/>
      <c r="I39" s="673" t="n"/>
      <c r="J39" s="673" t="n"/>
      <c r="K39" s="673" t="n"/>
      <c r="L39" s="673" t="n"/>
      <c r="M39" s="673" t="n"/>
      <c r="N39" s="673" t="n"/>
      <c r="O39" s="673" t="n"/>
      <c r="P39" s="673" t="n"/>
      <c r="Q39" s="673" t="n"/>
      <c r="R39" s="704">
        <f>IFERROR((Q39/G39)^(1/COUNT($G$4:$Q$4))-1,"")</f>
        <v/>
      </c>
    </row>
    <row r="40">
      <c r="B40">
        <f>+$B$12</f>
        <v/>
      </c>
      <c r="G40" s="214" t="n"/>
      <c r="H40" s="214" t="n"/>
      <c r="I40" s="214" t="n"/>
      <c r="J40" s="214" t="n"/>
      <c r="K40" s="214" t="n"/>
      <c r="L40" s="214" t="n"/>
      <c r="M40" s="214" t="n"/>
      <c r="N40" s="214" t="n"/>
      <c r="O40" s="214" t="n"/>
      <c r="P40" s="214" t="n"/>
      <c r="Q40" s="214" t="n"/>
      <c r="R40" s="703">
        <f>IFERROR((Q40/G40)^(1/COUNT($G$4:$Q$4))-1,"")</f>
        <v/>
      </c>
    </row>
    <row r="41">
      <c r="B41" s="672">
        <f>+$B$13</f>
        <v/>
      </c>
      <c r="C41" s="672" t="n"/>
      <c r="D41" s="672" t="n"/>
      <c r="E41" s="672" t="n"/>
      <c r="F41" s="672" t="n"/>
      <c r="G41" s="673" t="n"/>
      <c r="H41" s="673" t="n"/>
      <c r="I41" s="673" t="n"/>
      <c r="J41" s="673" t="n"/>
      <c r="K41" s="673" t="n"/>
      <c r="L41" s="673" t="n"/>
      <c r="M41" s="673" t="n"/>
      <c r="N41" s="673" t="n"/>
      <c r="O41" s="673" t="n"/>
      <c r="P41" s="673" t="n"/>
      <c r="Q41" s="673" t="n"/>
      <c r="R41" s="704">
        <f>IFERROR((Q41/G41)^(1/COUNT($G$4:$Q$4))-1,"")</f>
        <v/>
      </c>
    </row>
    <row r="42">
      <c r="B42">
        <f>+$B$14</f>
        <v/>
      </c>
      <c r="G42" s="214" t="n"/>
      <c r="H42" s="214" t="n"/>
      <c r="I42" s="214" t="n"/>
      <c r="J42" s="214" t="n"/>
      <c r="K42" s="214" t="n"/>
      <c r="L42" s="214" t="n"/>
      <c r="M42" s="214" t="n"/>
      <c r="N42" s="214" t="n"/>
      <c r="O42" s="214" t="n"/>
      <c r="P42" s="214" t="n"/>
      <c r="Q42" s="214" t="n"/>
      <c r="R42" s="703">
        <f>IFERROR((Q42/G42)^(1/COUNT($G$4:$Q$4))-1,"")</f>
        <v/>
      </c>
    </row>
    <row r="43">
      <c r="B43" s="672">
        <f>+$B$15</f>
        <v/>
      </c>
      <c r="C43" s="672" t="n"/>
      <c r="D43" s="672" t="n"/>
      <c r="E43" s="672" t="n"/>
      <c r="F43" s="672" t="n"/>
      <c r="G43" s="673" t="n"/>
      <c r="H43" s="673" t="n"/>
      <c r="I43" s="673" t="n"/>
      <c r="J43" s="673" t="n"/>
      <c r="K43" s="673" t="n"/>
      <c r="L43" s="673" t="n"/>
      <c r="M43" s="673" t="n"/>
      <c r="N43" s="673" t="n"/>
      <c r="O43" s="673" t="n"/>
      <c r="P43" s="673" t="n"/>
      <c r="Q43" s="673" t="n"/>
      <c r="R43" s="704">
        <f>IFERROR((Q43/G43)^(1/COUNT($G$4:$Q$4))-1,"")</f>
        <v/>
      </c>
    </row>
    <row r="44">
      <c r="B44">
        <f>+$B$16</f>
        <v/>
      </c>
      <c r="G44" s="214" t="n"/>
      <c r="H44" s="214" t="n"/>
      <c r="I44" s="214" t="n"/>
      <c r="J44" s="214" t="n"/>
      <c r="K44" s="214" t="n"/>
      <c r="L44" s="214" t="n"/>
      <c r="M44" s="214" t="n"/>
      <c r="N44" s="214" t="n"/>
      <c r="O44" s="214" t="n"/>
      <c r="P44" s="214" t="n"/>
      <c r="Q44" s="214" t="n"/>
      <c r="R44" s="703">
        <f>IFERROR((Q44/G44)^(1/COUNT($G$4:$Q$4))-1,"")</f>
        <v/>
      </c>
    </row>
    <row r="45">
      <c r="G45" s="214" t="n"/>
      <c r="H45" s="214" t="n"/>
      <c r="I45" s="214" t="n"/>
      <c r="J45" s="214" t="n"/>
      <c r="K45" s="214" t="n"/>
      <c r="L45" s="214" t="n"/>
      <c r="M45" s="214" t="n"/>
      <c r="N45" s="214" t="n"/>
      <c r="O45" s="214" t="n"/>
      <c r="P45" s="214" t="n"/>
      <c r="Q45" s="214" t="n"/>
    </row>
    <row r="46" ht="15.75" customHeight="1" s="783">
      <c r="A46" t="inlineStr">
        <is>
          <t>x</t>
        </is>
      </c>
      <c r="B46" s="234" t="inlineStr">
        <is>
          <t>Total Water Consumption</t>
        </is>
      </c>
      <c r="C46" s="56" t="n"/>
      <c r="D46" s="56" t="n"/>
      <c r="E46" s="56" t="n"/>
      <c r="F46" s="56" t="n"/>
      <c r="G46" s="235" t="n">
        <v>2014</v>
      </c>
      <c r="H46" s="235">
        <f>+G46+1</f>
        <v/>
      </c>
      <c r="I46" s="235">
        <f>+H46+1</f>
        <v/>
      </c>
      <c r="J46" s="235">
        <f>+I46+1</f>
        <v/>
      </c>
      <c r="K46" s="235">
        <f>+J46+1</f>
        <v/>
      </c>
      <c r="L46" s="235">
        <f>+K46+1</f>
        <v/>
      </c>
      <c r="M46" s="235">
        <f>+L46+1</f>
        <v/>
      </c>
      <c r="N46" s="235">
        <f>+M46+1</f>
        <v/>
      </c>
      <c r="O46" s="235">
        <f>+N46+1</f>
        <v/>
      </c>
      <c r="P46" s="235">
        <f>+O46+1</f>
        <v/>
      </c>
      <c r="Q46" s="235">
        <f>+P46+1</f>
        <v/>
      </c>
      <c r="R46" s="58">
        <f>"CAGR "&amp;$G$4&amp;" - "&amp;$Q$4</f>
        <v/>
      </c>
    </row>
    <row r="47" ht="3.75" customHeight="1" s="783">
      <c r="B47" s="53" t="n"/>
      <c r="C47" s="53" t="n"/>
      <c r="D47" s="53" t="n"/>
      <c r="E47" s="53" t="n"/>
      <c r="F47" s="53" t="n"/>
      <c r="G47" s="236" t="n"/>
      <c r="H47" s="236" t="n"/>
      <c r="I47" s="236" t="n"/>
      <c r="J47" s="236" t="n"/>
      <c r="K47" s="236" t="n"/>
      <c r="L47" s="236" t="n"/>
      <c r="M47" s="236" t="n"/>
      <c r="N47" s="236" t="n"/>
      <c r="O47" s="236" t="n"/>
      <c r="P47" s="236" t="n"/>
      <c r="Q47" s="236" t="n"/>
      <c r="R47" s="60" t="n"/>
    </row>
    <row r="48">
      <c r="B48">
        <f>+$B$6</f>
        <v/>
      </c>
      <c r="G48" s="214" t="n"/>
      <c r="H48" s="214" t="n"/>
      <c r="I48" s="214" t="n"/>
      <c r="J48" s="214" t="n"/>
      <c r="K48" s="214" t="n"/>
      <c r="L48" s="214" t="n"/>
      <c r="M48" s="214" t="n"/>
      <c r="N48" s="214" t="n"/>
      <c r="O48" s="214" t="n"/>
      <c r="P48" s="214" t="n"/>
      <c r="Q48" s="214" t="n"/>
      <c r="R48" s="703">
        <f>IFERROR((Q48/G48)^(1/COUNT($G$4:$Q$4))-1,"")</f>
        <v/>
      </c>
    </row>
    <row r="49">
      <c r="B49" s="672">
        <f>+$B$7</f>
        <v/>
      </c>
      <c r="C49" s="672" t="n"/>
      <c r="D49" s="672" t="n"/>
      <c r="E49" s="672" t="n"/>
      <c r="F49" s="672" t="n"/>
      <c r="G49" s="673" t="n"/>
      <c r="H49" s="673" t="n"/>
      <c r="I49" s="673" t="n"/>
      <c r="J49" s="673" t="n"/>
      <c r="K49" s="673" t="n"/>
      <c r="L49" s="673" t="n"/>
      <c r="M49" s="673" t="n"/>
      <c r="N49" s="673" t="n"/>
      <c r="O49" s="673" t="n"/>
      <c r="P49" s="673" t="n"/>
      <c r="Q49" s="673" t="n"/>
      <c r="R49" s="704">
        <f>IFERROR((Q49/G49)^(1/COUNT($G$4:$Q$4))-1,"")</f>
        <v/>
      </c>
    </row>
    <row r="50">
      <c r="B50">
        <f>+$B$8</f>
        <v/>
      </c>
      <c r="G50" s="214" t="n"/>
      <c r="H50" s="214" t="n"/>
      <c r="I50" s="214" t="n"/>
      <c r="J50" s="214" t="n"/>
      <c r="K50" s="214" t="n"/>
      <c r="L50" s="214" t="n"/>
      <c r="M50" s="214" t="n"/>
      <c r="N50" s="214" t="n"/>
      <c r="O50" s="214" t="n"/>
      <c r="P50" s="214" t="n"/>
      <c r="Q50" s="214" t="n"/>
      <c r="R50" s="703">
        <f>IFERROR((Q50/G50)^(1/COUNT($G$4:$Q$4))-1,"")</f>
        <v/>
      </c>
    </row>
    <row r="51">
      <c r="B51" s="672">
        <f>+$B$9</f>
        <v/>
      </c>
      <c r="C51" s="672" t="n"/>
      <c r="D51" s="672" t="n"/>
      <c r="E51" s="672" t="n"/>
      <c r="F51" s="672" t="n"/>
      <c r="G51" s="673" t="n"/>
      <c r="H51" s="673" t="n"/>
      <c r="I51" s="673" t="n"/>
      <c r="J51" s="673" t="n"/>
      <c r="K51" s="673" t="n"/>
      <c r="L51" s="673" t="n"/>
      <c r="M51" s="673" t="n"/>
      <c r="N51" s="673" t="n"/>
      <c r="O51" s="673" t="n"/>
      <c r="P51" s="673" t="n"/>
      <c r="Q51" s="673" t="n"/>
      <c r="R51" s="704">
        <f>IFERROR((Q51/G51)^(1/COUNT($G$4:$Q$4))-1,"")</f>
        <v/>
      </c>
    </row>
    <row r="52">
      <c r="B52">
        <f>+$B$10</f>
        <v/>
      </c>
      <c r="G52" s="214" t="n"/>
      <c r="H52" s="214" t="n"/>
      <c r="I52" s="214" t="n"/>
      <c r="J52" s="214" t="n"/>
      <c r="K52" s="214" t="n"/>
      <c r="L52" s="214" t="n"/>
      <c r="M52" s="214" t="n"/>
      <c r="N52" s="214" t="n"/>
      <c r="O52" s="214" t="n"/>
      <c r="P52" s="214" t="n"/>
      <c r="Q52" s="214" t="n"/>
      <c r="R52" s="703">
        <f>IFERROR((Q52/G52)^(1/COUNT($G$4:$Q$4))-1,"")</f>
        <v/>
      </c>
    </row>
    <row r="53">
      <c r="B53" s="672">
        <f>+$B$11</f>
        <v/>
      </c>
      <c r="C53" s="672" t="n"/>
      <c r="D53" s="672" t="n"/>
      <c r="E53" s="672" t="n"/>
      <c r="F53" s="672" t="n"/>
      <c r="G53" s="673" t="n"/>
      <c r="H53" s="673" t="n"/>
      <c r="I53" s="673" t="n"/>
      <c r="J53" s="673" t="n"/>
      <c r="K53" s="673" t="n"/>
      <c r="L53" s="674" t="n"/>
      <c r="M53" s="674" t="n"/>
      <c r="N53" s="674" t="n"/>
      <c r="O53" s="674" t="n"/>
      <c r="P53" s="673" t="n"/>
      <c r="Q53" s="673" t="n"/>
      <c r="R53" s="704">
        <f>IFERROR((Q53/G53)^(1/COUNT($G$4:$Q$4))-1,"")</f>
        <v/>
      </c>
    </row>
    <row r="54">
      <c r="B54">
        <f>+$B$12</f>
        <v/>
      </c>
      <c r="G54" s="214" t="n"/>
      <c r="H54" s="214" t="n"/>
      <c r="I54" s="214" t="n"/>
      <c r="J54" s="214" t="n"/>
      <c r="K54" s="214" t="n"/>
      <c r="L54" s="214" t="n"/>
      <c r="M54" s="214" t="n"/>
      <c r="N54" s="214" t="n"/>
      <c r="O54" s="214" t="n"/>
      <c r="P54" s="214" t="n"/>
      <c r="Q54" s="214" t="n"/>
      <c r="R54" s="703">
        <f>IFERROR((Q54/G54)^(1/COUNT($G$4:$Q$4))-1,"")</f>
        <v/>
      </c>
    </row>
    <row r="55">
      <c r="B55" s="672">
        <f>+$B$13</f>
        <v/>
      </c>
      <c r="C55" s="672" t="n"/>
      <c r="D55" s="672" t="n"/>
      <c r="E55" s="672" t="n"/>
      <c r="F55" s="672" t="n"/>
      <c r="G55" s="673" t="n"/>
      <c r="H55" s="673" t="n"/>
      <c r="I55" s="673" t="n"/>
      <c r="J55" s="673" t="n"/>
      <c r="K55" s="673" t="n"/>
      <c r="L55" s="673" t="n"/>
      <c r="M55" s="673" t="n"/>
      <c r="N55" s="673" t="n"/>
      <c r="O55" s="673" t="n"/>
      <c r="P55" s="673" t="n"/>
      <c r="Q55" s="673" t="n"/>
      <c r="R55" s="704">
        <f>IFERROR((Q55/G55)^(1/COUNT($G$4:$Q$4))-1,"")</f>
        <v/>
      </c>
    </row>
    <row r="56">
      <c r="B56">
        <f>+$B$14</f>
        <v/>
      </c>
      <c r="G56" s="214" t="n"/>
      <c r="H56" s="214" t="n"/>
      <c r="I56" s="214" t="n"/>
      <c r="J56" s="214" t="n"/>
      <c r="K56" s="214" t="n"/>
      <c r="L56" s="214" t="n"/>
      <c r="M56" s="214" t="n"/>
      <c r="N56" s="214" t="n"/>
      <c r="O56" s="214" t="n"/>
      <c r="P56" s="214" t="n"/>
      <c r="Q56" s="214" t="n"/>
      <c r="R56" s="703">
        <f>IFERROR((Q56/G56)^(1/COUNT($G$4:$Q$4))-1,"")</f>
        <v/>
      </c>
    </row>
    <row r="57">
      <c r="B57" s="672">
        <f>+$B$15</f>
        <v/>
      </c>
      <c r="C57" s="672" t="n"/>
      <c r="D57" s="672" t="n"/>
      <c r="E57" s="672" t="n"/>
      <c r="F57" s="672" t="n"/>
      <c r="G57" s="673" t="n"/>
      <c r="H57" s="673" t="n"/>
      <c r="I57" s="673" t="n"/>
      <c r="J57" s="673" t="n"/>
      <c r="K57" s="673" t="n"/>
      <c r="L57" s="673" t="n"/>
      <c r="M57" s="673" t="n"/>
      <c r="N57" s="673" t="n"/>
      <c r="O57" s="673" t="n"/>
      <c r="P57" s="673" t="n"/>
      <c r="Q57" s="673" t="n"/>
      <c r="R57" s="704">
        <f>IFERROR((Q57/G57)^(1/COUNT($G$4:$Q$4))-1,"")</f>
        <v/>
      </c>
    </row>
    <row r="58">
      <c r="B58">
        <f>+$B$16</f>
        <v/>
      </c>
      <c r="G58" s="214" t="n"/>
      <c r="H58" s="214" t="n"/>
      <c r="I58" s="214" t="n"/>
      <c r="J58" s="214" t="n"/>
      <c r="K58" s="214" t="n"/>
      <c r="L58" s="214" t="n"/>
      <c r="M58" s="214" t="n"/>
      <c r="N58" s="214" t="n"/>
      <c r="O58" s="214" t="n"/>
      <c r="P58" s="214" t="n"/>
      <c r="Q58" s="214" t="n"/>
      <c r="R58" s="703">
        <f>IFERROR((Q58/G58)^(1/COUNT($G$4:$Q$4))-1,"")</f>
        <v/>
      </c>
    </row>
    <row r="60" ht="15.75" customHeight="1" s="783">
      <c r="A60" t="inlineStr">
        <is>
          <t>x</t>
        </is>
      </c>
      <c r="B60" s="234" t="inlineStr">
        <is>
          <t>Total Waste Production</t>
        </is>
      </c>
      <c r="C60" s="56" t="n"/>
      <c r="D60" s="56" t="n"/>
      <c r="E60" s="56" t="n"/>
      <c r="F60" s="56" t="n"/>
      <c r="G60" s="235" t="n">
        <v>2014</v>
      </c>
      <c r="H60" s="235">
        <f>+G60+1</f>
        <v/>
      </c>
      <c r="I60" s="235">
        <f>+H60+1</f>
        <v/>
      </c>
      <c r="J60" s="235">
        <f>+I60+1</f>
        <v/>
      </c>
      <c r="K60" s="235">
        <f>+J60+1</f>
        <v/>
      </c>
      <c r="L60" s="235">
        <f>+K60+1</f>
        <v/>
      </c>
      <c r="M60" s="235">
        <f>+L60+1</f>
        <v/>
      </c>
      <c r="N60" s="235">
        <f>+M60+1</f>
        <v/>
      </c>
      <c r="O60" s="235">
        <f>+N60+1</f>
        <v/>
      </c>
      <c r="P60" s="235">
        <f>+O60+1</f>
        <v/>
      </c>
      <c r="Q60" s="235">
        <f>+P60+1</f>
        <v/>
      </c>
      <c r="R60" s="58">
        <f>"CAGR "&amp;$G$4&amp;" - "&amp;$Q$4</f>
        <v/>
      </c>
    </row>
    <row r="61" ht="3.75" customHeight="1" s="783">
      <c r="B61" s="53" t="n"/>
      <c r="C61" s="53" t="n"/>
      <c r="D61" s="53" t="n"/>
      <c r="E61" s="53" t="n"/>
      <c r="F61" s="53" t="n"/>
      <c r="G61" s="236" t="n"/>
      <c r="H61" s="236" t="n"/>
      <c r="I61" s="236" t="n"/>
      <c r="J61" s="236" t="n"/>
      <c r="K61" s="236" t="n"/>
      <c r="L61" s="236" t="n"/>
      <c r="M61" s="236" t="n"/>
      <c r="N61" s="236" t="n"/>
      <c r="O61" s="236" t="n"/>
      <c r="P61" s="236" t="n"/>
      <c r="Q61" s="236" t="n"/>
      <c r="R61" s="60" t="n"/>
    </row>
    <row r="62">
      <c r="B62">
        <f>+$B$6</f>
        <v/>
      </c>
      <c r="G62" s="214" t="n"/>
      <c r="H62" s="214" t="n"/>
      <c r="I62" s="214" t="n"/>
      <c r="J62" s="214" t="n"/>
      <c r="K62" s="214" t="n"/>
      <c r="L62" s="214" t="n"/>
      <c r="M62" s="214" t="n"/>
      <c r="N62" s="214" t="n"/>
      <c r="O62" s="214" t="n"/>
      <c r="P62" s="214" t="n"/>
      <c r="Q62" s="214" t="n"/>
      <c r="R62" s="703">
        <f>IFERROR((Q62/G62)^(1/COUNT($G$4:$Q$4))-1,"")</f>
        <v/>
      </c>
    </row>
    <row r="63">
      <c r="B63" s="672">
        <f>+$B$7</f>
        <v/>
      </c>
      <c r="C63" s="672" t="n"/>
      <c r="D63" s="672" t="n"/>
      <c r="E63" s="672" t="n"/>
      <c r="F63" s="672" t="n"/>
      <c r="G63" s="673" t="n"/>
      <c r="H63" s="673" t="n"/>
      <c r="I63" s="673" t="n"/>
      <c r="J63" s="673" t="n"/>
      <c r="K63" s="673" t="n"/>
      <c r="L63" s="673" t="n"/>
      <c r="M63" s="673" t="n"/>
      <c r="N63" s="673" t="n"/>
      <c r="O63" s="673" t="n"/>
      <c r="P63" s="673" t="n"/>
      <c r="Q63" s="673" t="n"/>
      <c r="R63" s="704">
        <f>IFERROR((Q63/G63)^(1/COUNT($G$4:$Q$4))-1,"")</f>
        <v/>
      </c>
    </row>
    <row r="64">
      <c r="B64">
        <f>+$B$8</f>
        <v/>
      </c>
      <c r="G64" s="671" t="n"/>
      <c r="H64" s="214" t="n"/>
      <c r="I64" s="214" t="n"/>
      <c r="J64" s="214" t="n"/>
      <c r="K64" s="214" t="n"/>
      <c r="L64" s="214" t="n"/>
      <c r="M64" s="214" t="n"/>
      <c r="N64" s="214" t="n"/>
      <c r="O64" s="214" t="n"/>
      <c r="P64" s="214" t="n"/>
      <c r="Q64" s="214" t="n"/>
      <c r="R64" s="703">
        <f>IFERROR((Q64/G64)^(1/COUNT($G$4:$Q$4))-1,"")</f>
        <v/>
      </c>
    </row>
    <row r="65">
      <c r="B65" s="672">
        <f>+$B$9</f>
        <v/>
      </c>
      <c r="C65" s="672" t="n"/>
      <c r="D65" s="672" t="n"/>
      <c r="E65" s="672" t="n"/>
      <c r="F65" s="672" t="n"/>
      <c r="G65" s="673" t="n"/>
      <c r="H65" s="673" t="n"/>
      <c r="I65" s="673" t="n"/>
      <c r="J65" s="673" t="n"/>
      <c r="K65" s="673" t="n"/>
      <c r="L65" s="673" t="n"/>
      <c r="M65" s="672" t="n"/>
      <c r="N65" s="672" t="n"/>
      <c r="O65" s="672" t="n"/>
      <c r="P65" s="672" t="n"/>
      <c r="Q65" s="672" t="n"/>
      <c r="R65" s="704">
        <f>IFERROR((Q65/G65)^(1/COUNT($G$4:$Q$4))-1,"")</f>
        <v/>
      </c>
    </row>
    <row r="66">
      <c r="B66">
        <f>+$B$10</f>
        <v/>
      </c>
      <c r="G66" s="214" t="n"/>
      <c r="H66" s="214" t="n"/>
      <c r="I66" s="214" t="n"/>
      <c r="J66" s="214" t="n"/>
      <c r="K66" s="214" t="n"/>
      <c r="L66" s="214" t="n"/>
      <c r="M66" s="214" t="n"/>
      <c r="N66" s="214" t="n"/>
      <c r="O66" s="214" t="n"/>
      <c r="P66" s="214" t="n"/>
      <c r="Q66" s="214" t="n"/>
      <c r="R66" s="703">
        <f>IFERROR((Q66/G66)^(1/COUNT($G$4:$Q$4))-1,"")</f>
        <v/>
      </c>
    </row>
    <row r="67">
      <c r="B67" s="672">
        <f>+$B$11</f>
        <v/>
      </c>
      <c r="C67" s="672" t="n"/>
      <c r="D67" s="672" t="n"/>
      <c r="E67" s="672" t="n"/>
      <c r="F67" s="672" t="n"/>
      <c r="G67" s="673" t="n"/>
      <c r="H67" s="673" t="n"/>
      <c r="I67" s="673" t="n"/>
      <c r="J67" s="673" t="n"/>
      <c r="K67" s="673" t="n"/>
      <c r="L67" s="673" t="n"/>
      <c r="M67" s="673" t="n"/>
      <c r="N67" s="673" t="n"/>
      <c r="O67" s="673" t="n"/>
      <c r="P67" s="673" t="n"/>
      <c r="Q67" s="673" t="n"/>
      <c r="R67" s="704">
        <f>IFERROR((Q67/G67)^(1/COUNT($G$4:$Q$4))-1,"")</f>
        <v/>
      </c>
    </row>
    <row r="68">
      <c r="B68">
        <f>+$B$12</f>
        <v/>
      </c>
      <c r="G68" s="214" t="n"/>
      <c r="H68" s="214" t="n"/>
      <c r="I68" s="214" t="n"/>
      <c r="J68" s="214" t="n"/>
      <c r="K68" s="214" t="n"/>
      <c r="L68" s="214" t="n"/>
      <c r="M68" s="214" t="n"/>
      <c r="N68" s="214" t="n"/>
      <c r="O68" s="214" t="n"/>
      <c r="P68" s="214" t="n"/>
      <c r="Q68" s="214" t="n"/>
      <c r="R68" s="703">
        <f>IFERROR((Q68/G68)^(1/COUNT($G$4:$Q$4))-1,"")</f>
        <v/>
      </c>
    </row>
    <row r="69">
      <c r="B69" s="672">
        <f>+$B$13</f>
        <v/>
      </c>
      <c r="C69" s="672" t="n"/>
      <c r="D69" s="672" t="n"/>
      <c r="E69" s="672" t="n"/>
      <c r="F69" s="672" t="n"/>
      <c r="G69" s="673" t="n"/>
      <c r="H69" s="673" t="n"/>
      <c r="I69" s="673" t="n"/>
      <c r="J69" s="673" t="n"/>
      <c r="K69" s="673" t="n"/>
      <c r="L69" s="673" t="n"/>
      <c r="M69" s="673" t="n"/>
      <c r="N69" s="673" t="n"/>
      <c r="O69" s="673" t="n"/>
      <c r="P69" s="673" t="n"/>
      <c r="Q69" s="673" t="n"/>
      <c r="R69" s="704">
        <f>IFERROR((Q69/G69)^(1/COUNT($G$4:$Q$4))-1,"")</f>
        <v/>
      </c>
    </row>
    <row r="70">
      <c r="B70">
        <f>+$B$14</f>
        <v/>
      </c>
      <c r="G70" s="214" t="n"/>
      <c r="H70" s="214" t="n"/>
      <c r="I70" s="214" t="n"/>
      <c r="J70" s="214" t="n"/>
      <c r="K70" s="214" t="n"/>
      <c r="L70" s="214" t="n"/>
      <c r="M70" s="214" t="n"/>
      <c r="N70" s="214" t="n"/>
      <c r="O70" s="214" t="n"/>
      <c r="P70" s="214" t="n"/>
      <c r="Q70" s="214" t="n"/>
      <c r="R70" s="703">
        <f>IFERROR((Q70/G70)^(1/COUNT($G$4:$Q$4))-1,"")</f>
        <v/>
      </c>
    </row>
    <row r="71">
      <c r="B71" s="672">
        <f>+$B$15</f>
        <v/>
      </c>
      <c r="C71" s="672" t="n"/>
      <c r="D71" s="672" t="n"/>
      <c r="E71" s="672" t="n"/>
      <c r="F71" s="672" t="n"/>
      <c r="G71" s="673" t="n"/>
      <c r="H71" s="673" t="n"/>
      <c r="I71" s="673" t="n"/>
      <c r="J71" s="673" t="n"/>
      <c r="K71" s="673" t="n"/>
      <c r="L71" s="673" t="n"/>
      <c r="M71" s="673" t="n"/>
      <c r="N71" s="673" t="n"/>
      <c r="O71" s="673" t="n"/>
      <c r="P71" s="673" t="n"/>
      <c r="Q71" s="673" t="n"/>
      <c r="R71" s="704">
        <f>IFERROR((Q71/G71)^(1/COUNT($G$4:$Q$4))-1,"")</f>
        <v/>
      </c>
    </row>
    <row r="72">
      <c r="B72">
        <f>+$B$16</f>
        <v/>
      </c>
      <c r="G72" s="214" t="n"/>
      <c r="H72" s="214" t="n"/>
      <c r="I72" s="214" t="n"/>
      <c r="J72" s="214" t="n"/>
      <c r="K72" s="214" t="n"/>
      <c r="L72" s="214" t="n"/>
      <c r="M72" s="214" t="n"/>
      <c r="N72" s="214" t="n"/>
      <c r="O72" s="214" t="n"/>
      <c r="P72" s="214" t="n"/>
      <c r="Q72" s="214" t="n"/>
      <c r="R72" s="703">
        <f>IFERROR((Q72/G72)^(1/COUNT($G$4:$Q$4))-1,"")</f>
        <v/>
      </c>
    </row>
    <row r="73">
      <c r="G73" s="214" t="n"/>
      <c r="H73" s="214" t="n"/>
      <c r="I73" s="214" t="n"/>
      <c r="J73" s="214" t="n"/>
      <c r="K73" s="214" t="n"/>
      <c r="L73" s="214" t="n"/>
      <c r="M73" s="214" t="n"/>
      <c r="N73" s="214" t="n"/>
      <c r="O73" s="214" t="n"/>
      <c r="P73" s="214" t="n"/>
      <c r="Q73" s="214" t="n"/>
    </row>
    <row r="74" ht="15.75" customHeight="1" s="783">
      <c r="A74" t="inlineStr">
        <is>
          <t>x</t>
        </is>
      </c>
      <c r="B74" s="234" t="inlineStr">
        <is>
          <t>GHG Scope 1 and 2 Emissions</t>
        </is>
      </c>
      <c r="C74" s="56" t="n"/>
      <c r="D74" s="56" t="n"/>
      <c r="E74" s="56" t="n"/>
      <c r="F74" s="56" t="n"/>
      <c r="G74" s="235" t="n">
        <v>2014</v>
      </c>
      <c r="H74" s="235">
        <f>+G74+1</f>
        <v/>
      </c>
      <c r="I74" s="235">
        <f>+H74+1</f>
        <v/>
      </c>
      <c r="J74" s="235">
        <f>+I74+1</f>
        <v/>
      </c>
      <c r="K74" s="235">
        <f>+J74+1</f>
        <v/>
      </c>
      <c r="L74" s="235">
        <f>+K74+1</f>
        <v/>
      </c>
      <c r="M74" s="235">
        <f>+L74+1</f>
        <v/>
      </c>
      <c r="N74" s="235">
        <f>+M74+1</f>
        <v/>
      </c>
      <c r="O74" s="235">
        <f>+N74+1</f>
        <v/>
      </c>
      <c r="P74" s="235">
        <f>+O74+1</f>
        <v/>
      </c>
      <c r="Q74" s="235">
        <f>+P74+1</f>
        <v/>
      </c>
      <c r="R74" s="58">
        <f>"CAGR "&amp;$G$4&amp;" - "&amp;$Q$4</f>
        <v/>
      </c>
    </row>
    <row r="75" ht="3.95" customHeight="1" s="783">
      <c r="B75" s="53" t="n"/>
      <c r="C75" s="53" t="n"/>
      <c r="D75" s="53" t="n"/>
      <c r="E75" s="53" t="n"/>
      <c r="F75" s="53" t="n"/>
      <c r="G75" s="236" t="n"/>
      <c r="H75" s="236" t="n"/>
      <c r="I75" s="236" t="n"/>
      <c r="J75" s="236" t="n"/>
      <c r="K75" s="236" t="n"/>
      <c r="L75" s="236" t="n"/>
      <c r="M75" s="236" t="n"/>
      <c r="N75" s="236" t="n"/>
      <c r="O75" s="236" t="n"/>
      <c r="P75" s="236" t="n"/>
      <c r="Q75" s="236" t="n"/>
      <c r="R75" s="60" t="n"/>
    </row>
    <row r="76">
      <c r="B76">
        <f>+$B$6</f>
        <v/>
      </c>
      <c r="G76" s="10">
        <f>+G6+G20</f>
        <v/>
      </c>
      <c r="H76" s="10">
        <f>+H6+H20</f>
        <v/>
      </c>
      <c r="I76" s="10">
        <f>+I6+I20</f>
        <v/>
      </c>
      <c r="J76" s="10">
        <f>+J6+J20</f>
        <v/>
      </c>
      <c r="K76" s="10">
        <f>+K6+K20</f>
        <v/>
      </c>
      <c r="L76" s="10">
        <f>+L6+L20</f>
        <v/>
      </c>
      <c r="M76" s="10">
        <f>+M6+M20</f>
        <v/>
      </c>
      <c r="N76" s="10">
        <f>+N6+N20</f>
        <v/>
      </c>
      <c r="O76" s="10">
        <f>+O6+O20</f>
        <v/>
      </c>
      <c r="P76" s="10">
        <f>+P6+P20</f>
        <v/>
      </c>
      <c r="Q76" s="10">
        <f>+Q6+Q20</f>
        <v/>
      </c>
      <c r="R76" s="703">
        <f>IFERROR((Q76/G76)^(1/COUNT($G$4:$Q$4))-1,"")</f>
        <v/>
      </c>
    </row>
    <row r="77">
      <c r="B77" s="672">
        <f>+$B$7</f>
        <v/>
      </c>
      <c r="C77" s="672" t="n"/>
      <c r="D77" s="672" t="n"/>
      <c r="E77" s="672" t="n"/>
      <c r="F77" s="672" t="n"/>
      <c r="G77" s="701">
        <f>+G7+G21</f>
        <v/>
      </c>
      <c r="H77" s="701">
        <f>+H7+H21</f>
        <v/>
      </c>
      <c r="I77" s="701">
        <f>+I7+I21</f>
        <v/>
      </c>
      <c r="J77" s="701">
        <f>+J7+J21</f>
        <v/>
      </c>
      <c r="K77" s="701">
        <f>+K7+K21</f>
        <v/>
      </c>
      <c r="L77" s="701">
        <f>+L7+L21</f>
        <v/>
      </c>
      <c r="M77" s="701">
        <f>+M7+M21</f>
        <v/>
      </c>
      <c r="N77" s="701">
        <f>+N7+N21</f>
        <v/>
      </c>
      <c r="O77" s="701">
        <f>+O7+O21</f>
        <v/>
      </c>
      <c r="P77" s="701">
        <f>+P7+P21</f>
        <v/>
      </c>
      <c r="Q77" s="701">
        <f>+Q7+Q21</f>
        <v/>
      </c>
      <c r="R77" s="704">
        <f>IFERROR((Q77/G77)^(1/COUNT($G$4:$Q$4))-1,"")</f>
        <v/>
      </c>
    </row>
    <row r="78">
      <c r="B78">
        <f>+$B$8</f>
        <v/>
      </c>
      <c r="G78" s="769">
        <f>+G8+G22</f>
        <v/>
      </c>
      <c r="H78" s="10">
        <f>+H8+H22</f>
        <v/>
      </c>
      <c r="I78" s="10">
        <f>+I8+I22</f>
        <v/>
      </c>
      <c r="J78" s="10">
        <f>+J8+J22</f>
        <v/>
      </c>
      <c r="K78" s="10">
        <f>+K8+K22</f>
        <v/>
      </c>
      <c r="L78" s="10">
        <f>+L8+L22</f>
        <v/>
      </c>
      <c r="M78" s="10">
        <f>+M8+M22</f>
        <v/>
      </c>
      <c r="N78" s="10">
        <f>+N8+N22</f>
        <v/>
      </c>
      <c r="O78" s="10">
        <f>+O8+O22</f>
        <v/>
      </c>
      <c r="P78" s="10">
        <f>+P8+P22</f>
        <v/>
      </c>
      <c r="Q78" s="10">
        <f>+Q8+Q22</f>
        <v/>
      </c>
      <c r="R78" s="703">
        <f>IFERROR((Q78/G78)^(1/COUNT($G$4:$Q$4))-1,"")</f>
        <v/>
      </c>
    </row>
    <row r="79">
      <c r="B79" s="672">
        <f>+$B$9</f>
        <v/>
      </c>
      <c r="C79" s="672" t="n"/>
      <c r="D79" s="672" t="n"/>
      <c r="E79" s="672" t="n"/>
      <c r="F79" s="672" t="n"/>
      <c r="G79" s="701">
        <f>+G9+G23</f>
        <v/>
      </c>
      <c r="H79" s="701">
        <f>+H9+H23</f>
        <v/>
      </c>
      <c r="I79" s="701">
        <f>+I9+I23</f>
        <v/>
      </c>
      <c r="J79" s="701">
        <f>+J9+J23</f>
        <v/>
      </c>
      <c r="K79" s="701">
        <f>+K9+K23</f>
        <v/>
      </c>
      <c r="L79" s="701">
        <f>+L9+L23</f>
        <v/>
      </c>
      <c r="M79" s="701">
        <f>+M9+M23</f>
        <v/>
      </c>
      <c r="N79" s="701">
        <f>+N9+N23</f>
        <v/>
      </c>
      <c r="O79" s="701">
        <f>+O9+O23</f>
        <v/>
      </c>
      <c r="P79" s="701">
        <f>+P9+P23</f>
        <v/>
      </c>
      <c r="Q79" s="701">
        <f>+Q9+Q23</f>
        <v/>
      </c>
      <c r="R79" s="704">
        <f>IFERROR((Q79/G79)^(1/COUNT($G$4:$Q$4))-1,"")</f>
        <v/>
      </c>
    </row>
    <row r="80">
      <c r="B80">
        <f>+$B$10</f>
        <v/>
      </c>
      <c r="G80" s="10">
        <f>+G10+G24</f>
        <v/>
      </c>
      <c r="H80" s="10">
        <f>+H10+H24</f>
        <v/>
      </c>
      <c r="I80" s="10">
        <f>+I10+I24</f>
        <v/>
      </c>
      <c r="J80" s="10">
        <f>+J10+J24</f>
        <v/>
      </c>
      <c r="K80" s="10">
        <f>+K10+K24</f>
        <v/>
      </c>
      <c r="L80" s="10">
        <f>+L10+L24</f>
        <v/>
      </c>
      <c r="M80" s="10">
        <f>+M10+M24</f>
        <v/>
      </c>
      <c r="N80" s="10">
        <f>+N10+N24</f>
        <v/>
      </c>
      <c r="O80" s="10">
        <f>+O10+O24</f>
        <v/>
      </c>
      <c r="P80" s="10">
        <f>+P10+P24</f>
        <v/>
      </c>
      <c r="Q80" s="10">
        <f>+Q10+Q24</f>
        <v/>
      </c>
      <c r="R80" s="703">
        <f>IFERROR((Q80/G80)^(1/COUNT($G$4:$Q$4))-1,"")</f>
        <v/>
      </c>
    </row>
    <row r="81">
      <c r="B81" s="672">
        <f>+$B$11</f>
        <v/>
      </c>
      <c r="C81" s="672" t="n"/>
      <c r="D81" s="672" t="n"/>
      <c r="E81" s="672" t="n"/>
      <c r="F81" s="672" t="n"/>
      <c r="G81" s="701">
        <f>+G11+G25</f>
        <v/>
      </c>
      <c r="H81" s="701">
        <f>+H11+H25</f>
        <v/>
      </c>
      <c r="I81" s="701">
        <f>+I11+I25</f>
        <v/>
      </c>
      <c r="J81" s="701">
        <f>+J11+J25</f>
        <v/>
      </c>
      <c r="K81" s="701">
        <f>+K11+K25</f>
        <v/>
      </c>
      <c r="L81" s="701">
        <f>+L11+L25</f>
        <v/>
      </c>
      <c r="M81" s="701">
        <f>+M11+M25</f>
        <v/>
      </c>
      <c r="N81" s="701">
        <f>+N11+N25</f>
        <v/>
      </c>
      <c r="O81" s="701">
        <f>+O11+O25</f>
        <v/>
      </c>
      <c r="P81" s="701">
        <f>+P11+P25</f>
        <v/>
      </c>
      <c r="Q81" s="701">
        <f>+Q11+Q25</f>
        <v/>
      </c>
      <c r="R81" s="704">
        <f>IFERROR((Q81/G81)^(1/COUNT($G$4:$Q$4))-1,"")</f>
        <v/>
      </c>
    </row>
    <row r="82">
      <c r="B82">
        <f>+$B$12</f>
        <v/>
      </c>
      <c r="G82" s="10">
        <f>+G12+G26</f>
        <v/>
      </c>
      <c r="H82" s="10">
        <f>+H12+H26</f>
        <v/>
      </c>
      <c r="I82" s="10">
        <f>+I12+I26</f>
        <v/>
      </c>
      <c r="J82" s="10">
        <f>+J12+J26</f>
        <v/>
      </c>
      <c r="K82" s="10">
        <f>+K12+K26</f>
        <v/>
      </c>
      <c r="L82" s="10">
        <f>+L12+L26</f>
        <v/>
      </c>
      <c r="M82" s="10">
        <f>+M12+M26</f>
        <v/>
      </c>
      <c r="N82" s="10">
        <f>+N12+N26</f>
        <v/>
      </c>
      <c r="O82" s="10">
        <f>+O12+O26</f>
        <v/>
      </c>
      <c r="P82" s="10">
        <f>+P12+P26</f>
        <v/>
      </c>
      <c r="Q82" s="10">
        <f>+Q12+Q26</f>
        <v/>
      </c>
      <c r="R82" s="703">
        <f>IFERROR((Q82/G82)^(1/COUNT($G$4:$Q$4))-1,"")</f>
        <v/>
      </c>
    </row>
    <row r="83">
      <c r="B83" s="672">
        <f>+$B$13</f>
        <v/>
      </c>
      <c r="C83" s="672" t="n"/>
      <c r="D83" s="672" t="n"/>
      <c r="E83" s="672" t="n"/>
      <c r="F83" s="672" t="n"/>
      <c r="G83" s="701">
        <f>+G13+G27</f>
        <v/>
      </c>
      <c r="H83" s="701">
        <f>+H13+H27</f>
        <v/>
      </c>
      <c r="I83" s="701">
        <f>+I13+I27</f>
        <v/>
      </c>
      <c r="J83" s="701">
        <f>+J13+J27</f>
        <v/>
      </c>
      <c r="K83" s="701">
        <f>+K13+K27</f>
        <v/>
      </c>
      <c r="L83" s="701">
        <f>+L13+L27</f>
        <v/>
      </c>
      <c r="M83" s="701">
        <f>+M13+M27</f>
        <v/>
      </c>
      <c r="N83" s="701">
        <f>+N13+N27</f>
        <v/>
      </c>
      <c r="O83" s="701">
        <f>+O13+O27</f>
        <v/>
      </c>
      <c r="P83" s="701">
        <f>+P13+P27</f>
        <v/>
      </c>
      <c r="Q83" s="701">
        <f>+Q13+Q27</f>
        <v/>
      </c>
      <c r="R83" s="704">
        <f>IFERROR((Q83/G83)^(1/COUNT($G$4:$Q$4))-1,"")</f>
        <v/>
      </c>
    </row>
    <row r="84">
      <c r="B84">
        <f>+$B$14</f>
        <v/>
      </c>
      <c r="G84" s="10">
        <f>+G14+G28</f>
        <v/>
      </c>
      <c r="H84" s="10">
        <f>+H14+H28</f>
        <v/>
      </c>
      <c r="I84" s="10">
        <f>+I14+I28</f>
        <v/>
      </c>
      <c r="J84" s="10">
        <f>+J14+J28</f>
        <v/>
      </c>
      <c r="K84" s="10">
        <f>+K14+K28</f>
        <v/>
      </c>
      <c r="L84" s="10">
        <f>+L14+L28</f>
        <v/>
      </c>
      <c r="M84" s="10">
        <f>+M14+M28</f>
        <v/>
      </c>
      <c r="N84" s="10">
        <f>+N14+N28</f>
        <v/>
      </c>
      <c r="O84" s="10">
        <f>+O14+O28</f>
        <v/>
      </c>
      <c r="P84" s="10">
        <f>+P14+P28</f>
        <v/>
      </c>
      <c r="Q84" s="10">
        <f>+Q14+Q28</f>
        <v/>
      </c>
      <c r="R84" s="703">
        <f>IFERROR((Q84/G84)^(1/COUNT($G$4:$Q$4))-1,"")</f>
        <v/>
      </c>
    </row>
    <row r="85">
      <c r="B85" s="672">
        <f>+$B$15</f>
        <v/>
      </c>
      <c r="C85" s="672" t="n"/>
      <c r="D85" s="672" t="n"/>
      <c r="E85" s="672" t="n"/>
      <c r="F85" s="672" t="n"/>
      <c r="G85" s="701">
        <f>+G15+G29</f>
        <v/>
      </c>
      <c r="H85" s="701">
        <f>+H15+H29</f>
        <v/>
      </c>
      <c r="I85" s="701">
        <f>+I15+I29</f>
        <v/>
      </c>
      <c r="J85" s="701">
        <f>+J15+J29</f>
        <v/>
      </c>
      <c r="K85" s="701">
        <f>+K15+K29</f>
        <v/>
      </c>
      <c r="L85" s="701">
        <f>+L15+L29</f>
        <v/>
      </c>
      <c r="M85" s="701">
        <f>+M15+M29</f>
        <v/>
      </c>
      <c r="N85" s="701">
        <f>+N15+N29</f>
        <v/>
      </c>
      <c r="O85" s="701">
        <f>+O15+O29</f>
        <v/>
      </c>
      <c r="P85" s="701">
        <f>+P15+P29</f>
        <v/>
      </c>
      <c r="Q85" s="701">
        <f>+Q15+Q29</f>
        <v/>
      </c>
      <c r="R85" s="704">
        <f>IFERROR((Q85/G85)^(1/COUNT($G$4:$Q$4))-1,"")</f>
        <v/>
      </c>
    </row>
    <row r="86">
      <c r="B86">
        <f>+$B$16</f>
        <v/>
      </c>
      <c r="G86" s="10">
        <f>+G16+G30</f>
        <v/>
      </c>
      <c r="H86" s="10">
        <f>+H16+H30</f>
        <v/>
      </c>
      <c r="I86" s="10">
        <f>+I16+I30</f>
        <v/>
      </c>
      <c r="J86" s="10">
        <f>+J16+J30</f>
        <v/>
      </c>
      <c r="K86" s="10">
        <f>+K16+K30</f>
        <v/>
      </c>
      <c r="L86" s="10">
        <f>+L16+L30</f>
        <v/>
      </c>
      <c r="M86" s="10">
        <f>+M16+M30</f>
        <v/>
      </c>
      <c r="N86" s="10">
        <f>+N16+N30</f>
        <v/>
      </c>
      <c r="O86" s="10">
        <f>+O16+O30</f>
        <v/>
      </c>
      <c r="P86" s="10">
        <f>+P16+P30</f>
        <v/>
      </c>
      <c r="Q86" s="10">
        <f>+Q16+Q30</f>
        <v/>
      </c>
      <c r="R86" s="703">
        <f>IFERROR((Q86/G86)^(1/COUNT($G$4:$Q$4))-1,"")</f>
        <v/>
      </c>
    </row>
  </sheetData>
  <pageMargins left="0.7" right="0.7" top="0.75" bottom="0.75" header="0.3" footer="0.3"/>
</worksheet>
</file>

<file path=xl/worksheets/sheet7.xml><?xml version="1.0" encoding="utf-8"?>
<worksheet xmlns="http://schemas.openxmlformats.org/spreadsheetml/2006/main">
  <sheetPr>
    <tabColor theme="8" tint="-0.499984740745262"/>
    <outlinePr summaryBelow="1" summaryRight="1"/>
    <pageSetUpPr/>
  </sheetPr>
  <dimension ref="A2:AW1773"/>
  <sheetViews>
    <sheetView showGridLines="0" zoomScale="106" zoomScaleNormal="106" workbookViewId="0">
      <selection activeCell="R5" sqref="R5"/>
    </sheetView>
  </sheetViews>
  <sheetFormatPr baseColWidth="8" defaultColWidth="9" defaultRowHeight="15" customHeight="1"/>
  <cols>
    <col width="2.375" customWidth="1" style="132" min="1" max="1"/>
    <col width="45" customWidth="1" style="132" min="2" max="2"/>
    <col width="14" customWidth="1" style="132" min="3" max="3"/>
    <col width="3.5" customWidth="1" style="132" min="4" max="4"/>
    <col width="13.375" customWidth="1" style="132" min="5" max="7"/>
    <col width="12.875" customWidth="1" style="132" min="8" max="17"/>
    <col width="11.75" customWidth="1" style="132" min="18" max="18"/>
    <col width="29.25" customWidth="1" style="132" min="19" max="19"/>
    <col width="16.625" customWidth="1" style="132" min="20" max="20"/>
    <col hidden="1" width="32.125" customWidth="1" style="132" min="21" max="21"/>
    <col hidden="1" width="11.125" customWidth="1" style="132" min="22" max="22"/>
    <col hidden="1" width="9" customWidth="1" style="132" min="23" max="35"/>
    <col width="9" customWidth="1" style="132" min="36" max="37"/>
    <col width="8.625" customWidth="1" style="132" min="38" max="38"/>
    <col width="2.625" customWidth="1" style="132" min="39" max="39"/>
    <col width="9" customWidth="1" style="132" min="40" max="16384"/>
  </cols>
  <sheetData>
    <row r="2" ht="20.1" customFormat="1" customHeight="1" s="41">
      <c r="B2" s="40" t="inlineStr">
        <is>
          <t>DCF</t>
        </is>
      </c>
    </row>
    <row r="4" ht="15.75" customHeight="1" s="783">
      <c r="A4" s="132" t="inlineStr">
        <is>
          <t>x</t>
        </is>
      </c>
      <c r="B4" s="52" t="inlineStr">
        <is>
          <t>Key Assumptions</t>
        </is>
      </c>
      <c r="C4" s="56" t="n"/>
      <c r="D4" s="56" t="n"/>
      <c r="E4" s="56" t="n"/>
      <c r="F4" s="56" t="n"/>
      <c r="G4" s="56" t="n"/>
      <c r="H4" s="56" t="n"/>
      <c r="I4" s="56" t="n"/>
      <c r="J4" s="56" t="n"/>
      <c r="K4" s="56" t="n"/>
      <c r="L4" s="56" t="n"/>
      <c r="M4" s="56" t="n"/>
      <c r="N4" s="56" t="n"/>
      <c r="O4" s="56" t="n"/>
      <c r="P4" s="56" t="n"/>
      <c r="Q4" s="56" t="n"/>
      <c r="R4" s="779" t="n"/>
      <c r="S4" s="414" t="inlineStr">
        <is>
          <t>&lt;- The ticker {AAPL US}</t>
        </is>
      </c>
      <c r="T4" s="133" t="n"/>
      <c r="U4" s="133" t="n"/>
    </row>
    <row r="5" ht="3.95" customHeight="1" s="783">
      <c r="B5" s="134" t="n"/>
      <c r="C5" s="135" t="n"/>
      <c r="D5" s="135" t="n"/>
      <c r="E5" s="135" t="n"/>
      <c r="F5" s="135" t="n"/>
      <c r="G5" s="135" t="n"/>
      <c r="H5" s="135" t="n"/>
      <c r="I5" s="135" t="n"/>
      <c r="J5" s="135" t="n"/>
      <c r="K5" s="135" t="n"/>
      <c r="L5" s="135" t="n"/>
      <c r="M5" s="135" t="n"/>
      <c r="N5" s="135" t="n"/>
      <c r="O5" s="135" t="n"/>
      <c r="P5" s="135" t="n"/>
      <c r="Q5" s="135" t="n"/>
      <c r="S5" s="133" t="n"/>
      <c r="T5" s="133" t="n"/>
      <c r="U5" s="133" t="n"/>
    </row>
    <row r="6" ht="15.75" customHeight="1" s="783">
      <c r="B6" s="136" t="inlineStr">
        <is>
          <t>Switches</t>
        </is>
      </c>
      <c r="C6" s="137" t="n"/>
      <c r="D6" s="137" t="n"/>
      <c r="E6" s="136" t="inlineStr">
        <is>
          <t>Bear Case</t>
        </is>
      </c>
      <c r="F6" s="137" t="n"/>
      <c r="G6" s="137" t="n"/>
      <c r="H6" s="136" t="inlineStr">
        <is>
          <t>Base Case</t>
        </is>
      </c>
      <c r="J6" s="137" t="n"/>
      <c r="K6" s="136" t="inlineStr">
        <is>
          <t>Bull Case</t>
        </is>
      </c>
      <c r="L6" s="137" t="n"/>
      <c r="P6" s="137" t="n"/>
      <c r="Q6" s="137" t="n"/>
      <c r="X6" s="132" t="inlineStr">
        <is>
          <t>FCFF</t>
        </is>
      </c>
      <c r="Y6" s="132" t="inlineStr">
        <is>
          <t>FCFE</t>
        </is>
      </c>
      <c r="Z6" s="132" t="inlineStr">
        <is>
          <t>Tax Shield</t>
        </is>
      </c>
      <c r="AA6" s="132" t="inlineStr">
        <is>
          <t>Total Payout</t>
        </is>
      </c>
      <c r="AB6" s="132" t="inlineStr">
        <is>
          <t>NOPAT</t>
        </is>
      </c>
      <c r="AC6" s="132" t="inlineStr">
        <is>
          <t>Debt Borrowing</t>
        </is>
      </c>
      <c r="AD6" s="132" t="inlineStr">
        <is>
          <t>Cash Balance</t>
        </is>
      </c>
      <c r="AE6" s="132" t="inlineStr">
        <is>
          <t>Total Assets</t>
        </is>
      </c>
      <c r="AF6" s="132" t="inlineStr">
        <is>
          <t>Total Liabilities</t>
        </is>
      </c>
      <c r="AG6" s="132" t="inlineStr">
        <is>
          <t>Shareholder's Equity</t>
        </is>
      </c>
      <c r="AH6" s="132" t="inlineStr">
        <is>
          <t>Current Liabilities</t>
        </is>
      </c>
      <c r="AI6" s="132" t="inlineStr">
        <is>
          <t>Current Assets</t>
        </is>
      </c>
    </row>
    <row r="7">
      <c r="B7" s="137" t="inlineStr">
        <is>
          <t>Revenue</t>
        </is>
      </c>
      <c r="C7" s="618" t="n"/>
      <c r="D7" s="137" t="n"/>
      <c r="E7" s="132" t="inlineStr">
        <is>
          <t>Revenue</t>
        </is>
      </c>
      <c r="F7" s="622" t="n"/>
      <c r="H7" s="132" t="inlineStr">
        <is>
          <t>Revenue</t>
        </is>
      </c>
      <c r="K7" s="132" t="inlineStr">
        <is>
          <t>Revenue</t>
        </is>
      </c>
      <c r="L7" s="622" t="n"/>
      <c r="P7" s="137" t="n"/>
      <c r="S7" s="132" t="inlineStr">
        <is>
          <t>Most Recent Fiscal Year</t>
        </is>
      </c>
      <c r="T7" s="364" t="n"/>
      <c r="W7" s="132" t="n">
        <v>2022</v>
      </c>
      <c r="X7" s="901">
        <f>+E192</f>
        <v/>
      </c>
      <c r="Y7" s="901">
        <f>+E244</f>
        <v/>
      </c>
      <c r="Z7" s="901">
        <f>+H216</f>
        <v/>
      </c>
      <c r="AA7" s="901">
        <f>+E257</f>
        <v/>
      </c>
      <c r="AB7" s="901">
        <f>+E182</f>
        <v/>
      </c>
      <c r="AC7" s="222">
        <f>+E242</f>
        <v/>
      </c>
      <c r="AD7" s="901">
        <f>+E88</f>
        <v/>
      </c>
      <c r="AH7" s="901" t="n"/>
    </row>
    <row r="8">
      <c r="B8" s="137" t="inlineStr">
        <is>
          <t>EBIT</t>
        </is>
      </c>
      <c r="C8" s="618" t="n"/>
      <c r="D8" s="137" t="n"/>
      <c r="E8" s="132" t="inlineStr">
        <is>
          <t>EBIT</t>
        </is>
      </c>
      <c r="F8" s="622" t="n"/>
      <c r="H8" s="132" t="inlineStr">
        <is>
          <t>EBIT</t>
        </is>
      </c>
      <c r="K8" s="132" t="inlineStr">
        <is>
          <t>EBIT</t>
        </is>
      </c>
      <c r="L8" s="622" t="n"/>
      <c r="P8" s="137" t="n"/>
      <c r="S8" s="132" t="inlineStr">
        <is>
          <t>End of Fiscal Year</t>
        </is>
      </c>
      <c r="T8" s="365" t="n"/>
      <c r="W8" s="132">
        <f>+W7+1</f>
        <v/>
      </c>
      <c r="X8" s="901">
        <f>+F192</f>
        <v/>
      </c>
      <c r="Y8" s="901">
        <f>+F244</f>
        <v/>
      </c>
      <c r="Z8" s="901">
        <f>+I216</f>
        <v/>
      </c>
      <c r="AA8" s="901">
        <f>+F257</f>
        <v/>
      </c>
      <c r="AB8" s="901">
        <f>+F182</f>
        <v/>
      </c>
      <c r="AC8" s="222">
        <f>+F242</f>
        <v/>
      </c>
      <c r="AD8" s="901">
        <f>+F88</f>
        <v/>
      </c>
    </row>
    <row r="9">
      <c r="B9" s="137" t="inlineStr">
        <is>
          <t>WACC</t>
        </is>
      </c>
      <c r="C9" s="618" t="n"/>
      <c r="D9" s="137" t="n"/>
      <c r="E9" s="137" t="inlineStr">
        <is>
          <t>WACC</t>
        </is>
      </c>
      <c r="F9" s="620">
        <f>IFERROR(+I9+0.5%,"")</f>
        <v/>
      </c>
      <c r="H9" s="137" t="inlineStr">
        <is>
          <t>WACC</t>
        </is>
      </c>
      <c r="I9" s="621">
        <f>WACC!G25</f>
        <v/>
      </c>
      <c r="J9" s="137" t="n"/>
      <c r="K9" s="137" t="inlineStr">
        <is>
          <t>WACC</t>
        </is>
      </c>
      <c r="L9" s="623">
        <f>IFERROR(I9-0.5%,"")</f>
        <v/>
      </c>
      <c r="M9" s="137" t="n"/>
      <c r="P9" s="137" t="n"/>
      <c r="Q9" s="137" t="n"/>
      <c r="S9" s="132" t="inlineStr">
        <is>
          <t>Most Recent Quarter End Date</t>
        </is>
      </c>
      <c r="T9" s="365" t="n"/>
      <c r="W9" s="132">
        <f>+W8+1</f>
        <v/>
      </c>
      <c r="X9" s="901">
        <f>+G192</f>
        <v/>
      </c>
      <c r="Y9" s="901">
        <f>+G244</f>
        <v/>
      </c>
      <c r="Z9" s="901">
        <f>+J216</f>
        <v/>
      </c>
      <c r="AA9" s="901">
        <f>+G257</f>
        <v/>
      </c>
      <c r="AB9" s="901">
        <f>+G182</f>
        <v/>
      </c>
      <c r="AC9" s="222">
        <f>+G242</f>
        <v/>
      </c>
      <c r="AD9" s="901">
        <f>+G88</f>
        <v/>
      </c>
      <c r="AE9" s="222">
        <f>Inputs!Q48</f>
        <v/>
      </c>
      <c r="AF9" s="222">
        <f>+Inputs!Q60</f>
        <v/>
      </c>
      <c r="AG9" s="222">
        <f>+AE9-AF9</f>
        <v/>
      </c>
      <c r="AH9" s="222">
        <f>+Inputs!Q54</f>
        <v/>
      </c>
      <c r="AI9" s="222">
        <f>+Inputs!Q38</f>
        <v/>
      </c>
    </row>
    <row r="10">
      <c r="B10" s="137" t="inlineStr">
        <is>
          <t>TGR</t>
        </is>
      </c>
      <c r="C10" s="618" t="n"/>
      <c r="D10" s="137" t="n"/>
      <c r="E10" s="137" t="inlineStr">
        <is>
          <t>TGR</t>
        </is>
      </c>
      <c r="F10" s="620">
        <f>+I10-0.5%</f>
        <v/>
      </c>
      <c r="H10" s="137" t="inlineStr">
        <is>
          <t>TGR</t>
        </is>
      </c>
      <c r="I10" s="622" t="n"/>
      <c r="J10" s="137" t="n"/>
      <c r="K10" s="137" t="inlineStr">
        <is>
          <t>TGR</t>
        </is>
      </c>
      <c r="L10" s="620">
        <f>+I10+0.5%</f>
        <v/>
      </c>
      <c r="M10" s="137" t="n"/>
      <c r="P10" s="137" t="n"/>
      <c r="S10" s="132" t="inlineStr">
        <is>
          <t>Valuation Date</t>
        </is>
      </c>
      <c r="T10" s="365" t="n"/>
      <c r="W10" s="132">
        <f>+W9+1</f>
        <v/>
      </c>
      <c r="X10" s="901">
        <f>+H192</f>
        <v/>
      </c>
      <c r="Y10" s="901">
        <f>+H244</f>
        <v/>
      </c>
      <c r="Z10" s="901">
        <f>+K216</f>
        <v/>
      </c>
      <c r="AA10" s="901">
        <f>+H257</f>
        <v/>
      </c>
      <c r="AB10" s="901">
        <f>+H182</f>
        <v/>
      </c>
      <c r="AC10" s="222">
        <f>+H242</f>
        <v/>
      </c>
      <c r="AD10" s="901">
        <f>+H88</f>
        <v/>
      </c>
      <c r="AE10" s="222">
        <f>Inputs!Q48+DCF!H88+DCF!H90+DCF!H93+DCF!H96+DCF!H99+DCF!H105-DCF!G88-DCF!G90-DCF!G93-DCF!G96-DCF!G99-DCF!G105</f>
        <v/>
      </c>
      <c r="AF10" s="222">
        <f>+Inputs!Q60+(DCF!H110+DCF!H113+DCF!H116+DCF!H118*DCF!G110*DCF!G113*DCF!G116*DCF!G118)</f>
        <v/>
      </c>
      <c r="AG10" s="222">
        <f>+AE10-AF10</f>
        <v/>
      </c>
      <c r="AH10" s="901">
        <f>+AH9+H110+H113-G110-G113</f>
        <v/>
      </c>
      <c r="AI10" s="901">
        <f>+H88+H90+H93+H96</f>
        <v/>
      </c>
    </row>
    <row r="11" ht="9.949999999999999" customHeight="1" s="783">
      <c r="B11" s="137" t="n"/>
      <c r="C11" s="137" t="n"/>
      <c r="D11" s="137" t="n"/>
      <c r="E11" s="137" t="n"/>
      <c r="G11" s="137" t="n"/>
      <c r="K11" s="137" t="n"/>
      <c r="M11" s="137" t="n"/>
      <c r="P11" s="137" t="n"/>
      <c r="W11" s="132">
        <f>+W10+1</f>
        <v/>
      </c>
      <c r="X11" s="901">
        <f>+I192</f>
        <v/>
      </c>
      <c r="Y11" s="901">
        <f>+I244</f>
        <v/>
      </c>
      <c r="Z11" s="901">
        <f>+L216</f>
        <v/>
      </c>
      <c r="AA11" s="901">
        <f>+I257</f>
        <v/>
      </c>
      <c r="AB11" s="901">
        <f>+I182</f>
        <v/>
      </c>
      <c r="AC11" s="222">
        <f>+I242</f>
        <v/>
      </c>
      <c r="AD11" s="901">
        <f>+I88</f>
        <v/>
      </c>
      <c r="AE11" s="222">
        <f>AE10+DCF!I88+DCF!I90+DCF!I93+DCF!I96+DCF!I99+DCF!I105-DCF!H88-DCF!H90-DCF!H93-DCF!H96-DCF!H99-DCF!H105</f>
        <v/>
      </c>
      <c r="AF11" s="222">
        <f>AF10+(DCF!I110+DCF!I113+DCF!I116+DCF!I118*DCF!H110*DCF!H113*DCF!H116*DCF!H118)</f>
        <v/>
      </c>
      <c r="AG11" s="222">
        <f>+AE11-AF11</f>
        <v/>
      </c>
      <c r="AH11" s="901">
        <f>+AH10+I110+I113-H110-H113</f>
        <v/>
      </c>
      <c r="AI11" s="901">
        <f>+I88+I90+I93+I96</f>
        <v/>
      </c>
      <c r="AJ11" s="901" t="n"/>
    </row>
    <row r="12" ht="13.5" customHeight="1" s="783">
      <c r="B12" s="137" t="inlineStr">
        <is>
          <t>WACC</t>
        </is>
      </c>
      <c r="C12" s="619">
        <f>CHOOSE(C9,F9,I9,L9)</f>
        <v/>
      </c>
      <c r="D12" s="137" t="n"/>
      <c r="E12" s="137" t="n"/>
      <c r="G12" s="137" t="n"/>
      <c r="K12" s="137" t="n"/>
      <c r="P12" s="137" t="n"/>
      <c r="S12" s="138" t="n"/>
      <c r="T12" s="139" t="n"/>
      <c r="W12" s="132">
        <f>+W11+1</f>
        <v/>
      </c>
      <c r="X12" s="901">
        <f>+J192</f>
        <v/>
      </c>
      <c r="Y12" s="901">
        <f>+J244</f>
        <v/>
      </c>
      <c r="Z12" s="901">
        <f>+M216</f>
        <v/>
      </c>
      <c r="AA12" s="901">
        <f>+J257</f>
        <v/>
      </c>
      <c r="AB12" s="901">
        <f>+J182</f>
        <v/>
      </c>
      <c r="AC12" s="222">
        <f>+J242</f>
        <v/>
      </c>
      <c r="AD12" s="901">
        <f>+J88</f>
        <v/>
      </c>
    </row>
    <row r="13">
      <c r="B13" s="137" t="inlineStr">
        <is>
          <t>TGR</t>
        </is>
      </c>
      <c r="C13" s="619">
        <f>CHOOSE(C10,F10,I10,L10)</f>
        <v/>
      </c>
      <c r="D13" s="137" t="n"/>
      <c r="E13" s="137" t="n"/>
      <c r="G13" s="174" t="n"/>
      <c r="H13" s="137" t="n"/>
      <c r="I13" s="137" t="n"/>
      <c r="J13" s="137" t="n"/>
      <c r="K13" s="137" t="n"/>
      <c r="L13" s="137" t="n"/>
      <c r="M13" s="137" t="n"/>
      <c r="O13" s="137" t="n"/>
      <c r="P13" s="137" t="n"/>
      <c r="Q13" s="137" t="n"/>
      <c r="R13" s="137" t="n"/>
      <c r="W13" s="132">
        <f>+W12+1</f>
        <v/>
      </c>
      <c r="X13" s="901">
        <f>+K192</f>
        <v/>
      </c>
      <c r="Y13" s="901">
        <f>+K244</f>
        <v/>
      </c>
      <c r="Z13" s="901">
        <f>+N216</f>
        <v/>
      </c>
      <c r="AA13" s="901">
        <f>+K257</f>
        <v/>
      </c>
      <c r="AB13" s="901">
        <f>+K182</f>
        <v/>
      </c>
      <c r="AC13" s="222">
        <f>+K242</f>
        <v/>
      </c>
      <c r="AD13" s="901">
        <f>+K88</f>
        <v/>
      </c>
    </row>
    <row r="14">
      <c r="B14" s="137" t="n"/>
      <c r="C14" s="141" t="n"/>
      <c r="D14" s="137" t="inlineStr">
        <is>
          <t> </t>
        </is>
      </c>
      <c r="E14" s="142" t="n"/>
      <c r="F14" s="142" t="n"/>
      <c r="G14" s="142" t="n"/>
      <c r="H14" s="137" t="n"/>
      <c r="I14" s="137" t="n"/>
      <c r="J14" s="137" t="n"/>
      <c r="K14" s="137" t="n"/>
      <c r="L14" s="137" t="n"/>
      <c r="M14" s="137" t="n"/>
      <c r="O14" s="137" t="n"/>
      <c r="P14" s="137" t="n"/>
      <c r="Q14" s="137" t="n"/>
      <c r="R14" s="137" t="n"/>
      <c r="W14" s="132">
        <f>+W13+1</f>
        <v/>
      </c>
      <c r="X14" s="901">
        <f>+L192</f>
        <v/>
      </c>
      <c r="Y14" s="901">
        <f>+L244</f>
        <v/>
      </c>
      <c r="Z14" s="901">
        <f>+O216</f>
        <v/>
      </c>
      <c r="AA14" s="901">
        <f>+L257</f>
        <v/>
      </c>
      <c r="AB14" s="901">
        <f>+L182</f>
        <v/>
      </c>
      <c r="AC14" s="222">
        <f>+L242</f>
        <v/>
      </c>
      <c r="AD14" s="901">
        <f>+L88</f>
        <v/>
      </c>
    </row>
    <row r="15" ht="15.75" customHeight="1" s="783">
      <c r="A15" s="132" t="inlineStr">
        <is>
          <t>x</t>
        </is>
      </c>
      <c r="B15" s="52" t="inlineStr">
        <is>
          <t>Operating Assumptions</t>
        </is>
      </c>
      <c r="C15" s="56" t="n"/>
      <c r="D15" s="56" t="n"/>
      <c r="E15" s="902" t="n">
        <v>2022</v>
      </c>
      <c r="F15" s="902">
        <f>+E15+1</f>
        <v/>
      </c>
      <c r="G15" s="903">
        <f>+F15+1</f>
        <v/>
      </c>
      <c r="H15" s="855">
        <f>+G15+1</f>
        <v/>
      </c>
      <c r="I15" s="855">
        <f>+H15+1</f>
        <v/>
      </c>
      <c r="J15" s="855">
        <f>+I15+1</f>
        <v/>
      </c>
      <c r="K15" s="855">
        <f>+J15+1</f>
        <v/>
      </c>
      <c r="L15" s="855">
        <f>+K15+1</f>
        <v/>
      </c>
      <c r="M15" s="855">
        <f>+L15+1</f>
        <v/>
      </c>
      <c r="N15" s="855">
        <f>+M15+1</f>
        <v/>
      </c>
      <c r="O15" s="855">
        <f>+N15+1</f>
        <v/>
      </c>
      <c r="P15" s="855">
        <f>+O15+1</f>
        <v/>
      </c>
      <c r="Q15" s="855">
        <f>+P15+1</f>
        <v/>
      </c>
      <c r="R15" s="137" t="n"/>
    </row>
    <row r="16" ht="3.75" customHeight="1" s="783">
      <c r="B16" s="70" t="n"/>
      <c r="C16" s="70" t="n"/>
      <c r="D16" s="70" t="n"/>
      <c r="E16" s="70" t="n"/>
      <c r="F16" s="70" t="n"/>
      <c r="G16" s="145" t="n"/>
      <c r="H16" s="70" t="n"/>
      <c r="I16" s="70" t="n"/>
      <c r="J16" s="70" t="n"/>
      <c r="K16" s="70" t="n"/>
      <c r="L16" s="70" t="n"/>
      <c r="M16" s="70" t="n"/>
      <c r="N16" s="70" t="n"/>
      <c r="O16" s="70" t="n"/>
      <c r="P16" s="70" t="n"/>
      <c r="Q16" s="70" t="n"/>
      <c r="R16" s="137" t="n"/>
    </row>
    <row r="17">
      <c r="B17" s="137" t="inlineStr">
        <is>
          <t>Number of Locations (Beginning)</t>
        </is>
      </c>
      <c r="C17" s="141" t="n"/>
      <c r="D17" s="137" t="n"/>
      <c r="E17" s="146" t="n"/>
      <c r="F17" s="146" t="n"/>
      <c r="G17" s="147" t="n"/>
      <c r="H17" s="148" t="n"/>
      <c r="I17" s="148" t="n"/>
      <c r="J17" s="148" t="n"/>
      <c r="K17" s="148" t="n"/>
      <c r="L17" s="148" t="n"/>
      <c r="M17" s="148" t="n"/>
      <c r="N17" s="148" t="n"/>
      <c r="O17" s="148" t="n"/>
      <c r="P17" s="148" t="n"/>
      <c r="Q17" s="148" t="n"/>
      <c r="R17" s="137" t="n"/>
    </row>
    <row r="18">
      <c r="B18" s="137" t="inlineStr">
        <is>
          <t>Net Locations Opened/Acquired</t>
        </is>
      </c>
      <c r="C18" s="141" t="n"/>
      <c r="D18" s="137" t="n"/>
      <c r="E18" s="302" t="n"/>
      <c r="F18" s="302" t="n"/>
      <c r="G18" s="303" t="n"/>
      <c r="H18" s="149" t="n"/>
      <c r="I18" s="149" t="n"/>
      <c r="J18" s="149" t="n"/>
      <c r="K18" s="149" t="n"/>
      <c r="L18" s="149" t="n"/>
      <c r="M18" s="149" t="n"/>
      <c r="N18" s="149" t="n"/>
      <c r="O18" s="149" t="n"/>
      <c r="P18" s="149" t="n"/>
      <c r="Q18" s="149" t="n"/>
      <c r="R18" s="137" t="n"/>
      <c r="AE18" s="222" t="n"/>
      <c r="AF18" s="222" t="n"/>
      <c r="AG18" s="222" t="n"/>
      <c r="AH18" s="222" t="n"/>
    </row>
    <row r="19">
      <c r="B19" s="150" t="inlineStr">
        <is>
          <t>Capex per Net Additions</t>
        </is>
      </c>
      <c r="C19" s="141" t="n"/>
      <c r="D19" s="137" t="n"/>
      <c r="E19" s="151" t="n"/>
      <c r="F19" s="151" t="n"/>
      <c r="G19" s="152" t="n"/>
      <c r="H19" s="153" t="n"/>
      <c r="I19" s="153" t="n"/>
      <c r="J19" s="153" t="n"/>
      <c r="K19" s="153" t="n"/>
      <c r="L19" s="153" t="n"/>
      <c r="M19" s="153" t="n"/>
      <c r="N19" s="153" t="n"/>
      <c r="O19" s="153" t="n"/>
      <c r="P19" s="153" t="n"/>
      <c r="Q19" s="153" t="n"/>
      <c r="R19" s="137" t="n"/>
      <c r="AD19" s="901" t="n"/>
      <c r="AE19" s="901" t="n"/>
      <c r="AF19" s="901" t="n"/>
      <c r="AG19" s="901" t="n"/>
    </row>
    <row r="20">
      <c r="B20" s="634" t="inlineStr">
        <is>
          <t>Locations Opened/Acquired</t>
        </is>
      </c>
      <c r="C20" s="141" t="n"/>
      <c r="D20" s="137" t="n"/>
      <c r="E20" s="635" t="n"/>
      <c r="F20" s="635" t="n"/>
      <c r="G20" s="636" t="n"/>
      <c r="H20" s="137" t="n"/>
      <c r="I20" s="137" t="n"/>
      <c r="J20" s="137" t="n"/>
      <c r="K20" s="137" t="n"/>
      <c r="L20" s="137" t="n"/>
      <c r="M20" s="137" t="n"/>
      <c r="O20" s="137" t="n"/>
      <c r="P20" s="137" t="n"/>
      <c r="Q20" s="137" t="n"/>
      <c r="R20" s="137" t="n"/>
      <c r="S20" s="32" t="n"/>
      <c r="T20" s="98" t="n"/>
      <c r="U20" s="98" t="n"/>
      <c r="V20" s="98" t="n"/>
      <c r="W20" s="98" t="n"/>
      <c r="X20" s="98" t="n"/>
    </row>
    <row r="21">
      <c r="B21" s="634" t="inlineStr">
        <is>
          <t>Locations Closed/Sold</t>
        </is>
      </c>
      <c r="C21" s="141" t="n"/>
      <c r="D21" s="137" t="n"/>
      <c r="E21" s="635" t="n"/>
      <c r="F21" s="635" t="n"/>
      <c r="G21" s="636" t="n"/>
      <c r="H21" s="137" t="n"/>
      <c r="I21" s="137" t="n"/>
      <c r="J21" s="137" t="n"/>
      <c r="K21" s="137" t="n"/>
      <c r="L21" s="137" t="n"/>
      <c r="M21" s="137" t="n"/>
      <c r="O21" s="137" t="n"/>
      <c r="P21" s="137" t="n"/>
      <c r="Q21" s="137" t="n"/>
      <c r="R21" s="137" t="n"/>
      <c r="S21" s="98" t="n"/>
    </row>
    <row r="22">
      <c r="B22" s="137" t="inlineStr">
        <is>
          <t>Number of Locations (End)</t>
        </is>
      </c>
      <c r="C22" s="141" t="n"/>
      <c r="D22" s="137" t="n"/>
      <c r="E22" s="146" t="n"/>
      <c r="F22" s="146" t="n"/>
      <c r="G22" s="147" t="n"/>
      <c r="H22" s="148" t="n"/>
      <c r="I22" s="148" t="n"/>
      <c r="J22" s="148" t="n"/>
      <c r="K22" s="148" t="n"/>
      <c r="L22" s="148" t="n"/>
      <c r="N22" s="148" t="n"/>
      <c r="O22" s="148" t="n"/>
      <c r="P22" s="148" t="n"/>
      <c r="Q22" s="148" t="n"/>
      <c r="R22" s="137" t="n"/>
      <c r="S22" s="98" t="n"/>
    </row>
    <row r="23">
      <c r="B23" s="137" t="inlineStr">
        <is>
          <t>Average Sales per Location</t>
        </is>
      </c>
      <c r="C23" s="141" t="n"/>
      <c r="D23" s="137" t="n"/>
      <c r="E23" s="154" t="n"/>
      <c r="F23" s="154" t="n"/>
      <c r="G23" s="155" t="n"/>
      <c r="H23" s="156" t="n"/>
      <c r="I23" s="156" t="n"/>
      <c r="J23" s="156" t="n"/>
      <c r="K23" s="156" t="n"/>
      <c r="L23" s="156" t="n"/>
      <c r="N23" s="148" t="n"/>
      <c r="O23" s="156" t="n"/>
      <c r="P23" s="156" t="n"/>
      <c r="Q23" s="156" t="n"/>
      <c r="R23" s="137" t="n"/>
      <c r="S23" s="98" t="n"/>
    </row>
    <row r="24">
      <c r="B24" s="137" t="inlineStr">
        <is>
          <t>Same Store Sales Growth</t>
        </is>
      </c>
      <c r="C24" s="141" t="n"/>
      <c r="D24" s="137" t="n"/>
      <c r="E24" s="904" t="n"/>
      <c r="F24" s="904" t="n"/>
      <c r="G24" s="905" t="n"/>
      <c r="H24" s="906" t="n"/>
      <c r="I24" s="906" t="n"/>
      <c r="J24" s="906" t="n"/>
      <c r="K24" s="906" t="n"/>
      <c r="L24" s="906" t="n"/>
      <c r="M24" s="906" t="n"/>
      <c r="N24" s="906" t="n"/>
      <c r="O24" s="906" t="n"/>
      <c r="P24" s="906" t="n"/>
      <c r="Q24" s="906" t="n"/>
      <c r="R24" s="907" t="n"/>
      <c r="S24" s="98" t="n"/>
    </row>
    <row r="25">
      <c r="B25" s="137" t="inlineStr">
        <is>
          <t>Beginning Locations Total Sales</t>
        </is>
      </c>
      <c r="C25" s="141" t="n"/>
      <c r="D25" s="137" t="n"/>
      <c r="E25" s="158" t="n"/>
      <c r="F25" s="158" t="n"/>
      <c r="G25" s="159" t="n"/>
      <c r="H25" s="148" t="n"/>
      <c r="I25" s="148" t="n"/>
      <c r="J25" s="148" t="n"/>
      <c r="K25" s="148" t="n"/>
      <c r="L25" s="148" t="n"/>
      <c r="M25" s="148" t="n"/>
      <c r="N25" s="148" t="n"/>
      <c r="O25" s="148" t="n"/>
      <c r="P25" s="148" t="n"/>
      <c r="Q25" s="148" t="n"/>
      <c r="R25" s="137" t="n"/>
      <c r="S25" s="98" t="n"/>
    </row>
    <row r="26">
      <c r="B26" s="137" t="inlineStr">
        <is>
          <t>New Locations Total Sales (Estimate)</t>
        </is>
      </c>
      <c r="C26" s="141" t="n"/>
      <c r="D26" s="137" t="n"/>
      <c r="E26" s="148" t="n"/>
      <c r="F26" s="148" t="n"/>
      <c r="G26" s="160" t="n"/>
      <c r="H26" s="148" t="n"/>
      <c r="I26" s="148" t="n"/>
      <c r="J26" s="148" t="n"/>
      <c r="K26" s="148" t="n"/>
      <c r="L26" s="148" t="n"/>
      <c r="M26" s="148" t="n"/>
      <c r="N26" s="148" t="n"/>
      <c r="O26" s="148" t="n"/>
      <c r="P26" s="148" t="n"/>
      <c r="Q26" s="148" t="n"/>
      <c r="R26" s="137" t="n"/>
      <c r="S26" s="98" t="n"/>
    </row>
    <row r="27">
      <c r="B27" s="161" t="inlineStr">
        <is>
          <t>In millions of USD</t>
        </is>
      </c>
      <c r="G27" s="162" t="n"/>
      <c r="S27" s="98" t="n"/>
    </row>
    <row r="28" ht="15.75" customHeight="1" s="783">
      <c r="A28" s="132" t="inlineStr">
        <is>
          <t>x</t>
        </is>
      </c>
      <c r="B28" s="52" t="inlineStr">
        <is>
          <t>Income Statement</t>
        </is>
      </c>
      <c r="C28" s="56" t="n"/>
      <c r="D28" s="56" t="n"/>
      <c r="E28" s="902" t="n">
        <v>2022</v>
      </c>
      <c r="F28" s="902">
        <f>+E28+1</f>
        <v/>
      </c>
      <c r="G28" s="903">
        <f>+F28+1</f>
        <v/>
      </c>
      <c r="H28" s="855">
        <f>+G28+1</f>
        <v/>
      </c>
      <c r="I28" s="855">
        <f>+H28+1</f>
        <v/>
      </c>
      <c r="J28" s="855">
        <f>+I28+1</f>
        <v/>
      </c>
      <c r="K28" s="855">
        <f>+J28+1</f>
        <v/>
      </c>
      <c r="L28" s="855">
        <f>+K28+1</f>
        <v/>
      </c>
      <c r="M28" s="855">
        <f>+L28+1</f>
        <v/>
      </c>
      <c r="N28" s="855">
        <f>+M28+1</f>
        <v/>
      </c>
      <c r="O28" s="855">
        <f>+N28+1</f>
        <v/>
      </c>
      <c r="P28" s="855">
        <f>+O28+1</f>
        <v/>
      </c>
      <c r="Q28" s="855">
        <f>+P28+1</f>
        <v/>
      </c>
      <c r="R28" s="908" t="n"/>
      <c r="S28" s="133" t="n"/>
      <c r="T28" s="133" t="n"/>
      <c r="U28" s="133" t="n"/>
    </row>
    <row r="29" ht="3.95" customHeight="1" s="783">
      <c r="B29" s="70" t="n"/>
      <c r="C29" s="70" t="n"/>
      <c r="D29" s="70" t="n"/>
      <c r="E29" s="70" t="n"/>
      <c r="F29" s="70" t="n"/>
      <c r="G29" s="145" t="n"/>
      <c r="H29" s="70" t="n"/>
      <c r="I29" s="70" t="n"/>
      <c r="J29" s="70" t="n"/>
      <c r="K29" s="70" t="n"/>
      <c r="L29" s="70" t="n"/>
      <c r="M29" s="70" t="n"/>
      <c r="N29" s="70" t="n"/>
      <c r="O29" s="70" t="n"/>
      <c r="P29" s="70" t="n"/>
      <c r="Q29" s="70" t="n"/>
    </row>
    <row r="30">
      <c r="B30" s="132" t="inlineStr">
        <is>
          <t>Revenue (Sales)</t>
        </is>
      </c>
      <c r="D30" s="909">
        <f>+_xlfn.XLOOKUP($B30,Inputs!$B:$B,Inputs!N:N)</f>
        <v/>
      </c>
      <c r="E30" s="910">
        <f>+_xlfn.XLOOKUP($B30,Inputs!$B:$B,Inputs!O:O)</f>
        <v/>
      </c>
      <c r="F30" s="910">
        <f>+_xlfn.XLOOKUP($B30,Inputs!$B:$B,Inputs!P:P)</f>
        <v/>
      </c>
      <c r="G30" s="911">
        <f>+_xlfn.XLOOKUP($B30,Inputs!$B:$B,Inputs!Q:Q)</f>
        <v/>
      </c>
      <c r="H30" s="912">
        <f>+H25+H26</f>
        <v/>
      </c>
      <c r="I30" s="912">
        <f>+I25+I26</f>
        <v/>
      </c>
      <c r="J30" s="912">
        <f>+J25+J26</f>
        <v/>
      </c>
      <c r="K30" s="912">
        <f>+K25+K26</f>
        <v/>
      </c>
      <c r="L30" s="912">
        <f>+L25+L26</f>
        <v/>
      </c>
      <c r="M30" s="912">
        <f>+M25+M26</f>
        <v/>
      </c>
      <c r="N30" s="912">
        <f>+N25+N26</f>
        <v/>
      </c>
      <c r="O30" s="912">
        <f>+O25+O26</f>
        <v/>
      </c>
      <c r="P30" s="912">
        <f>+P25+P26</f>
        <v/>
      </c>
      <c r="Q30" s="912">
        <f>+Q25+Q26</f>
        <v/>
      </c>
    </row>
    <row r="31" ht="14.25" customFormat="1" customHeight="1" s="288">
      <c r="B31" s="289" t="inlineStr">
        <is>
          <t>% of growth</t>
        </is>
      </c>
      <c r="E31" s="913">
        <f>IFERROR((E30-D30)/D30,"")</f>
        <v/>
      </c>
      <c r="F31" s="913">
        <f>IFERROR((F30-E30)/E30,"")</f>
        <v/>
      </c>
      <c r="G31" s="914">
        <f>IFERROR((G30-F30)/F30,"")</f>
        <v/>
      </c>
      <c r="H31" s="915">
        <f>IFERROR(H30/G30-1,"")</f>
        <v/>
      </c>
      <c r="I31" s="915">
        <f>IFERROR(I30/H30-1,"")</f>
        <v/>
      </c>
      <c r="J31" s="915">
        <f>IFERROR(J30/I30-1,"")</f>
        <v/>
      </c>
      <c r="K31" s="915">
        <f>IFERROR(K30/J30-1,"")</f>
        <v/>
      </c>
      <c r="L31" s="915">
        <f>IFERROR(L30/K30-1,"")</f>
        <v/>
      </c>
      <c r="M31" s="915">
        <f>IFERROR(M30/L30-1,"")</f>
        <v/>
      </c>
      <c r="N31" s="915">
        <f>IFERROR(N30/M30-1,"")</f>
        <v/>
      </c>
      <c r="O31" s="915">
        <f>IFERROR(O30/N30-1,"")</f>
        <v/>
      </c>
      <c r="P31" s="915">
        <f>IFERROR(P30/O30-1,"")</f>
        <v/>
      </c>
      <c r="Q31" s="915">
        <f>IFERROR(Q30/P30-1,"")</f>
        <v/>
      </c>
    </row>
    <row r="32" ht="3.75" customHeight="1" s="783">
      <c r="B32" s="167" t="n"/>
      <c r="E32" s="916" t="n"/>
      <c r="F32" s="916" t="n"/>
      <c r="G32" s="917" t="n"/>
      <c r="H32" s="918" t="n"/>
      <c r="I32" s="918" t="n"/>
      <c r="J32" s="918" t="n"/>
      <c r="K32" s="918" t="n"/>
      <c r="L32" s="918" t="n"/>
      <c r="O32" s="918" t="n"/>
      <c r="P32" s="918" t="n"/>
      <c r="Q32" s="918" t="n"/>
    </row>
    <row r="33">
      <c r="B33" s="287" t="inlineStr">
        <is>
          <t>COGS (Cost of Goods Sold)</t>
        </is>
      </c>
      <c r="E33" s="910">
        <f>+_xlfn.XLOOKUP($B33,Inputs!$B:$B,Inputs!O:O)</f>
        <v/>
      </c>
      <c r="F33" s="910">
        <f>+_xlfn.XLOOKUP($B33,Inputs!$B:$B,Inputs!P:P)</f>
        <v/>
      </c>
      <c r="G33" s="911">
        <f>+_xlfn.XLOOKUP($B33,Inputs!$B:$B,Inputs!Q:Q)</f>
        <v/>
      </c>
      <c r="H33" s="912">
        <f>H34*H$30</f>
        <v/>
      </c>
      <c r="I33" s="912">
        <f>I34*I$30</f>
        <v/>
      </c>
      <c r="J33" s="912">
        <f>J34*J$30</f>
        <v/>
      </c>
      <c r="K33" s="912">
        <f>K34*K$30</f>
        <v/>
      </c>
      <c r="L33" s="912">
        <f>L34*L$30</f>
        <v/>
      </c>
      <c r="M33" s="912">
        <f>M34*M$30</f>
        <v/>
      </c>
      <c r="N33" s="912">
        <f>N34*N$30</f>
        <v/>
      </c>
      <c r="O33" s="912">
        <f>O34*O$30</f>
        <v/>
      </c>
      <c r="P33" s="912">
        <f>P34*P$30</f>
        <v/>
      </c>
      <c r="Q33" s="912">
        <f>Q34*Q$30</f>
        <v/>
      </c>
    </row>
    <row r="34" ht="14.25" customFormat="1" customHeight="1" s="288">
      <c r="B34" s="297" t="inlineStr">
        <is>
          <t>% of revenue</t>
        </is>
      </c>
      <c r="E34" s="919">
        <f>IFERROR(E33/E$30,"")</f>
        <v/>
      </c>
      <c r="F34" s="919">
        <f>IFERROR(F33/F$30,"")</f>
        <v/>
      </c>
      <c r="G34" s="920">
        <f>IFERROR(G33/G$30,"")</f>
        <v/>
      </c>
      <c r="H34" s="921" t="n"/>
      <c r="I34" s="921" t="n"/>
      <c r="J34" s="921" t="n"/>
      <c r="K34" s="921" t="n"/>
      <c r="L34" s="921" t="n"/>
      <c r="M34" s="921" t="n"/>
      <c r="N34" s="921" t="n"/>
      <c r="O34" s="921" t="n"/>
      <c r="P34" s="921" t="n"/>
      <c r="Q34" s="921" t="n"/>
    </row>
    <row r="35" ht="5.25" customHeight="1" s="783">
      <c r="B35" s="167" t="n"/>
      <c r="E35" s="916" t="n"/>
      <c r="F35" s="916" t="n"/>
      <c r="G35" s="917" t="n"/>
      <c r="H35" s="922" t="n"/>
      <c r="I35" s="922" t="n"/>
      <c r="J35" s="922" t="n"/>
      <c r="K35" s="922" t="n"/>
      <c r="L35" s="922" t="n"/>
      <c r="M35" s="922" t="n"/>
      <c r="N35" s="922" t="n"/>
      <c r="O35" s="922" t="n"/>
      <c r="P35" s="922" t="n"/>
      <c r="Q35" s="922" t="n"/>
    </row>
    <row r="36">
      <c r="B36" s="132" t="inlineStr">
        <is>
          <t>Gross Profit</t>
        </is>
      </c>
      <c r="E36" s="910">
        <f>+_xlfn.XLOOKUP($B36,Inputs!$B:$B,Inputs!O:O)</f>
        <v/>
      </c>
      <c r="F36" s="910">
        <f>+_xlfn.XLOOKUP($B36,Inputs!$B:$B,Inputs!P:P)</f>
        <v/>
      </c>
      <c r="G36" s="911">
        <f>+_xlfn.XLOOKUP($B36,Inputs!$B:$B,Inputs!Q:Q)</f>
        <v/>
      </c>
      <c r="H36" s="912">
        <f>+H30-H33</f>
        <v/>
      </c>
      <c r="I36" s="912">
        <f>+I30-I33</f>
        <v/>
      </c>
      <c r="J36" s="912">
        <f>+J30-J33</f>
        <v/>
      </c>
      <c r="K36" s="912">
        <f>+K30-K33</f>
        <v/>
      </c>
      <c r="L36" s="912">
        <f>+L30-L33</f>
        <v/>
      </c>
      <c r="M36" s="912">
        <f>+M30-M33</f>
        <v/>
      </c>
      <c r="N36" s="912">
        <f>+N30-N33</f>
        <v/>
      </c>
      <c r="O36" s="912">
        <f>+O30-O33</f>
        <v/>
      </c>
      <c r="P36" s="912">
        <f>+P30-P33</f>
        <v/>
      </c>
      <c r="Q36" s="912">
        <f>+Q30-Q33</f>
        <v/>
      </c>
    </row>
    <row r="37" ht="14.25" customFormat="1" customHeight="1" s="288">
      <c r="B37" s="288" t="inlineStr">
        <is>
          <t>Gross Profit Margin</t>
        </is>
      </c>
      <c r="E37" s="919">
        <f>IFERROR(E36/E$30,"")</f>
        <v/>
      </c>
      <c r="F37" s="919">
        <f>IFERROR(F36/F$30,"")</f>
        <v/>
      </c>
      <c r="G37" s="920">
        <f>IFERROR(G36/G$30,"")</f>
        <v/>
      </c>
      <c r="H37" s="919">
        <f>IFERROR(H36/H$30,"")</f>
        <v/>
      </c>
      <c r="I37" s="919">
        <f>IFERROR(I36/I$30,"")</f>
        <v/>
      </c>
      <c r="J37" s="919">
        <f>IFERROR(J36/J$30,"")</f>
        <v/>
      </c>
      <c r="K37" s="919">
        <f>IFERROR(K36/K$30,"")</f>
        <v/>
      </c>
      <c r="L37" s="919">
        <f>IFERROR(L36/L$30,"")</f>
        <v/>
      </c>
      <c r="M37" s="919">
        <f>IFERROR(M36/M$30,"")</f>
        <v/>
      </c>
      <c r="N37" s="919">
        <f>IFERROR(N36/N$30,"")</f>
        <v/>
      </c>
      <c r="O37" s="919">
        <f>IFERROR(O36/O$30,"")</f>
        <v/>
      </c>
      <c r="P37" s="919">
        <f>IFERROR(P36/P$30,"")</f>
        <v/>
      </c>
      <c r="Q37" s="919">
        <f>IFERROR(Q36/Q$30,"")</f>
        <v/>
      </c>
    </row>
    <row r="38" ht="3.75" customHeight="1" s="783">
      <c r="G38" s="173" t="n"/>
      <c r="H38" s="137" t="n"/>
      <c r="I38" s="137" t="n"/>
      <c r="J38" s="137" t="n"/>
      <c r="K38" s="137" t="n"/>
      <c r="L38" s="137" t="n"/>
      <c r="O38" s="137" t="n"/>
      <c r="P38" s="137" t="n"/>
      <c r="Q38" s="137" t="n"/>
    </row>
    <row r="39" ht="14.25" customHeight="1" s="783">
      <c r="B39" s="287" t="inlineStr">
        <is>
          <t>SG&amp;A (Selling, General &amp; Administrative)</t>
        </is>
      </c>
      <c r="E39" s="910">
        <f>+_xlfn.XLOOKUP($B39,Inputs!$B:$B,Inputs!O:O)</f>
        <v/>
      </c>
      <c r="F39" s="910">
        <f>+_xlfn.XLOOKUP($B39,Inputs!$B:$B,Inputs!P:P)</f>
        <v/>
      </c>
      <c r="G39" s="911">
        <f>+_xlfn.XLOOKUP($B39,Inputs!$B:$B,Inputs!Q:Q)</f>
        <v/>
      </c>
      <c r="H39" s="912">
        <f>IFERROR(G39*(1+H31),"")</f>
        <v/>
      </c>
      <c r="I39" s="912">
        <f>IFERROR(H39*(1+I31),"")</f>
        <v/>
      </c>
      <c r="J39" s="912">
        <f>IFERROR(I39*(1+J31),"")</f>
        <v/>
      </c>
      <c r="K39" s="912">
        <f>IFERROR(J39*(1+K31),"")</f>
        <v/>
      </c>
      <c r="L39" s="912">
        <f>IFERROR(K39*(1+L31),"")</f>
        <v/>
      </c>
      <c r="M39" s="912">
        <f>IFERROR(L39*(1+M31),"")</f>
        <v/>
      </c>
      <c r="N39" s="912">
        <f>IFERROR(M39*(1+N31),"")</f>
        <v/>
      </c>
      <c r="O39" s="912">
        <f>IFERROR(N39*(1+O31),"")</f>
        <v/>
      </c>
      <c r="P39" s="912">
        <f>IFERROR(O39*(1+P31),"")</f>
        <v/>
      </c>
      <c r="Q39" s="912">
        <f>IFERROR(P39*(1+Q31),"")</f>
        <v/>
      </c>
    </row>
    <row r="40" ht="14.25" customFormat="1" customHeight="1" s="288">
      <c r="B40" s="297" t="inlineStr">
        <is>
          <t>SG&amp;A Margin</t>
        </is>
      </c>
      <c r="E40" s="919">
        <f>IFERROR(E39/E$30,"")</f>
        <v/>
      </c>
      <c r="F40" s="919">
        <f>IFERROR(F39/F$30,"")</f>
        <v/>
      </c>
      <c r="G40" s="923">
        <f>IFERROR(G39/G$30,"")</f>
        <v/>
      </c>
      <c r="H40" s="921">
        <f>IFERROR(AVERAGE(E40:G40),"")</f>
        <v/>
      </c>
      <c r="I40" s="921">
        <f>IFERROR(AVERAGE(F40:H40),"")</f>
        <v/>
      </c>
      <c r="J40" s="921">
        <f>IFERROR(AVERAGE(G40:I40),"")</f>
        <v/>
      </c>
      <c r="K40" s="921">
        <f>IFERROR(AVERAGE(H40:J40),"")</f>
        <v/>
      </c>
      <c r="L40" s="921">
        <f>IFERROR(AVERAGE(I40:K40),"")</f>
        <v/>
      </c>
      <c r="M40" s="921">
        <f>IFERROR(AVERAGE(J40:L40),"")</f>
        <v/>
      </c>
      <c r="N40" s="921">
        <f>IFERROR(AVERAGE(K40:M40),"")</f>
        <v/>
      </c>
      <c r="O40" s="921">
        <f>IFERROR(AVERAGE(L40:N40),"")</f>
        <v/>
      </c>
      <c r="P40" s="921">
        <f>IFERROR(AVERAGE(M40:O40),"")</f>
        <v/>
      </c>
      <c r="Q40" s="921">
        <f>IFERROR(AVERAGE(N40:P40),"")</f>
        <v/>
      </c>
    </row>
    <row r="41" ht="3.75" customHeight="1" s="783">
      <c r="B41" s="167" t="n"/>
      <c r="E41" s="916" t="n"/>
      <c r="F41" s="916" t="n"/>
      <c r="G41" s="917" t="n"/>
      <c r="H41" s="918" t="n"/>
      <c r="I41" s="918" t="n"/>
      <c r="J41" s="918" t="n"/>
      <c r="K41" s="918" t="n"/>
      <c r="L41" s="918" t="n"/>
      <c r="O41" s="137" t="n"/>
      <c r="P41" s="137" t="n"/>
      <c r="Q41" s="137" t="n"/>
    </row>
    <row r="42">
      <c r="B42" s="287" t="inlineStr">
        <is>
          <t>R&amp;D (Research &amp; Development)</t>
        </is>
      </c>
      <c r="E42" s="910">
        <f>+_xlfn.XLOOKUP($B42,Inputs!$B:$B,Inputs!O:O)</f>
        <v/>
      </c>
      <c r="F42" s="910">
        <f>+_xlfn.XLOOKUP($B42,Inputs!$B:$B,Inputs!P:P)</f>
        <v/>
      </c>
      <c r="G42" s="911">
        <f>+_xlfn.XLOOKUP($B42,Inputs!$B:$B,Inputs!Q:Q)</f>
        <v/>
      </c>
      <c r="H42" s="912">
        <f>H43*H$30</f>
        <v/>
      </c>
      <c r="I42" s="912">
        <f>I43*I$30</f>
        <v/>
      </c>
      <c r="J42" s="912">
        <f>J43*J$30</f>
        <v/>
      </c>
      <c r="K42" s="912">
        <f>K43*K$30</f>
        <v/>
      </c>
      <c r="L42" s="912">
        <f>L43*L$30</f>
        <v/>
      </c>
      <c r="M42" s="912">
        <f>M43*M$30</f>
        <v/>
      </c>
      <c r="N42" s="912">
        <f>N43*N$30</f>
        <v/>
      </c>
      <c r="O42" s="912">
        <f>O43*O$30</f>
        <v/>
      </c>
      <c r="P42" s="912">
        <f>P43*P$30</f>
        <v/>
      </c>
      <c r="Q42" s="912">
        <f>Q43*Q$30</f>
        <v/>
      </c>
    </row>
    <row r="43" ht="14.25" customFormat="1" customHeight="1" s="288">
      <c r="B43" s="297" t="inlineStr">
        <is>
          <t>% of revenue</t>
        </is>
      </c>
      <c r="E43" s="919">
        <f>IFERROR(E42/E30,"")</f>
        <v/>
      </c>
      <c r="F43" s="919">
        <f>IFERROR(F42/F30,"")</f>
        <v/>
      </c>
      <c r="G43" s="923">
        <f>IFERROR(G42/G30,"")</f>
        <v/>
      </c>
      <c r="H43" s="921" t="n"/>
      <c r="I43" s="921" t="n"/>
      <c r="J43" s="921" t="n"/>
      <c r="K43" s="921" t="n"/>
      <c r="L43" s="921" t="n"/>
      <c r="M43" s="921" t="n"/>
      <c r="N43" s="921" t="n"/>
      <c r="O43" s="921" t="n"/>
      <c r="P43" s="921" t="n"/>
      <c r="Q43" s="921" t="n"/>
    </row>
    <row r="44" ht="5.25" customFormat="1" customHeight="1" s="256">
      <c r="B44" s="281" t="n"/>
      <c r="E44" s="924" t="n"/>
      <c r="F44" s="924" t="n"/>
      <c r="G44" s="925" t="n"/>
      <c r="H44" s="926" t="n"/>
      <c r="I44" s="926" t="n"/>
      <c r="J44" s="926" t="n"/>
      <c r="K44" s="926" t="n"/>
      <c r="L44" s="926" t="n"/>
      <c r="O44" s="285" t="n"/>
      <c r="P44" s="285" t="n"/>
      <c r="Q44" s="285" t="n"/>
    </row>
    <row r="45">
      <c r="B45" s="497" t="inlineStr">
        <is>
          <t>Other Operating (Income) Expenses</t>
        </is>
      </c>
      <c r="E45" s="910">
        <f>+_xlfn.XLOOKUP($B45,Inputs!$B:$B,Inputs!O:O)</f>
        <v/>
      </c>
      <c r="F45" s="910">
        <f>+_xlfn.XLOOKUP($B45,Inputs!$B:$B,Inputs!P:P)</f>
        <v/>
      </c>
      <c r="G45" s="911">
        <f>+_xlfn.XLOOKUP($B45,Inputs!$B:$B,Inputs!Q:Q)</f>
        <v/>
      </c>
      <c r="H45" s="912">
        <f>IFERROR(AVERAGE(E45:G45)*(1+H31),"")</f>
        <v/>
      </c>
      <c r="I45" s="912">
        <f>IFERROR(AVERAGE(F45:H45)*(1+I31),"")</f>
        <v/>
      </c>
      <c r="J45" s="912">
        <f>IFERROR(AVERAGE(G45:I45)*(1+J31),"")</f>
        <v/>
      </c>
      <c r="K45" s="912">
        <f>IFERROR(AVERAGE(H45:J45)*(1+K31),"")</f>
        <v/>
      </c>
      <c r="L45" s="912">
        <f>IFERROR(AVERAGE(I45:K45)*(1+L31),"")</f>
        <v/>
      </c>
      <c r="M45" s="912">
        <f>IFERROR(AVERAGE(J45:L45)*(1+M31),"")</f>
        <v/>
      </c>
      <c r="N45" s="912">
        <f>IFERROR(AVERAGE(K45:M45)*(1+N31),"")</f>
        <v/>
      </c>
      <c r="O45" s="912">
        <f>IFERROR(AVERAGE(L45:N45)*(1+O31),"")</f>
        <v/>
      </c>
      <c r="P45" s="912">
        <f>IFERROR(AVERAGE(M45:O45)*(1+P31),"")</f>
        <v/>
      </c>
      <c r="Q45" s="912">
        <f>IFERROR(AVERAGE(N45:P45)*(1+Q31),"")</f>
        <v/>
      </c>
    </row>
    <row r="46" ht="5.25" customHeight="1" s="783">
      <c r="B46" s="213" t="n"/>
      <c r="E46" s="910" t="n"/>
      <c r="F46" s="910" t="n"/>
      <c r="G46" s="911" t="n"/>
      <c r="H46" s="922" t="n"/>
      <c r="I46" s="922" t="n"/>
      <c r="J46" s="922" t="n"/>
      <c r="K46" s="922" t="n"/>
      <c r="L46" s="922" t="n"/>
      <c r="O46" s="174" t="n"/>
      <c r="P46" s="174" t="n"/>
      <c r="Q46" s="174" t="n"/>
    </row>
    <row r="47">
      <c r="B47" s="213" t="inlineStr">
        <is>
          <t>EBITDA</t>
        </is>
      </c>
      <c r="E47" s="910">
        <f>+_xlfn.XLOOKUP($B47,Inputs!$B:$B,Inputs!O:O)</f>
        <v/>
      </c>
      <c r="F47" s="910">
        <f>+_xlfn.XLOOKUP($B47,Inputs!$B:$B,Inputs!P:P)</f>
        <v/>
      </c>
      <c r="G47" s="911">
        <f>+_xlfn.XLOOKUP($B47,Inputs!$B:$B,Inputs!Q:Q)</f>
        <v/>
      </c>
      <c r="H47" s="912">
        <f>IFERROR(H36-H39-H42-H45,"")</f>
        <v/>
      </c>
      <c r="I47" s="912">
        <f>IFERROR(I36-I39-I42-I45,"")</f>
        <v/>
      </c>
      <c r="J47" s="912">
        <f>IFERROR(J36-J39-J42-J45,"")</f>
        <v/>
      </c>
      <c r="K47" s="912">
        <f>IFERROR(K36-K39-K42-K45,"")</f>
        <v/>
      </c>
      <c r="L47" s="912">
        <f>IFERROR(L36-L39-L42-L45,"")</f>
        <v/>
      </c>
      <c r="M47" s="912">
        <f>IFERROR(M36-M39-M42-M45,"")</f>
        <v/>
      </c>
      <c r="N47" s="912">
        <f>IFERROR(N36-N39-N42-N45,"")</f>
        <v/>
      </c>
      <c r="O47" s="912">
        <f>IFERROR(O36-O39-O42-O45,"")</f>
        <v/>
      </c>
      <c r="P47" s="912">
        <f>IFERROR(P36-P39-P42-P45,"")</f>
        <v/>
      </c>
      <c r="Q47" s="912">
        <f>IFERROR(Q36-Q39-Q42-Q45,"")</f>
        <v/>
      </c>
    </row>
    <row r="48" ht="14.25" customFormat="1" customHeight="1" s="288">
      <c r="B48" s="288" t="inlineStr">
        <is>
          <t>EBITDA Margin</t>
        </is>
      </c>
      <c r="E48" s="919">
        <f>IFERROR(E47/E$30,"")</f>
        <v/>
      </c>
      <c r="F48" s="919">
        <f>IFERROR(F47/F$30,"")</f>
        <v/>
      </c>
      <c r="G48" s="920">
        <f>IFERROR(G47/G$30,"")</f>
        <v/>
      </c>
      <c r="H48" s="919">
        <f>IFERROR(H47/H$30,"")</f>
        <v/>
      </c>
      <c r="I48" s="919">
        <f>IFERROR(I47/I$30,"")</f>
        <v/>
      </c>
      <c r="J48" s="919">
        <f>IFERROR(J47/J$30,"")</f>
        <v/>
      </c>
      <c r="K48" s="919">
        <f>IFERROR(K47/K$30,"")</f>
        <v/>
      </c>
      <c r="L48" s="919">
        <f>IFERROR(L47/L$30,"")</f>
        <v/>
      </c>
      <c r="M48" s="919">
        <f>IFERROR(M47/M$30,"")</f>
        <v/>
      </c>
      <c r="N48" s="919">
        <f>IFERROR(N47/N$30,"")</f>
        <v/>
      </c>
      <c r="O48" s="919">
        <f>IFERROR(O47/O$30,"")</f>
        <v/>
      </c>
      <c r="P48" s="919">
        <f>IFERROR(P47/P$30,"")</f>
        <v/>
      </c>
      <c r="Q48" s="919">
        <f>IFERROR(Q47/Q$30,"")</f>
        <v/>
      </c>
    </row>
    <row r="49" ht="3.75" customHeight="1" s="783">
      <c r="B49" s="167" t="n"/>
      <c r="E49" s="916" t="n"/>
      <c r="F49" s="916" t="n"/>
      <c r="G49" s="927" t="n"/>
      <c r="H49" s="916" t="n"/>
      <c r="I49" s="916" t="n"/>
      <c r="J49" s="916" t="n"/>
      <c r="K49" s="916" t="n"/>
      <c r="L49" s="916" t="n"/>
      <c r="O49" s="174" t="n"/>
      <c r="P49" s="174" t="n"/>
      <c r="Q49" s="174" t="n"/>
    </row>
    <row r="50" ht="13.5" customHeight="1" s="783">
      <c r="B50" s="287" t="inlineStr">
        <is>
          <t>D&amp;A (Depreciation &amp; Amortization)</t>
        </is>
      </c>
      <c r="E50" s="910">
        <f>+_xlfn.XLOOKUP($B50,Inputs!$B:$B,Inputs!O:O)</f>
        <v/>
      </c>
      <c r="F50" s="910">
        <f>+_xlfn.XLOOKUP($B50,Inputs!$B:$B,Inputs!P:P)</f>
        <v/>
      </c>
      <c r="G50" s="911">
        <f>+_xlfn.XLOOKUP($B50,Inputs!$B:$B,Inputs!Q:Q)</f>
        <v/>
      </c>
      <c r="H50" s="928">
        <f>+IFERROR(H53+H56,"")</f>
        <v/>
      </c>
      <c r="I50" s="928">
        <f>+IFERROR(I53+I56,"")</f>
        <v/>
      </c>
      <c r="J50" s="928">
        <f>+IFERROR(J53+J56,"")</f>
        <v/>
      </c>
      <c r="K50" s="928">
        <f>+IFERROR(K53+K56,"")</f>
        <v/>
      </c>
      <c r="L50" s="928">
        <f>+IFERROR(L53+L56,"")</f>
        <v/>
      </c>
      <c r="M50" s="928">
        <f>+IFERROR(M53+M56,"")</f>
        <v/>
      </c>
      <c r="N50" s="928">
        <f>+IFERROR(N53+N56,"")</f>
        <v/>
      </c>
      <c r="O50" s="928">
        <f>+IFERROR(O53+O56,"")</f>
        <v/>
      </c>
      <c r="P50" s="928">
        <f>+IFERROR(P53+P56,"")</f>
        <v/>
      </c>
      <c r="Q50" s="928">
        <f>+IFERROR(Q53+Q56,"")</f>
        <v/>
      </c>
    </row>
    <row r="51" ht="13.5" customHeight="1" s="783">
      <c r="B51" s="297" t="inlineStr">
        <is>
          <t>% of PP&amp;E+ROU Assets+Intangibles excl. Goodwill</t>
        </is>
      </c>
      <c r="E51" s="919">
        <f>IFERROR(E50/AVERAGE(Inputs!O39+Inputs!O42+Inputs!O44,Inputs!N39+Inputs!N42+Inputs!N44),"")</f>
        <v/>
      </c>
      <c r="F51" s="919">
        <f>IFERROR(F50/AVERAGE(Inputs!P39+Inputs!P42+Inputs!P44,Inputs!O39+Inputs!O42+Inputs!O44),"")</f>
        <v/>
      </c>
      <c r="G51" s="920">
        <f>IFERROR(G50/AVERAGE(Inputs!Q39+Inputs!Q42+Inputs!Q44,Inputs!P39+Inputs!P42+Inputs!P44),"")</f>
        <v/>
      </c>
      <c r="H51" s="916">
        <f>IFERROR(H50/(G99+G105),"")</f>
        <v/>
      </c>
      <c r="I51" s="916">
        <f>IFERROR(I50/(H99+H105),"")</f>
        <v/>
      </c>
      <c r="J51" s="916">
        <f>IFERROR(J50/(I99+I105),"")</f>
        <v/>
      </c>
      <c r="K51" s="916">
        <f>IFERROR(K50/(J99+J105),"")</f>
        <v/>
      </c>
      <c r="L51" s="916">
        <f>IFERROR(L50/(K99+K105),"")</f>
        <v/>
      </c>
      <c r="M51" s="916">
        <f>IFERROR(M50/(L99+L105),"")</f>
        <v/>
      </c>
      <c r="N51" s="916">
        <f>IFERROR(N50/(M99+M105),"")</f>
        <v/>
      </c>
      <c r="O51" s="916">
        <f>IFERROR(O50/(N99+N105),"")</f>
        <v/>
      </c>
      <c r="P51" s="916">
        <f>IFERROR(P50/(O99+O105),"")</f>
        <v/>
      </c>
      <c r="Q51" s="916">
        <f>IFERROR(Q50/(P99+P105),"")</f>
        <v/>
      </c>
    </row>
    <row r="52" ht="5.25" customHeight="1" s="783">
      <c r="B52" s="167" t="n"/>
      <c r="E52" s="916" t="n"/>
      <c r="F52" s="916" t="n"/>
      <c r="G52" s="927" t="n"/>
      <c r="H52" s="916" t="n"/>
      <c r="I52" s="916" t="n"/>
      <c r="J52" s="916" t="n"/>
      <c r="K52" s="916" t="n"/>
      <c r="L52" s="916" t="n"/>
      <c r="O52" s="174" t="n"/>
      <c r="P52" s="174" t="n"/>
      <c r="Q52" s="174" t="n"/>
    </row>
    <row r="53" customFormat="1" s="167">
      <c r="B53" s="312" t="inlineStr">
        <is>
          <t>Depreciation Expense</t>
        </is>
      </c>
      <c r="E53" s="929">
        <f>+_xlfn.XLOOKUP($B53,Inputs!$B:$B,Inputs!O:O)</f>
        <v/>
      </c>
      <c r="F53" s="929">
        <f>+_xlfn.XLOOKUP($B53,Inputs!$B:$B,Inputs!P:P)</f>
        <v/>
      </c>
      <c r="G53" s="930">
        <f>+_xlfn.XLOOKUP($B53,Inputs!$B:$B,Inputs!Q:Q)</f>
        <v/>
      </c>
      <c r="H53" s="931">
        <f>IFERROR(H54*(G100+G101),"")</f>
        <v/>
      </c>
      <c r="I53" s="931">
        <f>IFERROR(I54*(H100+H101),"")</f>
        <v/>
      </c>
      <c r="J53" s="931">
        <f>IFERROR(J54*(I100+I101),"")</f>
        <v/>
      </c>
      <c r="K53" s="931">
        <f>IFERROR(K54*(J100+J101),"")</f>
        <v/>
      </c>
      <c r="L53" s="931">
        <f>IFERROR(L54*(K100+K101),"")</f>
        <v/>
      </c>
      <c r="M53" s="931">
        <f>IFERROR(M54*(L100+L101),"")</f>
        <v/>
      </c>
      <c r="N53" s="931">
        <f>IFERROR(N54*(M100+M101),"")</f>
        <v/>
      </c>
      <c r="O53" s="931">
        <f>IFERROR(O54*(N100+N101),"")</f>
        <v/>
      </c>
      <c r="P53" s="931">
        <f>IFERROR(P54*(O100+O101),"")</f>
        <v/>
      </c>
      <c r="Q53" s="931">
        <f>IFERROR(Q54*(P100+P101),"")</f>
        <v/>
      </c>
    </row>
    <row r="54" ht="14.25" customFormat="1" customHeight="1" s="288">
      <c r="B54" s="311" t="inlineStr">
        <is>
          <t>% of PP&amp;E+ROU Assets</t>
        </is>
      </c>
      <c r="E54" s="919">
        <f>IFERROR(E53/AVERAGE(Inputs!O40+Inputs!O42,Inputs!N40+Inputs!N42),"")</f>
        <v/>
      </c>
      <c r="F54" s="919">
        <f>IFERROR(F53/AVERAGE(Inputs!P40+Inputs!P42,Inputs!O40+Inputs!O42),"")</f>
        <v/>
      </c>
      <c r="G54" s="920">
        <f>IFERROR(G53/AVERAGE(Inputs!Q40+Inputs!Q42,Inputs!P40+Inputs!P42),"")</f>
        <v/>
      </c>
      <c r="H54" s="921">
        <f>IFERROR(AVERAGE(E54:G54),"")</f>
        <v/>
      </c>
      <c r="I54" s="921">
        <f>IFERROR(AVERAGE(F54:H54),"")</f>
        <v/>
      </c>
      <c r="J54" s="921">
        <f>IFERROR(AVERAGE(G54:I54),"")</f>
        <v/>
      </c>
      <c r="K54" s="921">
        <f>IFERROR(AVERAGE(H54:J54),"")</f>
        <v/>
      </c>
      <c r="L54" s="921">
        <f>IFERROR(AVERAGE(I54:K54),"")</f>
        <v/>
      </c>
      <c r="M54" s="921">
        <f>IFERROR(AVERAGE(J54:L54),"")</f>
        <v/>
      </c>
      <c r="N54" s="921">
        <f>IFERROR(AVERAGE(K54:M54),"")</f>
        <v/>
      </c>
      <c r="O54" s="921">
        <f>IFERROR(AVERAGE(L54:N54),"")</f>
        <v/>
      </c>
      <c r="P54" s="921">
        <f>IFERROR(AVERAGE(M54:O54),"")</f>
        <v/>
      </c>
      <c r="Q54" s="921">
        <f>IFERROR(AVERAGE(N54:P54),"")</f>
        <v/>
      </c>
    </row>
    <row r="55" ht="3.75" customHeight="1" s="783">
      <c r="B55" s="167" t="n"/>
      <c r="E55" s="916" t="n"/>
      <c r="F55" s="916" t="n"/>
      <c r="G55" s="927" t="n"/>
      <c r="H55" s="922" t="n"/>
      <c r="I55" s="922" t="n"/>
      <c r="J55" s="922" t="n"/>
      <c r="K55" s="922" t="n"/>
      <c r="L55" s="922" t="n"/>
      <c r="M55" s="922" t="n"/>
      <c r="N55" s="922" t="n"/>
      <c r="O55" s="922" t="n"/>
      <c r="P55" s="922" t="n"/>
      <c r="Q55" s="922" t="n"/>
    </row>
    <row r="56" customFormat="1" s="167">
      <c r="B56" s="312" t="inlineStr">
        <is>
          <t>Amortization Expense</t>
        </is>
      </c>
      <c r="E56" s="929">
        <f>+_xlfn.XLOOKUP($B56,Inputs!$B:$B,Inputs!O:O)</f>
        <v/>
      </c>
      <c r="F56" s="929">
        <f>+_xlfn.XLOOKUP($B56,Inputs!$B:$B,Inputs!P:P)</f>
        <v/>
      </c>
      <c r="G56" s="930">
        <f>+_xlfn.XLOOKUP($B56,Inputs!$B:$B,Inputs!Q:Q)</f>
        <v/>
      </c>
      <c r="H56" s="928">
        <f>+H57*G105</f>
        <v/>
      </c>
      <c r="I56" s="928">
        <f>+I57*H105</f>
        <v/>
      </c>
      <c r="J56" s="928">
        <f>+J57*I105</f>
        <v/>
      </c>
      <c r="K56" s="928">
        <f>+K57*J105</f>
        <v/>
      </c>
      <c r="L56" s="928">
        <f>+L57*K105</f>
        <v/>
      </c>
      <c r="M56" s="928">
        <f>+M57*L105</f>
        <v/>
      </c>
      <c r="N56" s="928">
        <f>+N57*M105</f>
        <v/>
      </c>
      <c r="O56" s="928">
        <f>+O57*N105</f>
        <v/>
      </c>
      <c r="P56" s="928">
        <f>+P57*O105</f>
        <v/>
      </c>
      <c r="Q56" s="928">
        <f>+Q57*P105</f>
        <v/>
      </c>
    </row>
    <row r="57" ht="14.25" customFormat="1" customHeight="1" s="288">
      <c r="B57" s="311" t="inlineStr">
        <is>
          <t>% of Intangibles excl. Goodwill</t>
        </is>
      </c>
      <c r="E57" s="919">
        <f>IFERROR(E56/AVERAGE(Inputs!N45:O45),"")</f>
        <v/>
      </c>
      <c r="F57" s="919">
        <f>IFERROR(F56/AVERAGE(Inputs!O45:P45),"")</f>
        <v/>
      </c>
      <c r="G57" s="920">
        <f>IFERROR(G56/AVERAGE(Inputs!P45:Q45),"")</f>
        <v/>
      </c>
      <c r="H57" s="921" t="n"/>
      <c r="I57" s="921" t="n"/>
      <c r="J57" s="921" t="n"/>
      <c r="K57" s="921" t="n"/>
      <c r="L57" s="921" t="n"/>
      <c r="M57" s="921" t="n"/>
      <c r="N57" s="921" t="n"/>
      <c r="O57" s="921" t="n"/>
      <c r="P57" s="921" t="n"/>
      <c r="Q57" s="921" t="n"/>
    </row>
    <row r="58" ht="3.95" customHeight="1" s="783">
      <c r="G58" s="173" t="n"/>
    </row>
    <row r="59">
      <c r="B59" s="132" t="inlineStr">
        <is>
          <t>Operating Income (EBIT)</t>
        </is>
      </c>
      <c r="E59" s="910">
        <f>+_xlfn.XLOOKUP($B59,Inputs!$B:$B,Inputs!O:O)</f>
        <v/>
      </c>
      <c r="F59" s="910">
        <f>+_xlfn.XLOOKUP($B59,Inputs!$B:$B,Inputs!P:P)</f>
        <v/>
      </c>
      <c r="G59" s="911">
        <f>+_xlfn.XLOOKUP($B59,Inputs!$B:$B,Inputs!Q:Q)</f>
        <v/>
      </c>
      <c r="H59" s="318">
        <f>+IFERROR(H47-H50,"")</f>
        <v/>
      </c>
      <c r="I59" s="318">
        <f>+IFERROR(I47-I50,"")</f>
        <v/>
      </c>
      <c r="J59" s="318">
        <f>+IFERROR(J47-J50,"")</f>
        <v/>
      </c>
      <c r="K59" s="318">
        <f>+IFERROR(K47-K50,"")</f>
        <v/>
      </c>
      <c r="L59" s="318">
        <f>+IFERROR(L47-L50,"")</f>
        <v/>
      </c>
      <c r="M59" s="318">
        <f>+IFERROR(M47-M50,"")</f>
        <v/>
      </c>
      <c r="N59" s="318">
        <f>+IFERROR(N47-N50,"")</f>
        <v/>
      </c>
      <c r="O59" s="318">
        <f>+IFERROR(O47-O50,"")</f>
        <v/>
      </c>
      <c r="P59" s="318">
        <f>+IFERROR(P47-P50,"")</f>
        <v/>
      </c>
      <c r="Q59" s="318">
        <f>+IFERROR(Q47-Q50,"")</f>
        <v/>
      </c>
    </row>
    <row r="60" ht="14.25" customFormat="1" customHeight="1" s="298">
      <c r="B60" s="288" t="inlineStr">
        <is>
          <t>Operating Margin</t>
        </is>
      </c>
      <c r="E60" s="919">
        <f>IFERROR(E59/E$30,"")</f>
        <v/>
      </c>
      <c r="F60" s="919">
        <f>IFERROR(F59/F$30,"")</f>
        <v/>
      </c>
      <c r="G60" s="920">
        <f>IFERROR(G59/G$30,"")</f>
        <v/>
      </c>
      <c r="H60" s="919">
        <f>IFERROR(H59/H30,"")</f>
        <v/>
      </c>
      <c r="I60" s="919">
        <f>IFERROR(I59/I30,"")</f>
        <v/>
      </c>
      <c r="J60" s="919">
        <f>IFERROR(J59/J30,"")</f>
        <v/>
      </c>
      <c r="K60" s="919">
        <f>IFERROR(K59/K30,"")</f>
        <v/>
      </c>
      <c r="L60" s="919">
        <f>IFERROR(L59/L30,"")</f>
        <v/>
      </c>
      <c r="M60" s="919">
        <f>IFERROR(M59/M30,"")</f>
        <v/>
      </c>
      <c r="N60" s="919">
        <f>IFERROR(N59/N30,"")</f>
        <v/>
      </c>
      <c r="O60" s="919">
        <f>IFERROR(O59/O30,"")</f>
        <v/>
      </c>
      <c r="P60" s="919">
        <f>IFERROR(P59/P30,"")</f>
        <v/>
      </c>
      <c r="Q60" s="919">
        <f>IFERROR(Q59/Q30,"")</f>
        <v/>
      </c>
    </row>
    <row r="61" ht="3.75" customHeight="1" s="783">
      <c r="B61" s="132" t="n"/>
      <c r="E61" s="919" t="n"/>
      <c r="F61" s="919" t="n"/>
      <c r="G61" s="923" t="n"/>
      <c r="H61" s="853" t="n"/>
      <c r="I61" s="853" t="n"/>
      <c r="J61" s="853" t="n"/>
      <c r="K61" s="853" t="n"/>
      <c r="L61" s="853" t="n"/>
      <c r="M61" s="853" t="n"/>
      <c r="N61" s="853" t="n"/>
      <c r="O61" s="853" t="n"/>
      <c r="P61" s="853" t="n"/>
      <c r="Q61" s="853" t="n"/>
    </row>
    <row r="62" ht="13.5" customHeight="1" s="783">
      <c r="B62" s="287" t="inlineStr">
        <is>
          <t>Net Interest Expense (Income)</t>
        </is>
      </c>
      <c r="E62" s="910">
        <f>+_xlfn.XLOOKUP($B62,Inputs!$B:$B,Inputs!O:O)</f>
        <v/>
      </c>
      <c r="F62" s="910">
        <f>+_xlfn.XLOOKUP($B62,Inputs!$B:$B,Inputs!P:P)</f>
        <v/>
      </c>
      <c r="G62" s="911">
        <f>+_xlfn.XLOOKUP($B62,Inputs!$B:$B,Inputs!Q:Q)</f>
        <v/>
      </c>
      <c r="H62" s="318">
        <f>-H65-H68</f>
        <v/>
      </c>
      <c r="I62" s="318">
        <f>-I65-I68</f>
        <v/>
      </c>
      <c r="J62" s="318">
        <f>-J65-J68</f>
        <v/>
      </c>
      <c r="K62" s="318">
        <f>-K65-K68</f>
        <v/>
      </c>
      <c r="L62" s="318">
        <f>-L65-L68</f>
        <v/>
      </c>
      <c r="M62" s="318">
        <f>-M65-M68</f>
        <v/>
      </c>
      <c r="N62" s="318">
        <f>-N65-N68</f>
        <v/>
      </c>
      <c r="O62" s="318">
        <f>-O65-O68</f>
        <v/>
      </c>
      <c r="P62" s="318">
        <f>-P65-P68</f>
        <v/>
      </c>
      <c r="Q62" s="318">
        <f>-Q65-Q68</f>
        <v/>
      </c>
    </row>
    <row r="63" ht="13.5" customHeight="1" s="783">
      <c r="B63" s="311" t="inlineStr">
        <is>
          <t>% of Net Debt</t>
        </is>
      </c>
      <c r="E63" s="919">
        <f>IFERROR(E62/AVERAGE(Inputs!N117:O117),"")</f>
        <v/>
      </c>
      <c r="F63" s="919">
        <f>IFERROR(F62/AVERAGE(Inputs!O117:P117),"")</f>
        <v/>
      </c>
      <c r="G63" s="920">
        <f>IFERROR(G62/AVERAGE(Inputs!P117:Q117),"")</f>
        <v/>
      </c>
      <c r="H63" s="919">
        <f>IFERROR(H62/AVERAGE(G116+G118,H116+H118),"")</f>
        <v/>
      </c>
      <c r="I63" s="919">
        <f>IFERROR(I62/AVERAGE(H116+H118,I116+I118),"")</f>
        <v/>
      </c>
      <c r="J63" s="919">
        <f>IFERROR(J62/AVERAGE(I116+I118,J116+J118),"")</f>
        <v/>
      </c>
      <c r="K63" s="919">
        <f>IFERROR(K62/AVERAGE(J116+J118,K116+K118),"")</f>
        <v/>
      </c>
      <c r="L63" s="919">
        <f>IFERROR(L62/AVERAGE(K116+K118,L116+L118),"")</f>
        <v/>
      </c>
      <c r="M63" s="919">
        <f>IFERROR(M62/AVERAGE(L116+L118,M116+M118),"")</f>
        <v/>
      </c>
      <c r="N63" s="919">
        <f>IFERROR(N62/AVERAGE(M116+M118,N116+N118),"")</f>
        <v/>
      </c>
      <c r="O63" s="919">
        <f>IFERROR(O62/AVERAGE(N116+N118,O116+O118),"")</f>
        <v/>
      </c>
      <c r="P63" s="919">
        <f>IFERROR(P62/AVERAGE(O116+O118,P116+P118),"")</f>
        <v/>
      </c>
      <c r="Q63" s="919">
        <f>IFERROR(Q62/AVERAGE(P116+P118,Q116+Q118),"")</f>
        <v/>
      </c>
    </row>
    <row r="64" ht="3.75" customHeight="1" s="783">
      <c r="B64" s="132" t="n"/>
      <c r="E64" s="919" t="n"/>
      <c r="F64" s="919" t="n"/>
      <c r="G64" s="920" t="n"/>
      <c r="H64" s="853" t="n"/>
      <c r="I64" s="853" t="n"/>
      <c r="J64" s="853" t="n"/>
      <c r="K64" s="853" t="n"/>
      <c r="L64" s="853" t="n"/>
      <c r="M64" s="853" t="n"/>
      <c r="N64" s="853" t="n"/>
      <c r="O64" s="853" t="n"/>
      <c r="P64" s="853" t="n"/>
      <c r="Q64" s="853" t="n"/>
    </row>
    <row r="65" s="783">
      <c r="B65" s="310" t="inlineStr">
        <is>
          <t>Interest Expense</t>
        </is>
      </c>
      <c r="E65" s="910">
        <f>+_xlfn.XLOOKUP($B65,Inputs!$B:$B,Inputs!O:O)</f>
        <v/>
      </c>
      <c r="F65" s="910">
        <f>+_xlfn.XLOOKUP($B65,Inputs!$B:$B,Inputs!P:P)</f>
        <v/>
      </c>
      <c r="G65" s="911">
        <f>+_xlfn.XLOOKUP($B65,Inputs!$B:$B,Inputs!Q:Q)</f>
        <v/>
      </c>
      <c r="H65" s="318" t="n"/>
      <c r="I65" s="318" t="n"/>
      <c r="J65" s="318" t="n"/>
      <c r="K65" s="318" t="n"/>
      <c r="L65" s="318" t="n"/>
      <c r="M65" s="318" t="n"/>
      <c r="N65" s="318" t="n"/>
      <c r="O65" s="318" t="n"/>
      <c r="P65" s="318" t="n"/>
      <c r="Q65" s="318" t="n"/>
    </row>
    <row r="66" ht="14.25" customFormat="1" customHeight="1" s="298">
      <c r="B66" s="311" t="inlineStr">
        <is>
          <t>% of Debt</t>
        </is>
      </c>
      <c r="E66" s="919">
        <f>+IFERROR(E65/AVERAGE(Inputs!N114:O114),"")</f>
        <v/>
      </c>
      <c r="F66" s="919">
        <f>+IFERROR(F65/AVERAGE(Inputs!O114:P114),"")</f>
        <v/>
      </c>
      <c r="G66" s="920">
        <f>+IFERROR(G65/AVERAGE(Inputs!P114:Q114),"")</f>
        <v/>
      </c>
      <c r="H66" s="932" t="n"/>
      <c r="I66" s="932" t="n"/>
      <c r="J66" s="932" t="n"/>
      <c r="K66" s="932" t="n"/>
      <c r="L66" s="932" t="n"/>
      <c r="M66" s="932" t="n"/>
      <c r="N66" s="932" t="n"/>
      <c r="O66" s="932" t="n"/>
      <c r="P66" s="932" t="n"/>
      <c r="Q66" s="932" t="n"/>
    </row>
    <row r="67" ht="3.75" customHeight="1" s="783">
      <c r="B67" s="781" t="n"/>
      <c r="E67" s="919" t="n"/>
      <c r="F67" s="919" t="n"/>
      <c r="G67" s="923" t="n"/>
      <c r="H67" s="853" t="n"/>
      <c r="I67" s="853" t="n"/>
      <c r="J67" s="853" t="n"/>
      <c r="K67" s="853" t="n"/>
      <c r="L67" s="853" t="n"/>
      <c r="M67" s="853" t="n"/>
      <c r="N67" s="853" t="n"/>
      <c r="O67" s="853" t="n"/>
      <c r="P67" s="853" t="n"/>
      <c r="Q67" s="853" t="n"/>
    </row>
    <row r="68" s="783">
      <c r="B68" s="310" t="inlineStr">
        <is>
          <t>Interest Income</t>
        </is>
      </c>
      <c r="E68" s="910">
        <f>+_xlfn.XLOOKUP($B68,Inputs!$B:$B,Inputs!O:O)</f>
        <v/>
      </c>
      <c r="F68" s="910">
        <f>+_xlfn.XLOOKUP($B68,Inputs!$B:$B,Inputs!P:P)</f>
        <v/>
      </c>
      <c r="G68" s="911">
        <f>+_xlfn.XLOOKUP($B68,Inputs!$B:$B,Inputs!Q:Q)</f>
        <v/>
      </c>
      <c r="H68" s="318" t="n"/>
      <c r="I68" s="318" t="n"/>
      <c r="J68" s="318" t="n"/>
      <c r="K68" s="318" t="n"/>
      <c r="L68" s="318" t="n"/>
      <c r="M68" s="318" t="n"/>
      <c r="N68" s="318" t="n"/>
      <c r="O68" s="318" t="n"/>
      <c r="P68" s="318" t="n"/>
      <c r="Q68" s="318" t="n"/>
    </row>
    <row r="69" ht="14.25" customFormat="1" customHeight="1" s="298">
      <c r="B69" s="311" t="inlineStr">
        <is>
          <t>% Cash &amp; Cash Eq. &amp; ST Investments</t>
        </is>
      </c>
      <c r="E69" s="919">
        <f>IFERROR(E68/+AVERAGE(Inputs!N32:O32),"")</f>
        <v/>
      </c>
      <c r="F69" s="919">
        <f>IFERROR(F68/+AVERAGE(Inputs!O32:P32),"")</f>
        <v/>
      </c>
      <c r="G69" s="920">
        <f>IFERROR(G68/+AVERAGE(Inputs!P32:Q32),"")</f>
        <v/>
      </c>
      <c r="H69" s="932" t="n"/>
      <c r="I69" s="932" t="n"/>
      <c r="J69" s="932" t="n"/>
      <c r="K69" s="932" t="n"/>
      <c r="L69" s="932" t="n"/>
      <c r="M69" s="932" t="n"/>
      <c r="N69" s="932" t="n"/>
      <c r="O69" s="932" t="n"/>
      <c r="P69" s="932" t="n"/>
      <c r="Q69" s="932" t="n"/>
    </row>
    <row r="70" ht="3.75" customFormat="1" customHeight="1" s="298">
      <c r="B70" s="297" t="n"/>
      <c r="E70" s="919" t="n"/>
      <c r="F70" s="919" t="n"/>
      <c r="G70" s="920" t="n"/>
      <c r="H70" s="933" t="n"/>
      <c r="I70" s="933" t="n"/>
      <c r="J70" s="933" t="n"/>
      <c r="K70" s="933" t="n"/>
      <c r="L70" s="933" t="n"/>
      <c r="M70" s="933" t="n"/>
      <c r="N70" s="933" t="n"/>
      <c r="O70" s="933" t="n"/>
      <c r="P70" s="933" t="n"/>
      <c r="Q70" s="933" t="n"/>
    </row>
    <row r="71" customFormat="1" s="298">
      <c r="B71" s="287" t="inlineStr">
        <is>
          <t>FX (Gain) Loss</t>
        </is>
      </c>
      <c r="E71" s="910">
        <f>+_xlfn.XLOOKUP($B71,Inputs!$B:$B,Inputs!O:O)</f>
        <v/>
      </c>
      <c r="F71" s="910">
        <f>+_xlfn.XLOOKUP($B71,Inputs!$B:$B,Inputs!P:P)</f>
        <v/>
      </c>
      <c r="G71" s="911">
        <f>+_xlfn.XLOOKUP($B71,Inputs!$B:$B,Inputs!Q:Q)</f>
        <v/>
      </c>
      <c r="H71" s="318">
        <f>+H72*H$17</f>
        <v/>
      </c>
      <c r="I71" s="318">
        <f>+I72*I$17</f>
        <v/>
      </c>
      <c r="J71" s="318">
        <f>+J72*J$17</f>
        <v/>
      </c>
      <c r="K71" s="318">
        <f>+K72*K$17</f>
        <v/>
      </c>
      <c r="L71" s="318">
        <f>+L72*L$17</f>
        <v/>
      </c>
      <c r="M71" s="318">
        <f>+M72*M$17</f>
        <v/>
      </c>
      <c r="N71" s="318">
        <f>+N72*N$17</f>
        <v/>
      </c>
      <c r="O71" s="318">
        <f>+O72*O$17</f>
        <v/>
      </c>
      <c r="P71" s="318">
        <f>+P72*P$17</f>
        <v/>
      </c>
      <c r="Q71" s="318">
        <f>+Q72*Q$17</f>
        <v/>
      </c>
    </row>
    <row r="72" ht="14.25" customFormat="1" customHeight="1" s="298">
      <c r="B72" s="311" t="inlineStr">
        <is>
          <t>% of revenue</t>
        </is>
      </c>
      <c r="E72" s="919" t="n"/>
      <c r="F72" s="919" t="n"/>
      <c r="G72" s="920" t="n"/>
      <c r="H72" s="932" t="n"/>
      <c r="I72" s="932" t="n"/>
      <c r="J72" s="932" t="n"/>
      <c r="K72" s="932" t="n"/>
      <c r="L72" s="932" t="n"/>
      <c r="M72" s="932" t="n"/>
      <c r="N72" s="932" t="n"/>
      <c r="O72" s="932" t="n"/>
      <c r="P72" s="932" t="n"/>
      <c r="Q72" s="932" t="n"/>
    </row>
    <row r="73" ht="5.25" customFormat="1" customHeight="1" s="298">
      <c r="B73" s="311" t="n"/>
      <c r="E73" s="919" t="n"/>
      <c r="F73" s="919" t="n"/>
      <c r="G73" s="920" t="n"/>
      <c r="H73" s="933" t="n"/>
      <c r="I73" s="933" t="n"/>
      <c r="J73" s="933" t="n"/>
      <c r="K73" s="933" t="n"/>
      <c r="L73" s="933" t="n"/>
      <c r="M73" s="933" t="n"/>
      <c r="N73" s="933" t="n"/>
      <c r="O73" s="933" t="n"/>
      <c r="P73" s="933" t="n"/>
      <c r="Q73" s="933" t="n"/>
    </row>
    <row r="74" customFormat="1" s="298">
      <c r="B74" s="287" t="inlineStr">
        <is>
          <t>Other Non-Operating (Income) Expenses</t>
        </is>
      </c>
      <c r="E74" s="910">
        <f>+_xlfn.XLOOKUP($B74,Inputs!$B:$B,Inputs!O:O)</f>
        <v/>
      </c>
      <c r="F74" s="910">
        <f>+_xlfn.XLOOKUP($B74,Inputs!$B:$B,Inputs!P:P)</f>
        <v/>
      </c>
      <c r="G74" s="911">
        <f>+_xlfn.XLOOKUP($B74,Inputs!$B:$B,Inputs!Q:Q)</f>
        <v/>
      </c>
      <c r="H74" s="318">
        <f>IFERROR(AVERAGE(E74:G74)*(1+H31),"")</f>
        <v/>
      </c>
      <c r="I74" s="318">
        <f>IFERROR(AVERAGE(F74:H74)*(1+I31),"")</f>
        <v/>
      </c>
      <c r="J74" s="318">
        <f>IFERROR(AVERAGE(G74:I74)*(1+J31),"")</f>
        <v/>
      </c>
      <c r="K74" s="318">
        <f>IFERROR(AVERAGE(H74:J74)*(1+K31),"")</f>
        <v/>
      </c>
      <c r="L74" s="318">
        <f>IFERROR(AVERAGE(I74:K74)*(1+L31),"")</f>
        <v/>
      </c>
      <c r="M74" s="318">
        <f>IFERROR(AVERAGE(J74:L74)*(1+M31),"")</f>
        <v/>
      </c>
      <c r="N74" s="318">
        <f>IFERROR(AVERAGE(K74:M74)*(1+N31),"")</f>
        <v/>
      </c>
      <c r="O74" s="318">
        <f>IFERROR(AVERAGE(L74:N74)*(1+O31),"")</f>
        <v/>
      </c>
      <c r="P74" s="318">
        <f>IFERROR(AVERAGE(M74:O74)*(1+P31),"")</f>
        <v/>
      </c>
      <c r="Q74" s="318">
        <f>IFERROR(AVERAGE(N74:P74)*(1+Q31),"")</f>
        <v/>
      </c>
    </row>
    <row r="75" ht="3.75" customHeight="1" s="783">
      <c r="B75" s="167" t="n"/>
      <c r="G75" s="162" t="n"/>
      <c r="H75" s="137" t="n"/>
      <c r="I75" s="137" t="n"/>
      <c r="J75" s="137" t="n"/>
      <c r="K75" s="137" t="n"/>
      <c r="L75" s="137" t="n"/>
      <c r="O75" s="137" t="n"/>
      <c r="P75" s="137" t="n"/>
      <c r="Q75" s="137" t="n"/>
    </row>
    <row r="76" ht="13.5" customHeight="1" s="783">
      <c r="B76" s="213" t="inlineStr">
        <is>
          <t>Pre-Tax Income (EBT)</t>
        </is>
      </c>
      <c r="E76" s="910">
        <f>+_xlfn.XLOOKUP($B76,Inputs!$B:$B,Inputs!O:O)</f>
        <v/>
      </c>
      <c r="F76" s="910">
        <f>+_xlfn.XLOOKUP($B76,Inputs!$B:$B,Inputs!P:P)</f>
        <v/>
      </c>
      <c r="G76" s="911">
        <f>+_xlfn.XLOOKUP($B76,Inputs!$B:$B,Inputs!Q:Q)</f>
        <v/>
      </c>
      <c r="H76" s="912">
        <f>IFERROR(+H59-H62-H71-H74,"")</f>
        <v/>
      </c>
      <c r="I76" s="912">
        <f>IFERROR(+I59-I62-I71-I74,"")</f>
        <v/>
      </c>
      <c r="J76" s="912">
        <f>IFERROR(+J59-J62-J71-J74,"")</f>
        <v/>
      </c>
      <c r="K76" s="912">
        <f>IFERROR(+K59-K62-K71-K74,"")</f>
        <v/>
      </c>
      <c r="L76" s="912">
        <f>IFERROR(+L59-L62-L71-L74,"")</f>
        <v/>
      </c>
      <c r="M76" s="912">
        <f>IFERROR(+M59-M62-M71-M74,"")</f>
        <v/>
      </c>
      <c r="N76" s="912">
        <f>IFERROR(+N59-N62-N71-N74,"")</f>
        <v/>
      </c>
      <c r="O76" s="912">
        <f>IFERROR(+O59-O62-O71-O74,"")</f>
        <v/>
      </c>
      <c r="P76" s="912">
        <f>IFERROR(+P59-P62-P71-P74,"")</f>
        <v/>
      </c>
      <c r="Q76" s="912">
        <f>IFERROR(+Q59-Q62-Q71-Q74,"")</f>
        <v/>
      </c>
    </row>
    <row r="77" ht="5.25" customHeight="1" s="783">
      <c r="G77" s="162" t="n"/>
      <c r="H77" s="137" t="n"/>
      <c r="I77" s="137" t="n"/>
      <c r="J77" s="137" t="n"/>
      <c r="K77" s="137" t="n"/>
      <c r="L77" s="137" t="n"/>
      <c r="O77" s="137" t="n"/>
      <c r="P77" s="137" t="n"/>
      <c r="Q77" s="137" t="n"/>
    </row>
    <row r="78">
      <c r="B78" s="132" t="inlineStr">
        <is>
          <t>Tax Expense (Benefits)</t>
        </is>
      </c>
      <c r="E78" s="910">
        <f>+_xlfn.XLOOKUP($B78,Inputs!$B:$B,Inputs!O:O)</f>
        <v/>
      </c>
      <c r="F78" s="910">
        <f>+_xlfn.XLOOKUP($B78,Inputs!$B:$B,Inputs!P:P)</f>
        <v/>
      </c>
      <c r="G78" s="911">
        <f>+_xlfn.XLOOKUP($B78,Inputs!$B:$B,Inputs!Q:Q)</f>
        <v/>
      </c>
      <c r="H78" s="912">
        <f>IFERROR(H79*H$59,"")</f>
        <v/>
      </c>
      <c r="I78" s="912">
        <f>IFERROR(I79*I$59,"")</f>
        <v/>
      </c>
      <c r="J78" s="912">
        <f>IFERROR(J79*J$59,"")</f>
        <v/>
      </c>
      <c r="K78" s="912">
        <f>IFERROR(K79*K$59,"")</f>
        <v/>
      </c>
      <c r="L78" s="912">
        <f>IFERROR(L79*L$59,"")</f>
        <v/>
      </c>
      <c r="M78" s="912">
        <f>IFERROR(M79*M$59,"")</f>
        <v/>
      </c>
      <c r="N78" s="912">
        <f>IFERROR(N79*N$59,"")</f>
        <v/>
      </c>
      <c r="O78" s="912">
        <f>IFERROR(O79*O$59,"")</f>
        <v/>
      </c>
      <c r="P78" s="912">
        <f>IFERROR(P79*P$59,"")</f>
        <v/>
      </c>
      <c r="Q78" s="912">
        <f>IFERROR(Q79*Q$59,"")</f>
        <v/>
      </c>
    </row>
    <row r="79" ht="14.25" customFormat="1" customHeight="1" s="288">
      <c r="B79" s="288" t="inlineStr">
        <is>
          <t>% of EBT</t>
        </is>
      </c>
      <c r="E79" s="919">
        <f>IFERROR(E78/E76,"")</f>
        <v/>
      </c>
      <c r="F79" s="919">
        <f>IFERROR(F78/F76,"")</f>
        <v/>
      </c>
      <c r="G79" s="920">
        <f>IFERROR(G78/G76,"")</f>
        <v/>
      </c>
      <c r="H79" s="921">
        <f>IFERROR(AVERAGE(E79:G79),"")</f>
        <v/>
      </c>
      <c r="I79" s="921">
        <f>IFERROR(AVERAGE(F79:H79),"")</f>
        <v/>
      </c>
      <c r="J79" s="921">
        <f>IFERROR(AVERAGE(G79:I79),"")</f>
        <v/>
      </c>
      <c r="K79" s="921">
        <f>IFERROR(AVERAGE(H79:J79),"")</f>
        <v/>
      </c>
      <c r="L79" s="921">
        <f>IFERROR(AVERAGE(I79:K79),"")</f>
        <v/>
      </c>
      <c r="M79" s="921">
        <f>IFERROR(AVERAGE(J79:L79),"")</f>
        <v/>
      </c>
      <c r="N79" s="921">
        <f>IFERROR(AVERAGE(K79:M79),"")</f>
        <v/>
      </c>
      <c r="O79" s="921">
        <f>IFERROR(AVERAGE(L79:N79),"")</f>
        <v/>
      </c>
      <c r="P79" s="921">
        <f>IFERROR(AVERAGE(M79:O79),"")</f>
        <v/>
      </c>
      <c r="Q79" s="921">
        <f>IFERROR(AVERAGE(N79:P79),"")</f>
        <v/>
      </c>
    </row>
    <row r="80" ht="3.75" customFormat="1" customHeight="1" s="288">
      <c r="E80" s="919" t="n"/>
      <c r="F80" s="919" t="n"/>
      <c r="G80" s="920" t="n"/>
      <c r="H80" s="919" t="n"/>
      <c r="I80" s="919" t="n"/>
      <c r="J80" s="919" t="n"/>
      <c r="K80" s="919" t="n"/>
      <c r="L80" s="919" t="n"/>
      <c r="M80" s="919" t="n"/>
      <c r="N80" s="919" t="n"/>
      <c r="O80" s="919" t="n"/>
      <c r="P80" s="919" t="n"/>
      <c r="Q80" s="919" t="n"/>
    </row>
    <row r="81" customFormat="1" s="288">
      <c r="B81" s="132" t="inlineStr">
        <is>
          <t>Net Income</t>
        </is>
      </c>
      <c r="E81" s="910">
        <f>+_xlfn.XLOOKUP($B81,Inputs!$B:$B,Inputs!O:O)</f>
        <v/>
      </c>
      <c r="F81" s="910">
        <f>+_xlfn.XLOOKUP($B81,Inputs!$B:$B,Inputs!P:P)</f>
        <v/>
      </c>
      <c r="G81" s="911">
        <f>+_xlfn.XLOOKUP($B81,Inputs!$B:$B,Inputs!Q:Q)</f>
        <v/>
      </c>
      <c r="H81" s="912">
        <f>IFERROR(+H76-H78,"")</f>
        <v/>
      </c>
      <c r="I81" s="912">
        <f>IFERROR(+I76-I78,"")</f>
        <v/>
      </c>
      <c r="J81" s="912">
        <f>IFERROR(+J76-J78,"")</f>
        <v/>
      </c>
      <c r="K81" s="912">
        <f>IFERROR(+K76-K78,"")</f>
        <v/>
      </c>
      <c r="L81" s="912">
        <f>IFERROR(+L76-L78,"")</f>
        <v/>
      </c>
      <c r="M81" s="912">
        <f>IFERROR(+M76-M78,"")</f>
        <v/>
      </c>
      <c r="N81" s="912">
        <f>IFERROR(+N76-N78,"")</f>
        <v/>
      </c>
      <c r="O81" s="912">
        <f>IFERROR(+O76-O78,"")</f>
        <v/>
      </c>
      <c r="P81" s="912">
        <f>IFERROR(+P76-P78,"")</f>
        <v/>
      </c>
      <c r="Q81" s="912">
        <f>IFERROR(+Q76-Q78,"")</f>
        <v/>
      </c>
    </row>
    <row r="82" ht="14.25" customFormat="1" customHeight="1" s="288">
      <c r="B82" s="288" t="inlineStr">
        <is>
          <t>Net Income Margin</t>
        </is>
      </c>
      <c r="E82" s="919">
        <f>IFERROR(E81/E$30,"")</f>
        <v/>
      </c>
      <c r="F82" s="919">
        <f>IFERROR(F81/F$30,"")</f>
        <v/>
      </c>
      <c r="G82" s="920">
        <f>IFERROR(G81/G$30,"")</f>
        <v/>
      </c>
      <c r="H82" s="919">
        <f>IFERROR(H81/H$30,"")</f>
        <v/>
      </c>
      <c r="I82" s="919">
        <f>IFERROR(I81/I$30,"")</f>
        <v/>
      </c>
      <c r="J82" s="919">
        <f>IFERROR(J81/J$30,"")</f>
        <v/>
      </c>
      <c r="K82" s="919">
        <f>IFERROR(K81/K$30,"")</f>
        <v/>
      </c>
      <c r="L82" s="919">
        <f>IFERROR(L81/L$30,"")</f>
        <v/>
      </c>
      <c r="M82" s="919">
        <f>IFERROR(M81/M$30,"")</f>
        <v/>
      </c>
      <c r="N82" s="919">
        <f>IFERROR(N81/N$30,"")</f>
        <v/>
      </c>
      <c r="O82" s="919">
        <f>IFERROR(O81/O$30,"")</f>
        <v/>
      </c>
      <c r="P82" s="919">
        <f>IFERROR(P81/P$30,"")</f>
        <v/>
      </c>
      <c r="Q82" s="919">
        <f>IFERROR(Q81/Q$30,"")</f>
        <v/>
      </c>
    </row>
    <row r="83" ht="3.75" customHeight="1" s="783">
      <c r="B83" s="167" t="n"/>
      <c r="G83" s="162" t="n"/>
    </row>
    <row r="84" ht="15.75" customHeight="1" s="783">
      <c r="A84" s="132" t="inlineStr">
        <is>
          <t>x</t>
        </is>
      </c>
      <c r="B84" s="52" t="inlineStr">
        <is>
          <t>Balance Sheet</t>
        </is>
      </c>
      <c r="C84" s="56" t="n"/>
      <c r="D84" s="56" t="n"/>
      <c r="E84" s="902">
        <f>E28</f>
        <v/>
      </c>
      <c r="F84" s="902">
        <f>F28</f>
        <v/>
      </c>
      <c r="G84" s="903">
        <f>G28</f>
        <v/>
      </c>
      <c r="H84" s="855">
        <f>H28</f>
        <v/>
      </c>
      <c r="I84" s="855">
        <f>I28</f>
        <v/>
      </c>
      <c r="J84" s="855">
        <f>J28</f>
        <v/>
      </c>
      <c r="K84" s="855">
        <f>K28</f>
        <v/>
      </c>
      <c r="L84" s="855">
        <f>L28</f>
        <v/>
      </c>
      <c r="M84" s="855">
        <f>M28</f>
        <v/>
      </c>
      <c r="N84" s="855">
        <f>N28</f>
        <v/>
      </c>
      <c r="O84" s="855">
        <f>O28</f>
        <v/>
      </c>
      <c r="P84" s="855">
        <f>P28</f>
        <v/>
      </c>
      <c r="Q84" s="855">
        <f>Q28</f>
        <v/>
      </c>
    </row>
    <row r="85" ht="3.95" customHeight="1" s="783">
      <c r="B85" s="179" t="n"/>
      <c r="C85" s="53" t="n"/>
      <c r="D85" s="53" t="n"/>
      <c r="E85" s="53" t="n"/>
      <c r="F85" s="53" t="n"/>
      <c r="G85" s="180" t="n"/>
      <c r="H85" s="53" t="n"/>
      <c r="I85" s="53" t="n"/>
      <c r="J85" s="53" t="n"/>
      <c r="K85" s="53" t="n"/>
      <c r="L85" s="53" t="n"/>
      <c r="M85" s="53" t="n"/>
      <c r="N85" s="53" t="n"/>
      <c r="O85" s="53" t="n"/>
      <c r="P85" s="53" t="n"/>
      <c r="Q85" s="53" t="n"/>
    </row>
    <row r="86" ht="13.5" customHeight="1" s="783">
      <c r="B86" s="164" t="inlineStr">
        <is>
          <t>Assets</t>
        </is>
      </c>
      <c r="G86" s="173" t="n"/>
    </row>
    <row r="87" ht="5.25" customHeight="1" s="783">
      <c r="B87" s="167" t="n"/>
      <c r="G87" s="173" t="n"/>
    </row>
    <row r="88" ht="13.5" customHeight="1" s="783">
      <c r="B88" s="132" t="inlineStr">
        <is>
          <t>Cash &amp; Cash Equivalents &amp; ST Investments</t>
        </is>
      </c>
      <c r="E88" s="910">
        <f>+_xlfn.XLOOKUP($B88,Inputs!$B:$B,Inputs!O:O)</f>
        <v/>
      </c>
      <c r="F88" s="910">
        <f>+_xlfn.XLOOKUP($B88,Inputs!$B:$B,Inputs!P:P)</f>
        <v/>
      </c>
      <c r="G88" s="911">
        <f>+_xlfn.XLOOKUP($B88,Inputs!$B:$B,Inputs!Q:Q)</f>
        <v/>
      </c>
      <c r="H88" s="901">
        <f>IFERROR(G88+H165,"")</f>
        <v/>
      </c>
      <c r="I88" s="901">
        <f>IFERROR(H88+I165,"")</f>
        <v/>
      </c>
      <c r="J88" s="901">
        <f>IFERROR(I88+J165,"")</f>
        <v/>
      </c>
      <c r="K88" s="901">
        <f>IFERROR(J88+K165,"")</f>
        <v/>
      </c>
      <c r="L88" s="901">
        <f>IFERROR(K88+L165,"")</f>
        <v/>
      </c>
      <c r="M88" s="901">
        <f>IFERROR(L88+M165,"")</f>
        <v/>
      </c>
      <c r="N88" s="901">
        <f>IFERROR(M88+N165,"")</f>
        <v/>
      </c>
      <c r="O88" s="901">
        <f>IFERROR(N88+O165,"")</f>
        <v/>
      </c>
      <c r="P88" s="901">
        <f>IFERROR(O88+P165,"")</f>
        <v/>
      </c>
      <c r="Q88" s="901">
        <f>IFERROR(P88+Q165,"")</f>
        <v/>
      </c>
    </row>
    <row r="89" ht="3.75" customHeight="1" s="783">
      <c r="E89" s="910" t="n"/>
      <c r="F89" s="910" t="n"/>
      <c r="G89" s="911" t="n"/>
    </row>
    <row r="90">
      <c r="B90" s="132" t="inlineStr">
        <is>
          <t>Accounts Receivable</t>
        </is>
      </c>
      <c r="E90" s="910">
        <f>+_xlfn.XLOOKUP($B90,Inputs!$B:$B,Inputs!O:O)</f>
        <v/>
      </c>
      <c r="F90" s="910">
        <f>+_xlfn.XLOOKUP($B90,Inputs!$B:$B,Inputs!P:P)</f>
        <v/>
      </c>
      <c r="G90" s="911">
        <f>+_xlfn.XLOOKUP($B90,Inputs!$B:$B,Inputs!Q:Q)</f>
        <v/>
      </c>
      <c r="H90" s="901">
        <f>IFERROR(H91*H30/365,"")</f>
        <v/>
      </c>
      <c r="I90" s="901">
        <f>IFERROR(I91*I30/365,"")</f>
        <v/>
      </c>
      <c r="J90" s="901">
        <f>IFERROR(J91*J30/365,"")</f>
        <v/>
      </c>
      <c r="K90" s="901">
        <f>IFERROR(K91*K30/365,"")</f>
        <v/>
      </c>
      <c r="L90" s="901">
        <f>IFERROR(L91*L30/365,"")</f>
        <v/>
      </c>
      <c r="M90" s="901">
        <f>IFERROR(M91*M30/365,"")</f>
        <v/>
      </c>
      <c r="N90" s="901">
        <f>IFERROR(N91*N30/365,"")</f>
        <v/>
      </c>
      <c r="O90" s="901">
        <f>IFERROR(O91*O30/365,"")</f>
        <v/>
      </c>
      <c r="P90" s="901">
        <f>IFERROR(P91*P30/365,"")</f>
        <v/>
      </c>
      <c r="Q90" s="901">
        <f>IFERROR(Q91*Q30/365,"")</f>
        <v/>
      </c>
    </row>
    <row r="91">
      <c r="B91" s="167" t="inlineStr">
        <is>
          <t>DSO</t>
        </is>
      </c>
      <c r="E91" s="934">
        <f>IFERROR(E90/E30*365,"")</f>
        <v/>
      </c>
      <c r="F91" s="934">
        <f>IFERROR(F90/F30*365,"")</f>
        <v/>
      </c>
      <c r="G91" s="935">
        <f>IFERROR(G90/G30*366,"")</f>
        <v/>
      </c>
      <c r="H91" s="936">
        <f>IFERROR(AVERAGE(E91:G91),"")</f>
        <v/>
      </c>
      <c r="I91" s="936">
        <f>IFERROR(AVERAGE(F91:H91),"")</f>
        <v/>
      </c>
      <c r="J91" s="936">
        <f>IFERROR(AVERAGE(G91:I91),"")</f>
        <v/>
      </c>
      <c r="K91" s="936">
        <f>IFERROR(AVERAGE(H91:J91),"")</f>
        <v/>
      </c>
      <c r="L91" s="936">
        <f>IFERROR(AVERAGE(I91:K91),"")</f>
        <v/>
      </c>
      <c r="M91" s="936">
        <f>IFERROR(AVERAGE(J91:L91),"")</f>
        <v/>
      </c>
      <c r="N91" s="936">
        <f>IFERROR(AVERAGE(K91:M91),"")</f>
        <v/>
      </c>
      <c r="O91" s="936">
        <f>IFERROR(AVERAGE(L91:N91),"")</f>
        <v/>
      </c>
      <c r="P91" s="936">
        <f>IFERROR(AVERAGE(M91:O91),"")</f>
        <v/>
      </c>
      <c r="Q91" s="936">
        <f>IFERROR(AVERAGE(N91:P91),"")</f>
        <v/>
      </c>
    </row>
    <row r="92" ht="3.75" customHeight="1" s="783">
      <c r="E92" s="184" t="n"/>
      <c r="F92" s="184" t="n"/>
      <c r="G92" s="185" t="n"/>
      <c r="H92" s="901" t="n"/>
      <c r="I92" s="901" t="n"/>
      <c r="J92" s="901" t="n"/>
      <c r="K92" s="901" t="n"/>
      <c r="L92" s="901" t="n"/>
      <c r="O92" s="901" t="n"/>
      <c r="P92" s="901" t="n"/>
      <c r="Q92" s="901" t="n"/>
    </row>
    <row r="93">
      <c r="B93" s="132" t="inlineStr">
        <is>
          <t>Inventory</t>
        </is>
      </c>
      <c r="E93" s="910">
        <f>+_xlfn.XLOOKUP($B93,Inputs!$B:$B,Inputs!O:O)</f>
        <v/>
      </c>
      <c r="F93" s="910">
        <f>+_xlfn.XLOOKUP($B93,Inputs!$B:$B,Inputs!P:P)</f>
        <v/>
      </c>
      <c r="G93" s="911">
        <f>+_xlfn.XLOOKUP($B93,Inputs!$B:$B,Inputs!Q:Q)</f>
        <v/>
      </c>
      <c r="H93" s="901">
        <f>+IFERROR(H94*H33/365,"")</f>
        <v/>
      </c>
      <c r="I93" s="901">
        <f>+IFERROR(I94*I33/365,"")</f>
        <v/>
      </c>
      <c r="J93" s="901">
        <f>+IFERROR(J94*J33/365,"")</f>
        <v/>
      </c>
      <c r="K93" s="901">
        <f>+IFERROR(K94*K33/365,"")</f>
        <v/>
      </c>
      <c r="L93" s="901">
        <f>+IFERROR(L94*L33/365,"")</f>
        <v/>
      </c>
      <c r="M93" s="901">
        <f>+IFERROR(M94*M33/365,"")</f>
        <v/>
      </c>
      <c r="N93" s="901">
        <f>+IFERROR(N94*N33/365,"")</f>
        <v/>
      </c>
      <c r="O93" s="901">
        <f>+IFERROR(O94*O33/365,"")</f>
        <v/>
      </c>
      <c r="P93" s="901">
        <f>+IFERROR(P94*P33/365,"")</f>
        <v/>
      </c>
      <c r="Q93" s="901">
        <f>+IFERROR(Q94*Q33/365,"")</f>
        <v/>
      </c>
    </row>
    <row r="94">
      <c r="B94" s="167" t="inlineStr">
        <is>
          <t>DIH</t>
        </is>
      </c>
      <c r="E94" s="934">
        <f>IFERROR(E93/E33*365,"")</f>
        <v/>
      </c>
      <c r="F94" s="934">
        <f>IFERROR(F93/F33*365,"")</f>
        <v/>
      </c>
      <c r="G94" s="935">
        <f>IFERROR(G93/G33*365,"")</f>
        <v/>
      </c>
      <c r="H94" s="936">
        <f>IFERROR(AVERAGE(E94:G94),"")</f>
        <v/>
      </c>
      <c r="I94" s="936">
        <f>IFERROR(AVERAGE(F94:H94),"")</f>
        <v/>
      </c>
      <c r="J94" s="936">
        <f>IFERROR(AVERAGE(G94:I94),"")</f>
        <v/>
      </c>
      <c r="K94" s="936">
        <f>IFERROR(AVERAGE(H94:J94),"")</f>
        <v/>
      </c>
      <c r="L94" s="936">
        <f>IFERROR(AVERAGE(I94:K94),"")</f>
        <v/>
      </c>
      <c r="M94" s="936">
        <f>IFERROR(AVERAGE(J94:L94),"")</f>
        <v/>
      </c>
      <c r="N94" s="936">
        <f>IFERROR(AVERAGE(K94:M94),"")</f>
        <v/>
      </c>
      <c r="O94" s="936">
        <f>IFERROR(AVERAGE(L94:N94),"")</f>
        <v/>
      </c>
      <c r="P94" s="936">
        <f>IFERROR(AVERAGE(M94:O94),"")</f>
        <v/>
      </c>
      <c r="Q94" s="936">
        <f>IFERROR(AVERAGE(N94:P94),"")</f>
        <v/>
      </c>
    </row>
    <row r="95" ht="3.95" customHeight="1" s="783">
      <c r="G95" s="173" t="n"/>
    </row>
    <row r="96">
      <c r="B96" s="132" t="inlineStr">
        <is>
          <t>Prepaid expenses and Other Current Assets</t>
        </is>
      </c>
      <c r="E96" s="910">
        <f>+_xlfn.XLOOKUP($B96,Inputs!$B:$B,Inputs!O:O)</f>
        <v/>
      </c>
      <c r="F96" s="910">
        <f>+_xlfn.XLOOKUP($B96,Inputs!$B:$B,Inputs!P:P)</f>
        <v/>
      </c>
      <c r="G96" s="911">
        <f>+_xlfn.XLOOKUP($B96,Inputs!$B:$B,Inputs!Q:Q)</f>
        <v/>
      </c>
      <c r="H96" s="901">
        <f>IFERROR(AVERAGE(E96:G96)*(1+H31),"")</f>
        <v/>
      </c>
      <c r="I96" s="901">
        <f>IFERROR(AVERAGE(F96:H96)*(1+I31),"")</f>
        <v/>
      </c>
      <c r="J96" s="901">
        <f>IFERROR(AVERAGE(G96:I96)*(1+J31),"")</f>
        <v/>
      </c>
      <c r="K96" s="901">
        <f>IFERROR(AVERAGE(H96:J96)*(1+K31),"")</f>
        <v/>
      </c>
      <c r="L96" s="901">
        <f>IFERROR(AVERAGE(I96:K96)*(1+L31),"")</f>
        <v/>
      </c>
      <c r="M96" s="901">
        <f>IFERROR(AVERAGE(J96:L96)*(1+M31),"")</f>
        <v/>
      </c>
      <c r="N96" s="901">
        <f>IFERROR(AVERAGE(K96:M96)*(1+N31),"")</f>
        <v/>
      </c>
      <c r="O96" s="901">
        <f>IFERROR(AVERAGE(L96:N96)*(1+O31),"")</f>
        <v/>
      </c>
      <c r="P96" s="901">
        <f>IFERROR(AVERAGE(M96:O96)*(1+P31),"")</f>
        <v/>
      </c>
      <c r="Q96" s="901">
        <f>IFERROR(AVERAGE(N96:P96)*(1+Q31),"")</f>
        <v/>
      </c>
    </row>
    <row r="97" ht="14.25" customFormat="1" customHeight="1" s="288">
      <c r="B97" s="288" t="inlineStr">
        <is>
          <t>% of revenue</t>
        </is>
      </c>
      <c r="E97" s="937">
        <f>IFERROR(E96/E$30,"")</f>
        <v/>
      </c>
      <c r="F97" s="937">
        <f>IFERROR(F96/F$30,"")</f>
        <v/>
      </c>
      <c r="G97" s="938">
        <f>IFERROR(G96/G$30,"")</f>
        <v/>
      </c>
      <c r="H97" s="937">
        <f>IFERROR(AVERAGE(E97:G97),"")</f>
        <v/>
      </c>
      <c r="I97" s="937">
        <f>IFERROR(AVERAGE(F97:H97),"")</f>
        <v/>
      </c>
      <c r="J97" s="937">
        <f>IFERROR(AVERAGE(G97:I97),"")</f>
        <v/>
      </c>
      <c r="K97" s="937">
        <f>IFERROR(AVERAGE(H97:J97),"")</f>
        <v/>
      </c>
      <c r="L97" s="937">
        <f>IFERROR(AVERAGE(I97:K97),"")</f>
        <v/>
      </c>
      <c r="M97" s="937">
        <f>IFERROR(AVERAGE(J97:L97),"")</f>
        <v/>
      </c>
      <c r="N97" s="937">
        <f>IFERROR(AVERAGE(K97:M97),"")</f>
        <v/>
      </c>
      <c r="O97" s="937">
        <f>IFERROR(AVERAGE(L97:N97),"")</f>
        <v/>
      </c>
      <c r="P97" s="937">
        <f>IFERROR(AVERAGE(M97:O97),"")</f>
        <v/>
      </c>
      <c r="Q97" s="937">
        <f>IFERROR(AVERAGE(N97:P97),"")</f>
        <v/>
      </c>
    </row>
    <row r="98" ht="3.75" customHeight="1" s="783">
      <c r="E98" s="184" t="n"/>
      <c r="F98" s="184" t="n"/>
      <c r="G98" s="185" t="n"/>
      <c r="H98" s="901" t="n"/>
      <c r="I98" s="901" t="n"/>
      <c r="J98" s="901" t="n"/>
      <c r="K98" s="901" t="n"/>
      <c r="L98" s="901" t="n"/>
      <c r="O98" s="901" t="n"/>
      <c r="P98" s="901" t="n"/>
      <c r="Q98" s="901" t="n"/>
    </row>
    <row r="99">
      <c r="B99" s="132" t="inlineStr">
        <is>
          <t>Net PP&amp;E (Property, Plant and Equipment) + ROU Assets</t>
        </is>
      </c>
      <c r="E99" s="910">
        <f>+E100+E101-E103</f>
        <v/>
      </c>
      <c r="F99" s="910">
        <f>+F100+F101-F103</f>
        <v/>
      </c>
      <c r="G99" s="911">
        <f>+G100+G101-G103</f>
        <v/>
      </c>
      <c r="H99" s="901">
        <f>IFERROR(H100+H101-H103,"")</f>
        <v/>
      </c>
      <c r="I99" s="901">
        <f>IFERROR(I100+I101-I103,"")</f>
        <v/>
      </c>
      <c r="J99" s="901">
        <f>IFERROR(J100+J101-J103,"")</f>
        <v/>
      </c>
      <c r="K99" s="901">
        <f>IFERROR(K100+K101-K103,"")</f>
        <v/>
      </c>
      <c r="L99" s="901">
        <f>IFERROR(L100+L101-L103,"")</f>
        <v/>
      </c>
      <c r="M99" s="901">
        <f>IFERROR(M100+M101-M103,"")</f>
        <v/>
      </c>
      <c r="N99" s="901">
        <f>IFERROR(N100+N101-N103,"")</f>
        <v/>
      </c>
      <c r="O99" s="901">
        <f>IFERROR(O100+O101-O103,"")</f>
        <v/>
      </c>
      <c r="P99" s="901">
        <f>IFERROR(P100+P101-P103,"")</f>
        <v/>
      </c>
      <c r="Q99" s="901">
        <f>IFERROR(Q100+Q101-Q103,"")</f>
        <v/>
      </c>
    </row>
    <row r="100">
      <c r="B100" s="287" t="inlineStr">
        <is>
          <t>Gross PP&amp;E (Property, Plant and Equipment) + ROU Assets</t>
        </is>
      </c>
      <c r="E100" s="939">
        <f>+_xlfn.XLOOKUP("Gross PP&amp;E (Property, Plant and Equipment)",Inputs!$B:$B,Inputs!O:O)</f>
        <v/>
      </c>
      <c r="F100" s="939">
        <f>+_xlfn.XLOOKUP("Gross PP&amp;E (Property, Plant and Equipment)",Inputs!$B:$B,Inputs!P:P)</f>
        <v/>
      </c>
      <c r="G100" s="940">
        <f>+_xlfn.XLOOKUP("Gross PP&amp;E (Property, Plant and Equipment)",Inputs!$B:$B,Inputs!Q:Q)</f>
        <v/>
      </c>
      <c r="H100" s="941">
        <f>+IFERROR(G100-H134,"")</f>
        <v/>
      </c>
      <c r="I100" s="941">
        <f>+IFERROR(H100-I134,"")</f>
        <v/>
      </c>
      <c r="J100" s="941">
        <f>+IFERROR(I100-J134,"")</f>
        <v/>
      </c>
      <c r="K100" s="941">
        <f>+IFERROR(J100-K134,"")</f>
        <v/>
      </c>
      <c r="L100" s="941">
        <f>+IFERROR(K100-L134,"")</f>
        <v/>
      </c>
      <c r="M100" s="941">
        <f>+IFERROR(L100-M134,"")</f>
        <v/>
      </c>
      <c r="N100" s="941">
        <f>+IFERROR(M100-N134,"")</f>
        <v/>
      </c>
      <c r="O100" s="941">
        <f>+IFERROR(N100-O134,"")</f>
        <v/>
      </c>
      <c r="P100" s="941">
        <f>+IFERROR(O100-P134,"")</f>
        <v/>
      </c>
      <c r="Q100" s="941">
        <f>+IFERROR(P100-Q134,"")</f>
        <v/>
      </c>
    </row>
    <row r="101">
      <c r="B101" s="327" t="inlineStr">
        <is>
          <t>Right-of-Use Assets</t>
        </is>
      </c>
      <c r="C101" s="167" t="n"/>
      <c r="D101" s="167" t="n"/>
      <c r="E101" s="939">
        <f>+_xlfn.XLOOKUP("Right-of-Use Assets",Inputs!$B:$B,Inputs!O:O)</f>
        <v/>
      </c>
      <c r="F101" s="939">
        <f>+_xlfn.XLOOKUP("Right-of-Use Assets",Inputs!$B:$B,Inputs!P:P)</f>
        <v/>
      </c>
      <c r="G101" s="940">
        <f>+_xlfn.XLOOKUP("Right-of-Use Assets",Inputs!$B:$B,Inputs!Q:Q)</f>
        <v/>
      </c>
      <c r="H101" s="941">
        <f>IFERROR(H102*H$30,"")</f>
        <v/>
      </c>
      <c r="I101" s="941">
        <f>IFERROR(I102*I$30,"")</f>
        <v/>
      </c>
      <c r="J101" s="941">
        <f>IFERROR(J102*J$30,"")</f>
        <v/>
      </c>
      <c r="K101" s="941">
        <f>IFERROR(K102*K$30,"")</f>
        <v/>
      </c>
      <c r="L101" s="941">
        <f>IFERROR(L102*L$30,"")</f>
        <v/>
      </c>
      <c r="M101" s="941">
        <f>IFERROR(M102*M$30,"")</f>
        <v/>
      </c>
      <c r="N101" s="941">
        <f>IFERROR(N102*N$30,"")</f>
        <v/>
      </c>
      <c r="O101" s="941">
        <f>IFERROR(O102*O$30,"")</f>
        <v/>
      </c>
      <c r="P101" s="941">
        <f>IFERROR(P102*P$30,"")</f>
        <v/>
      </c>
      <c r="Q101" s="941">
        <f>IFERROR(Q102*Q$30,"")</f>
        <v/>
      </c>
    </row>
    <row r="102">
      <c r="B102" s="337" t="inlineStr">
        <is>
          <t>% of revenue</t>
        </is>
      </c>
      <c r="E102" s="937">
        <f>IFERROR(E101/E$30,"")</f>
        <v/>
      </c>
      <c r="F102" s="937">
        <f>IFERROR(F101/F$30,"")</f>
        <v/>
      </c>
      <c r="G102" s="938">
        <f>IFERROR(G101/G$30,"")</f>
        <v/>
      </c>
      <c r="H102" s="906">
        <f>IFERROR(AVERAGE(E102:G102),"")</f>
        <v/>
      </c>
      <c r="I102" s="906">
        <f>IFERROR(AVERAGE(F102:H102),"")</f>
        <v/>
      </c>
      <c r="J102" s="906">
        <f>IFERROR(AVERAGE(G102:I102),"")</f>
        <v/>
      </c>
      <c r="K102" s="906">
        <f>IFERROR(AVERAGE(H102:J102),"")</f>
        <v/>
      </c>
      <c r="L102" s="906">
        <f>IFERROR(AVERAGE(I102:K102),"")</f>
        <v/>
      </c>
      <c r="M102" s="906">
        <f>IFERROR(AVERAGE(J102:L102),"")</f>
        <v/>
      </c>
      <c r="N102" s="906">
        <f>IFERROR(AVERAGE(K102:M102),"")</f>
        <v/>
      </c>
      <c r="O102" s="906">
        <f>IFERROR(AVERAGE(L102:N102),"")</f>
        <v/>
      </c>
      <c r="P102" s="906">
        <f>IFERROR(AVERAGE(M102:O102),"")</f>
        <v/>
      </c>
      <c r="Q102" s="906">
        <f>IFERROR(AVERAGE(N102:P102),"")</f>
        <v/>
      </c>
    </row>
    <row r="103">
      <c r="B103" s="287" t="inlineStr">
        <is>
          <t>Accumulated Depreciation</t>
        </is>
      </c>
      <c r="E103" s="939">
        <f>+_xlfn.XLOOKUP($B103,Inputs!$B:$B,Inputs!O:O)</f>
        <v/>
      </c>
      <c r="F103" s="939">
        <f>+_xlfn.XLOOKUP($B103,Inputs!$B:$B,Inputs!P:P)</f>
        <v/>
      </c>
      <c r="G103" s="940">
        <f>+_xlfn.XLOOKUP($B103,Inputs!$B:$B,Inputs!Q:Q)</f>
        <v/>
      </c>
      <c r="H103" s="942">
        <f>+IFERROR(G103+H53,"")</f>
        <v/>
      </c>
      <c r="I103" s="942">
        <f>+IFERROR(H103+I53,"")</f>
        <v/>
      </c>
      <c r="J103" s="942">
        <f>+IFERROR(I103+J53,"")</f>
        <v/>
      </c>
      <c r="K103" s="942">
        <f>+IFERROR(J103+K53,"")</f>
        <v/>
      </c>
      <c r="L103" s="942">
        <f>+IFERROR(K103+L53,"")</f>
        <v/>
      </c>
      <c r="M103" s="942">
        <f>+IFERROR(L103+M53,"")</f>
        <v/>
      </c>
      <c r="N103" s="942">
        <f>+IFERROR(M103+N53,"")</f>
        <v/>
      </c>
      <c r="O103" s="942">
        <f>+IFERROR(N103+O53,"")</f>
        <v/>
      </c>
      <c r="P103" s="942">
        <f>+IFERROR(O103+P53,"")</f>
        <v/>
      </c>
      <c r="Q103" s="942">
        <f>+IFERROR(P103+Q53,"")</f>
        <v/>
      </c>
    </row>
    <row r="104" ht="5.25" customHeight="1" s="783">
      <c r="E104" s="301" t="n"/>
      <c r="F104" s="301" t="n"/>
      <c r="G104" s="300" t="n"/>
      <c r="H104" s="901" t="n"/>
      <c r="I104" s="901" t="n"/>
      <c r="J104" s="901" t="n"/>
      <c r="K104" s="901" t="n"/>
      <c r="L104" s="901" t="n"/>
      <c r="M104" s="901" t="n"/>
      <c r="N104" s="901" t="n"/>
      <c r="O104" s="901" t="n"/>
      <c r="P104" s="901" t="n"/>
      <c r="Q104" s="901" t="n"/>
    </row>
    <row r="105">
      <c r="B105" s="132" t="inlineStr">
        <is>
          <t>Intangibles excl. Goodwill</t>
        </is>
      </c>
      <c r="E105" s="910">
        <f>+_xlfn.XLOOKUP($B105,Inputs!$B:$B,Inputs!O:O)</f>
        <v/>
      </c>
      <c r="F105" s="910">
        <f>+_xlfn.XLOOKUP($B105,Inputs!$B:$B,Inputs!P:P)</f>
        <v/>
      </c>
      <c r="G105" s="911">
        <f>+_xlfn.XLOOKUP($B105,Inputs!$B:$B,Inputs!Q:Q)</f>
        <v/>
      </c>
      <c r="H105" s="901">
        <f>+G105+H106*H42</f>
        <v/>
      </c>
      <c r="I105" s="901">
        <f>+H105+I106*I42</f>
        <v/>
      </c>
      <c r="J105" s="901">
        <f>+I105+J106*J42</f>
        <v/>
      </c>
      <c r="K105" s="901">
        <f>+J105+K106*K42</f>
        <v/>
      </c>
      <c r="L105" s="901">
        <f>+K105+L106*L42</f>
        <v/>
      </c>
      <c r="M105" s="901">
        <f>+L105+M106*M42</f>
        <v/>
      </c>
      <c r="N105" s="901">
        <f>+M105+N106*N42</f>
        <v/>
      </c>
      <c r="O105" s="901">
        <f>+N105+O106*O42</f>
        <v/>
      </c>
      <c r="P105" s="901">
        <f>+O105+P106*P42</f>
        <v/>
      </c>
      <c r="Q105" s="901">
        <f>+P105+Q106*Q42</f>
        <v/>
      </c>
    </row>
    <row r="106" ht="14.25" customFormat="1" customHeight="1" s="89">
      <c r="B106" s="89" t="inlineStr">
        <is>
          <t>growing with % of R&amp;D</t>
        </is>
      </c>
      <c r="E106" s="383">
        <f>IFERROR((E105-Inputs!N45)/E42,"")</f>
        <v/>
      </c>
      <c r="F106" s="383">
        <f>IFERROR((F105-E105)/F42,"")</f>
        <v/>
      </c>
      <c r="G106" s="382">
        <f>IFERROR((G105-F105)/G42,"")</f>
        <v/>
      </c>
      <c r="H106" s="906" t="n"/>
      <c r="I106" s="906" t="n"/>
      <c r="J106" s="906" t="n"/>
      <c r="K106" s="906" t="n"/>
      <c r="L106" s="906" t="n"/>
      <c r="M106" s="906" t="n"/>
      <c r="N106" s="906" t="n"/>
      <c r="O106" s="906" t="n"/>
      <c r="P106" s="906" t="n"/>
      <c r="Q106" s="906" t="n"/>
    </row>
    <row r="107" ht="3.75" customFormat="1" customHeight="1" s="89">
      <c r="E107" s="383" t="n"/>
      <c r="F107" s="383" t="n"/>
      <c r="G107" s="384" t="n"/>
      <c r="H107" s="943" t="n"/>
      <c r="I107" s="943" t="n"/>
      <c r="J107" s="943" t="n"/>
      <c r="K107" s="943" t="n"/>
      <c r="L107" s="943" t="n"/>
      <c r="M107" s="943" t="n"/>
      <c r="N107" s="943" t="n"/>
      <c r="O107" s="943" t="n"/>
      <c r="P107" s="943" t="n"/>
      <c r="Q107" s="943" t="n"/>
    </row>
    <row r="108" ht="13.5" customHeight="1" s="783">
      <c r="B108" s="164" t="inlineStr">
        <is>
          <t>Liabilities</t>
        </is>
      </c>
      <c r="E108" s="301" t="n"/>
      <c r="F108" s="301" t="n"/>
      <c r="G108" s="300" t="n"/>
      <c r="H108" s="901" t="n"/>
      <c r="I108" s="901" t="n"/>
      <c r="J108" s="901" t="n"/>
      <c r="K108" s="901" t="n"/>
      <c r="L108" s="901" t="n"/>
      <c r="M108" s="901" t="n"/>
      <c r="N108" s="901" t="n"/>
      <c r="O108" s="901" t="n"/>
      <c r="P108" s="901" t="n"/>
      <c r="Q108" s="901" t="n"/>
    </row>
    <row r="109" ht="5.25" customHeight="1" s="783">
      <c r="E109" s="301" t="n"/>
      <c r="F109" s="301" t="n"/>
      <c r="G109" s="300" t="n"/>
      <c r="H109" s="901" t="n"/>
      <c r="I109" s="901" t="n"/>
      <c r="J109" s="901" t="n"/>
      <c r="K109" s="901" t="n"/>
      <c r="L109" s="901" t="n"/>
      <c r="M109" s="901" t="n"/>
      <c r="N109" s="901" t="n"/>
      <c r="O109" s="901" t="n"/>
      <c r="P109" s="901" t="n"/>
      <c r="Q109" s="901" t="n"/>
    </row>
    <row r="110">
      <c r="B110" s="132" t="inlineStr">
        <is>
          <t>Accounts Payable</t>
        </is>
      </c>
      <c r="E110" s="910">
        <f>+_xlfn.XLOOKUP($B110,Inputs!$B:$B,Inputs!O:O)</f>
        <v/>
      </c>
      <c r="F110" s="910">
        <f>+_xlfn.XLOOKUP($B110,Inputs!$B:$B,Inputs!P:P)</f>
        <v/>
      </c>
      <c r="G110" s="911">
        <f>+_xlfn.XLOOKUP($B110,Inputs!$B:$B,Inputs!Q:Q)</f>
        <v/>
      </c>
      <c r="H110" s="901">
        <f>+IFERROR(H111*H33/365,"")</f>
        <v/>
      </c>
      <c r="I110" s="901">
        <f>+IFERROR(I111*I33/365,"")</f>
        <v/>
      </c>
      <c r="J110" s="901">
        <f>+IFERROR(J111*J33/365,"")</f>
        <v/>
      </c>
      <c r="K110" s="901">
        <f>+IFERROR(K111*K33/365,"")</f>
        <v/>
      </c>
      <c r="L110" s="901">
        <f>+IFERROR(L111*L33/365,"")</f>
        <v/>
      </c>
      <c r="M110" s="901">
        <f>+IFERROR(M111*M33/365,"")</f>
        <v/>
      </c>
      <c r="N110" s="901">
        <f>+IFERROR(N111*N33/365,"")</f>
        <v/>
      </c>
      <c r="O110" s="901">
        <f>+IFERROR(O111*O33/365,"")</f>
        <v/>
      </c>
      <c r="P110" s="901">
        <f>+IFERROR(P111*P33/365,"")</f>
        <v/>
      </c>
      <c r="Q110" s="901">
        <f>+IFERROR(Q111*Q33/365,"")</f>
        <v/>
      </c>
    </row>
    <row r="111">
      <c r="B111" s="167" t="inlineStr">
        <is>
          <t>DPO</t>
        </is>
      </c>
      <c r="E111" s="934">
        <f>IFERROR(E110/E$33*365,"")</f>
        <v/>
      </c>
      <c r="F111" s="934">
        <f>IFERROR(F110/F$33*365,"")</f>
        <v/>
      </c>
      <c r="G111" s="935">
        <f>IFERROR(G110/G$33*366,"")</f>
        <v/>
      </c>
      <c r="H111" s="323">
        <f>IFERROR(AVERAGE(E111:G111),"")</f>
        <v/>
      </c>
      <c r="I111" s="323">
        <f>IFERROR(AVERAGE(F111:H111),"")</f>
        <v/>
      </c>
      <c r="J111" s="323">
        <f>IFERROR(AVERAGE(G111:I111),"")</f>
        <v/>
      </c>
      <c r="K111" s="323">
        <f>IFERROR(AVERAGE(H111:J111),"")</f>
        <v/>
      </c>
      <c r="L111" s="323">
        <f>IFERROR(AVERAGE(I111:K111),"")</f>
        <v/>
      </c>
      <c r="M111" s="323">
        <f>IFERROR(AVERAGE(J111:L111),"")</f>
        <v/>
      </c>
      <c r="N111" s="323">
        <f>IFERROR(AVERAGE(K111:M111),"")</f>
        <v/>
      </c>
      <c r="O111" s="323">
        <f>IFERROR(AVERAGE(L111:N111),"")</f>
        <v/>
      </c>
      <c r="P111" s="323">
        <f>IFERROR(AVERAGE(M111:O111),"")</f>
        <v/>
      </c>
      <c r="Q111" s="323">
        <f>IFERROR(AVERAGE(N111:P111),"")</f>
        <v/>
      </c>
    </row>
    <row r="112" ht="3.75" customHeight="1" s="783">
      <c r="E112" s="184" t="n"/>
      <c r="F112" s="184" t="n"/>
      <c r="G112" s="185" t="n"/>
      <c r="H112" s="901" t="n"/>
      <c r="I112" s="901" t="n"/>
      <c r="J112" s="901" t="n"/>
      <c r="K112" s="901" t="n"/>
      <c r="L112" s="901" t="n"/>
      <c r="O112" s="901" t="n"/>
      <c r="P112" s="901" t="n"/>
      <c r="Q112" s="901" t="n"/>
    </row>
    <row r="113">
      <c r="B113" s="132" t="inlineStr">
        <is>
          <t>Accrued Expenses and Other Current Liabilities</t>
        </is>
      </c>
      <c r="E113" s="910">
        <f>+_xlfn.XLOOKUP($B113,Inputs!$B:$B,Inputs!O:O)</f>
        <v/>
      </c>
      <c r="F113" s="910">
        <f>+_xlfn.XLOOKUP($B113,Inputs!$B:$B,Inputs!P:P)</f>
        <v/>
      </c>
      <c r="G113" s="911">
        <f>+_xlfn.XLOOKUP($B113,Inputs!$B:$B,Inputs!Q:Q)</f>
        <v/>
      </c>
      <c r="H113" s="901">
        <f>IFERROR(AVERAGE(E113:G113)*(1+H31),"")</f>
        <v/>
      </c>
      <c r="I113" s="901">
        <f>IFERROR(AVERAGE(F113:H113)*(1+I31),"")</f>
        <v/>
      </c>
      <c r="J113" s="901">
        <f>IFERROR(AVERAGE(G113:I113)*(1+J31),"")</f>
        <v/>
      </c>
      <c r="K113" s="901">
        <f>IFERROR(AVERAGE(H113:J113)*(1+K31),"")</f>
        <v/>
      </c>
      <c r="L113" s="901">
        <f>IFERROR(AVERAGE(I113:K113)*(1+L31),"")</f>
        <v/>
      </c>
      <c r="M113" s="901">
        <f>IFERROR(AVERAGE(J113:L113)*(1+M31),"")</f>
        <v/>
      </c>
      <c r="N113" s="901">
        <f>IFERROR(AVERAGE(K113:M113)*(1+N31),"")</f>
        <v/>
      </c>
      <c r="O113" s="901">
        <f>IFERROR(AVERAGE(L113:N113)*(1+O31),"")</f>
        <v/>
      </c>
      <c r="P113" s="901">
        <f>IFERROR(AVERAGE(M113:O113)*(1+P31),"")</f>
        <v/>
      </c>
      <c r="Q113" s="901">
        <f>IFERROR(AVERAGE(N113:P113)*(1+Q31),"")</f>
        <v/>
      </c>
    </row>
    <row r="114" customFormat="1" s="342">
      <c r="B114" s="288" t="inlineStr">
        <is>
          <t>growing with revenue</t>
        </is>
      </c>
      <c r="E114" s="937">
        <f>IFERROR(E113/E$30,"")</f>
        <v/>
      </c>
      <c r="F114" s="937">
        <f>IFERROR(F113/F$30,"")</f>
        <v/>
      </c>
      <c r="G114" s="938">
        <f>IFERROR(G113/G$30,"")</f>
        <v/>
      </c>
      <c r="H114" s="937">
        <f>IFERROR(H113/H$30,"")</f>
        <v/>
      </c>
      <c r="I114" s="937">
        <f>IFERROR(I113/I$30,"")</f>
        <v/>
      </c>
      <c r="J114" s="937">
        <f>IFERROR(J113/J$30,"")</f>
        <v/>
      </c>
      <c r="K114" s="937">
        <f>IFERROR(K113/K$30,"")</f>
        <v/>
      </c>
      <c r="L114" s="937">
        <f>IFERROR(L113/L$30,"")</f>
        <v/>
      </c>
      <c r="M114" s="937">
        <f>IFERROR(M113/M$30,"")</f>
        <v/>
      </c>
      <c r="N114" s="937">
        <f>IFERROR(N113/N$30,"")</f>
        <v/>
      </c>
      <c r="O114" s="937">
        <f>IFERROR(O113/O$30,"")</f>
        <v/>
      </c>
      <c r="P114" s="937">
        <f>IFERROR(P113/P$30,"")</f>
        <v/>
      </c>
      <c r="Q114" s="937">
        <f>IFERROR(Q113/Q$30,"")</f>
        <v/>
      </c>
    </row>
    <row r="115" ht="5.25" customFormat="1" customHeight="1" s="256">
      <c r="B115" s="281" t="n"/>
      <c r="E115" s="944" t="n"/>
      <c r="F115" s="944" t="n"/>
      <c r="G115" s="945" t="n"/>
      <c r="H115" s="946" t="n"/>
      <c r="I115" s="946" t="n"/>
      <c r="J115" s="946" t="n"/>
      <c r="K115" s="946" t="n"/>
      <c r="L115" s="946" t="n"/>
      <c r="M115" s="946" t="n"/>
      <c r="N115" s="946" t="n"/>
      <c r="O115" s="946" t="n"/>
      <c r="P115" s="946" t="n"/>
      <c r="Q115" s="946" t="n"/>
    </row>
    <row r="116">
      <c r="B116" s="132" t="inlineStr">
        <is>
          <t>Total Borrowings</t>
        </is>
      </c>
      <c r="E116" s="910">
        <f>+_xlfn.XLOOKUP($B116,Inputs!$B:$B,Inputs!O:O)</f>
        <v/>
      </c>
      <c r="F116" s="910">
        <f>+_xlfn.XLOOKUP($B116,Inputs!$B:$B,Inputs!P:P)</f>
        <v/>
      </c>
      <c r="G116" s="911">
        <f>+_xlfn.XLOOKUP($B116,Inputs!$B:$B,Inputs!Q:Q)</f>
        <v/>
      </c>
      <c r="H116" s="901">
        <f>IFERROR(G116+H156-H158,"")</f>
        <v/>
      </c>
      <c r="I116" s="901">
        <f>IFERROR(H116+I156-I158,"")</f>
        <v/>
      </c>
      <c r="J116" s="901">
        <f>IFERROR(I116+J156-J158,"")</f>
        <v/>
      </c>
      <c r="K116" s="901">
        <f>IFERROR(J116+K156-K158,"")</f>
        <v/>
      </c>
      <c r="L116" s="901">
        <f>IFERROR(K116+L156-L158,"")</f>
        <v/>
      </c>
      <c r="M116" s="901">
        <f>IFERROR(L116+M156-M158,"")</f>
        <v/>
      </c>
      <c r="N116" s="901">
        <f>IFERROR(M116+N156-N158,"")</f>
        <v/>
      </c>
      <c r="O116" s="901">
        <f>IFERROR(N116+O156-O158,"")</f>
        <v/>
      </c>
      <c r="P116" s="901">
        <f>IFERROR(O116+P156-P158,"")</f>
        <v/>
      </c>
      <c r="Q116" s="901">
        <f>IFERROR(P116+Q156-Q158,"")</f>
        <v/>
      </c>
    </row>
    <row r="117" ht="3.75" customHeight="1" s="783">
      <c r="B117" s="167" t="n"/>
      <c r="E117" s="907" t="n"/>
      <c r="F117" s="907" t="n"/>
      <c r="G117" s="947" t="n"/>
      <c r="H117" s="948" t="n"/>
      <c r="I117" s="948" t="n"/>
      <c r="J117" s="948" t="n"/>
      <c r="K117" s="948" t="n"/>
      <c r="L117" s="948" t="n"/>
      <c r="M117" s="948" t="n"/>
      <c r="N117" s="948" t="n"/>
      <c r="O117" s="948" t="n"/>
      <c r="P117" s="948" t="n"/>
      <c r="Q117" s="948" t="n"/>
    </row>
    <row r="118">
      <c r="B118" s="132" t="inlineStr">
        <is>
          <t>Total Leases</t>
        </is>
      </c>
      <c r="E118" s="910">
        <f>+_xlfn.XLOOKUP($B118,Inputs!$B:$B,Inputs!O:O)</f>
        <v/>
      </c>
      <c r="F118" s="910">
        <f>+_xlfn.XLOOKUP($B118,Inputs!$B:$B,Inputs!P:P)</f>
        <v/>
      </c>
      <c r="G118" s="911">
        <f>+_xlfn.XLOOKUP($B118,Inputs!$B:$B,Inputs!Q:Q)</f>
        <v/>
      </c>
      <c r="H118" s="901">
        <f>+IFERROR(H119*H30,"")</f>
        <v/>
      </c>
      <c r="I118" s="901">
        <f>+IFERROR(I119*I30,"")</f>
        <v/>
      </c>
      <c r="J118" s="901">
        <f>+IFERROR(J119*J30,"")</f>
        <v/>
      </c>
      <c r="K118" s="901">
        <f>+IFERROR(K119*K30,"")</f>
        <v/>
      </c>
      <c r="L118" s="901">
        <f>+IFERROR(L119*L30,"")</f>
        <v/>
      </c>
      <c r="M118" s="901">
        <f>+IFERROR(M119*M30,"")</f>
        <v/>
      </c>
      <c r="N118" s="901">
        <f>+IFERROR(N119*N30,"")</f>
        <v/>
      </c>
      <c r="O118" s="901">
        <f>+IFERROR(O119*O30,"")</f>
        <v/>
      </c>
      <c r="P118" s="901">
        <f>+IFERROR(P119*P30,"")</f>
        <v/>
      </c>
      <c r="Q118" s="901">
        <f>+IFERROR(Q119*Q30,"")</f>
        <v/>
      </c>
    </row>
    <row r="119">
      <c r="B119" s="167" t="inlineStr">
        <is>
          <t>% of revenues</t>
        </is>
      </c>
      <c r="E119" s="919">
        <f>IFERROR(E118/E$30,"")</f>
        <v/>
      </c>
      <c r="F119" s="919">
        <f>IFERROR(F118/F$30,"")</f>
        <v/>
      </c>
      <c r="G119" s="920">
        <f>IFERROR(G118/G$30,"")</f>
        <v/>
      </c>
      <c r="H119" s="949">
        <f>+IFERROR(AVERAGE(E119:G119),"")</f>
        <v/>
      </c>
      <c r="I119" s="949">
        <f>+IFERROR(AVERAGE(F119:H119),"")</f>
        <v/>
      </c>
      <c r="J119" s="949">
        <f>+IFERROR(AVERAGE(G119:I119),"")</f>
        <v/>
      </c>
      <c r="K119" s="949">
        <f>+IFERROR(AVERAGE(H119:J119),"")</f>
        <v/>
      </c>
      <c r="L119" s="949">
        <f>+IFERROR(AVERAGE(I119:K119),"")</f>
        <v/>
      </c>
      <c r="M119" s="949">
        <f>+IFERROR(AVERAGE(J119:L119),"")</f>
        <v/>
      </c>
      <c r="N119" s="949">
        <f>+IFERROR(AVERAGE(K119:M119),"")</f>
        <v/>
      </c>
      <c r="O119" s="949">
        <f>+IFERROR(AVERAGE(L119:N119),"")</f>
        <v/>
      </c>
      <c r="P119" s="949">
        <f>+IFERROR(AVERAGE(M119:O119),"")</f>
        <v/>
      </c>
      <c r="Q119" s="949">
        <f>+IFERROR(AVERAGE(N119:P119),"")</f>
        <v/>
      </c>
    </row>
    <row r="120" ht="3.75" customHeight="1" s="783">
      <c r="G120" s="173" t="n"/>
    </row>
    <row r="121" ht="15.75" customHeight="1" s="783">
      <c r="A121" s="132" t="inlineStr">
        <is>
          <t>x</t>
        </is>
      </c>
      <c r="B121" s="52" t="inlineStr">
        <is>
          <t>Cash Flow</t>
        </is>
      </c>
      <c r="C121" s="52" t="n"/>
      <c r="D121" s="52" t="n"/>
      <c r="E121" s="902">
        <f>E28</f>
        <v/>
      </c>
      <c r="F121" s="902">
        <f>F28</f>
        <v/>
      </c>
      <c r="G121" s="950">
        <f>G28</f>
        <v/>
      </c>
      <c r="H121" s="855">
        <f>H28</f>
        <v/>
      </c>
      <c r="I121" s="855">
        <f>I28</f>
        <v/>
      </c>
      <c r="J121" s="855">
        <f>J28</f>
        <v/>
      </c>
      <c r="K121" s="855">
        <f>K28</f>
        <v/>
      </c>
      <c r="L121" s="855">
        <f>L28</f>
        <v/>
      </c>
      <c r="M121" s="855">
        <f>M28</f>
        <v/>
      </c>
      <c r="N121" s="855">
        <f>N28</f>
        <v/>
      </c>
      <c r="O121" s="855">
        <f>O28</f>
        <v/>
      </c>
      <c r="P121" s="855">
        <f>P28</f>
        <v/>
      </c>
      <c r="Q121" s="855">
        <f>Q28</f>
        <v/>
      </c>
    </row>
    <row r="122" ht="3.95" customHeight="1" s="783">
      <c r="B122" s="53" t="n"/>
      <c r="C122" s="53" t="n"/>
      <c r="D122" s="53" t="n"/>
      <c r="E122" s="187" t="n"/>
      <c r="F122" s="187" t="n"/>
      <c r="G122" s="188" t="n"/>
      <c r="H122" s="53" t="n"/>
      <c r="I122" s="53" t="n"/>
      <c r="J122" s="53" t="n"/>
      <c r="K122" s="53" t="n"/>
      <c r="L122" s="53" t="n"/>
      <c r="M122" s="53" t="n"/>
      <c r="N122" s="53" t="n"/>
      <c r="O122" s="53" t="n"/>
      <c r="P122" s="53" t="n"/>
      <c r="Q122" s="53" t="n"/>
    </row>
    <row r="123">
      <c r="B123" s="132" t="inlineStr">
        <is>
          <t>D&amp;A (Depreciation &amp; Amortization)</t>
        </is>
      </c>
      <c r="E123" s="301">
        <f>+E50</f>
        <v/>
      </c>
      <c r="F123" s="301">
        <f>+F50</f>
        <v/>
      </c>
      <c r="G123" s="300">
        <f>+G50</f>
        <v/>
      </c>
      <c r="H123" s="901">
        <f>+H50</f>
        <v/>
      </c>
      <c r="I123" s="901">
        <f>+I50</f>
        <v/>
      </c>
      <c r="J123" s="901">
        <f>+J50</f>
        <v/>
      </c>
      <c r="K123" s="901">
        <f>+K50</f>
        <v/>
      </c>
      <c r="L123" s="901">
        <f>+L50</f>
        <v/>
      </c>
      <c r="M123" s="901">
        <f>+M50</f>
        <v/>
      </c>
      <c r="N123" s="901">
        <f>+N50</f>
        <v/>
      </c>
      <c r="O123" s="901">
        <f>+O50</f>
        <v/>
      </c>
      <c r="P123" s="901">
        <f>+P50</f>
        <v/>
      </c>
      <c r="Q123" s="901">
        <f>+Q50</f>
        <v/>
      </c>
    </row>
    <row r="124" ht="3.95" customHeight="1" s="783">
      <c r="G124" s="162" t="n"/>
    </row>
    <row r="125" ht="13.5" customHeight="1" s="783">
      <c r="B125" s="132" t="inlineStr">
        <is>
          <t>Stock Based Compensation</t>
        </is>
      </c>
      <c r="E125" s="910">
        <f>+_xlfn.XLOOKUP($B125,Inputs!$B:$B,Inputs!O:O)</f>
        <v/>
      </c>
      <c r="F125" s="910">
        <f>+_xlfn.XLOOKUP($B125,Inputs!$B:$B,Inputs!P:P)</f>
        <v/>
      </c>
      <c r="G125" s="911">
        <f>+_xlfn.XLOOKUP($B125,Inputs!$B:$B,Inputs!Q:Q)</f>
        <v/>
      </c>
      <c r="H125" s="901">
        <f>IFERROR(H126*H39,"")</f>
        <v/>
      </c>
      <c r="I125" s="901">
        <f>IFERROR(I126*I39,"")</f>
        <v/>
      </c>
      <c r="J125" s="901">
        <f>IFERROR(J126*J39,"")</f>
        <v/>
      </c>
      <c r="K125" s="901">
        <f>IFERROR(K126*K39,"")</f>
        <v/>
      </c>
      <c r="L125" s="901">
        <f>IFERROR(L126*L39,"")</f>
        <v/>
      </c>
      <c r="M125" s="901">
        <f>IFERROR(M126*M39,"")</f>
        <v/>
      </c>
      <c r="N125" s="901">
        <f>IFERROR(N126*N39,"")</f>
        <v/>
      </c>
      <c r="O125" s="901">
        <f>IFERROR(O126*O39,"")</f>
        <v/>
      </c>
      <c r="P125" s="901">
        <f>IFERROR(P126*P39,"")</f>
        <v/>
      </c>
      <c r="Q125" s="901">
        <f>IFERROR(Q126*Q39,"")</f>
        <v/>
      </c>
    </row>
    <row r="126" ht="13.5" customHeight="1" s="783">
      <c r="B126" s="288" t="inlineStr">
        <is>
          <t>% of SG&amp;A</t>
        </is>
      </c>
      <c r="E126" s="919">
        <f>+IFERROR(E125/E39,"")</f>
        <v/>
      </c>
      <c r="F126" s="919">
        <f>+IFERROR(F125/F39,"")</f>
        <v/>
      </c>
      <c r="G126" s="920">
        <f>+IFERROR(G125/G39,"")</f>
        <v/>
      </c>
      <c r="H126" s="949">
        <f>IFERROR(AVERAGE(E126:G126),"")</f>
        <v/>
      </c>
      <c r="I126" s="949">
        <f>IFERROR(AVERAGE(F126:H126),"")</f>
        <v/>
      </c>
      <c r="J126" s="949">
        <f>IFERROR(AVERAGE(G126:I126),"")</f>
        <v/>
      </c>
      <c r="K126" s="949">
        <f>IFERROR(AVERAGE(H126:J126),"")</f>
        <v/>
      </c>
      <c r="L126" s="949">
        <f>IFERROR(AVERAGE(I126:K126),"")</f>
        <v/>
      </c>
      <c r="M126" s="949">
        <f>IFERROR(AVERAGE(J126:L126),"")</f>
        <v/>
      </c>
      <c r="N126" s="949">
        <f>IFERROR(AVERAGE(K126:M126),"")</f>
        <v/>
      </c>
      <c r="O126" s="949">
        <f>IFERROR(AVERAGE(L126:N126),"")</f>
        <v/>
      </c>
      <c r="P126" s="949">
        <f>IFERROR(AVERAGE(M126:O126),"")</f>
        <v/>
      </c>
      <c r="Q126" s="949">
        <f>IFERROR(AVERAGE(N126:P126),"")</f>
        <v/>
      </c>
    </row>
    <row r="127" ht="3.75" customHeight="1" s="783">
      <c r="B127" s="288" t="n"/>
      <c r="E127" s="919" t="n"/>
      <c r="F127" s="919" t="n"/>
      <c r="G127" s="920" t="n"/>
      <c r="H127" s="949" t="n"/>
      <c r="I127" s="949" t="n"/>
      <c r="J127" s="949" t="n"/>
      <c r="K127" s="949" t="n"/>
      <c r="L127" s="949" t="n"/>
      <c r="M127" s="949" t="n"/>
      <c r="N127" s="949" t="n"/>
      <c r="O127" s="949" t="n"/>
      <c r="P127" s="949" t="n"/>
      <c r="Q127" s="949" t="n"/>
    </row>
    <row r="128" ht="13.5" customHeight="1" s="783">
      <c r="B128" s="132" t="inlineStr">
        <is>
          <t>Changes in Net Working Capital</t>
        </is>
      </c>
      <c r="E128" s="910">
        <f>+_xlfn.XLOOKUP($B128,Inputs!$B:$B,Inputs!O:O)</f>
        <v/>
      </c>
      <c r="F128" s="910">
        <f>+_xlfn.XLOOKUP($B128,Inputs!$B:$B,Inputs!P:P)</f>
        <v/>
      </c>
      <c r="G128" s="911">
        <f>+_xlfn.XLOOKUP($B128,Inputs!$B:$B,Inputs!Q:Q)</f>
        <v/>
      </c>
      <c r="H128" s="928">
        <f>IFERROR(-((H90+H93+H96-H110-H113)-(G90+G93+G96-G110-G113)),"")</f>
        <v/>
      </c>
      <c r="I128" s="928">
        <f>IFERROR(-((I90+I93+I96-I110-I113)-(H90+H93+H96-H110-H113)),"")</f>
        <v/>
      </c>
      <c r="J128" s="928">
        <f>IFERROR(-((J90+J93+J96-J110-J113)-(I90+I93+I96-I110-I113)),"")</f>
        <v/>
      </c>
      <c r="K128" s="928">
        <f>IFERROR(-((K90+K93+K96-K110-K113)-(J90+J93+J96-J110-J113)),"")</f>
        <v/>
      </c>
      <c r="L128" s="928">
        <f>IFERROR(-((L90+L93+L96-L110-L113)-(K90+K93+K96-K110-K113)),"")</f>
        <v/>
      </c>
      <c r="M128" s="928">
        <f>IFERROR(-((M90+M93+M96-M110-M113)-(L90+L93+L96-L110-L113)),"")</f>
        <v/>
      </c>
      <c r="N128" s="928">
        <f>IFERROR(-((N90+N93+N96-N110-N113)-(M90+M93+M96-M110-M113)),"")</f>
        <v/>
      </c>
      <c r="O128" s="928">
        <f>IFERROR(-((O90+O93+O96-O110-O113)-(N90+N93+N96-N110-N113)),"")</f>
        <v/>
      </c>
      <c r="P128" s="928">
        <f>IFERROR(-((P90+P93+P96-P110-P113)-(O90+O93+O96-O110-O113)),"")</f>
        <v/>
      </c>
      <c r="Q128" s="928">
        <f>IFERROR(-((Q90+Q93+Q96-Q110-Q113)-(P90+P93+P96-P110-P113)),"")</f>
        <v/>
      </c>
    </row>
    <row r="129" ht="3.75" customHeight="1" s="783">
      <c r="G129" s="162" t="n"/>
    </row>
    <row r="130" ht="13.5" customHeight="1" s="783">
      <c r="B130" s="396" t="inlineStr">
        <is>
          <t>Other Operating Adjustments</t>
        </is>
      </c>
      <c r="C130" s="396" t="n"/>
      <c r="D130" s="396" t="n"/>
      <c r="E130" s="951">
        <f>+_xlfn.XLOOKUP($B130,Inputs!$B:$B,Inputs!O:O)</f>
        <v/>
      </c>
      <c r="F130" s="951">
        <f>+_xlfn.XLOOKUP($B130,Inputs!$B:$B,Inputs!P:P)</f>
        <v/>
      </c>
      <c r="G130" s="952">
        <f>+_xlfn.XLOOKUP($B130,Inputs!$B:$B,Inputs!Q:Q)</f>
        <v/>
      </c>
      <c r="H130" s="953">
        <f>IFERROR(AVERAGE(E130:G130)*(1+H31),"")</f>
        <v/>
      </c>
      <c r="I130" s="953">
        <f>IFERROR(AVERAGE(F130:H130)*(1+I31),"")</f>
        <v/>
      </c>
      <c r="J130" s="953">
        <f>IFERROR(AVERAGE(G130:I130)*(1+J31),"")</f>
        <v/>
      </c>
      <c r="K130" s="953">
        <f>IFERROR(AVERAGE(H130:J130)*(1+K31),"")</f>
        <v/>
      </c>
      <c r="L130" s="953">
        <f>IFERROR(AVERAGE(I130:K130)*(1+L31),"")</f>
        <v/>
      </c>
      <c r="M130" s="953">
        <f>IFERROR(AVERAGE(J130:L130)*(1+M31),"")</f>
        <v/>
      </c>
      <c r="N130" s="953">
        <f>IFERROR(AVERAGE(K130:M130)*(1+N31),"")</f>
        <v/>
      </c>
      <c r="O130" s="953">
        <f>IFERROR(AVERAGE(L130:N130)*(1+O31),"")</f>
        <v/>
      </c>
      <c r="P130" s="953">
        <f>IFERROR(AVERAGE(M130:O130)*(1+P31),"")</f>
        <v/>
      </c>
      <c r="Q130" s="953">
        <f>IFERROR(AVERAGE(N130:P130)*(1+Q31),"")</f>
        <v/>
      </c>
    </row>
    <row r="131" ht="5.25" customHeight="1" s="783">
      <c r="E131" s="910" t="n"/>
      <c r="F131" s="910" t="n"/>
      <c r="G131" s="911" t="n"/>
      <c r="H131" s="901" t="n"/>
      <c r="I131" s="901" t="n"/>
      <c r="J131" s="901" t="n"/>
      <c r="K131" s="901" t="n"/>
      <c r="L131" s="901" t="n"/>
      <c r="M131" s="901" t="n"/>
      <c r="N131" s="901" t="n"/>
      <c r="O131" s="901" t="n"/>
      <c r="P131" s="901" t="n"/>
      <c r="Q131" s="901" t="n"/>
    </row>
    <row r="132" ht="13.5" customHeight="1" s="783">
      <c r="B132" s="414" t="inlineStr">
        <is>
          <t>Operating Cash Flow</t>
        </is>
      </c>
      <c r="C132" s="164" t="n"/>
      <c r="D132" s="164" t="n"/>
      <c r="E132" s="954">
        <f>+_xlfn.XLOOKUP($B132,Inputs!$B:$B,Inputs!O:O)</f>
        <v/>
      </c>
      <c r="F132" s="954">
        <f>+_xlfn.XLOOKUP($B132,Inputs!$B:$B,Inputs!P:P)</f>
        <v/>
      </c>
      <c r="G132" s="955">
        <f>+_xlfn.XLOOKUP($B132,Inputs!$B:$B,Inputs!Q:Q)</f>
        <v/>
      </c>
      <c r="H132" s="956">
        <f>IFERROR(H81+H123+H125+H128+H130,"")</f>
        <v/>
      </c>
      <c r="I132" s="956">
        <f>IFERROR(I81+I123+I125+I128+I130,"")</f>
        <v/>
      </c>
      <c r="J132" s="956">
        <f>IFERROR(J81+J123+J125+J128+J130,"")</f>
        <v/>
      </c>
      <c r="K132" s="956">
        <f>IFERROR(K81+K123+K125+K128+K130,"")</f>
        <v/>
      </c>
      <c r="L132" s="956">
        <f>IFERROR(L81+L123+L125+L128+L130,"")</f>
        <v/>
      </c>
      <c r="M132" s="956">
        <f>IFERROR(M81+M123+M125+M128+M130,"")</f>
        <v/>
      </c>
      <c r="N132" s="956">
        <f>IFERROR(N81+N123+N125+N128+N130,"")</f>
        <v/>
      </c>
      <c r="O132" s="956">
        <f>IFERROR(O81+O123+O125+O128+O130,"")</f>
        <v/>
      </c>
      <c r="P132" s="956">
        <f>IFERROR(P81+P123+P125+P128+P130,"")</f>
        <v/>
      </c>
      <c r="Q132" s="956">
        <f>IFERROR(Q81+Q123+Q125+Q128+Q130,"")</f>
        <v/>
      </c>
    </row>
    <row r="133" ht="3.75" customHeight="1" s="783">
      <c r="G133" s="162" t="n"/>
    </row>
    <row r="134" ht="13.5" customHeight="1" s="783">
      <c r="B134" s="354" t="inlineStr">
        <is>
          <t>Net CapEx</t>
        </is>
      </c>
      <c r="C134" s="354" t="n"/>
      <c r="D134" s="354" t="n"/>
      <c r="E134" s="957">
        <f>+_xlfn.XLOOKUP($B134,Inputs!$B:$B,Inputs!O:O)</f>
        <v/>
      </c>
      <c r="F134" s="957">
        <f>+_xlfn.XLOOKUP($B134,Inputs!$B:$B,Inputs!P:P)</f>
        <v/>
      </c>
      <c r="G134" s="958">
        <f>+_xlfn.XLOOKUP($B134,Inputs!$B:$B,Inputs!Q:Q)</f>
        <v/>
      </c>
      <c r="H134" s="959">
        <f>IFERROR(H136+H138,"")</f>
        <v/>
      </c>
      <c r="I134" s="959">
        <f>IFERROR(I136+I138,"")</f>
        <v/>
      </c>
      <c r="J134" s="959">
        <f>IFERROR(J136+J138,"")</f>
        <v/>
      </c>
      <c r="K134" s="959">
        <f>IFERROR(K136+K138,"")</f>
        <v/>
      </c>
      <c r="L134" s="959">
        <f>IFERROR(L136+L138,"")</f>
        <v/>
      </c>
      <c r="M134" s="959">
        <f>IFERROR(M136+M138,"")</f>
        <v/>
      </c>
      <c r="N134" s="959">
        <f>IFERROR(N136+N138,"")</f>
        <v/>
      </c>
      <c r="O134" s="959">
        <f>IFERROR(O136+O138,"")</f>
        <v/>
      </c>
      <c r="P134" s="959">
        <f>IFERROR(P136+P138,"")</f>
        <v/>
      </c>
      <c r="Q134" s="959">
        <f>IFERROR(Q136+Q138,"")</f>
        <v/>
      </c>
    </row>
    <row r="135" ht="3.75" customHeight="1" s="783">
      <c r="B135" s="167" t="n"/>
      <c r="E135" s="916" t="n"/>
      <c r="F135" s="916" t="n"/>
      <c r="G135" s="917" t="n"/>
      <c r="H135" s="916" t="n"/>
      <c r="I135" s="916" t="n"/>
      <c r="J135" s="916" t="n"/>
      <c r="K135" s="916" t="n"/>
      <c r="L135" s="916" t="n"/>
      <c r="M135" s="916" t="n"/>
      <c r="N135" s="916" t="n"/>
      <c r="O135" s="916" t="n"/>
      <c r="P135" s="916" t="n"/>
      <c r="Q135" s="916" t="n"/>
    </row>
    <row r="136" customFormat="1" s="167">
      <c r="B136" s="287" t="inlineStr">
        <is>
          <t>Acquisition of Fixed &amp; Intangibles</t>
        </is>
      </c>
      <c r="E136" s="929">
        <f>+_xlfn.XLOOKUP($B136,Inputs!$B:$B,Inputs!O:O)</f>
        <v/>
      </c>
      <c r="F136" s="929">
        <f>+_xlfn.XLOOKUP($B136,Inputs!$B:$B,Inputs!P:P)</f>
        <v/>
      </c>
      <c r="G136" s="930">
        <f>+_xlfn.XLOOKUP($B136,Inputs!$B:$B,Inputs!Q:Q)</f>
        <v/>
      </c>
      <c r="H136" s="941">
        <f>+H19*H18</f>
        <v/>
      </c>
      <c r="I136" s="941">
        <f>+I19*I18</f>
        <v/>
      </c>
      <c r="J136" s="941">
        <f>+J19*J18</f>
        <v/>
      </c>
      <c r="K136" s="941">
        <f>+K19*K18</f>
        <v/>
      </c>
      <c r="L136" s="941">
        <f>+L19*L18</f>
        <v/>
      </c>
      <c r="M136" s="941">
        <f>+M19*M18</f>
        <v/>
      </c>
      <c r="N136" s="941">
        <f>+N19*N18</f>
        <v/>
      </c>
      <c r="O136" s="941">
        <f>+O19*O18</f>
        <v/>
      </c>
      <c r="P136" s="941">
        <f>+P19*P18</f>
        <v/>
      </c>
      <c r="Q136" s="941">
        <f>+Q19*Q18</f>
        <v/>
      </c>
    </row>
    <row r="137" ht="3.75" customHeight="1" s="783">
      <c r="B137" s="287" t="n"/>
      <c r="E137" s="916" t="n"/>
      <c r="F137" s="916" t="n"/>
      <c r="G137" s="917" t="n"/>
      <c r="H137" s="916" t="n"/>
      <c r="I137" s="916" t="n"/>
      <c r="J137" s="916" t="n"/>
      <c r="K137" s="916" t="n"/>
      <c r="L137" s="916" t="n"/>
      <c r="M137" s="916" t="n"/>
      <c r="N137" s="916" t="n"/>
      <c r="O137" s="916" t="n"/>
      <c r="P137" s="916" t="n"/>
      <c r="Q137" s="916" t="n"/>
    </row>
    <row r="138" customFormat="1" s="167">
      <c r="B138" s="287" t="inlineStr">
        <is>
          <t>Disposal of Fixed &amp; Intangibles</t>
        </is>
      </c>
      <c r="E138" s="929">
        <f>+_xlfn.XLOOKUP($B138,Inputs!$B:$B,Inputs!O:O)</f>
        <v/>
      </c>
      <c r="F138" s="929">
        <f>+_xlfn.XLOOKUP($B138,Inputs!$B:$B,Inputs!P:P)</f>
        <v/>
      </c>
      <c r="G138" s="930">
        <f>+_xlfn.XLOOKUP($B138,Inputs!$B:$B,Inputs!Q:Q)</f>
        <v/>
      </c>
      <c r="H138" s="941">
        <f>IFERROR(H139*G100,"")</f>
        <v/>
      </c>
      <c r="I138" s="941">
        <f>IFERROR(I139*H100,"")</f>
        <v/>
      </c>
      <c r="J138" s="941">
        <f>IFERROR(J139*I100,"")</f>
        <v/>
      </c>
      <c r="K138" s="941">
        <f>IFERROR(K139*J100,"")</f>
        <v/>
      </c>
      <c r="L138" s="941">
        <f>IFERROR(L139*K100,"")</f>
        <v/>
      </c>
      <c r="M138" s="941">
        <f>IFERROR(M139*L100,"")</f>
        <v/>
      </c>
      <c r="N138" s="941">
        <f>IFERROR(N139*M100,"")</f>
        <v/>
      </c>
      <c r="O138" s="941">
        <f>IFERROR(O139*N100,"")</f>
        <v/>
      </c>
      <c r="P138" s="941">
        <f>IFERROR(P139*O100,"")</f>
        <v/>
      </c>
      <c r="Q138" s="941">
        <f>IFERROR(Q139*P100,"")</f>
        <v/>
      </c>
    </row>
    <row r="139" ht="14.25" customHeight="1" s="783">
      <c r="B139" s="297" t="inlineStr">
        <is>
          <t>Disposal Rate (% Gross PP&amp;E)</t>
        </is>
      </c>
      <c r="E139" s="933">
        <f>IFERROR(E138/E100,"")</f>
        <v/>
      </c>
      <c r="F139" s="933">
        <f>IFERROR(F138/F100,"")</f>
        <v/>
      </c>
      <c r="G139" s="960">
        <f>IFERROR(G138/G100,"")</f>
        <v/>
      </c>
      <c r="H139" s="906">
        <f>IFERROR(AVERAGE(E139:G139),"")</f>
        <v/>
      </c>
      <c r="I139" s="906">
        <f>IFERROR(AVERAGE(F139:H139),"")</f>
        <v/>
      </c>
      <c r="J139" s="906">
        <f>IFERROR(AVERAGE(G139:I139),"")</f>
        <v/>
      </c>
      <c r="K139" s="906">
        <f>IFERROR(AVERAGE(H139:J139),"")</f>
        <v/>
      </c>
      <c r="L139" s="906">
        <f>IFERROR(AVERAGE(I139:K139),"")</f>
        <v/>
      </c>
      <c r="M139" s="906">
        <f>IFERROR(AVERAGE(J139:L139),"")</f>
        <v/>
      </c>
      <c r="N139" s="906">
        <f>IFERROR(AVERAGE(K139:M139),"")</f>
        <v/>
      </c>
      <c r="O139" s="906">
        <f>IFERROR(AVERAGE(L139:N139),"")</f>
        <v/>
      </c>
      <c r="P139" s="906">
        <f>IFERROR(AVERAGE(M139:O139),"")</f>
        <v/>
      </c>
      <c r="Q139" s="906">
        <f>IFERROR(AVERAGE(N139:P139),"")</f>
        <v/>
      </c>
    </row>
    <row r="140" ht="3.75" customHeight="1" s="783">
      <c r="B140" s="167" t="n"/>
      <c r="E140" s="916" t="n"/>
      <c r="F140" s="916" t="n"/>
      <c r="G140" s="917" t="n"/>
      <c r="H140" s="916" t="n"/>
      <c r="I140" s="916" t="n"/>
      <c r="J140" s="916" t="n"/>
      <c r="K140" s="916" t="n"/>
      <c r="L140" s="916" t="n"/>
      <c r="M140" s="916" t="n"/>
      <c r="N140" s="916" t="n"/>
      <c r="O140" s="916" t="n"/>
      <c r="P140" s="916" t="n"/>
      <c r="Q140" s="916" t="n"/>
    </row>
    <row r="141" ht="13.5" customHeight="1" s="783">
      <c r="B141" s="213" t="inlineStr">
        <is>
          <t>Net Cash from Investments &amp; Acquisitions</t>
        </is>
      </c>
      <c r="E141" s="929">
        <f>+_xlfn.XLOOKUP($B141,Inputs!$B:$B,Inputs!O:O)</f>
        <v/>
      </c>
      <c r="F141" s="929">
        <f>+_xlfn.XLOOKUP($B141,Inputs!$B:$B,Inputs!P:P)</f>
        <v/>
      </c>
      <c r="G141" s="930">
        <f>+_xlfn.XLOOKUP($B141,Inputs!$B:$B,Inputs!Q:Q)</f>
        <v/>
      </c>
      <c r="H141" s="961" t="n">
        <v>0</v>
      </c>
      <c r="I141" s="961" t="n">
        <v>0</v>
      </c>
      <c r="J141" s="961" t="n">
        <v>0</v>
      </c>
      <c r="K141" s="961" t="n">
        <v>0</v>
      </c>
      <c r="L141" s="961" t="n">
        <v>0</v>
      </c>
      <c r="M141" s="961" t="n">
        <v>0</v>
      </c>
      <c r="N141" s="961" t="n">
        <v>0</v>
      </c>
      <c r="O141" s="961" t="n">
        <v>0</v>
      </c>
      <c r="P141" s="961" t="n">
        <v>0</v>
      </c>
      <c r="Q141" s="961" t="n">
        <v>0</v>
      </c>
    </row>
    <row r="142" ht="3.75" customHeight="1" s="783">
      <c r="B142" s="167" t="n"/>
      <c r="E142" s="916" t="n"/>
      <c r="F142" s="916" t="n"/>
      <c r="G142" s="927" t="n"/>
      <c r="H142" s="916" t="n"/>
      <c r="I142" s="916" t="n"/>
      <c r="J142" s="916" t="n"/>
      <c r="K142" s="916" t="n"/>
      <c r="L142" s="916" t="n"/>
      <c r="M142" s="916" t="n"/>
      <c r="N142" s="916" t="n"/>
      <c r="O142" s="916" t="n"/>
      <c r="P142" s="916" t="n"/>
      <c r="Q142" s="916" t="n"/>
    </row>
    <row r="143" ht="13.5" customHeight="1" s="783">
      <c r="B143" s="396" t="inlineStr">
        <is>
          <t>Other Investing Inflows (Outflows)</t>
        </is>
      </c>
      <c r="C143" s="396" t="n"/>
      <c r="D143" s="396" t="n"/>
      <c r="E143" s="951">
        <f>+_xlfn.XLOOKUP($B143,Inputs!$B:$B,Inputs!O:O)</f>
        <v/>
      </c>
      <c r="F143" s="951">
        <f>+_xlfn.XLOOKUP($B143,Inputs!$B:$B,Inputs!P:P)</f>
        <v/>
      </c>
      <c r="G143" s="952">
        <f>+_xlfn.XLOOKUP($B143,Inputs!$B:$B,Inputs!Q:Q)</f>
        <v/>
      </c>
      <c r="H143" s="953">
        <f>IFERROR(AVERAGE(E143:G143)*(1+H31),"")</f>
        <v/>
      </c>
      <c r="I143" s="953">
        <f>IFERROR(AVERAGE(F143:H143)*(1+I31),"")</f>
        <v/>
      </c>
      <c r="J143" s="953">
        <f>IFERROR(AVERAGE(G143:I143)*(1+J31),"")</f>
        <v/>
      </c>
      <c r="K143" s="953">
        <f>IFERROR(AVERAGE(H143:J143)*(1+K31),"")</f>
        <v/>
      </c>
      <c r="L143" s="953">
        <f>IFERROR(AVERAGE(I143:K143)*(1+L31),"")</f>
        <v/>
      </c>
      <c r="M143" s="953">
        <f>IFERROR(AVERAGE(J143:L143)*(1+M31),"")</f>
        <v/>
      </c>
      <c r="N143" s="953">
        <f>IFERROR(AVERAGE(K143:M143)*(1+N31),"")</f>
        <v/>
      </c>
      <c r="O143" s="953">
        <f>IFERROR(AVERAGE(L143:N143)*(1+O31),"")</f>
        <v/>
      </c>
      <c r="P143" s="953">
        <f>IFERROR(AVERAGE(M143:O143)*(1+P31),"")</f>
        <v/>
      </c>
      <c r="Q143" s="953">
        <f>IFERROR(AVERAGE(N143:P143)*(1+Q31),"")</f>
        <v/>
      </c>
    </row>
    <row r="144" ht="5.25" customHeight="1" s="783">
      <c r="E144" s="929" t="n"/>
      <c r="F144" s="929" t="n"/>
      <c r="G144" s="930" t="n"/>
      <c r="H144" s="941" t="n"/>
      <c r="I144" s="941" t="n"/>
      <c r="J144" s="941" t="n"/>
      <c r="K144" s="941" t="n"/>
      <c r="L144" s="941" t="n"/>
      <c r="M144" s="941" t="n"/>
      <c r="N144" s="941" t="n"/>
      <c r="O144" s="941" t="n"/>
      <c r="P144" s="941" t="n"/>
      <c r="Q144" s="941" t="n"/>
    </row>
    <row r="145" ht="13.5" customHeight="1" s="783">
      <c r="B145" s="164" t="inlineStr">
        <is>
          <t>Investing Cash Flow</t>
        </is>
      </c>
      <c r="C145" s="164" t="n"/>
      <c r="D145" s="164" t="n"/>
      <c r="E145" s="954">
        <f>+_xlfn.XLOOKUP($B145,Inputs!$B:$B,Inputs!O:O)</f>
        <v/>
      </c>
      <c r="F145" s="954">
        <f>+_xlfn.XLOOKUP($B145,Inputs!$B:$B,Inputs!P:P)</f>
        <v/>
      </c>
      <c r="G145" s="955">
        <f>+_xlfn.XLOOKUP($B145,Inputs!$B:$B,Inputs!Q:Q)</f>
        <v/>
      </c>
      <c r="H145" s="962">
        <f>IFERROR(+H134+H141+H143,"")</f>
        <v/>
      </c>
      <c r="I145" s="962">
        <f>IFERROR(+I134+I141+I143,"")</f>
        <v/>
      </c>
      <c r="J145" s="962">
        <f>IFERROR(+J134+J141+J143,"")</f>
        <v/>
      </c>
      <c r="K145" s="962">
        <f>IFERROR(+K134+K141+K143,"")</f>
        <v/>
      </c>
      <c r="L145" s="962">
        <f>IFERROR(+L134+L141+L143,"")</f>
        <v/>
      </c>
      <c r="M145" s="962">
        <f>IFERROR(+M134+M141+M143,"")</f>
        <v/>
      </c>
      <c r="N145" s="962">
        <f>IFERROR(+N134+N141+N143,"")</f>
        <v/>
      </c>
      <c r="O145" s="962">
        <f>IFERROR(+O134+O141+O143,"")</f>
        <v/>
      </c>
      <c r="P145" s="962">
        <f>IFERROR(+P134+P141+P143,"")</f>
        <v/>
      </c>
      <c r="Q145" s="962">
        <f>IFERROR(+Q134+Q141+Q143,"")</f>
        <v/>
      </c>
    </row>
    <row r="146" ht="3.75" customHeight="1" s="783">
      <c r="E146" s="929" t="n"/>
      <c r="F146" s="929" t="n"/>
      <c r="G146" s="930" t="n"/>
      <c r="H146" s="941" t="n"/>
      <c r="I146" s="941" t="n"/>
      <c r="J146" s="941" t="n"/>
      <c r="K146" s="941" t="n"/>
      <c r="L146" s="941" t="n"/>
      <c r="M146" s="941" t="n"/>
      <c r="N146" s="941" t="n"/>
      <c r="O146" s="941" t="n"/>
      <c r="P146" s="941" t="n"/>
      <c r="Q146" s="941" t="n"/>
    </row>
    <row r="147" ht="13.5" customHeight="1" s="783">
      <c r="B147" s="354" t="inlineStr">
        <is>
          <t>Dividends</t>
        </is>
      </c>
      <c r="C147" s="354" t="n"/>
      <c r="D147" s="354" t="n"/>
      <c r="E147" s="957">
        <f>+_xlfn.XLOOKUP($B147,Inputs!$B:$B,Inputs!O:O)</f>
        <v/>
      </c>
      <c r="F147" s="957">
        <f>+_xlfn.XLOOKUP($B147,Inputs!$B:$B,Inputs!P:P)</f>
        <v/>
      </c>
      <c r="G147" s="958">
        <f>+_xlfn.XLOOKUP($B147,Inputs!$B:$B,Inputs!Q:Q)</f>
        <v/>
      </c>
      <c r="H147" s="354">
        <f>+IFERROR(H148*_xlfn.XLOOKUP("Net Income",$B:$B,$H:$H),"")</f>
        <v/>
      </c>
      <c r="I147" s="354">
        <f>+IFERROR(I148*_xlfn.XLOOKUP("Net Income",$B:$B,$H:$H),"")</f>
        <v/>
      </c>
      <c r="J147" s="354">
        <f>+IFERROR(J148*_xlfn.XLOOKUP("Net Income",$B:$B,$H:$H),"")</f>
        <v/>
      </c>
      <c r="K147" s="354">
        <f>+IFERROR(K148*_xlfn.XLOOKUP("Net Income",$B:$B,$H:$H),"")</f>
        <v/>
      </c>
      <c r="L147" s="354">
        <f>+IFERROR(L148*_xlfn.XLOOKUP("Net Income",$B:$B,$H:$H),"")</f>
        <v/>
      </c>
      <c r="M147" s="354">
        <f>+IFERROR(M148*_xlfn.XLOOKUP("Net Income",$B:$B,$H:$H),"")</f>
        <v/>
      </c>
      <c r="N147" s="354">
        <f>+IFERROR(N148*_xlfn.XLOOKUP("Net Income",$B:$B,$H:$H),"")</f>
        <v/>
      </c>
      <c r="O147" s="354">
        <f>+IFERROR(O148*_xlfn.XLOOKUP("Net Income",$B:$B,$H:$H),"")</f>
        <v/>
      </c>
      <c r="P147" s="354">
        <f>+IFERROR(P148*_xlfn.XLOOKUP("Net Income",$B:$B,$H:$H),"")</f>
        <v/>
      </c>
      <c r="Q147" s="354">
        <f>+IFERROR(Q148*_xlfn.XLOOKUP("Net Income",$B:$B,$H:$H),"")</f>
        <v/>
      </c>
    </row>
    <row r="148" ht="13.5" customHeight="1" s="783">
      <c r="B148" s="288" t="inlineStr">
        <is>
          <t>Dividend payout</t>
        </is>
      </c>
      <c r="E148" s="350">
        <f>IFERROR(-E147/E$81,"")</f>
        <v/>
      </c>
      <c r="F148" s="350">
        <f>IFERROR(-F147/F$81,"")</f>
        <v/>
      </c>
      <c r="G148" s="351">
        <f>IFERROR(-G147/G$81,"")</f>
        <v/>
      </c>
      <c r="H148" s="352" t="n"/>
      <c r="I148" s="352" t="n"/>
      <c r="J148" s="352" t="n"/>
      <c r="K148" s="352" t="n"/>
      <c r="L148" s="352" t="n"/>
      <c r="M148" s="352" t="n"/>
      <c r="N148" s="352" t="n"/>
      <c r="O148" s="352" t="n"/>
      <c r="P148" s="352" t="n"/>
      <c r="Q148" s="352" t="n"/>
    </row>
    <row r="149" ht="3.75" customHeight="1" s="783">
      <c r="E149" s="929" t="n"/>
      <c r="F149" s="929" t="n"/>
      <c r="G149" s="930" t="n"/>
      <c r="H149" s="941" t="n"/>
      <c r="I149" s="941" t="n"/>
      <c r="J149" s="941" t="n"/>
      <c r="K149" s="941" t="n"/>
      <c r="L149" s="941" t="n"/>
      <c r="M149" s="941" t="n"/>
      <c r="N149" s="941" t="n"/>
      <c r="O149" s="941" t="n"/>
      <c r="P149" s="941" t="n"/>
      <c r="Q149" s="941" t="n"/>
    </row>
    <row r="150" ht="13.5" customHeight="1" s="783">
      <c r="B150" s="132" t="inlineStr">
        <is>
          <t>Increase (Repurchase) of Shares</t>
        </is>
      </c>
      <c r="E150" s="910">
        <f>+_xlfn.XLOOKUP($B150,Inputs!$B:$B,Inputs!O:O)</f>
        <v/>
      </c>
      <c r="F150" s="910">
        <f>+_xlfn.XLOOKUP($B150,Inputs!$B:$B,Inputs!P:P)</f>
        <v/>
      </c>
      <c r="G150" s="911">
        <f>+_xlfn.XLOOKUP($B150,Inputs!$B:$B,Inputs!Q:Q)</f>
        <v/>
      </c>
      <c r="H150" s="901">
        <f>IFERROR(-H151*_xlfn.XLOOKUP("Net Income",$B:$B,H:H),"")</f>
        <v/>
      </c>
      <c r="I150" s="901">
        <f>IFERROR(-I151*_xlfn.XLOOKUP("Net Income",$B:$B,I:I),"")</f>
        <v/>
      </c>
      <c r="J150" s="901">
        <f>IFERROR(-J151*_xlfn.XLOOKUP("Net Income",$B:$B,J:J),"")</f>
        <v/>
      </c>
      <c r="K150" s="901">
        <f>IFERROR(-K151*_xlfn.XLOOKUP("Net Income",$B:$B,K:K),"")</f>
        <v/>
      </c>
      <c r="L150" s="901">
        <f>IFERROR(-L151*_xlfn.XLOOKUP("Net Income",$B:$B,L:L),"")</f>
        <v/>
      </c>
      <c r="M150" s="901">
        <f>IFERROR(-M151*_xlfn.XLOOKUP("Net Income",$B:$B,M:M),"")</f>
        <v/>
      </c>
      <c r="N150" s="901">
        <f>IFERROR(-N151*_xlfn.XLOOKUP("Net Income",$B:$B,N:N),"")</f>
        <v/>
      </c>
      <c r="O150" s="901">
        <f>IFERROR(-O151*_xlfn.XLOOKUP("Net Income",$B:$B,O:O),"")</f>
        <v/>
      </c>
      <c r="P150" s="901">
        <f>IFERROR(-P151*_xlfn.XLOOKUP("Net Income",$B:$B,P:P),"")</f>
        <v/>
      </c>
      <c r="Q150" s="901">
        <f>IFERROR(-Q151*_xlfn.XLOOKUP("Net Income",$B:$B,Q:Q),"")</f>
        <v/>
      </c>
    </row>
    <row r="151" ht="13.5" customHeight="1" s="783">
      <c r="B151" s="288" t="inlineStr">
        <is>
          <t>Repurchase payout</t>
        </is>
      </c>
      <c r="E151" s="350">
        <f>IFERROR(-E150/E$81,"")</f>
        <v/>
      </c>
      <c r="F151" s="350">
        <f>IFERROR(-F150/F$81,"")</f>
        <v/>
      </c>
      <c r="G151" s="351">
        <f>IFERROR(-G150/G$81,"")</f>
        <v/>
      </c>
      <c r="H151" s="352" t="n"/>
      <c r="I151" s="352" t="n"/>
      <c r="J151" s="352" t="n"/>
      <c r="K151" s="352" t="n"/>
      <c r="L151" s="352" t="n"/>
      <c r="M151" s="352" t="n"/>
      <c r="N151" s="352" t="n"/>
      <c r="O151" s="352" t="n"/>
      <c r="P151" s="352" t="n"/>
      <c r="Q151" s="352" t="n"/>
    </row>
    <row r="152" ht="3.75" customHeight="1" s="783">
      <c r="E152" s="929" t="n"/>
      <c r="F152" s="929" t="n"/>
      <c r="G152" s="930" t="n"/>
      <c r="H152" s="941" t="n"/>
      <c r="I152" s="941" t="n"/>
      <c r="J152" s="941" t="n"/>
      <c r="K152" s="941" t="n"/>
      <c r="L152" s="941" t="n"/>
      <c r="M152" s="941" t="n"/>
      <c r="N152" s="941" t="n"/>
      <c r="O152" s="941" t="n"/>
      <c r="P152" s="941" t="n"/>
      <c r="Q152" s="941" t="n"/>
    </row>
    <row r="153">
      <c r="B153" s="132" t="inlineStr">
        <is>
          <t>Lease Payments</t>
        </is>
      </c>
      <c r="E153" s="910">
        <f>+_xlfn.XLOOKUP($B153,Inputs!$B:$B,Inputs!O:O)</f>
        <v/>
      </c>
      <c r="F153" s="910">
        <f>+_xlfn.XLOOKUP($B153,Inputs!$B:$B,Inputs!P:P)</f>
        <v/>
      </c>
      <c r="G153" s="911">
        <f>+_xlfn.XLOOKUP($B153,Inputs!$B:$B,Inputs!Q:Q)</f>
        <v/>
      </c>
      <c r="H153" s="901">
        <f>+IFERROR(H154*H101,"")</f>
        <v/>
      </c>
      <c r="I153" s="901">
        <f>+IFERROR(I154*I101,"")</f>
        <v/>
      </c>
      <c r="J153" s="901">
        <f>+IFERROR(J154*J101,"")</f>
        <v/>
      </c>
      <c r="K153" s="901">
        <f>+IFERROR(K154*K101,"")</f>
        <v/>
      </c>
      <c r="L153" s="901">
        <f>+IFERROR(L154*L101,"")</f>
        <v/>
      </c>
      <c r="M153" s="901">
        <f>+IFERROR(M154*M101,"")</f>
        <v/>
      </c>
      <c r="N153" s="901">
        <f>+IFERROR(N154*N101,"")</f>
        <v/>
      </c>
      <c r="O153" s="901">
        <f>+IFERROR(O154*O101,"")</f>
        <v/>
      </c>
      <c r="P153" s="901">
        <f>+IFERROR(P154*P101,"")</f>
        <v/>
      </c>
      <c r="Q153" s="901">
        <f>+IFERROR(Q154*Q101,"")</f>
        <v/>
      </c>
    </row>
    <row r="154">
      <c r="B154" s="288" t="inlineStr">
        <is>
          <t>% of Right-of-Use Assets</t>
        </is>
      </c>
      <c r="E154" s="919">
        <f>IFERROR(E153/E101,"")</f>
        <v/>
      </c>
      <c r="F154" s="919">
        <f>IFERROR(F153/F101,"")</f>
        <v/>
      </c>
      <c r="G154" s="920">
        <f>IFERROR(G153/G101,"")</f>
        <v/>
      </c>
      <c r="H154" s="906" t="n"/>
      <c r="I154" s="906" t="n"/>
      <c r="J154" s="906" t="n"/>
      <c r="K154" s="906" t="n"/>
      <c r="L154" s="906" t="n"/>
      <c r="M154" s="906" t="n"/>
      <c r="N154" s="906" t="n"/>
      <c r="O154" s="906" t="n"/>
      <c r="P154" s="906" t="n"/>
      <c r="Q154" s="906" t="n"/>
    </row>
    <row r="155" ht="3.75" customHeight="1" s="783">
      <c r="B155" s="288" t="n"/>
      <c r="E155" s="919" t="n"/>
      <c r="F155" s="919" t="n"/>
      <c r="G155" s="920" t="n"/>
      <c r="H155" s="943" t="n"/>
      <c r="I155" s="943" t="n"/>
      <c r="J155" s="943" t="n"/>
      <c r="K155" s="943" t="n"/>
      <c r="L155" s="943" t="n"/>
      <c r="M155" s="943" t="n"/>
      <c r="N155" s="943" t="n"/>
      <c r="O155" s="943" t="n"/>
      <c r="P155" s="943" t="n"/>
      <c r="Q155" s="943" t="n"/>
    </row>
    <row r="156">
      <c r="B156" s="132" t="inlineStr">
        <is>
          <t>Debt Borrowing</t>
        </is>
      </c>
      <c r="E156" s="910">
        <f>+_xlfn.XLOOKUP($B156,Inputs!$B:$B,Inputs!O:O)</f>
        <v/>
      </c>
      <c r="F156" s="910">
        <f>+_xlfn.XLOOKUP($B156,Inputs!$B:$B,Inputs!P:P)</f>
        <v/>
      </c>
      <c r="G156" s="911">
        <f>+_xlfn.XLOOKUP($B156,Inputs!$B:$B,Inputs!Q:Q)</f>
        <v/>
      </c>
      <c r="H156" s="941">
        <f>IFERROR(MAX(0,-G244),"")</f>
        <v/>
      </c>
      <c r="I156" s="941">
        <f>IFERROR(MAX(0,-H244),"")</f>
        <v/>
      </c>
      <c r="J156" s="941">
        <f>IFERROR(MAX(0,-I244),"")</f>
        <v/>
      </c>
      <c r="K156" s="941">
        <f>IFERROR(MAX(0,-J244),"")</f>
        <v/>
      </c>
      <c r="L156" s="941">
        <f>IFERROR(MAX(0,-K244),"")</f>
        <v/>
      </c>
      <c r="M156" s="941">
        <f>IFERROR(MAX(0,-L244),"")</f>
        <v/>
      </c>
      <c r="N156" s="941">
        <f>IFERROR(MAX(0,-M244),"")</f>
        <v/>
      </c>
      <c r="O156" s="941">
        <f>IFERROR(MAX(0,-N244),"")</f>
        <v/>
      </c>
      <c r="P156" s="941">
        <f>IFERROR(MAX(0,-O244),"")</f>
        <v/>
      </c>
      <c r="Q156" s="941">
        <f>IFERROR(MAX(0,-P244),"")</f>
        <v/>
      </c>
    </row>
    <row r="157" ht="3.75" customHeight="1" s="783">
      <c r="B157" s="288" t="n"/>
      <c r="E157" s="919" t="n"/>
      <c r="F157" s="919" t="n"/>
      <c r="G157" s="920" t="n"/>
      <c r="H157" s="943" t="n"/>
      <c r="I157" s="943" t="n"/>
      <c r="J157" s="943" t="n"/>
      <c r="K157" s="943" t="n"/>
      <c r="L157" s="943" t="n"/>
      <c r="M157" s="943" t="n"/>
      <c r="N157" s="943" t="n"/>
      <c r="O157" s="943" t="n"/>
      <c r="P157" s="943" t="n"/>
      <c r="Q157" s="943" t="n"/>
    </row>
    <row r="158">
      <c r="B158" s="132" t="inlineStr">
        <is>
          <t>Debt Repayment</t>
        </is>
      </c>
      <c r="E158" s="910">
        <f>+_xlfn.XLOOKUP($B158,Inputs!$B:$B,Inputs!O:O)</f>
        <v/>
      </c>
      <c r="F158" s="910">
        <f>+_xlfn.XLOOKUP($B158,Inputs!$B:$B,Inputs!P:P)</f>
        <v/>
      </c>
      <c r="G158" s="911">
        <f>+_xlfn.XLOOKUP($B158,Inputs!$B:$B,Inputs!Q:Q)</f>
        <v/>
      </c>
      <c r="H158" s="941">
        <f>IFERROR(MAX(0,H159*G244),"")</f>
        <v/>
      </c>
      <c r="I158" s="941">
        <f>IFERROR(MAX(0,I159*H244),"")</f>
        <v/>
      </c>
      <c r="J158" s="941">
        <f>IFERROR(MAX(0,J159*I244),"")</f>
        <v/>
      </c>
      <c r="K158" s="941">
        <f>IFERROR(MAX(0,K159*J244),"")</f>
        <v/>
      </c>
      <c r="L158" s="941">
        <f>IFERROR(MAX(0,L159*K244),"")</f>
        <v/>
      </c>
      <c r="M158" s="941">
        <f>IFERROR(MAX(0,M159*L244),"")</f>
        <v/>
      </c>
      <c r="N158" s="941">
        <f>IFERROR(MAX(0,N159*M244),"")</f>
        <v/>
      </c>
      <c r="O158" s="941">
        <f>IFERROR(MAX(0,O159*N244),"")</f>
        <v/>
      </c>
      <c r="P158" s="941">
        <f>IFERROR(MAX(0,P159*O244),"")</f>
        <v/>
      </c>
      <c r="Q158" s="941">
        <f>IFERROR(MAX(0,Q159*P244),"")</f>
        <v/>
      </c>
    </row>
    <row r="159">
      <c r="B159" s="288" t="inlineStr">
        <is>
          <t>% of FCFE</t>
        </is>
      </c>
      <c r="E159" s="919">
        <f>IFERROR(E158/E244,"")</f>
        <v/>
      </c>
      <c r="F159" s="919">
        <f>IFERROR(F158/F244,"")</f>
        <v/>
      </c>
      <c r="G159" s="920">
        <f>IFERROR(G158/G244,"")</f>
        <v/>
      </c>
      <c r="H159" s="906" t="n"/>
      <c r="I159" s="906" t="n"/>
      <c r="J159" s="906" t="n"/>
      <c r="K159" s="906" t="n"/>
      <c r="L159" s="906" t="n"/>
      <c r="M159" s="906" t="n"/>
      <c r="N159" s="906" t="n"/>
      <c r="O159" s="906" t="n"/>
      <c r="P159" s="906" t="n"/>
      <c r="Q159" s="906" t="n"/>
    </row>
    <row r="160" ht="3.75" customHeight="1" s="783">
      <c r="B160" s="288" t="n"/>
      <c r="E160" s="919" t="n"/>
      <c r="F160" s="919" t="n"/>
      <c r="G160" s="920" t="n"/>
      <c r="H160" s="943" t="n"/>
      <c r="I160" s="943" t="n"/>
      <c r="J160" s="943" t="n"/>
      <c r="K160" s="943" t="n"/>
      <c r="L160" s="943" t="n"/>
      <c r="M160" s="943" t="n"/>
      <c r="N160" s="943" t="n"/>
      <c r="O160" s="943" t="n"/>
      <c r="P160" s="943" t="n"/>
      <c r="Q160" s="943" t="n"/>
    </row>
    <row r="161">
      <c r="B161" s="396" t="inlineStr">
        <is>
          <t>Other Financing Inflows (Outflows)</t>
        </is>
      </c>
      <c r="C161" s="396" t="n"/>
      <c r="D161" s="396" t="n"/>
      <c r="E161" s="951">
        <f>+_xlfn.XLOOKUP($B161,Inputs!$B:$B,Inputs!O:O)</f>
        <v/>
      </c>
      <c r="F161" s="951">
        <f>+_xlfn.XLOOKUP($B161,Inputs!$B:$B,Inputs!P:P)</f>
        <v/>
      </c>
      <c r="G161" s="952">
        <f>+_xlfn.XLOOKUP($B161,Inputs!$B:$B,Inputs!Q:Q)</f>
        <v/>
      </c>
      <c r="H161" s="963">
        <f>IFERROR(AVERAGE(E161:G161)*(1+H31),"")</f>
        <v/>
      </c>
      <c r="I161" s="963">
        <f>IFERROR(AVERAGE(F161:H161)*(1+I31),"")</f>
        <v/>
      </c>
      <c r="J161" s="963">
        <f>IFERROR(AVERAGE(G161:I161)*(1+J31),"")</f>
        <v/>
      </c>
      <c r="K161" s="963">
        <f>IFERROR(AVERAGE(H161:J161)*(1+K31),"")</f>
        <v/>
      </c>
      <c r="L161" s="963">
        <f>IFERROR(AVERAGE(I161:K161)*(1+L31),"")</f>
        <v/>
      </c>
      <c r="M161" s="963">
        <f>IFERROR(AVERAGE(J161:L161)*(1+M31),"")</f>
        <v/>
      </c>
      <c r="N161" s="963">
        <f>IFERROR(AVERAGE(K161:M161)*(1+N31),"")</f>
        <v/>
      </c>
      <c r="O161" s="963">
        <f>IFERROR(AVERAGE(L161:N161)*(1+O31),"")</f>
        <v/>
      </c>
      <c r="P161" s="963">
        <f>IFERROR(AVERAGE(M161:O161)*(1+P31),"")</f>
        <v/>
      </c>
      <c r="Q161" s="963">
        <f>IFERROR(AVERAGE(N161:P161)*(1+Q31),"")</f>
        <v/>
      </c>
    </row>
    <row r="162" ht="5.25" customHeight="1" s="783">
      <c r="E162" s="910" t="n"/>
      <c r="F162" s="910" t="n"/>
      <c r="G162" s="911" t="n"/>
      <c r="H162" s="941" t="n"/>
      <c r="I162" s="941" t="n"/>
      <c r="J162" s="941" t="n"/>
      <c r="K162" s="941" t="n"/>
      <c r="L162" s="941" t="n"/>
      <c r="M162" s="941" t="n"/>
      <c r="N162" s="941" t="n"/>
      <c r="O162" s="941" t="n"/>
      <c r="P162" s="941" t="n"/>
      <c r="Q162" s="941" t="n"/>
    </row>
    <row r="163" ht="15.75" customHeight="1" s="783">
      <c r="B163" s="164" t="inlineStr">
        <is>
          <t>Financing Cash Flow</t>
        </is>
      </c>
      <c r="C163" s="164" t="n"/>
      <c r="D163" s="164" t="n"/>
      <c r="E163" s="954">
        <f>+_xlfn.XLOOKUP($B163,Inputs!$B:$B,Inputs!O:O)</f>
        <v/>
      </c>
      <c r="F163" s="954">
        <f>+_xlfn.XLOOKUP($B163,Inputs!$B:$B,Inputs!P:P)</f>
        <v/>
      </c>
      <c r="G163" s="955">
        <f>+_xlfn.XLOOKUP($B163,Inputs!$B:$B,Inputs!Q:Q)</f>
        <v/>
      </c>
      <c r="H163" s="962">
        <f>IFERROR(+H147+H150+H153+H156+H158+H161,"")</f>
        <v/>
      </c>
      <c r="I163" s="962">
        <f>IFERROR(+I147+I150+I153+I156+I158+I161,"")</f>
        <v/>
      </c>
      <c r="J163" s="962">
        <f>IFERROR(+J147+J150+J153+J156+J158+J161,"")</f>
        <v/>
      </c>
      <c r="K163" s="962">
        <f>IFERROR(+K147+K150+K153+K156+K158+K161,"")</f>
        <v/>
      </c>
      <c r="L163" s="962">
        <f>IFERROR(+L147+L150+L153+L156+L158+L161,"")</f>
        <v/>
      </c>
      <c r="M163" s="962">
        <f>IFERROR(+M147+M150+M153+M156+M158+M161,"")</f>
        <v/>
      </c>
      <c r="N163" s="962">
        <f>IFERROR(+N147+N150+N153+N156+N158+N161,"")</f>
        <v/>
      </c>
      <c r="O163" s="962">
        <f>IFERROR(+O147+O150+O153+O156+O158+O161,"")</f>
        <v/>
      </c>
      <c r="P163" s="962">
        <f>IFERROR(+P147+P150+P153+P156+P158+P161,"")</f>
        <v/>
      </c>
      <c r="Q163" s="962">
        <f>IFERROR(+Q147+Q150+Q153+Q156+Q158+Q161,"")</f>
        <v/>
      </c>
    </row>
    <row r="164" ht="3.75" customHeight="1" s="783">
      <c r="B164" s="288" t="n"/>
      <c r="E164" s="919" t="n"/>
      <c r="F164" s="919" t="n"/>
      <c r="G164" s="920" t="n"/>
      <c r="H164" s="943" t="n"/>
      <c r="I164" s="943" t="n"/>
      <c r="J164" s="943" t="n"/>
      <c r="K164" s="943" t="n"/>
      <c r="L164" s="943" t="n"/>
      <c r="M164" s="943" t="n"/>
      <c r="N164" s="943" t="n"/>
      <c r="O164" s="943" t="n"/>
      <c r="P164" s="943" t="n"/>
      <c r="Q164" s="943" t="n"/>
    </row>
    <row r="165" ht="15.75" customHeight="1" s="783">
      <c r="B165" s="499" t="inlineStr">
        <is>
          <t>Net Changes in Cash</t>
        </is>
      </c>
      <c r="C165" s="354" t="n"/>
      <c r="D165" s="354" t="n"/>
      <c r="E165" s="964">
        <f>+_xlfn.XLOOKUP($B165,Inputs!$B:$B,Inputs!O:O)</f>
        <v/>
      </c>
      <c r="F165" s="964">
        <f>+_xlfn.XLOOKUP($B165,Inputs!$B:$B,Inputs!P:P)</f>
        <v/>
      </c>
      <c r="G165" s="965">
        <f>+_xlfn.XLOOKUP($B165,Inputs!$B:$B,Inputs!Q:Q)</f>
        <v/>
      </c>
      <c r="H165" s="966">
        <f>IFERROR(+H132+H145+H163,"")</f>
        <v/>
      </c>
      <c r="I165" s="966">
        <f>IFERROR(+I132+I145+I163,"")</f>
        <v/>
      </c>
      <c r="J165" s="966">
        <f>IFERROR(+J132+J145+J163,"")</f>
        <v/>
      </c>
      <c r="K165" s="966">
        <f>IFERROR(+K132+K145+K163,"")</f>
        <v/>
      </c>
      <c r="L165" s="966">
        <f>IFERROR(+L132+L145+L163,"")</f>
        <v/>
      </c>
      <c r="M165" s="966">
        <f>IFERROR(+M132+M145+M163,"")</f>
        <v/>
      </c>
      <c r="N165" s="966">
        <f>IFERROR(+N132+N145+N163,"")</f>
        <v/>
      </c>
      <c r="O165" s="966">
        <f>IFERROR(+O132+O145+O163,"")</f>
        <v/>
      </c>
      <c r="P165" s="966">
        <f>IFERROR(+P132+P145+P163,"")</f>
        <v/>
      </c>
      <c r="Q165" s="966">
        <f>IFERROR(+Q132+Q145+Q163,"")</f>
        <v/>
      </c>
    </row>
    <row r="166">
      <c r="B166" s="288" t="n"/>
      <c r="E166" s="910" t="n"/>
      <c r="F166" s="919" t="n"/>
      <c r="G166" s="920" t="n"/>
      <c r="H166" s="943" t="n"/>
      <c r="I166" s="943" t="n"/>
      <c r="J166" s="943" t="n"/>
      <c r="K166" s="943" t="n"/>
      <c r="L166" s="943" t="n"/>
      <c r="M166" s="943" t="n"/>
      <c r="N166" s="943" t="n"/>
      <c r="O166" s="943" t="n"/>
      <c r="P166" s="943" t="n"/>
      <c r="Q166" s="943" t="n"/>
    </row>
    <row r="167" ht="3.75" customHeight="1" s="783">
      <c r="G167" s="162" t="n"/>
      <c r="H167" s="137" t="n"/>
      <c r="I167" s="137" t="n"/>
      <c r="J167" s="137" t="n"/>
      <c r="K167" s="137" t="n"/>
      <c r="L167" s="137" t="n"/>
      <c r="O167" s="137" t="n"/>
      <c r="P167" s="137" t="n"/>
      <c r="Q167" s="137" t="n"/>
    </row>
    <row r="168" ht="15.75" customHeight="1" s="783">
      <c r="A168" s="132" t="inlineStr">
        <is>
          <t>x</t>
        </is>
      </c>
      <c r="B168" s="52" t="inlineStr">
        <is>
          <t>FCFF Valuation</t>
        </is>
      </c>
      <c r="C168" s="52" t="n"/>
      <c r="D168" s="52" t="n"/>
      <c r="E168" s="902">
        <f>E28</f>
        <v/>
      </c>
      <c r="F168" s="902">
        <f>F28</f>
        <v/>
      </c>
      <c r="G168" s="950">
        <f>G28</f>
        <v/>
      </c>
      <c r="H168" s="855">
        <f>H28</f>
        <v/>
      </c>
      <c r="I168" s="855">
        <f>I28</f>
        <v/>
      </c>
      <c r="J168" s="855">
        <f>J28</f>
        <v/>
      </c>
      <c r="K168" s="855">
        <f>K28</f>
        <v/>
      </c>
      <c r="L168" s="855">
        <f>L28</f>
        <v/>
      </c>
      <c r="M168" s="855">
        <f>M28</f>
        <v/>
      </c>
      <c r="N168" s="855">
        <f>N28</f>
        <v/>
      </c>
      <c r="O168" s="855">
        <f>O28</f>
        <v/>
      </c>
      <c r="P168" s="855">
        <f>P28</f>
        <v/>
      </c>
      <c r="Q168" s="855">
        <f>Q28</f>
        <v/>
      </c>
    </row>
    <row r="169" ht="3.95" customHeight="1" s="783">
      <c r="B169" s="53" t="n"/>
      <c r="C169" s="53" t="n"/>
      <c r="D169" s="53" t="n"/>
      <c r="E169" s="53" t="n"/>
      <c r="F169" s="53" t="n"/>
      <c r="G169" s="180" t="n"/>
      <c r="H169" s="53" t="n"/>
      <c r="I169" s="53" t="n"/>
      <c r="J169" s="53" t="n"/>
      <c r="K169" s="53" t="n"/>
      <c r="L169" s="53" t="n"/>
      <c r="M169" s="53" t="n"/>
      <c r="N169" s="53" t="n"/>
      <c r="O169" s="53" t="n"/>
      <c r="P169" s="53" t="n"/>
      <c r="Q169" s="53" t="n"/>
    </row>
    <row r="170">
      <c r="B170" s="132" t="inlineStr">
        <is>
          <t>Revenues</t>
        </is>
      </c>
      <c r="E170" s="912">
        <f>$E$30</f>
        <v/>
      </c>
      <c r="F170" s="912">
        <f>$F$30</f>
        <v/>
      </c>
      <c r="G170" s="967">
        <f>$G$30</f>
        <v/>
      </c>
      <c r="H170" s="912">
        <f>IFERROR(G170*(1+H171),"")</f>
        <v/>
      </c>
      <c r="I170" s="912">
        <f>IFERROR(H170*(1+I171),"")</f>
        <v/>
      </c>
      <c r="J170" s="912">
        <f>IFERROR(I170*(1+J171),"")</f>
        <v/>
      </c>
      <c r="K170" s="912">
        <f>IFERROR(J170*(1+K171),"")</f>
        <v/>
      </c>
      <c r="L170" s="912">
        <f>IFERROR(K170*(1+L171),"")</f>
        <v/>
      </c>
      <c r="M170" s="912">
        <f>IFERROR(L170*(1+M171),"")</f>
        <v/>
      </c>
      <c r="N170" s="912">
        <f>IFERROR(M170*(1+N171),"")</f>
        <v/>
      </c>
      <c r="O170" s="912">
        <f>IFERROR(N170*(1+O171),"")</f>
        <v/>
      </c>
      <c r="P170" s="912">
        <f>IFERROR(O170*(1+P171),"")</f>
        <v/>
      </c>
      <c r="Q170" s="912">
        <f>IFERROR(P170*(1+Q171),"")</f>
        <v/>
      </c>
    </row>
    <row r="171">
      <c r="B171" s="288" t="inlineStr">
        <is>
          <t>% of growth</t>
        </is>
      </c>
      <c r="C171" s="288" t="n"/>
      <c r="D171" s="288" t="n"/>
      <c r="E171" s="937">
        <f>$E$31</f>
        <v/>
      </c>
      <c r="F171" s="937">
        <f>$F$31</f>
        <v/>
      </c>
      <c r="G171" s="938">
        <f>$G$31</f>
        <v/>
      </c>
      <c r="H171" s="937">
        <f>+OFFSET($H$171,$C$7,0)</f>
        <v/>
      </c>
      <c r="I171" s="937">
        <f>+OFFSET($I$171,$C$7,0)</f>
        <v/>
      </c>
      <c r="J171" s="937">
        <f>+OFFSET($J$171,$C$7,0)</f>
        <v/>
      </c>
      <c r="K171" s="937">
        <f>+OFFSET($K$171,$C$7,0)</f>
        <v/>
      </c>
      <c r="L171" s="937">
        <f>+OFFSET($L$171,$C$7,0)</f>
        <v/>
      </c>
      <c r="M171" s="937">
        <f>+OFFSET($M$171,$C$7,0)</f>
        <v/>
      </c>
      <c r="N171" s="937">
        <f>+OFFSET($N$171,$C$7,0)</f>
        <v/>
      </c>
      <c r="O171" s="937">
        <f>+OFFSET($O$171,$C$7,0)</f>
        <v/>
      </c>
      <c r="P171" s="937">
        <f>+OFFSET($P$171,$C$7,0)</f>
        <v/>
      </c>
      <c r="Q171" s="937">
        <f>+OFFSET($Q$171,$C$7,0)</f>
        <v/>
      </c>
    </row>
    <row r="172">
      <c r="B172" s="287" t="inlineStr">
        <is>
          <t>Bear Case</t>
        </is>
      </c>
      <c r="G172" s="173" t="n"/>
      <c r="H172" s="968">
        <f>IFERROR(+H173+$F$7%,"")</f>
        <v/>
      </c>
      <c r="I172" s="968">
        <f>IFERROR(+I173+$F$7%,"")</f>
        <v/>
      </c>
      <c r="J172" s="968">
        <f>IFERROR(+J173+$F$7%,"")</f>
        <v/>
      </c>
      <c r="K172" s="968">
        <f>IFERROR(+K173+$F$7%,"")</f>
        <v/>
      </c>
      <c r="L172" s="969">
        <f>IFERROR(+L173+$F$7%,"")</f>
        <v/>
      </c>
      <c r="M172" s="969">
        <f>IFERROR(+M173+$F$7%,"")</f>
        <v/>
      </c>
      <c r="N172" s="969">
        <f>IFERROR(+N173+$F$7%,"")</f>
        <v/>
      </c>
      <c r="O172" s="969">
        <f>IFERROR(+O173+$F$7%,"")</f>
        <v/>
      </c>
      <c r="P172" s="969">
        <f>IFERROR(+P173+$F$7%,"")</f>
        <v/>
      </c>
      <c r="Q172" s="969">
        <f>IFERROR(+Q173+$F$7%,"")</f>
        <v/>
      </c>
    </row>
    <row r="173">
      <c r="B173" s="287" t="inlineStr">
        <is>
          <t>Base Case</t>
        </is>
      </c>
      <c r="G173" s="173" t="n"/>
      <c r="H173" s="970">
        <f>$H$31</f>
        <v/>
      </c>
      <c r="I173" s="970">
        <f>$I$31</f>
        <v/>
      </c>
      <c r="J173" s="970">
        <f>$J$31</f>
        <v/>
      </c>
      <c r="K173" s="970">
        <f>$K$31</f>
        <v/>
      </c>
      <c r="L173" s="970">
        <f>$L$31</f>
        <v/>
      </c>
      <c r="M173" s="970">
        <f>$M$31</f>
        <v/>
      </c>
      <c r="N173" s="970">
        <f>$N$31</f>
        <v/>
      </c>
      <c r="O173" s="971">
        <f>$O$31</f>
        <v/>
      </c>
      <c r="P173" s="970">
        <f>$P$31</f>
        <v/>
      </c>
      <c r="Q173" s="970">
        <f>$Q$31</f>
        <v/>
      </c>
    </row>
    <row r="174">
      <c r="B174" s="287" t="inlineStr">
        <is>
          <t>Bull Case</t>
        </is>
      </c>
      <c r="G174" s="173" t="n"/>
      <c r="H174" s="972">
        <f>IFERROR(+H173+$L$7%,"")</f>
        <v/>
      </c>
      <c r="I174" s="972">
        <f>IFERROR(+I173+$L$7%,"")</f>
        <v/>
      </c>
      <c r="J174" s="972">
        <f>IFERROR(+J173+$L$7%,"")</f>
        <v/>
      </c>
      <c r="K174" s="972">
        <f>IFERROR(+K173+$L$7%,"")</f>
        <v/>
      </c>
      <c r="L174" s="973">
        <f>IFERROR(+L173+$L$7%,"")</f>
        <v/>
      </c>
      <c r="M174" s="973">
        <f>IFERROR(+M173+$L$7%,"")</f>
        <v/>
      </c>
      <c r="N174" s="973">
        <f>IFERROR(+N173+$L$7%,"")</f>
        <v/>
      </c>
      <c r="O174" s="973">
        <f>IFERROR(+O173+$L$7%,"")</f>
        <v/>
      </c>
      <c r="P174" s="973">
        <f>IFERROR(+P173+$L$7%,"")</f>
        <v/>
      </c>
      <c r="Q174" s="973">
        <f>IFERROR(+Q173+$L$7%,"")</f>
        <v/>
      </c>
    </row>
    <row r="175" ht="3.75" customHeight="1" s="783">
      <c r="G175" s="173" t="n"/>
    </row>
    <row r="176">
      <c r="B176" s="132" t="inlineStr">
        <is>
          <t>EBIT</t>
        </is>
      </c>
      <c r="E176" s="912">
        <f>+E59</f>
        <v/>
      </c>
      <c r="F176" s="912">
        <f>+F59</f>
        <v/>
      </c>
      <c r="G176" s="967">
        <f>+G59</f>
        <v/>
      </c>
      <c r="H176" s="974">
        <f>IFERROR(H177*H170,"")</f>
        <v/>
      </c>
      <c r="I176" s="974">
        <f>IFERROR(I177*I170,"")</f>
        <v/>
      </c>
      <c r="J176" s="974">
        <f>IFERROR(J177*J170,"")</f>
        <v/>
      </c>
      <c r="K176" s="974">
        <f>IFERROR(K177*K170,"")</f>
        <v/>
      </c>
      <c r="L176" s="974">
        <f>IFERROR(L177*L170,"")</f>
        <v/>
      </c>
      <c r="M176" s="974">
        <f>IFERROR(M177*M170,"")</f>
        <v/>
      </c>
      <c r="N176" s="974">
        <f>IFERROR(N177*N170,"")</f>
        <v/>
      </c>
      <c r="O176" s="974">
        <f>IFERROR(O177*O170,"")</f>
        <v/>
      </c>
      <c r="P176" s="974">
        <f>IFERROR(P177*P170,"")</f>
        <v/>
      </c>
      <c r="Q176" s="974">
        <f>IFERROR(Q177*Q170,"")</f>
        <v/>
      </c>
    </row>
    <row r="177">
      <c r="B177" s="288" t="inlineStr">
        <is>
          <t>% of revenue</t>
        </is>
      </c>
      <c r="C177" s="288" t="n"/>
      <c r="D177" s="288" t="n"/>
      <c r="E177" s="937">
        <f>+E60</f>
        <v/>
      </c>
      <c r="F177" s="937">
        <f>+F60</f>
        <v/>
      </c>
      <c r="G177" s="938">
        <f>+G60</f>
        <v/>
      </c>
      <c r="H177" s="937">
        <f>OFFSET(H177,$C$8,0)</f>
        <v/>
      </c>
      <c r="I177" s="937">
        <f>+OFFSET(I177,$C$8,0)</f>
        <v/>
      </c>
      <c r="J177" s="937">
        <f>+OFFSET(J177,$C$8,0)</f>
        <v/>
      </c>
      <c r="K177" s="937">
        <f>+OFFSET(K177,$C$8,0)</f>
        <v/>
      </c>
      <c r="L177" s="937">
        <f>+OFFSET(L177,$C$8,0)</f>
        <v/>
      </c>
      <c r="M177" s="937">
        <f>+OFFSET(M177,$C$8,0)</f>
        <v/>
      </c>
      <c r="N177" s="937">
        <f>+OFFSET(N177,$C$8,0)</f>
        <v/>
      </c>
      <c r="O177" s="937">
        <f>+OFFSET(O177,$C$8,0)</f>
        <v/>
      </c>
      <c r="P177" s="937">
        <f>+OFFSET(P177,$C$8,0)</f>
        <v/>
      </c>
      <c r="Q177" s="937">
        <f>+OFFSET(Q177,$C$8,0)</f>
        <v/>
      </c>
    </row>
    <row r="178">
      <c r="B178" s="287" t="inlineStr">
        <is>
          <t>Bear Case</t>
        </is>
      </c>
      <c r="G178" s="173" t="n"/>
      <c r="H178" s="972">
        <f>IFERROR(H179-$F$8,"")</f>
        <v/>
      </c>
      <c r="I178" s="972">
        <f>IFERROR(I179-$F$8,"")</f>
        <v/>
      </c>
      <c r="J178" s="972">
        <f>IFERROR(J179-$F$8,"")</f>
        <v/>
      </c>
      <c r="K178" s="972">
        <f>IFERROR(K179-$F$8,"")</f>
        <v/>
      </c>
      <c r="L178" s="972">
        <f>IFERROR(L179-$F$8,"")</f>
        <v/>
      </c>
      <c r="M178" s="972">
        <f>IFERROR(M179-$F$8,"")</f>
        <v/>
      </c>
      <c r="N178" s="972">
        <f>IFERROR(N179-$F$8,"")</f>
        <v/>
      </c>
      <c r="O178" s="972">
        <f>IFERROR(O179-$F$8,"")</f>
        <v/>
      </c>
      <c r="P178" s="972">
        <f>IFERROR(P179-$F$8,"")</f>
        <v/>
      </c>
      <c r="Q178" s="972">
        <f>IFERROR(Q179-$F$8,"")</f>
        <v/>
      </c>
    </row>
    <row r="179">
      <c r="B179" s="287" t="inlineStr">
        <is>
          <t>Base Case</t>
        </is>
      </c>
      <c r="G179" s="173" t="n"/>
      <c r="H179" s="970">
        <f>IFERROR(VALUE(H60),"")</f>
        <v/>
      </c>
      <c r="I179" s="970">
        <f>IFERROR(VALUE(I60),"")</f>
        <v/>
      </c>
      <c r="J179" s="970">
        <f>IFERROR(VALUE(J60),"")</f>
        <v/>
      </c>
      <c r="K179" s="970">
        <f>IFERROR(VALUE(K60),"")</f>
        <v/>
      </c>
      <c r="L179" s="970">
        <f>IFERROR(VALUE(L60),"")</f>
        <v/>
      </c>
      <c r="M179" s="970">
        <f>IFERROR(VALUE(M60),"")</f>
        <v/>
      </c>
      <c r="N179" s="970">
        <f>IFERROR(VALUE(N60),"")</f>
        <v/>
      </c>
      <c r="O179" s="970">
        <f>IFERROR(VALUE(O60),"")</f>
        <v/>
      </c>
      <c r="P179" s="970">
        <f>IFERROR(VALUE(P60),"")</f>
        <v/>
      </c>
      <c r="Q179" s="970">
        <f>IFERROR(VALUE(Q60),"")</f>
        <v/>
      </c>
    </row>
    <row r="180">
      <c r="B180" s="287" t="inlineStr">
        <is>
          <t>Bull Case</t>
        </is>
      </c>
      <c r="G180" s="173" t="n"/>
      <c r="H180" s="972">
        <f>+IFERROR(H179+$L$8%,"")</f>
        <v/>
      </c>
      <c r="I180" s="972">
        <f>+IFERROR(I179+$L$8%,"")</f>
        <v/>
      </c>
      <c r="J180" s="972">
        <f>+IFERROR(J179+$L$8%,"")</f>
        <v/>
      </c>
      <c r="K180" s="972">
        <f>+IFERROR(K179+$L$8%,"")</f>
        <v/>
      </c>
      <c r="L180" s="972">
        <f>+IFERROR(L179+$L$8%,"")</f>
        <v/>
      </c>
      <c r="M180" s="972">
        <f>+IFERROR(M179+$L$8%,"")</f>
        <v/>
      </c>
      <c r="N180" s="972">
        <f>+IFERROR(N179+$L$8%,"")</f>
        <v/>
      </c>
      <c r="O180" s="972">
        <f>+IFERROR(O179+$L$8%,"")</f>
        <v/>
      </c>
      <c r="P180" s="972">
        <f>+IFERROR(P179+$L$8%,"")</f>
        <v/>
      </c>
      <c r="Q180" s="972">
        <f>+IFERROR(Q179+$L$8%,"")</f>
        <v/>
      </c>
    </row>
    <row r="181" ht="3.75" customHeight="1" s="783">
      <c r="G181" s="173" t="n"/>
    </row>
    <row r="182">
      <c r="B182" s="193" t="inlineStr">
        <is>
          <t>NOPAT</t>
        </is>
      </c>
      <c r="C182" s="194" t="n"/>
      <c r="D182" s="194" t="n"/>
      <c r="E182" s="975">
        <f>+IFERROR(E176*(1-E79),"")</f>
        <v/>
      </c>
      <c r="F182" s="975">
        <f>+IFERROR(F176*(1-F79),"")</f>
        <v/>
      </c>
      <c r="G182" s="976">
        <f>+IFERROR(G176*(1-G79),"")</f>
        <v/>
      </c>
      <c r="H182" s="975">
        <f>+IFERROR(H176*(1-H79),"")</f>
        <v/>
      </c>
      <c r="I182" s="975">
        <f>+IFERROR(I176*(1-I79),"")</f>
        <v/>
      </c>
      <c r="J182" s="975">
        <f>+IFERROR(J176*(1-J79),"")</f>
        <v/>
      </c>
      <c r="K182" s="975">
        <f>+IFERROR(K176*(1-K79),"")</f>
        <v/>
      </c>
      <c r="L182" s="975">
        <f>+IFERROR(L176*(1-L79),"")</f>
        <v/>
      </c>
      <c r="M182" s="975">
        <f>+IFERROR(M176*(1-M79),"")</f>
        <v/>
      </c>
      <c r="N182" s="975">
        <f>+IFERROR(N176*(1-N79),"")</f>
        <v/>
      </c>
      <c r="O182" s="975">
        <f>+IFERROR(O176*(1-O79),"")</f>
        <v/>
      </c>
      <c r="P182" s="975">
        <f>+IFERROR(P176*(1-P79),"")</f>
        <v/>
      </c>
      <c r="Q182" s="977">
        <f>+IFERROR(Q176*(1-Q79),"")</f>
        <v/>
      </c>
    </row>
    <row r="183" ht="3.75" customHeight="1" s="783">
      <c r="G183" s="173" t="n"/>
    </row>
    <row r="184">
      <c r="B184" s="132" t="inlineStr">
        <is>
          <t>Depreciation &amp; Amortization</t>
        </is>
      </c>
      <c r="E184" s="912">
        <f>+E123</f>
        <v/>
      </c>
      <c r="F184" s="912">
        <f>+F123</f>
        <v/>
      </c>
      <c r="G184" s="967">
        <f>+G123</f>
        <v/>
      </c>
      <c r="H184" s="974">
        <f>+H123</f>
        <v/>
      </c>
      <c r="I184" s="974">
        <f>+I123</f>
        <v/>
      </c>
      <c r="J184" s="974">
        <f>+J123</f>
        <v/>
      </c>
      <c r="K184" s="974">
        <f>+K123</f>
        <v/>
      </c>
      <c r="L184" s="974">
        <f>+L123</f>
        <v/>
      </c>
      <c r="M184" s="974">
        <f>+M123</f>
        <v/>
      </c>
      <c r="N184" s="974">
        <f>+N123</f>
        <v/>
      </c>
      <c r="O184" s="974">
        <f>+O123</f>
        <v/>
      </c>
      <c r="P184" s="974">
        <f>+P123</f>
        <v/>
      </c>
      <c r="Q184" s="974">
        <f>+Q123</f>
        <v/>
      </c>
      <c r="R184" s="133" t="n"/>
      <c r="S184" s="133" t="n"/>
      <c r="T184" s="133" t="n"/>
      <c r="U184" s="133" t="n"/>
      <c r="V184" s="133" t="n"/>
      <c r="W184" s="133" t="n"/>
      <c r="X184" s="133" t="n"/>
      <c r="Y184" s="133" t="n"/>
      <c r="Z184" s="133" t="n"/>
      <c r="AA184" s="133" t="n"/>
      <c r="AB184" s="133" t="n"/>
      <c r="AC184" s="133" t="n"/>
    </row>
    <row r="185" ht="3.75" customHeight="1" s="783">
      <c r="G185" s="173" t="n"/>
      <c r="R185" s="133" t="n"/>
      <c r="S185" s="133" t="n"/>
      <c r="T185" s="133" t="n"/>
      <c r="U185" s="133" t="n"/>
      <c r="V185" s="133" t="n"/>
      <c r="W185" s="133" t="n"/>
      <c r="X185" s="133" t="n"/>
      <c r="Y185" s="133" t="n"/>
      <c r="Z185" s="133" t="n"/>
      <c r="AA185" s="133" t="n"/>
      <c r="AB185" s="133" t="n"/>
      <c r="AC185" s="133" t="n"/>
    </row>
    <row r="186">
      <c r="B186" s="132" t="inlineStr">
        <is>
          <t>Stock Based Compensation</t>
        </is>
      </c>
      <c r="E186" s="912">
        <f>+E125</f>
        <v/>
      </c>
      <c r="F186" s="912">
        <f>+F125</f>
        <v/>
      </c>
      <c r="G186" s="967">
        <f>+G125</f>
        <v/>
      </c>
      <c r="H186" s="912">
        <f>+H125</f>
        <v/>
      </c>
      <c r="I186" s="912">
        <f>+I125</f>
        <v/>
      </c>
      <c r="J186" s="912">
        <f>+J125</f>
        <v/>
      </c>
      <c r="K186" s="912">
        <f>+K125</f>
        <v/>
      </c>
      <c r="L186" s="912">
        <f>+L125</f>
        <v/>
      </c>
      <c r="M186" s="912">
        <f>+M125</f>
        <v/>
      </c>
      <c r="N186" s="912">
        <f>+N125</f>
        <v/>
      </c>
      <c r="O186" s="912">
        <f>+O125</f>
        <v/>
      </c>
      <c r="P186" s="912">
        <f>+P125</f>
        <v/>
      </c>
      <c r="Q186" s="912">
        <f>+Q125</f>
        <v/>
      </c>
      <c r="R186" s="133" t="n"/>
      <c r="S186" s="133" t="n"/>
      <c r="T186" s="133" t="n"/>
      <c r="U186" s="133" t="n"/>
      <c r="V186" s="133" t="n"/>
      <c r="W186" s="133" t="n"/>
      <c r="X186" s="133" t="n"/>
      <c r="Y186" s="133" t="n"/>
      <c r="Z186" s="133" t="n"/>
      <c r="AA186" s="133" t="n"/>
      <c r="AB186" s="133" t="n"/>
      <c r="AC186" s="133" t="n"/>
    </row>
    <row r="187" ht="3.75" customHeight="1" s="783">
      <c r="G187" s="162" t="n"/>
      <c r="R187" s="133" t="n"/>
      <c r="S187" s="133" t="n"/>
      <c r="T187" s="133" t="n"/>
      <c r="U187" s="133" t="n"/>
      <c r="V187" s="133" t="n"/>
      <c r="W187" s="133" t="n"/>
      <c r="X187" s="133" t="n"/>
      <c r="Y187" s="133" t="n"/>
      <c r="Z187" s="133" t="n"/>
      <c r="AA187" s="133" t="n"/>
      <c r="AB187" s="133" t="n"/>
      <c r="AC187" s="133" t="n"/>
    </row>
    <row r="188">
      <c r="B188" s="132" t="inlineStr">
        <is>
          <t>Changes in NWC</t>
        </is>
      </c>
      <c r="E188" s="912">
        <f>+E128</f>
        <v/>
      </c>
      <c r="F188" s="912">
        <f>+F128</f>
        <v/>
      </c>
      <c r="G188" s="978">
        <f>+G128</f>
        <v/>
      </c>
      <c r="H188" s="928">
        <f>+H128</f>
        <v/>
      </c>
      <c r="I188" s="928">
        <f>+I128</f>
        <v/>
      </c>
      <c r="J188" s="928">
        <f>+J128</f>
        <v/>
      </c>
      <c r="K188" s="928">
        <f>+K128</f>
        <v/>
      </c>
      <c r="L188" s="928">
        <f>+L128</f>
        <v/>
      </c>
      <c r="M188" s="928">
        <f>+M128</f>
        <v/>
      </c>
      <c r="N188" s="928">
        <f>+N128</f>
        <v/>
      </c>
      <c r="O188" s="928">
        <f>+O128</f>
        <v/>
      </c>
      <c r="P188" s="928">
        <f>+P128</f>
        <v/>
      </c>
      <c r="Q188" s="928">
        <f>+Q128</f>
        <v/>
      </c>
      <c r="R188" s="133" t="n"/>
      <c r="S188" s="133" t="n"/>
      <c r="T188" s="133" t="n"/>
      <c r="U188" s="133" t="n"/>
      <c r="V188" s="133" t="n"/>
      <c r="W188" s="133" t="n"/>
      <c r="X188" s="133" t="n"/>
      <c r="Y188" s="133" t="n"/>
      <c r="Z188" s="133" t="n"/>
      <c r="AA188" s="133" t="n"/>
      <c r="AB188" s="133" t="n"/>
      <c r="AC188" s="133" t="n"/>
    </row>
    <row r="189" ht="3.75" customHeight="1" s="783">
      <c r="G189" s="162" t="n"/>
      <c r="R189" s="133" t="n"/>
      <c r="S189" s="133" t="n"/>
      <c r="T189" s="133" t="n"/>
      <c r="U189" s="133" t="n"/>
      <c r="V189" s="133" t="n"/>
      <c r="W189" s="133" t="n"/>
      <c r="X189" s="133" t="n"/>
      <c r="Y189" s="133" t="n"/>
      <c r="Z189" s="133" t="n"/>
      <c r="AA189" s="133" t="n"/>
      <c r="AB189" s="133" t="n"/>
      <c r="AC189" s="133" t="n"/>
    </row>
    <row r="190" ht="13.5" customHeight="1" s="783">
      <c r="B190" s="132" t="inlineStr">
        <is>
          <t>Net CapEx</t>
        </is>
      </c>
      <c r="E190" s="912">
        <f>+E134</f>
        <v/>
      </c>
      <c r="F190" s="912">
        <f>+F134</f>
        <v/>
      </c>
      <c r="G190" s="967">
        <f>+G134</f>
        <v/>
      </c>
      <c r="H190" s="912">
        <f>+H134</f>
        <v/>
      </c>
      <c r="I190" s="912">
        <f>+I134</f>
        <v/>
      </c>
      <c r="J190" s="912">
        <f>+J134</f>
        <v/>
      </c>
      <c r="K190" s="912">
        <f>+K134</f>
        <v/>
      </c>
      <c r="L190" s="912">
        <f>+L134</f>
        <v/>
      </c>
      <c r="M190" s="912">
        <f>+M134</f>
        <v/>
      </c>
      <c r="N190" s="912">
        <f>+N134</f>
        <v/>
      </c>
      <c r="O190" s="912">
        <f>+O134</f>
        <v/>
      </c>
      <c r="P190" s="912">
        <f>+P134</f>
        <v/>
      </c>
      <c r="Q190" s="912">
        <f>+Q134</f>
        <v/>
      </c>
      <c r="R190" s="133" t="n"/>
      <c r="S190" s="133" t="n"/>
      <c r="T190" s="133" t="n"/>
      <c r="U190" s="133" t="n"/>
      <c r="V190" s="133" t="n"/>
      <c r="W190" s="133" t="n"/>
      <c r="X190" s="133" t="n"/>
      <c r="Y190" s="133" t="n"/>
      <c r="Z190" s="133" t="n"/>
      <c r="AA190" s="133" t="n"/>
      <c r="AB190" s="133" t="n"/>
      <c r="AC190" s="133" t="n"/>
    </row>
    <row r="191" ht="3.75" customHeight="1" s="783">
      <c r="B191" s="167" t="n"/>
      <c r="E191" s="916" t="n"/>
      <c r="F191" s="916" t="n"/>
      <c r="G191" s="927" t="n"/>
      <c r="H191" s="916" t="n"/>
      <c r="I191" s="916" t="n"/>
      <c r="J191" s="916" t="n"/>
      <c r="K191" s="916" t="n"/>
      <c r="L191" s="916" t="n"/>
      <c r="M191" s="916" t="n"/>
      <c r="N191" s="916" t="n"/>
      <c r="O191" s="916" t="n"/>
      <c r="P191" s="916" t="n"/>
      <c r="Q191" s="916" t="n"/>
      <c r="R191" s="133" t="n"/>
      <c r="S191" s="133" t="n"/>
      <c r="T191" s="133" t="n"/>
      <c r="U191" s="133" t="n"/>
      <c r="V191" s="133" t="n"/>
      <c r="W191" s="133" t="n"/>
      <c r="X191" s="133" t="n"/>
      <c r="Y191" s="133" t="n"/>
      <c r="Z191" s="133" t="n"/>
      <c r="AA191" s="133" t="n"/>
      <c r="AB191" s="133" t="n"/>
      <c r="AC191" s="133" t="n"/>
    </row>
    <row r="192">
      <c r="B192" s="198" t="inlineStr">
        <is>
          <t>FCFF</t>
        </is>
      </c>
      <c r="C192" s="199" t="n"/>
      <c r="D192" s="199" t="n"/>
      <c r="E192" s="979">
        <f>IFERROR(E182+E184+E190+E188+E186,"")</f>
        <v/>
      </c>
      <c r="F192" s="979">
        <f>IFERROR(F182+F184+F190+F188+F186,"")</f>
        <v/>
      </c>
      <c r="G192" s="980">
        <f>IFERROR(G182+G184+G190+G188+G186,"")</f>
        <v/>
      </c>
      <c r="H192" s="979">
        <f>IFERROR(H182+H184+H190+H188+H186,"")</f>
        <v/>
      </c>
      <c r="I192" s="979">
        <f>IFERROR(I182+I184+I190+I188+I186,"")</f>
        <v/>
      </c>
      <c r="J192" s="979">
        <f>IFERROR(J182+J184+J190+J188+J186,"")</f>
        <v/>
      </c>
      <c r="K192" s="979">
        <f>IFERROR(K182+K184+K190+K188+K186,"")</f>
        <v/>
      </c>
      <c r="L192" s="979">
        <f>IFERROR(L182+L184+L190+L188+L186,"")</f>
        <v/>
      </c>
      <c r="M192" s="979">
        <f>IFERROR(M182+M184+M190+M188+M186,"")</f>
        <v/>
      </c>
      <c r="N192" s="979">
        <f>IFERROR(N182+N184+N190+N188+N186,"")</f>
        <v/>
      </c>
      <c r="O192" s="979">
        <f>IFERROR(O182+O184+O190+O188+O186,"")</f>
        <v/>
      </c>
      <c r="P192" s="979">
        <f>IFERROR(P182+P184+P190+P188+P186,"")</f>
        <v/>
      </c>
      <c r="Q192" s="981">
        <f>IFERROR(Q182+Q184+Q190+Q188+Q186,"")</f>
        <v/>
      </c>
      <c r="R192" s="133" t="n"/>
      <c r="S192" s="133" t="inlineStr">
        <is>
          <t>FCFF 2025</t>
        </is>
      </c>
      <c r="T192" s="133" t="n"/>
      <c r="U192" s="133">
        <f>+J192/(1+$C$12)^(J195-2)</f>
        <v/>
      </c>
      <c r="V192" s="133">
        <f>+K192/(1+$C$12)^(K195-2)</f>
        <v/>
      </c>
      <c r="W192" s="133">
        <f>+L192/(1+$C$12)^(L195-2)</f>
        <v/>
      </c>
      <c r="X192" s="133">
        <f>+M192/(1+$C$12)^(M195-2)</f>
        <v/>
      </c>
      <c r="Y192" s="133">
        <f>+N192/(1+$C$12)^(N195-2)</f>
        <v/>
      </c>
      <c r="Z192" s="133" t="n"/>
      <c r="AA192" s="133">
        <f>+O192/(1+$C$12)^(O195-2)</f>
        <v/>
      </c>
      <c r="AB192" s="133">
        <f>+P192/(1+$C$12)^(P195-2)</f>
        <v/>
      </c>
      <c r="AC192" s="133">
        <f>+Q192/(1+$C$12)^(Q195-2)</f>
        <v/>
      </c>
    </row>
    <row r="193" ht="15.75" customHeight="1" s="783">
      <c r="B193" s="202" t="inlineStr">
        <is>
          <t>Present Value of FCFF</t>
        </is>
      </c>
      <c r="C193" s="203" t="n"/>
      <c r="D193" s="203" t="n"/>
      <c r="E193" s="203" t="n"/>
      <c r="F193" s="203" t="n"/>
      <c r="G193" s="204" t="n"/>
      <c r="H193" s="982">
        <f>IFERROR(H192/(1+$C$12)^H195,"")</f>
        <v/>
      </c>
      <c r="I193" s="982">
        <f>IFERROR(I192/(1+$C$12)^I195,"")</f>
        <v/>
      </c>
      <c r="J193" s="982">
        <f>IFERROR(J192/(1+$C$12)^J195,"")</f>
        <v/>
      </c>
      <c r="K193" s="982">
        <f>IFERROR(K192/(1+$C$12)^K195,"")</f>
        <v/>
      </c>
      <c r="L193" s="982">
        <f>IFERROR(L192/(1+$C$12)^L195,"")</f>
        <v/>
      </c>
      <c r="M193" s="982">
        <f>IFERROR(M192/(1+$C$12)^M195,"")</f>
        <v/>
      </c>
      <c r="N193" s="982">
        <f>IFERROR(N192/(1+$C$12)^N195,"")</f>
        <v/>
      </c>
      <c r="O193" s="982">
        <f>IFERROR(O192/(1+$C$12)^O195,"")</f>
        <v/>
      </c>
      <c r="P193" s="982">
        <f>IFERROR(P192/(1+$C$12)^P195,"")</f>
        <v/>
      </c>
      <c r="Q193" s="983">
        <f>IFERROR(Q192/(1+$C$12)^Q195,"")</f>
        <v/>
      </c>
      <c r="R193" s="133" t="n"/>
      <c r="S193" s="133" t="inlineStr">
        <is>
          <t>FCFF 2026</t>
        </is>
      </c>
      <c r="T193" s="380">
        <f>+I192/(1+$C$12)^(I195-1)</f>
        <v/>
      </c>
      <c r="U193" s="380">
        <f>+J192/(1+$C$12)^(J195-1)</f>
        <v/>
      </c>
      <c r="V193" s="380">
        <f>+K192/(1+$C$12)^(K195-1)</f>
        <v/>
      </c>
      <c r="W193" s="380">
        <f>+L192/(1+$C$12)^(L195-1)</f>
        <v/>
      </c>
      <c r="X193" s="380">
        <f>+M192/(1+$C$12)^(M195-1)</f>
        <v/>
      </c>
      <c r="Y193" s="380">
        <f>+N192/(1+$C$12)^(N195-1)</f>
        <v/>
      </c>
      <c r="Z193" s="380" t="n"/>
      <c r="AA193" s="380">
        <f>+O192/(1+$C$12)^(O195-1)</f>
        <v/>
      </c>
      <c r="AB193" s="380">
        <f>+P192/(1+$C$12)^(P195-1)</f>
        <v/>
      </c>
      <c r="AC193" s="380">
        <f>+Q192/(1+$C$12)^(Q195-1)</f>
        <v/>
      </c>
    </row>
    <row r="194" ht="3.75" customHeight="1" s="783">
      <c r="G194" s="162" t="n"/>
      <c r="R194" s="133" t="n"/>
      <c r="S194" s="133" t="n"/>
      <c r="T194" s="133" t="n"/>
      <c r="U194" s="133" t="n"/>
      <c r="V194" s="133" t="n"/>
      <c r="W194" s="133" t="n"/>
      <c r="X194" s="133" t="n"/>
      <c r="Y194" s="133" t="n"/>
      <c r="Z194" s="133" t="n"/>
      <c r="AA194" s="133" t="n"/>
      <c r="AB194" s="133" t="n"/>
      <c r="AC194" s="133" t="n"/>
    </row>
    <row r="195">
      <c r="B195" s="132" t="inlineStr">
        <is>
          <t>Sensitivity to the Period</t>
        </is>
      </c>
      <c r="G195" s="162" t="n"/>
      <c r="H195" s="207">
        <f>+H196/2</f>
        <v/>
      </c>
      <c r="I195" s="207">
        <f>+H195+1</f>
        <v/>
      </c>
      <c r="J195" s="207">
        <f>+I195+1</f>
        <v/>
      </c>
      <c r="K195" s="207">
        <f>+J195+1</f>
        <v/>
      </c>
      <c r="L195" s="207">
        <f>+K195+1</f>
        <v/>
      </c>
      <c r="M195" s="207">
        <f>+L195+1</f>
        <v/>
      </c>
      <c r="N195" s="207">
        <f>+M195+1</f>
        <v/>
      </c>
      <c r="O195" s="207">
        <f>+N195+1</f>
        <v/>
      </c>
      <c r="P195" s="207">
        <f>+O195+1</f>
        <v/>
      </c>
      <c r="Q195" s="207">
        <f>+P195+1</f>
        <v/>
      </c>
      <c r="R195" s="133" t="n"/>
      <c r="S195" s="133" t="n"/>
      <c r="T195" s="133" t="n"/>
      <c r="U195" s="133" t="n"/>
      <c r="V195" s="133" t="n"/>
      <c r="W195" s="133" t="n"/>
      <c r="X195" s="133" t="n"/>
      <c r="Y195" s="133" t="n"/>
      <c r="Z195" s="133" t="n"/>
      <c r="AA195" s="133" t="n"/>
      <c r="AB195" s="133" t="n"/>
      <c r="AC195" s="133" t="n"/>
    </row>
    <row r="196" hidden="1" s="783">
      <c r="B196" s="132" t="inlineStr">
        <is>
          <t>Period</t>
        </is>
      </c>
      <c r="G196" s="162" t="n"/>
      <c r="H196" s="207">
        <f>YEARFRAC(P196,P197)</f>
        <v/>
      </c>
      <c r="P196" s="208">
        <f>TODAY()</f>
        <v/>
      </c>
      <c r="R196" s="133" t="n"/>
      <c r="S196" s="133" t="n"/>
      <c r="T196" s="133" t="n"/>
      <c r="U196" s="133" t="n"/>
      <c r="V196" s="133" t="n"/>
      <c r="W196" s="133" t="n"/>
      <c r="X196" s="133" t="n"/>
      <c r="Y196" s="133" t="n"/>
      <c r="Z196" s="133" t="n"/>
      <c r="AA196" s="133" t="n"/>
      <c r="AB196" s="133" t="n"/>
      <c r="AC196" s="133" t="n"/>
    </row>
    <row r="197" ht="3.75" customFormat="1" customHeight="1" s="133">
      <c r="G197" s="209" t="n"/>
      <c r="P197" s="208" t="n">
        <v>46022</v>
      </c>
    </row>
    <row r="198">
      <c r="B198" s="132" t="inlineStr">
        <is>
          <t>Terminal Value</t>
        </is>
      </c>
      <c r="G198" s="162" t="n"/>
      <c r="L198" s="928">
        <f>IFERROR((#REF!*(1+$C$13))/($C$12-$C$13),"")</f>
        <v/>
      </c>
      <c r="P198" s="211" t="n"/>
      <c r="Q198" s="974">
        <f>IFERROR(+(Q192*(1+$C$13))/($C$12-$C$13),"")</f>
        <v/>
      </c>
      <c r="R198" s="133" t="n">
        <v>2025</v>
      </c>
      <c r="S198" s="133" t="n">
        <v>2026</v>
      </c>
      <c r="T198" s="984" t="n"/>
      <c r="U198" s="651" t="n"/>
      <c r="V198" s="651" t="n"/>
      <c r="W198" s="133" t="n"/>
      <c r="X198" s="133" t="n"/>
      <c r="Y198" s="133" t="n"/>
      <c r="Z198" s="133" t="n"/>
      <c r="AA198" s="133" t="n"/>
      <c r="AB198" s="133" t="n"/>
      <c r="AC198" s="133" t="n"/>
    </row>
    <row r="199">
      <c r="B199" s="132" t="inlineStr">
        <is>
          <t>Present Value of Terminal Value</t>
        </is>
      </c>
      <c r="G199" s="162" t="n"/>
      <c r="L199" s="928">
        <f>IFERROR(L198/(1+$C$12)^#REF!,"")</f>
        <v/>
      </c>
      <c r="Q199" s="901">
        <f>IFERROR(Q198/(1+$C$12)^$Q$195,"")</f>
        <v/>
      </c>
      <c r="R199" s="985">
        <f>+Q198/(1+$C$12)^$P$195</f>
        <v/>
      </c>
      <c r="S199" s="133">
        <f>+Q198/(1+$C$12)^$O$195</f>
        <v/>
      </c>
      <c r="T199" s="651" t="n"/>
      <c r="U199" s="174" t="n"/>
      <c r="V199" s="174" t="n"/>
      <c r="W199" s="133" t="n"/>
      <c r="X199" s="133" t="n"/>
      <c r="Y199" s="133" t="n"/>
      <c r="Z199" s="133" t="n"/>
      <c r="AA199" s="133" t="n"/>
      <c r="AB199" s="133" t="n"/>
      <c r="AC199" s="133" t="n"/>
    </row>
    <row r="200">
      <c r="B200" s="132" t="inlineStr">
        <is>
          <t>Enterprise Value</t>
        </is>
      </c>
      <c r="G200" s="162" t="n"/>
      <c r="L200" s="213" t="n"/>
      <c r="Q200" s="901">
        <f>+SUM(H193:Q193,Q199)</f>
        <v/>
      </c>
      <c r="R200" s="985">
        <f>+SUM(T193:AC193,R199)</f>
        <v/>
      </c>
      <c r="S200" s="133">
        <f>+SUM(S199,U192:AC192)</f>
        <v/>
      </c>
      <c r="T200" s="651" t="n"/>
      <c r="U200" s="174" t="n"/>
      <c r="V200" s="174" t="n"/>
      <c r="W200" s="133" t="n"/>
      <c r="X200" s="133" t="n"/>
      <c r="Y200" s="133" t="n"/>
      <c r="Z200" s="133" t="n"/>
      <c r="AA200" s="133" t="n"/>
      <c r="AB200" s="133" t="n"/>
      <c r="AC200" s="133" t="n"/>
    </row>
    <row r="201">
      <c r="B201" s="132" t="inlineStr">
        <is>
          <t>(+) Cash</t>
        </is>
      </c>
      <c r="G201" s="162" t="n"/>
      <c r="L201" s="213" t="n"/>
      <c r="Q201" s="986" t="n"/>
      <c r="R201" s="985">
        <f>+H88</f>
        <v/>
      </c>
      <c r="S201" s="985">
        <f>+I88</f>
        <v/>
      </c>
      <c r="T201" s="137" t="n"/>
      <c r="U201" s="137" t="n"/>
      <c r="V201" s="137" t="n"/>
      <c r="W201" s="133" t="n"/>
      <c r="X201" s="133" t="n"/>
      <c r="Y201" s="133" t="n"/>
      <c r="Z201" s="133" t="n"/>
      <c r="AA201" s="133" t="n"/>
      <c r="AB201" s="133" t="n"/>
      <c r="AC201" s="133" t="n"/>
    </row>
    <row r="202">
      <c r="B202" s="132" t="inlineStr">
        <is>
          <t>(-) Minority Interest</t>
        </is>
      </c>
      <c r="G202" s="162" t="n"/>
      <c r="L202" s="213" t="n"/>
      <c r="Q202" s="986" t="n">
        <v>0</v>
      </c>
      <c r="R202" s="985">
        <f>+Q202</f>
        <v/>
      </c>
      <c r="S202" s="985">
        <f>+Q202</f>
        <v/>
      </c>
      <c r="T202" s="137" t="n"/>
      <c r="U202" s="137" t="n"/>
      <c r="V202" s="137" t="n"/>
      <c r="W202" s="133" t="n"/>
      <c r="X202" s="133" t="n"/>
      <c r="Y202" s="133" t="n"/>
      <c r="Z202" s="133" t="n"/>
      <c r="AA202" s="133" t="n"/>
      <c r="AB202" s="133" t="n"/>
      <c r="AC202" s="133" t="n"/>
    </row>
    <row r="203">
      <c r="B203" s="132" t="inlineStr">
        <is>
          <t>(-) Preferred Stock</t>
        </is>
      </c>
      <c r="G203" s="162" t="n"/>
      <c r="M203" s="214" t="n"/>
      <c r="Q203" s="986" t="n">
        <v>0</v>
      </c>
      <c r="R203" s="985">
        <f>+Q203</f>
        <v/>
      </c>
      <c r="S203" s="985">
        <f>+Q203</f>
        <v/>
      </c>
      <c r="T203" s="137" t="n"/>
      <c r="U203" s="137" t="n"/>
      <c r="V203" s="137" t="n"/>
      <c r="W203" s="133" t="n"/>
      <c r="X203" s="133" t="n"/>
      <c r="Y203" s="133" t="n"/>
      <c r="Z203" s="133" t="n"/>
      <c r="AA203" s="133" t="n"/>
      <c r="AB203" s="133" t="n"/>
      <c r="AC203" s="133" t="n"/>
    </row>
    <row r="204">
      <c r="B204" s="132" t="inlineStr">
        <is>
          <t>(-) Debt</t>
        </is>
      </c>
      <c r="G204" s="162" t="n"/>
      <c r="Q204" s="986" t="n">
        <v>0</v>
      </c>
      <c r="R204" s="985">
        <f>+H116</f>
        <v/>
      </c>
      <c r="S204" s="985">
        <f>+I116</f>
        <v/>
      </c>
      <c r="T204" s="137" t="n"/>
      <c r="U204" s="137" t="n"/>
      <c r="V204" s="137" t="n"/>
      <c r="W204" s="133" t="n"/>
      <c r="X204" s="133" t="n"/>
      <c r="Y204" s="133" t="n"/>
      <c r="Z204" s="133" t="n"/>
      <c r="AA204" s="133" t="n"/>
      <c r="AB204" s="133" t="n"/>
      <c r="AC204" s="133" t="n"/>
    </row>
    <row r="205">
      <c r="B205" s="132" t="inlineStr">
        <is>
          <t>Equity Value</t>
        </is>
      </c>
      <c r="G205" s="162" t="n"/>
      <c r="Q205" s="901">
        <f>Q200+Q201-Q202-Q203-Q204</f>
        <v/>
      </c>
      <c r="R205" s="985">
        <f>R200+R201-R202-R203-R204</f>
        <v/>
      </c>
      <c r="S205" s="985">
        <f>S200+S201-S202-S203-S204</f>
        <v/>
      </c>
      <c r="T205" s="137" t="n"/>
      <c r="U205" s="137" t="n"/>
      <c r="V205" s="137" t="n"/>
      <c r="W205" s="133" t="n"/>
      <c r="X205" s="133" t="n"/>
      <c r="Y205" s="133" t="n"/>
      <c r="Z205" s="133" t="n"/>
      <c r="AA205" s="133" t="n"/>
      <c r="AB205" s="133" t="n"/>
      <c r="AC205" s="133" t="n"/>
    </row>
    <row r="206" ht="3.75" customHeight="1" s="783">
      <c r="G206" s="162" t="n"/>
      <c r="Q206" s="987" t="n"/>
      <c r="R206" s="137" t="n"/>
      <c r="S206" s="137" t="n"/>
      <c r="T206" s="137" t="n"/>
      <c r="U206" s="137" t="n"/>
      <c r="V206" s="137" t="n"/>
      <c r="W206" s="133" t="n"/>
      <c r="X206" s="133" t="n"/>
      <c r="Y206" s="133" t="n"/>
      <c r="Z206" s="133" t="n"/>
      <c r="AA206" s="133" t="n"/>
      <c r="AB206" s="133" t="n"/>
      <c r="AC206" s="133" t="n"/>
    </row>
    <row r="207">
      <c r="B207" s="132" t="inlineStr">
        <is>
          <t>Shares outstanding</t>
        </is>
      </c>
      <c r="G207" s="162" t="n"/>
      <c r="O207" s="167" t="n"/>
      <c r="Q207" s="974">
        <f t="array" ref="Q207">IFERROR(_FV(R4,"Shares outstanding",TRUE)/1000000,"")</f>
        <v/>
      </c>
      <c r="R207" s="137" t="n"/>
      <c r="S207" s="137" t="n"/>
      <c r="T207" s="137" t="n"/>
      <c r="U207" s="137" t="n"/>
      <c r="V207" s="137" t="n"/>
      <c r="W207" s="133" t="n"/>
      <c r="X207" s="133" t="n"/>
      <c r="Y207" s="133" t="n"/>
      <c r="Z207" s="133" t="n"/>
      <c r="AA207" s="133" t="n"/>
      <c r="AB207" s="133" t="n"/>
      <c r="AC207" s="133" t="n"/>
    </row>
    <row r="208" ht="15.75" customHeight="1" s="783">
      <c r="B208" s="164" t="inlineStr">
        <is>
          <t>Implicit Stock Value</t>
        </is>
      </c>
      <c r="G208" s="162" t="n"/>
      <c r="N208" s="216" t="n"/>
      <c r="Q208" s="988">
        <f>IFERROR(Q205/Q$207,"")</f>
        <v/>
      </c>
      <c r="R208" s="137" t="n"/>
      <c r="S208" s="137" t="n"/>
      <c r="T208" s="137" t="n"/>
      <c r="U208" s="137" t="n"/>
      <c r="V208" s="137" t="n"/>
      <c r="W208" s="133" t="n"/>
      <c r="X208" s="133" t="n"/>
      <c r="Y208" s="133" t="n"/>
      <c r="Z208" s="133" t="n"/>
      <c r="AA208" s="133" t="n"/>
      <c r="AB208" s="133" t="n"/>
      <c r="AC208" s="133" t="n"/>
    </row>
    <row r="209" ht="3.75" customHeight="1" s="783">
      <c r="G209" s="162" t="n"/>
      <c r="R209" s="137" t="n"/>
      <c r="S209" s="137" t="n"/>
      <c r="T209" s="137" t="n"/>
      <c r="U209" s="137" t="n"/>
      <c r="V209" s="137" t="n"/>
      <c r="W209" s="133" t="n"/>
      <c r="X209" s="133" t="n"/>
      <c r="Y209" s="133" t="n"/>
      <c r="Z209" s="133" t="n"/>
      <c r="AA209" s="133" t="n"/>
      <c r="AB209" s="133" t="n"/>
      <c r="AC209" s="133" t="n"/>
    </row>
    <row r="210">
      <c r="B210" s="132" t="inlineStr">
        <is>
          <t>Stock value</t>
        </is>
      </c>
      <c r="G210" s="162" t="n"/>
      <c r="Q210" s="988">
        <f t="array" ref="Q210">IFERROR(_FV(R4,"Price"),"")</f>
        <v/>
      </c>
      <c r="R210" s="133" t="n"/>
      <c r="S210" s="133" t="n"/>
      <c r="T210" s="133" t="n"/>
      <c r="U210" s="133" t="n"/>
      <c r="V210" s="133" t="n"/>
      <c r="W210" s="133" t="n"/>
      <c r="X210" s="133" t="n"/>
      <c r="Y210" s="133" t="n"/>
      <c r="Z210" s="133" t="n"/>
      <c r="AA210" s="133" t="n"/>
      <c r="AB210" s="133" t="n"/>
      <c r="AC210" s="133" t="n"/>
    </row>
    <row r="211" ht="15.75" customHeight="1" s="783">
      <c r="B211" s="164" t="inlineStr">
        <is>
          <t>Upside (downside)</t>
        </is>
      </c>
      <c r="C211" s="164" t="n"/>
      <c r="D211" s="164" t="n"/>
      <c r="E211" s="164" t="n"/>
      <c r="F211" s="164" t="n"/>
      <c r="G211" s="218" t="n"/>
      <c r="H211" s="164" t="n"/>
      <c r="I211" s="164" t="n"/>
      <c r="J211" s="164" t="n"/>
      <c r="K211" s="164" t="n"/>
      <c r="L211" s="164" t="n"/>
      <c r="M211" s="164" t="n"/>
      <c r="N211" s="164" t="n"/>
      <c r="O211" s="164" t="n"/>
      <c r="P211" s="164" t="n"/>
      <c r="Q211" s="219">
        <f>IFERROR(Q208/Q210-1,"")</f>
        <v/>
      </c>
      <c r="R211" s="133" t="n"/>
      <c r="S211" s="133" t="n"/>
      <c r="T211" s="133" t="n"/>
      <c r="U211" s="133" t="n"/>
      <c r="V211" s="133" t="n"/>
      <c r="W211" s="133" t="n"/>
      <c r="X211" s="133" t="n"/>
      <c r="Y211" s="133" t="n"/>
      <c r="Z211" s="133" t="n"/>
      <c r="AA211" s="133" t="n"/>
      <c r="AB211" s="133" t="n"/>
      <c r="AC211" s="133" t="n"/>
    </row>
    <row r="212" ht="5.25" customHeight="1" s="783">
      <c r="B212" s="164" t="n"/>
      <c r="C212" s="164" t="n"/>
      <c r="D212" s="164" t="n"/>
      <c r="E212" s="164" t="n"/>
      <c r="F212" s="164" t="n"/>
      <c r="G212" s="218" t="n"/>
      <c r="H212" s="164" t="n"/>
      <c r="I212" s="164" t="n"/>
      <c r="J212" s="164" t="n"/>
      <c r="K212" s="164" t="n"/>
      <c r="L212" s="164" t="n"/>
      <c r="M212" s="164" t="n"/>
      <c r="N212" s="164" t="n"/>
      <c r="O212" s="164" t="n"/>
      <c r="P212" s="164" t="n"/>
      <c r="Q212" s="219" t="n"/>
      <c r="R212" s="133" t="n"/>
      <c r="S212" s="133" t="n"/>
      <c r="T212" s="133" t="n"/>
      <c r="U212" s="133" t="n"/>
      <c r="V212" s="133" t="n"/>
      <c r="W212" s="133" t="n"/>
      <c r="X212" s="133" t="n"/>
      <c r="Y212" s="133" t="n"/>
      <c r="Z212" s="133" t="n"/>
      <c r="AA212" s="133" t="n"/>
      <c r="AB212" s="133" t="n"/>
      <c r="AC212" s="133" t="n"/>
    </row>
    <row r="213" ht="15.75" customHeight="1" s="783">
      <c r="A213" s="132" t="inlineStr">
        <is>
          <t>x</t>
        </is>
      </c>
      <c r="B213" s="52" t="inlineStr">
        <is>
          <t>APV Valuation</t>
        </is>
      </c>
      <c r="C213" s="52" t="n"/>
      <c r="D213" s="52" t="n"/>
      <c r="E213" s="902">
        <f>E168</f>
        <v/>
      </c>
      <c r="F213" s="902">
        <f>F168</f>
        <v/>
      </c>
      <c r="G213" s="902">
        <f>G168</f>
        <v/>
      </c>
      <c r="H213" s="902">
        <f>H168</f>
        <v/>
      </c>
      <c r="I213" s="902">
        <f>I168</f>
        <v/>
      </c>
      <c r="J213" s="902">
        <f>J168</f>
        <v/>
      </c>
      <c r="K213" s="902">
        <f>K168</f>
        <v/>
      </c>
      <c r="L213" s="902">
        <f>L168</f>
        <v/>
      </c>
      <c r="M213" s="902">
        <f>M168</f>
        <v/>
      </c>
      <c r="N213" s="902">
        <f>N168</f>
        <v/>
      </c>
      <c r="O213" s="902">
        <f>O168</f>
        <v/>
      </c>
      <c r="P213" s="902">
        <f>P168</f>
        <v/>
      </c>
      <c r="Q213" s="902">
        <f>Q168</f>
        <v/>
      </c>
      <c r="R213" s="133" t="n"/>
      <c r="S213" s="133" t="n"/>
      <c r="T213" s="133" t="n"/>
      <c r="U213" s="133" t="n"/>
      <c r="V213" s="133" t="n"/>
      <c r="W213" s="133" t="n"/>
      <c r="X213" s="133" t="n"/>
      <c r="Y213" s="133" t="n"/>
      <c r="Z213" s="133" t="n"/>
      <c r="AA213" s="133" t="n"/>
      <c r="AB213" s="133" t="n"/>
      <c r="AC213" s="133" t="n"/>
    </row>
    <row r="214" ht="3.75" customHeight="1" s="783">
      <c r="B214" s="53" t="n"/>
      <c r="C214" s="53" t="n"/>
      <c r="D214" s="53" t="n"/>
      <c r="E214" s="53" t="n"/>
      <c r="F214" s="53" t="n"/>
      <c r="G214" s="180" t="n"/>
      <c r="H214" s="53" t="n"/>
      <c r="I214" s="53" t="n"/>
      <c r="J214" s="53" t="n"/>
      <c r="K214" s="53" t="n"/>
      <c r="L214" s="53" t="n"/>
      <c r="M214" s="53" t="n"/>
      <c r="N214" s="53" t="n"/>
      <c r="O214" s="53" t="n"/>
      <c r="P214" s="53" t="n"/>
      <c r="Q214" s="53" t="n"/>
      <c r="R214" s="133" t="n"/>
      <c r="S214" s="133" t="n"/>
      <c r="T214" s="133" t="n"/>
      <c r="U214" s="133" t="n"/>
      <c r="V214" s="133" t="n"/>
      <c r="W214" s="133" t="n"/>
      <c r="X214" s="133" t="n"/>
      <c r="Y214" s="133" t="n"/>
      <c r="Z214" s="133" t="n"/>
      <c r="AA214" s="133" t="n"/>
      <c r="AB214" s="133" t="n"/>
      <c r="AC214" s="133" t="n"/>
    </row>
    <row r="215">
      <c r="B215" s="198" t="inlineStr">
        <is>
          <t>Unlevered Present Value of FCFF</t>
        </is>
      </c>
      <c r="C215" s="199" t="n"/>
      <c r="D215" s="199" t="n"/>
      <c r="E215" s="979" t="n"/>
      <c r="F215" s="979" t="n"/>
      <c r="G215" s="980" t="n"/>
      <c r="H215" s="979">
        <f>IFERROR(H192/(1+WACC!$G$16)^H195,"")</f>
        <v/>
      </c>
      <c r="I215" s="979">
        <f>IFERROR(I192/(1+WACC!$G$16)^I195,"")</f>
        <v/>
      </c>
      <c r="J215" s="979">
        <f>IFERROR(J192/(1+WACC!$G$16)^J195,"")</f>
        <v/>
      </c>
      <c r="K215" s="979">
        <f>IFERROR(K192/(1+WACC!$G$16)^K195,"")</f>
        <v/>
      </c>
      <c r="L215" s="979">
        <f>IFERROR(L192/(1+WACC!$G$16)^L195,"")</f>
        <v/>
      </c>
      <c r="M215" s="979">
        <f>IFERROR(M192/(1+WACC!$G$16)^M195,"")</f>
        <v/>
      </c>
      <c r="N215" s="979">
        <f>IFERROR(N192/(1+WACC!$G$16)^N195,"")</f>
        <v/>
      </c>
      <c r="O215" s="979">
        <f>IFERROR(O192/(1+WACC!$G$16)^O195,"")</f>
        <v/>
      </c>
      <c r="P215" s="979">
        <f>IFERROR(P192/(1+WACC!$G$16)^P195,"")</f>
        <v/>
      </c>
      <c r="Q215" s="989">
        <f>IFERROR(Q192/(1+WACC!$G$16)^Q195,"")</f>
        <v/>
      </c>
      <c r="R215" s="133" t="n"/>
      <c r="S215" s="133" t="n"/>
      <c r="T215" s="133" t="n"/>
      <c r="U215" s="133" t="n"/>
      <c r="V215" s="133" t="n"/>
      <c r="W215" s="133" t="n"/>
      <c r="X215" s="133" t="n"/>
      <c r="Y215" s="133" t="n"/>
      <c r="Z215" s="133" t="n"/>
      <c r="AA215" s="133" t="n"/>
      <c r="AB215" s="133" t="n"/>
      <c r="AC215" s="133" t="n"/>
    </row>
    <row r="216">
      <c r="B216" s="202" t="inlineStr">
        <is>
          <t>Present Value of Tax Shield</t>
        </is>
      </c>
      <c r="C216" s="203" t="n"/>
      <c r="D216" s="203" t="n"/>
      <c r="E216" s="203" t="n"/>
      <c r="F216" s="203" t="n"/>
      <c r="G216" s="204" t="n"/>
      <c r="H216" s="982">
        <f>IFERROR((H65*H79)/(1+WACC!$G$20)^H195,"")</f>
        <v/>
      </c>
      <c r="I216" s="982">
        <f>IFERROR((I65*I79)/(1+WACC!$G$20)^I195,"")</f>
        <v/>
      </c>
      <c r="J216" s="982">
        <f>IFERROR((J65*J79)/(1+WACC!$G$20)^J195,"")</f>
        <v/>
      </c>
      <c r="K216" s="982">
        <f>IFERROR((K65*K79)/(1+WACC!$G$20)^K195,"")</f>
        <v/>
      </c>
      <c r="L216" s="982">
        <f>IFERROR((L65*L79)/(1+WACC!$G$20)^L195,"")</f>
        <v/>
      </c>
      <c r="M216" s="982">
        <f>IFERROR((M65*M79)/(1+WACC!$G$20)^M195,"")</f>
        <v/>
      </c>
      <c r="N216" s="982">
        <f>IFERROR((N65*N79)/(1+WACC!$G$20)^N195,"")</f>
        <v/>
      </c>
      <c r="O216" s="982">
        <f>IFERROR((O65*O79)/(1+WACC!$G$20)^O195,"")</f>
        <v/>
      </c>
      <c r="P216" s="982">
        <f>IFERROR((P65*P79)/(1+WACC!$G$20)^P195,"")</f>
        <v/>
      </c>
      <c r="Q216" s="990">
        <f>IFERROR((Q65*Q79)/(1+WACC!$G$20)^Q195,"")</f>
        <v/>
      </c>
      <c r="R216" s="133" t="n"/>
      <c r="S216" s="133" t="n"/>
      <c r="T216" s="133" t="n"/>
      <c r="U216" s="133" t="n"/>
      <c r="V216" s="133" t="n"/>
      <c r="W216" s="133" t="n"/>
      <c r="X216" s="133" t="n"/>
      <c r="Y216" s="133" t="n"/>
      <c r="Z216" s="133" t="n"/>
      <c r="AA216" s="133" t="n"/>
      <c r="AB216" s="133" t="n"/>
      <c r="AC216" s="133" t="n"/>
    </row>
    <row r="217" ht="3.75" customHeight="1" s="783">
      <c r="B217" s="164" t="n"/>
      <c r="C217" s="164" t="n"/>
      <c r="D217" s="164" t="n"/>
      <c r="E217" s="164" t="n"/>
      <c r="F217" s="164" t="n"/>
      <c r="G217" s="218" t="n"/>
      <c r="H217" s="164" t="n"/>
      <c r="I217" s="164" t="n"/>
      <c r="J217" s="164" t="n"/>
      <c r="K217" s="164" t="n"/>
      <c r="L217" s="164" t="n"/>
      <c r="M217" s="164" t="n"/>
      <c r="N217" s="164" t="n"/>
      <c r="O217" s="164" t="n"/>
      <c r="P217" s="164" t="n"/>
      <c r="Q217" s="219" t="n"/>
      <c r="R217" s="133" t="n"/>
      <c r="S217" s="133" t="n"/>
      <c r="T217" s="133" t="n"/>
      <c r="U217" s="133" t="n"/>
      <c r="V217" s="133" t="n"/>
      <c r="W217" s="133" t="n"/>
      <c r="X217" s="133" t="n"/>
      <c r="Y217" s="133" t="n"/>
      <c r="Z217" s="133" t="n"/>
      <c r="AA217" s="133" t="n"/>
      <c r="AB217" s="133" t="n"/>
      <c r="AC217" s="133" t="n"/>
    </row>
    <row r="218" ht="15.75" customHeight="1" s="783">
      <c r="B218" s="132" t="inlineStr">
        <is>
          <t>Terminal Value of Unlevered FCFF</t>
        </is>
      </c>
      <c r="C218" s="164" t="n"/>
      <c r="D218" s="164" t="n"/>
      <c r="E218" s="164" t="n"/>
      <c r="F218" s="164" t="n"/>
      <c r="G218" s="218" t="n"/>
      <c r="H218" s="164" t="n"/>
      <c r="I218" s="164" t="n"/>
      <c r="J218" s="164" t="n"/>
      <c r="K218" s="164" t="n"/>
      <c r="L218" s="164" t="n"/>
      <c r="M218" s="164" t="n"/>
      <c r="N218" s="164" t="n"/>
      <c r="O218" s="164" t="n"/>
      <c r="P218" s="164" t="n"/>
      <c r="Q218" s="901">
        <f>IFERROR((Q192*(1+$C$13))/(WACC!$G$16-DCF!$C$13),"")</f>
        <v/>
      </c>
      <c r="R218" s="133" t="n"/>
      <c r="S218" s="133" t="n"/>
      <c r="T218" s="133" t="n"/>
      <c r="U218" s="133" t="n"/>
      <c r="V218" s="133" t="n"/>
      <c r="W218" s="133" t="n"/>
      <c r="X218" s="133" t="n"/>
      <c r="Y218" s="133" t="n"/>
      <c r="Z218" s="133" t="n"/>
      <c r="AA218" s="133" t="n"/>
      <c r="AB218" s="133" t="n"/>
      <c r="AC218" s="133" t="n"/>
    </row>
    <row r="219" ht="15.75" customHeight="1" s="783">
      <c r="B219" s="132" t="inlineStr">
        <is>
          <t>Present Value of Unlevered FCFF Terminal Value</t>
        </is>
      </c>
      <c r="C219" s="164" t="n"/>
      <c r="D219" s="164" t="n"/>
      <c r="E219" s="164" t="n"/>
      <c r="F219" s="164" t="n"/>
      <c r="G219" s="218" t="n"/>
      <c r="H219" s="164" t="n"/>
      <c r="I219" s="164" t="n"/>
      <c r="J219" s="164" t="n"/>
      <c r="K219" s="164" t="n"/>
      <c r="L219" s="164" t="n"/>
      <c r="M219" s="164" t="n"/>
      <c r="N219" s="164" t="n"/>
      <c r="O219" s="164" t="n"/>
      <c r="P219" s="164" t="n"/>
      <c r="Q219" s="901">
        <f>IFERROR(Q218/(1+WACC!$G$16)^$Q$195,"")</f>
        <v/>
      </c>
      <c r="R219" s="133" t="n"/>
      <c r="S219" s="133" t="n"/>
      <c r="T219" s="133" t="n"/>
      <c r="U219" s="133" t="n"/>
      <c r="V219" s="133" t="n"/>
      <c r="W219" s="133" t="n"/>
      <c r="X219" s="133" t="n"/>
      <c r="Y219" s="133" t="n"/>
      <c r="Z219" s="133" t="n"/>
      <c r="AA219" s="133" t="n"/>
      <c r="AB219" s="133" t="n"/>
      <c r="AC219" s="133" t="n"/>
    </row>
    <row r="220" ht="15.75" customHeight="1" s="783">
      <c r="B220" s="132" t="inlineStr">
        <is>
          <t>Terminal Value of Tax Shield</t>
        </is>
      </c>
      <c r="C220" s="164" t="n"/>
      <c r="D220" s="164" t="n"/>
      <c r="E220" s="164" t="n"/>
      <c r="F220" s="164" t="n"/>
      <c r="G220" s="218" t="n"/>
      <c r="H220" s="164" t="n"/>
      <c r="I220" s="164" t="n"/>
      <c r="J220" s="164" t="n"/>
      <c r="K220" s="164" t="n"/>
      <c r="L220" s="164" t="n"/>
      <c r="M220" s="164" t="n"/>
      <c r="N220" s="164" t="n"/>
      <c r="O220" s="164" t="n"/>
      <c r="P220" s="164" t="n"/>
      <c r="Q220" s="901">
        <f>IFERROR((Q216*(1+$C$13))/(WACC!$G$16-$C$13),"")</f>
        <v/>
      </c>
      <c r="R220" s="133" t="n"/>
      <c r="S220" s="133" t="n"/>
      <c r="T220" s="133" t="n"/>
      <c r="U220" s="133" t="n"/>
      <c r="V220" s="133" t="n"/>
      <c r="W220" s="133" t="n"/>
      <c r="X220" s="133" t="n"/>
      <c r="Y220" s="133" t="n"/>
      <c r="Z220" s="133" t="n"/>
      <c r="AA220" s="133" t="n"/>
      <c r="AB220" s="133" t="n"/>
      <c r="AC220" s="133" t="n"/>
    </row>
    <row r="221" ht="15.75" customHeight="1" s="783">
      <c r="B221" s="132" t="inlineStr">
        <is>
          <t>Present Value of Tax Shield Terminal Value</t>
        </is>
      </c>
      <c r="C221" s="164" t="n"/>
      <c r="D221" s="164" t="n"/>
      <c r="E221" s="164" t="n"/>
      <c r="F221" s="164" t="n"/>
      <c r="G221" s="218" t="n"/>
      <c r="H221" s="164" t="n"/>
      <c r="I221" s="164" t="n"/>
      <c r="J221" s="164" t="n"/>
      <c r="K221" s="164" t="n"/>
      <c r="L221" s="164" t="n"/>
      <c r="M221" s="164" t="n"/>
      <c r="N221" s="164" t="n"/>
      <c r="O221" s="164" t="n"/>
      <c r="P221" s="164" t="n"/>
      <c r="Q221" s="901">
        <f>IFERROR(Q220/(1+WACC!$G$18)^$Q$195,"")</f>
        <v/>
      </c>
      <c r="R221" s="133" t="n"/>
      <c r="S221" s="133" t="n"/>
      <c r="T221" s="133" t="n"/>
      <c r="U221" s="133" t="n"/>
      <c r="V221" s="133" t="n"/>
      <c r="W221" s="133" t="n"/>
      <c r="X221" s="133" t="n"/>
      <c r="Y221" s="133" t="n"/>
      <c r="Z221" s="133" t="n"/>
      <c r="AA221" s="133" t="n"/>
      <c r="AB221" s="133" t="n"/>
      <c r="AC221" s="133" t="n"/>
    </row>
    <row r="222">
      <c r="B222" s="132" t="inlineStr">
        <is>
          <t>APV</t>
        </is>
      </c>
      <c r="G222" s="162" t="n"/>
      <c r="Q222" s="901">
        <f>+SUM(H215:Q216,Q219,Q221)</f>
        <v/>
      </c>
      <c r="R222" s="133" t="n"/>
      <c r="S222" s="133" t="n"/>
      <c r="T222" s="133" t="n"/>
      <c r="U222" s="133" t="n"/>
      <c r="V222" s="133" t="n"/>
      <c r="W222" s="133" t="n"/>
      <c r="X222" s="133" t="n"/>
      <c r="Y222" s="133" t="n"/>
      <c r="Z222" s="133" t="n"/>
      <c r="AA222" s="133" t="n"/>
      <c r="AB222" s="133" t="n"/>
      <c r="AC222" s="133" t="n"/>
    </row>
    <row r="223">
      <c r="B223" s="132" t="inlineStr">
        <is>
          <t>Equity Value</t>
        </is>
      </c>
      <c r="G223" s="162" t="n"/>
      <c r="Q223" s="901">
        <f>+Q222-Q201+Q202+Q203+Q204</f>
        <v/>
      </c>
      <c r="R223" s="133" t="n"/>
      <c r="S223" s="133" t="n"/>
      <c r="T223" s="133" t="n"/>
      <c r="U223" s="133" t="n"/>
      <c r="V223" s="133" t="n"/>
      <c r="W223" s="133" t="n"/>
      <c r="X223" s="133" t="n"/>
      <c r="Y223" s="133" t="n"/>
      <c r="Z223" s="133" t="n"/>
      <c r="AA223" s="133" t="n"/>
      <c r="AB223" s="133" t="n"/>
      <c r="AC223" s="133" t="n"/>
    </row>
    <row r="224" ht="15.75" customHeight="1" s="783">
      <c r="B224" s="164" t="inlineStr">
        <is>
          <t>Implicit Stock Value</t>
        </is>
      </c>
      <c r="C224" s="164" t="n"/>
      <c r="D224" s="164" t="n"/>
      <c r="E224" s="164" t="n"/>
      <c r="F224" s="164" t="n"/>
      <c r="G224" s="218" t="n"/>
      <c r="H224" s="164" t="n"/>
      <c r="I224" s="164" t="n"/>
      <c r="J224" s="164" t="n"/>
      <c r="K224" s="164" t="n"/>
      <c r="L224" s="164" t="n"/>
      <c r="M224" s="164" t="n"/>
      <c r="N224" s="164" t="n"/>
      <c r="O224" s="164" t="n"/>
      <c r="P224" s="164" t="n"/>
      <c r="Q224" s="413">
        <f>IFERROR(Q223/Q207,"")</f>
        <v/>
      </c>
      <c r="R224" s="133" t="n"/>
      <c r="S224" s="133" t="n"/>
      <c r="T224" s="133" t="n"/>
      <c r="U224" s="133" t="n"/>
      <c r="V224" s="133" t="n"/>
      <c r="W224" s="133" t="n"/>
      <c r="X224" s="133" t="n"/>
      <c r="Y224" s="133" t="n"/>
      <c r="Z224" s="133" t="n"/>
      <c r="AA224" s="133" t="n"/>
      <c r="AB224" s="133" t="n"/>
      <c r="AC224" s="133" t="n"/>
    </row>
    <row r="225" ht="3.75" customHeight="1" s="783">
      <c r="B225" s="164" t="n"/>
      <c r="C225" s="164" t="n"/>
      <c r="D225" s="164" t="n"/>
      <c r="E225" s="164" t="n"/>
      <c r="F225" s="164" t="n"/>
      <c r="G225" s="218" t="n"/>
      <c r="H225" s="164" t="n"/>
      <c r="I225" s="164" t="n"/>
      <c r="J225" s="164" t="n"/>
      <c r="K225" s="164" t="n"/>
      <c r="L225" s="164" t="n"/>
      <c r="M225" s="164" t="n"/>
      <c r="N225" s="164" t="n"/>
      <c r="O225" s="164" t="n"/>
      <c r="P225" s="164" t="n"/>
      <c r="Q225" s="413" t="n"/>
      <c r="R225" s="133" t="n"/>
      <c r="S225" s="133" t="n"/>
      <c r="T225" s="133" t="n"/>
      <c r="U225" s="133" t="n"/>
      <c r="V225" s="133" t="n"/>
      <c r="W225" s="133" t="n"/>
      <c r="X225" s="133" t="n"/>
      <c r="Y225" s="133" t="n"/>
      <c r="Z225" s="133" t="n"/>
      <c r="AA225" s="133" t="n"/>
      <c r="AB225" s="133" t="n"/>
      <c r="AC225" s="133" t="n"/>
    </row>
    <row r="226" ht="15.75" customHeight="1" s="783">
      <c r="B226" s="414" t="inlineStr">
        <is>
          <t>Upside (downside)</t>
        </is>
      </c>
      <c r="C226" s="164" t="n"/>
      <c r="D226" s="164" t="n"/>
      <c r="E226" s="164" t="n"/>
      <c r="F226" s="164" t="n"/>
      <c r="G226" s="218" t="n"/>
      <c r="H226" s="164" t="n"/>
      <c r="I226" s="164" t="n"/>
      <c r="J226" s="164" t="n"/>
      <c r="K226" s="164" t="n"/>
      <c r="L226" s="164" t="n"/>
      <c r="M226" s="164" t="n"/>
      <c r="N226" s="164" t="n"/>
      <c r="O226" s="164" t="n"/>
      <c r="P226" s="164" t="n"/>
      <c r="Q226" s="219">
        <f>IFERROR(Q224/Q210-1,"")</f>
        <v/>
      </c>
      <c r="R226" s="133" t="n"/>
      <c r="S226" s="133" t="n"/>
      <c r="T226" s="133" t="n"/>
      <c r="U226" s="133" t="n"/>
      <c r="V226" s="133" t="n"/>
      <c r="W226" s="133" t="n"/>
      <c r="X226" s="133" t="n"/>
      <c r="Y226" s="133" t="n"/>
      <c r="Z226" s="133" t="n"/>
      <c r="AA226" s="133" t="n"/>
      <c r="AB226" s="133" t="n"/>
      <c r="AC226" s="133" t="n"/>
    </row>
    <row r="227" ht="3.75" customHeight="1" s="783">
      <c r="G227" s="162" t="n"/>
    </row>
    <row r="228" ht="15.75" customHeight="1" s="783">
      <c r="A228" s="132" t="inlineStr">
        <is>
          <t>x</t>
        </is>
      </c>
      <c r="B228" s="52" t="inlineStr">
        <is>
          <t>FCFE Valuation</t>
        </is>
      </c>
      <c r="C228" s="52" t="n"/>
      <c r="D228" s="52" t="n"/>
      <c r="E228" s="902">
        <f>E28</f>
        <v/>
      </c>
      <c r="F228" s="902">
        <f>F28</f>
        <v/>
      </c>
      <c r="G228" s="903">
        <f>G28</f>
        <v/>
      </c>
      <c r="H228" s="855">
        <f>1+G228</f>
        <v/>
      </c>
      <c r="I228" s="855">
        <f>1+H228</f>
        <v/>
      </c>
      <c r="J228" s="855">
        <f>1+I228</f>
        <v/>
      </c>
      <c r="K228" s="855">
        <f>1+J228</f>
        <v/>
      </c>
      <c r="L228" s="855">
        <f>1+K228</f>
        <v/>
      </c>
      <c r="M228" s="855">
        <f>1+L228</f>
        <v/>
      </c>
      <c r="N228" s="855">
        <f>1+M228</f>
        <v/>
      </c>
      <c r="O228" s="855">
        <f>1+N228</f>
        <v/>
      </c>
      <c r="P228" s="855">
        <f>1+O228</f>
        <v/>
      </c>
      <c r="Q228" s="855">
        <f>1+P228</f>
        <v/>
      </c>
    </row>
    <row r="229" ht="3.75" customHeight="1" s="783">
      <c r="B229" s="53" t="n"/>
      <c r="C229" s="53" t="n"/>
      <c r="D229" s="53" t="n"/>
      <c r="E229" s="53" t="n"/>
      <c r="F229" s="53" t="n"/>
      <c r="G229" s="220" t="n"/>
      <c r="H229" s="53" t="n"/>
      <c r="I229" s="53" t="n"/>
      <c r="J229" s="53" t="n"/>
      <c r="K229" s="53" t="n"/>
      <c r="L229" s="53" t="n"/>
      <c r="M229" s="53" t="n"/>
      <c r="N229" s="53" t="n"/>
      <c r="O229" s="53" t="n"/>
      <c r="P229" s="53" t="n"/>
      <c r="Q229" s="53" t="n"/>
    </row>
    <row r="230">
      <c r="B230" s="132" t="inlineStr">
        <is>
          <t>EBIT</t>
        </is>
      </c>
      <c r="E230" s="912">
        <f>+E59</f>
        <v/>
      </c>
      <c r="F230" s="912">
        <f>+F59</f>
        <v/>
      </c>
      <c r="G230" s="978">
        <f>+G59</f>
        <v/>
      </c>
      <c r="H230" s="974">
        <f>+H59</f>
        <v/>
      </c>
      <c r="I230" s="974">
        <f>+I59</f>
        <v/>
      </c>
      <c r="J230" s="974">
        <f>+J59</f>
        <v/>
      </c>
      <c r="K230" s="974">
        <f>+K59</f>
        <v/>
      </c>
      <c r="L230" s="974">
        <f>+L59</f>
        <v/>
      </c>
      <c r="M230" s="974">
        <f>+M59</f>
        <v/>
      </c>
      <c r="N230" s="974">
        <f>+N59</f>
        <v/>
      </c>
      <c r="O230" s="974">
        <f>+O59</f>
        <v/>
      </c>
      <c r="P230" s="974">
        <f>+P59</f>
        <v/>
      </c>
      <c r="Q230" s="974">
        <f>+Q59</f>
        <v/>
      </c>
    </row>
    <row r="231" ht="3.75" customHeight="1" s="783">
      <c r="G231" s="162" t="n"/>
    </row>
    <row r="232" ht="15" customHeight="1" s="783">
      <c r="B232" s="132" t="inlineStr">
        <is>
          <t>Net Income</t>
        </is>
      </c>
      <c r="E232" s="901">
        <f>+E81</f>
        <v/>
      </c>
      <c r="F232" s="901">
        <f>+F81</f>
        <v/>
      </c>
      <c r="G232" s="991">
        <f>+G81</f>
        <v/>
      </c>
      <c r="H232" s="901">
        <f>+H81</f>
        <v/>
      </c>
      <c r="I232" s="901">
        <f>+I81</f>
        <v/>
      </c>
      <c r="J232" s="901">
        <f>+J81</f>
        <v/>
      </c>
      <c r="K232" s="901">
        <f>+K81</f>
        <v/>
      </c>
      <c r="L232" s="901">
        <f>+L81</f>
        <v/>
      </c>
      <c r="M232" s="901">
        <f>+M81</f>
        <v/>
      </c>
      <c r="N232" s="901">
        <f>+N81</f>
        <v/>
      </c>
      <c r="O232" s="901">
        <f>+O81</f>
        <v/>
      </c>
      <c r="P232" s="901">
        <f>+P81</f>
        <v/>
      </c>
      <c r="Q232" s="901">
        <f>+Q81</f>
        <v/>
      </c>
    </row>
    <row r="233" ht="3.75" customHeight="1" s="783">
      <c r="G233" s="162" t="n"/>
    </row>
    <row r="234" ht="15" customHeight="1" s="783">
      <c r="B234" s="132" t="inlineStr">
        <is>
          <t>D&amp;A (Depreciation &amp; Amortization)</t>
        </is>
      </c>
      <c r="E234" s="222">
        <f>+E123</f>
        <v/>
      </c>
      <c r="F234" s="222">
        <f>+F123</f>
        <v/>
      </c>
      <c r="G234" s="223">
        <f>+G123</f>
        <v/>
      </c>
      <c r="H234" s="222">
        <f>+H123</f>
        <v/>
      </c>
      <c r="I234" s="222">
        <f>+I123</f>
        <v/>
      </c>
      <c r="J234" s="222">
        <f>+J123</f>
        <v/>
      </c>
      <c r="K234" s="222">
        <f>+K123</f>
        <v/>
      </c>
      <c r="L234" s="222">
        <f>+L123</f>
        <v/>
      </c>
      <c r="M234" s="222">
        <f>+M123</f>
        <v/>
      </c>
      <c r="N234" s="222">
        <f>+N123</f>
        <v/>
      </c>
      <c r="O234" s="222">
        <f>+O123</f>
        <v/>
      </c>
      <c r="P234" s="222">
        <f>+P123</f>
        <v/>
      </c>
      <c r="Q234" s="222">
        <f>+Q123</f>
        <v/>
      </c>
    </row>
    <row r="235" ht="3.95" customHeight="1" s="783">
      <c r="B235" s="167" t="n"/>
      <c r="E235" s="224" t="n"/>
      <c r="F235" s="224" t="n"/>
      <c r="G235" s="225" t="n"/>
      <c r="H235" s="226" t="n"/>
      <c r="I235" s="226" t="n"/>
      <c r="J235" s="226" t="n"/>
      <c r="K235" s="226" t="n"/>
      <c r="L235" s="226" t="n"/>
      <c r="M235" s="226" t="n"/>
      <c r="N235" s="226" t="n"/>
      <c r="O235" s="226" t="n"/>
      <c r="P235" s="226" t="n"/>
      <c r="Q235" s="226" t="n"/>
    </row>
    <row r="236" ht="13.5" customHeight="1" s="783">
      <c r="B236" s="132" t="inlineStr">
        <is>
          <t>Stock Based Compensation</t>
        </is>
      </c>
      <c r="E236" s="901">
        <f>+E125</f>
        <v/>
      </c>
      <c r="F236" s="901">
        <f>+F125</f>
        <v/>
      </c>
      <c r="G236" s="991">
        <f>+G125</f>
        <v/>
      </c>
      <c r="H236" s="901">
        <f>+H125</f>
        <v/>
      </c>
      <c r="I236" s="901">
        <f>+I125</f>
        <v/>
      </c>
      <c r="J236" s="901">
        <f>+J125</f>
        <v/>
      </c>
      <c r="K236" s="901">
        <f>+K125</f>
        <v/>
      </c>
      <c r="L236" s="901">
        <f>+L125</f>
        <v/>
      </c>
      <c r="M236" s="901">
        <f>+M125</f>
        <v/>
      </c>
      <c r="N236" s="901">
        <f>+N125</f>
        <v/>
      </c>
      <c r="O236" s="901">
        <f>+O125</f>
        <v/>
      </c>
      <c r="P236" s="901">
        <f>+P125</f>
        <v/>
      </c>
      <c r="Q236" s="901">
        <f>+Q125</f>
        <v/>
      </c>
    </row>
    <row r="237" ht="3.95" customHeight="1" s="783">
      <c r="B237" s="167" t="n"/>
      <c r="E237" s="224" t="n"/>
      <c r="F237" s="224" t="n"/>
      <c r="G237" s="225" t="n"/>
      <c r="H237" s="226" t="n"/>
      <c r="I237" s="226" t="n"/>
      <c r="J237" s="226" t="n"/>
      <c r="K237" s="226" t="n"/>
      <c r="L237" s="226" t="n"/>
      <c r="M237" s="226" t="n"/>
      <c r="N237" s="226" t="n"/>
      <c r="O237" s="226" t="n"/>
      <c r="P237" s="226" t="n"/>
      <c r="Q237" s="226" t="n"/>
    </row>
    <row r="238" ht="15" customHeight="1" s="783">
      <c r="B238" s="132" t="inlineStr">
        <is>
          <t>Changes in NWC</t>
        </is>
      </c>
      <c r="E238" s="901">
        <f>E188</f>
        <v/>
      </c>
      <c r="F238" s="901">
        <f>F188</f>
        <v/>
      </c>
      <c r="G238" s="991">
        <f>G188</f>
        <v/>
      </c>
      <c r="H238" s="901">
        <f>H188</f>
        <v/>
      </c>
      <c r="I238" s="901">
        <f>I188</f>
        <v/>
      </c>
      <c r="J238" s="901">
        <f>J188</f>
        <v/>
      </c>
      <c r="K238" s="901">
        <f>K188</f>
        <v/>
      </c>
      <c r="L238" s="901">
        <f>L188</f>
        <v/>
      </c>
      <c r="M238" s="901">
        <f>M188</f>
        <v/>
      </c>
      <c r="N238" s="901">
        <f>N188</f>
        <v/>
      </c>
      <c r="O238" s="901">
        <f>O188</f>
        <v/>
      </c>
      <c r="P238" s="901">
        <f>P188</f>
        <v/>
      </c>
      <c r="Q238" s="901">
        <f>Q188</f>
        <v/>
      </c>
    </row>
    <row r="239" ht="3.75" customHeight="1" s="783">
      <c r="E239" s="901" t="n"/>
      <c r="F239" s="901" t="n"/>
      <c r="G239" s="991" t="n"/>
      <c r="H239" s="901" t="n"/>
      <c r="I239" s="901" t="n"/>
      <c r="J239" s="901" t="n"/>
      <c r="K239" s="901" t="n"/>
      <c r="L239" s="901" t="n"/>
      <c r="M239" s="901" t="n"/>
      <c r="N239" s="901" t="n"/>
      <c r="O239" s="901" t="n"/>
      <c r="P239" s="901" t="n"/>
      <c r="Q239" s="901" t="n"/>
    </row>
    <row r="240" ht="15" customHeight="1" s="783">
      <c r="B240" s="132" t="inlineStr">
        <is>
          <t>Net Capex</t>
        </is>
      </c>
      <c r="E240" s="912">
        <f>E134</f>
        <v/>
      </c>
      <c r="F240" s="912">
        <f>F134</f>
        <v/>
      </c>
      <c r="G240" s="978">
        <f>G134</f>
        <v/>
      </c>
      <c r="H240" s="912">
        <f>H190</f>
        <v/>
      </c>
      <c r="I240" s="912">
        <f>I190</f>
        <v/>
      </c>
      <c r="J240" s="912">
        <f>J190</f>
        <v/>
      </c>
      <c r="K240" s="912">
        <f>K190</f>
        <v/>
      </c>
      <c r="L240" s="912">
        <f>L190</f>
        <v/>
      </c>
      <c r="M240" s="912">
        <f>M190</f>
        <v/>
      </c>
      <c r="N240" s="912">
        <f>N190</f>
        <v/>
      </c>
      <c r="O240" s="912">
        <f>O190</f>
        <v/>
      </c>
      <c r="P240" s="912">
        <f>P190</f>
        <v/>
      </c>
      <c r="Q240" s="912">
        <f>Q190</f>
        <v/>
      </c>
    </row>
    <row r="241" ht="3.75" customHeight="1" s="783">
      <c r="G241" s="162" t="n"/>
    </row>
    <row r="242" ht="15" customHeight="1" s="783">
      <c r="B242" s="132" t="inlineStr">
        <is>
          <t>Debt Borrowing (Repayment)</t>
        </is>
      </c>
      <c r="E242" s="222">
        <f>+E156-E158</f>
        <v/>
      </c>
      <c r="F242" s="222">
        <f>+F156-F158</f>
        <v/>
      </c>
      <c r="G242" s="223">
        <f>+G156-G158</f>
        <v/>
      </c>
      <c r="H242" s="222">
        <f>IFERROR(H156-H158,"")</f>
        <v/>
      </c>
      <c r="I242" s="222">
        <f>IFERROR(I156-I158,"")</f>
        <v/>
      </c>
      <c r="J242" s="222">
        <f>IFERROR(J156-J158,"")</f>
        <v/>
      </c>
      <c r="K242" s="222">
        <f>IFERROR(K156-K158,"")</f>
        <v/>
      </c>
      <c r="L242" s="222">
        <f>IFERROR(L156-L158,"")</f>
        <v/>
      </c>
      <c r="M242" s="222">
        <f>IFERROR(M156-M158,"")</f>
        <v/>
      </c>
      <c r="N242" s="222">
        <f>IFERROR(N156-N158,"")</f>
        <v/>
      </c>
      <c r="O242" s="222">
        <f>IFERROR(O156-O158,"")</f>
        <v/>
      </c>
      <c r="P242" s="222">
        <f>IFERROR(P156-P158,"")</f>
        <v/>
      </c>
      <c r="Q242" s="222">
        <f>IFERROR(Q156-Q158,"")</f>
        <v/>
      </c>
    </row>
    <row r="243" ht="3.95" customHeight="1" s="783">
      <c r="G243" s="162" t="n"/>
    </row>
    <row r="244" ht="15" customHeight="1" s="783">
      <c r="B244" s="198" t="inlineStr">
        <is>
          <t>FCFE</t>
        </is>
      </c>
      <c r="C244" s="199" t="n"/>
      <c r="D244" s="199" t="n"/>
      <c r="E244" s="979">
        <f>+E232+E234+E236+E238+E240+E242</f>
        <v/>
      </c>
      <c r="F244" s="979">
        <f>+F232+F234+F236+F238+F240+F242</f>
        <v/>
      </c>
      <c r="G244" s="980">
        <f>+G232+G234+G236+G238+G240+G242</f>
        <v/>
      </c>
      <c r="H244" s="979">
        <f>IFERROR(+H232+H234+H236+H238+H240+H242,"")</f>
        <v/>
      </c>
      <c r="I244" s="979">
        <f>IFERROR(+I232+I234+I236+I238+I240+I242,"")</f>
        <v/>
      </c>
      <c r="J244" s="979">
        <f>IFERROR(+J232+J234+J236+J238+J240+J242,"")</f>
        <v/>
      </c>
      <c r="K244" s="979">
        <f>IFERROR(+K232+K234+K236+K238+K240+K242,"")</f>
        <v/>
      </c>
      <c r="L244" s="979">
        <f>IFERROR(+L232+L234+L236+L238+L240+L242,"")</f>
        <v/>
      </c>
      <c r="M244" s="979">
        <f>IFERROR(+M232+M234+M236+M238+M240+M242,"")</f>
        <v/>
      </c>
      <c r="N244" s="979">
        <f>IFERROR(+N232+N234+N236+N238+N240+N242,"")</f>
        <v/>
      </c>
      <c r="O244" s="979">
        <f>IFERROR(+O232+O234+O236+O238+O240+O242,"")</f>
        <v/>
      </c>
      <c r="P244" s="979">
        <f>IFERROR(+P232+P234+P236+P238+P240+P242,"")</f>
        <v/>
      </c>
      <c r="Q244" s="981">
        <f>IFERROR(+Q232+Q234+Q236+Q238+Q240+Q242,"")</f>
        <v/>
      </c>
    </row>
    <row r="245" ht="15" customHeight="1" s="783">
      <c r="B245" s="202" t="inlineStr">
        <is>
          <t>Present Value of FCFE</t>
        </is>
      </c>
      <c r="C245" s="203" t="n"/>
      <c r="D245" s="203" t="n"/>
      <c r="E245" s="203" t="n"/>
      <c r="F245" s="203" t="n"/>
      <c r="G245" s="204" t="n"/>
      <c r="H245" s="982">
        <f>IFERROR(H244/(1+$C$12)^H$195,"")</f>
        <v/>
      </c>
      <c r="I245" s="982">
        <f>IFERROR(I244/(1+$C$12)^I$195,"")</f>
        <v/>
      </c>
      <c r="J245" s="982">
        <f>IFERROR(J244/(1+$C$12)^J$195,"")</f>
        <v/>
      </c>
      <c r="K245" s="982">
        <f>IFERROR(K244/(1+$C$12)^K$195,"")</f>
        <v/>
      </c>
      <c r="L245" s="982">
        <f>IFERROR(L244/(1+$C$12)^L$195,"")</f>
        <v/>
      </c>
      <c r="M245" s="982">
        <f>IFERROR(M244/(1+$C$12)^M$195,"")</f>
        <v/>
      </c>
      <c r="N245" s="982">
        <f>IFERROR(N244/(1+$C$12)^N$195,"")</f>
        <v/>
      </c>
      <c r="O245" s="982">
        <f>IFERROR(O244/(1+$C$12)^O$195,"")</f>
        <v/>
      </c>
      <c r="P245" s="982">
        <f>IFERROR(P244/(1+$C$12)^P$195,"")</f>
        <v/>
      </c>
      <c r="Q245" s="983">
        <f>IFERROR(Q244/(1+$C$12)^Q$195,"")</f>
        <v/>
      </c>
    </row>
    <row r="246" ht="3.75" customHeight="1" s="783">
      <c r="G246" s="162" t="n"/>
    </row>
    <row r="247" ht="15" customHeight="1" s="783">
      <c r="B247" s="132" t="inlineStr">
        <is>
          <t>Terminal Value</t>
        </is>
      </c>
      <c r="G247" s="162" t="n"/>
      <c r="Q247" s="901">
        <f>IFERROR((Q244*(1+$C$13))/(WACC!$G$11-$C$13),"")</f>
        <v/>
      </c>
    </row>
    <row r="248" ht="15" customHeight="1" s="783">
      <c r="B248" s="132" t="inlineStr">
        <is>
          <t>Present Value of Terminal Value</t>
        </is>
      </c>
      <c r="G248" s="162" t="n"/>
      <c r="Q248" s="992">
        <f>IFERROR(Q247/(1+WACC!$G$11)^$Q$195,"")</f>
        <v/>
      </c>
    </row>
    <row r="249" ht="15" customHeight="1" s="783">
      <c r="B249" s="132" t="inlineStr">
        <is>
          <t>Equity Value</t>
        </is>
      </c>
      <c r="G249" s="162" t="n"/>
      <c r="Q249" s="901">
        <f>+SUM(Q248,H245:Q245)</f>
        <v/>
      </c>
    </row>
    <row r="250" ht="3.75" customHeight="1" s="783">
      <c r="G250" s="162" t="n"/>
    </row>
    <row r="251" ht="15" customHeight="1" s="783">
      <c r="B251" s="164" t="inlineStr">
        <is>
          <t>Implicit Stock Value</t>
        </is>
      </c>
      <c r="G251" s="162" t="n"/>
      <c r="N251" s="216" t="n"/>
      <c r="Q251" s="988">
        <f>IFERROR(Q249/Q207,"")</f>
        <v/>
      </c>
    </row>
    <row r="252" ht="3.75" customHeight="1" s="783">
      <c r="G252" s="162" t="n"/>
    </row>
    <row r="253" ht="15" customHeight="1" s="783">
      <c r="B253" s="164" t="inlineStr">
        <is>
          <t>Upside (downside)</t>
        </is>
      </c>
      <c r="C253" s="164" t="n"/>
      <c r="D253" s="164" t="n"/>
      <c r="E253" s="164" t="n"/>
      <c r="F253" s="164" t="n"/>
      <c r="G253" s="218" t="n"/>
      <c r="H253" s="164" t="n"/>
      <c r="I253" s="164" t="n"/>
      <c r="J253" s="164" t="n"/>
      <c r="K253" s="164" t="n"/>
      <c r="L253" s="164" t="n"/>
      <c r="M253" s="164" t="n"/>
      <c r="N253" s="164" t="n"/>
      <c r="O253" s="164" t="n"/>
      <c r="P253" s="164" t="n"/>
      <c r="Q253" s="219">
        <f>IFERROR(Q251/Q210-1,"")</f>
        <v/>
      </c>
    </row>
    <row r="254" ht="3.75" customFormat="1" customHeight="1" s="224">
      <c r="G254" s="225" t="n"/>
    </row>
    <row r="255" ht="15" customHeight="1" s="783">
      <c r="A255" s="132" t="inlineStr">
        <is>
          <t>x</t>
        </is>
      </c>
      <c r="B255" s="52" t="inlineStr">
        <is>
          <t>DDM</t>
        </is>
      </c>
      <c r="C255" s="52" t="n"/>
      <c r="D255" s="52" t="n"/>
      <c r="E255" s="902">
        <f>+E228</f>
        <v/>
      </c>
      <c r="F255" s="902">
        <f>+F228</f>
        <v/>
      </c>
      <c r="G255" s="903">
        <f>+G228</f>
        <v/>
      </c>
      <c r="H255" s="855">
        <f>1+G255</f>
        <v/>
      </c>
      <c r="I255" s="855">
        <f>1+H255</f>
        <v/>
      </c>
      <c r="J255" s="855">
        <f>1+I255</f>
        <v/>
      </c>
      <c r="K255" s="855">
        <f>1+J255</f>
        <v/>
      </c>
      <c r="L255" s="855">
        <f>1+K255</f>
        <v/>
      </c>
      <c r="M255" s="855">
        <f>1+L255</f>
        <v/>
      </c>
      <c r="N255" s="855">
        <f>1+M255</f>
        <v/>
      </c>
      <c r="O255" s="855">
        <f>1+N255</f>
        <v/>
      </c>
      <c r="P255" s="855">
        <f>1+O255</f>
        <v/>
      </c>
      <c r="Q255" s="855">
        <f>1+P255</f>
        <v/>
      </c>
    </row>
    <row r="256" ht="3.75" customHeight="1" s="783">
      <c r="B256" s="53" t="n"/>
      <c r="C256" s="53" t="n"/>
      <c r="D256" s="53" t="n"/>
      <c r="E256" s="53" t="n"/>
      <c r="F256" s="53" t="n"/>
      <c r="G256" s="220" t="n"/>
      <c r="H256" s="53" t="n"/>
      <c r="I256" s="53" t="n"/>
      <c r="J256" s="53" t="n"/>
      <c r="K256" s="53" t="n"/>
      <c r="L256" s="53" t="n"/>
      <c r="M256" s="53" t="n"/>
      <c r="N256" s="53" t="n"/>
      <c r="O256" s="53" t="n"/>
      <c r="P256" s="53" t="n"/>
      <c r="Q256" s="53" t="n"/>
    </row>
    <row r="257" ht="15" customHeight="1" s="783">
      <c r="B257" s="132" t="inlineStr">
        <is>
          <t>Total Payout</t>
        </is>
      </c>
      <c r="E257" s="901">
        <f>+E150+E147</f>
        <v/>
      </c>
      <c r="F257" s="901">
        <f>+F150+F147</f>
        <v/>
      </c>
      <c r="G257" s="991">
        <f>+G150+G147</f>
        <v/>
      </c>
      <c r="H257" s="901">
        <f>IFERROR(H150+H147,"")</f>
        <v/>
      </c>
      <c r="I257" s="901">
        <f>IFERROR(I150+I147,"")</f>
        <v/>
      </c>
      <c r="J257" s="901">
        <f>IFERROR(J150+J147,"")</f>
        <v/>
      </c>
      <c r="K257" s="901">
        <f>IFERROR(K150+K147,"")</f>
        <v/>
      </c>
      <c r="L257" s="901">
        <f>IFERROR(L150+L147,"")</f>
        <v/>
      </c>
      <c r="M257" s="901">
        <f>IFERROR(M150+M147,"")</f>
        <v/>
      </c>
      <c r="N257" s="901">
        <f>IFERROR(N150+N147,"")</f>
        <v/>
      </c>
      <c r="O257" s="901">
        <f>IFERROR(O150+O147,"")</f>
        <v/>
      </c>
      <c r="P257" s="901">
        <f>IFERROR(P150+P147,"")</f>
        <v/>
      </c>
      <c r="Q257" s="901">
        <f>IFERROR(Q150+Q147,"")</f>
        <v/>
      </c>
    </row>
    <row r="258" ht="15" customHeight="1" s="783">
      <c r="B258" s="167" t="inlineStr">
        <is>
          <t>Total Payout Ratio</t>
        </is>
      </c>
      <c r="E258" s="224">
        <f>IFERROR(_xlfn.XLOOKUP("Repurchase payout",$B:$B,E:E)+_xlfn.XLOOKUP("Dividend payout",$B:$B,E:E),"")</f>
        <v/>
      </c>
      <c r="F258" s="224">
        <f>IFERROR(_xlfn.XLOOKUP("Repurchase payout",$B:$B,F:F)+_xlfn.XLOOKUP("Dividend payout",$B:$B,F:F),"")</f>
        <v/>
      </c>
      <c r="G258" s="225">
        <f>IFERROR(_xlfn.XLOOKUP("Repurchase payout",$B:$B,G:G)+_xlfn.XLOOKUP("Dividend payout",$B:$B,G:G),"")</f>
        <v/>
      </c>
      <c r="H258" s="224">
        <f>IFERROR(_xlfn.XLOOKUP("Repurchase payout",$B:$B,H:H)+_xlfn.XLOOKUP("Dividend payout",$B:$B,H:H),"")</f>
        <v/>
      </c>
      <c r="I258" s="224">
        <f>IFERROR(_xlfn.XLOOKUP("Repurchase payout",$B:$B,I:I)+_xlfn.XLOOKUP("Dividend payout",$B:$B,I:I),"")</f>
        <v/>
      </c>
      <c r="J258" s="224">
        <f>IFERROR(_xlfn.XLOOKUP("Repurchase payout",$B:$B,J:J)+_xlfn.XLOOKUP("Dividend payout",$B:$B,J:J),"")</f>
        <v/>
      </c>
      <c r="K258" s="224">
        <f>IFERROR(_xlfn.XLOOKUP("Repurchase payout",$B:$B,K:K)+_xlfn.XLOOKUP("Dividend payout",$B:$B,K:K),"")</f>
        <v/>
      </c>
      <c r="L258" s="224">
        <f>IFERROR(_xlfn.XLOOKUP("Repurchase payout",$B:$B,L:L)+_xlfn.XLOOKUP("Dividend payout",$B:$B,L:L),"")</f>
        <v/>
      </c>
      <c r="M258" s="224">
        <f>IFERROR(_xlfn.XLOOKUP("Repurchase payout",$B:$B,M:M)+_xlfn.XLOOKUP("Dividend payout",$B:$B,M:M),"")</f>
        <v/>
      </c>
      <c r="N258" s="224">
        <f>IFERROR(_xlfn.XLOOKUP("Repurchase payout",$B:$B,N:N)+_xlfn.XLOOKUP("Dividend payout",$B:$B,N:N),"")</f>
        <v/>
      </c>
      <c r="O258" s="224">
        <f>IFERROR(_xlfn.XLOOKUP("Repurchase payout",$B:$B,O:O)+_xlfn.XLOOKUP("Dividend payout",$B:$B,O:O),"")</f>
        <v/>
      </c>
      <c r="P258" s="224">
        <f>IFERROR(_xlfn.XLOOKUP("Repurchase payout",$B:$B,P:P)+_xlfn.XLOOKUP("Dividend payout",$B:$B,P:P),"")</f>
        <v/>
      </c>
      <c r="Q258" s="224">
        <f>IFERROR(_xlfn.XLOOKUP("Repurchase payout",$B:$B,Q:Q)+_xlfn.XLOOKUP("Dividend payout",$B:$B,Q:Q),"")</f>
        <v/>
      </c>
    </row>
    <row r="259" ht="15" customHeight="1" s="783">
      <c r="B259" s="132" t="inlineStr">
        <is>
          <t>Plowback Ratio</t>
        </is>
      </c>
      <c r="E259" s="224">
        <f>IFERROR(1-E258,"")</f>
        <v/>
      </c>
      <c r="F259" s="224">
        <f>IFERROR(1-F258,"")</f>
        <v/>
      </c>
      <c r="G259" s="225">
        <f>IFERROR(1-G258,"")</f>
        <v/>
      </c>
      <c r="H259" s="224">
        <f>IFERROR(1-H258,"")</f>
        <v/>
      </c>
      <c r="I259" s="224">
        <f>IFERROR(1-I258,"")</f>
        <v/>
      </c>
      <c r="J259" s="224">
        <f>IFERROR(1-J258,"")</f>
        <v/>
      </c>
      <c r="K259" s="224">
        <f>IFERROR(1-K258,"")</f>
        <v/>
      </c>
      <c r="L259" s="224">
        <f>IFERROR(1-L258,"")</f>
        <v/>
      </c>
      <c r="M259" s="224">
        <f>IFERROR(1-M258,"")</f>
        <v/>
      </c>
      <c r="N259" s="224">
        <f>IFERROR(1-N258,"")</f>
        <v/>
      </c>
      <c r="O259" s="224">
        <f>IFERROR(1-O258,"")</f>
        <v/>
      </c>
      <c r="P259" s="224">
        <f>IFERROR(1-P258,"")</f>
        <v/>
      </c>
      <c r="Q259" s="224">
        <f>IFERROR(1-Q258,"")</f>
        <v/>
      </c>
    </row>
    <row r="260" ht="3.75" customHeight="1" s="783">
      <c r="G260" s="162" t="n"/>
    </row>
    <row r="261" ht="15" customHeight="1" s="783">
      <c r="B261" s="228" t="inlineStr">
        <is>
          <t>Present Value of Total Payout</t>
        </is>
      </c>
      <c r="C261" s="229" t="n"/>
      <c r="D261" s="229" t="n"/>
      <c r="E261" s="229" t="n"/>
      <c r="F261" s="229" t="n"/>
      <c r="G261" s="230" t="n"/>
      <c r="H261" s="993">
        <f>IFERROR(-H257/(1+WACC!$G$11)^H$195,"")</f>
        <v/>
      </c>
      <c r="I261" s="993">
        <f>IFERROR(-I257/(1+WACC!$G$11)^I$195,"")</f>
        <v/>
      </c>
      <c r="J261" s="993">
        <f>IFERROR(-J257/(1+WACC!$G$11)^J$195,"")</f>
        <v/>
      </c>
      <c r="K261" s="993">
        <f>IFERROR(-K257/(1+WACC!$G$11)^K$195,"")</f>
        <v/>
      </c>
      <c r="L261" s="993">
        <f>IFERROR(-L257/(1+WACC!$G$11)^L$195,"")</f>
        <v/>
      </c>
      <c r="M261" s="993">
        <f>IFERROR(-M257/(1+WACC!$G$11)^M$195,"")</f>
        <v/>
      </c>
      <c r="N261" s="993">
        <f>IFERROR(-N257/(1+WACC!$G$11)^N$195,"")</f>
        <v/>
      </c>
      <c r="O261" s="993">
        <f>IFERROR(-O257/(1+WACC!$G$11)^O$195,"")</f>
        <v/>
      </c>
      <c r="P261" s="993">
        <f>IFERROR(-P257/(1+WACC!$G$11)^P$195,"")</f>
        <v/>
      </c>
      <c r="Q261" s="994">
        <f>IFERROR(-Q257/(1+WACC!$G$11)^Q$195,"")</f>
        <v/>
      </c>
    </row>
    <row r="262" ht="3.75" customHeight="1" s="783">
      <c r="G262" s="162" t="n"/>
    </row>
    <row r="263" ht="13.5" customHeight="1" s="783">
      <c r="B263" s="132" t="inlineStr">
        <is>
          <t>Terminal Value</t>
        </is>
      </c>
      <c r="G263" s="162" t="n"/>
      <c r="Q263" s="901">
        <f>IFERROR(+(Q261*(1+$C$13))/(WACC!$G$11-$C$13),"")</f>
        <v/>
      </c>
    </row>
    <row r="264" ht="15" customHeight="1" s="783">
      <c r="B264" s="132" t="inlineStr">
        <is>
          <t>Present Value of Terminal Value</t>
        </is>
      </c>
      <c r="G264" s="162" t="n"/>
      <c r="Q264" s="992">
        <f>IFERROR(Q263/(1+$C$12)^$Q$195,"")</f>
        <v/>
      </c>
    </row>
    <row r="265" ht="15" customHeight="1" s="783">
      <c r="B265" s="132" t="inlineStr">
        <is>
          <t>Equity Value</t>
        </is>
      </c>
      <c r="G265" s="162" t="n"/>
      <c r="Q265" s="901">
        <f>+SUM(Q264,H261:Q261)</f>
        <v/>
      </c>
    </row>
    <row r="266" ht="3.75" customHeight="1" s="783">
      <c r="G266" s="162" t="n"/>
      <c r="N266" s="216" t="n"/>
    </row>
    <row r="267" ht="15" customHeight="1" s="783">
      <c r="B267" s="164" t="inlineStr">
        <is>
          <t>Implicit Stock Value</t>
        </is>
      </c>
      <c r="G267" s="162" t="n"/>
      <c r="Q267" s="988">
        <f>IFERROR(Q264/Q$207,"")</f>
        <v/>
      </c>
    </row>
    <row r="268" ht="3.75" customHeight="1" s="783">
      <c r="B268" s="164" t="n"/>
      <c r="G268" s="162" t="n"/>
    </row>
    <row r="269" ht="15" customHeight="1" s="783">
      <c r="B269" s="164" t="inlineStr">
        <is>
          <t>Upside (downside)</t>
        </is>
      </c>
      <c r="C269" s="164" t="n"/>
      <c r="D269" s="164" t="n"/>
      <c r="E269" s="164" t="n"/>
      <c r="F269" s="164" t="n"/>
      <c r="G269" s="218" t="n"/>
      <c r="H269" s="164" t="n"/>
      <c r="I269" s="164" t="n"/>
      <c r="J269" s="164" t="n"/>
      <c r="K269" s="164" t="n"/>
      <c r="L269" s="164" t="n"/>
      <c r="M269" s="164" t="n"/>
      <c r="N269" s="164" t="n"/>
      <c r="O269" s="164" t="n"/>
      <c r="P269" s="164" t="n"/>
      <c r="Q269" s="232">
        <f>IFERROR(Q267/Q210-1,"")</f>
        <v/>
      </c>
    </row>
    <row r="271" ht="15" customHeight="1" s="783">
      <c r="A271" s="132" t="inlineStr">
        <is>
          <t>x</t>
        </is>
      </c>
      <c r="B271" s="69" t="inlineStr">
        <is>
          <t>Company's Strategy / Extra Notes</t>
        </is>
      </c>
      <c r="C271" s="70" t="n"/>
      <c r="D271" s="69" t="n"/>
      <c r="E271" s="70" t="n"/>
      <c r="F271" s="70" t="n"/>
      <c r="G271" s="70" t="n"/>
      <c r="H271" s="70" t="n"/>
      <c r="I271" s="70" t="n"/>
      <c r="J271" s="100" t="n"/>
      <c r="K271" s="101" t="n"/>
      <c r="L271" s="101" t="n"/>
      <c r="M271" s="101" t="n"/>
      <c r="N271" s="101" t="n"/>
      <c r="O271" s="101" t="n"/>
    </row>
    <row r="272" ht="3.75" customHeight="1" s="783">
      <c r="B272" s="71" t="n"/>
      <c r="C272" s="71" t="n"/>
      <c r="D272" s="71" t="n"/>
      <c r="E272" s="71" t="n"/>
      <c r="F272" s="71" t="n"/>
      <c r="G272" s="71" t="n"/>
      <c r="H272" s="71" t="n"/>
      <c r="I272" s="71" t="n"/>
      <c r="J272" s="102" t="n"/>
      <c r="K272" s="102" t="n"/>
      <c r="L272" s="102" t="n"/>
      <c r="M272" s="102" t="n"/>
      <c r="N272" s="102" t="n"/>
      <c r="O272" s="102" t="n"/>
    </row>
    <row r="273" ht="39.75" customHeight="1" s="783">
      <c r="B273" s="818" t="n"/>
      <c r="D273" s="800" t="n"/>
    </row>
    <row r="274" ht="39.75" customHeight="1" s="783">
      <c r="B274" s="818" t="n"/>
      <c r="D274" s="798" t="n"/>
    </row>
    <row r="275" ht="39.75" customHeight="1" s="783">
      <c r="B275" s="818" t="n"/>
      <c r="D275" s="798" t="n"/>
    </row>
    <row r="276" ht="39.75" customHeight="1" s="783">
      <c r="B276" s="818" t="n"/>
      <c r="D276" s="798" t="n"/>
    </row>
    <row r="277" ht="39.75" customHeight="1" s="783">
      <c r="B277" s="818" t="n"/>
      <c r="D277" s="800" t="n"/>
    </row>
    <row r="278" ht="39.75" customHeight="1" s="783">
      <c r="B278" s="818" t="n"/>
      <c r="D278" s="800" t="n"/>
    </row>
    <row r="279" ht="15" customHeight="1" s="783">
      <c r="D279" s="798" t="n"/>
    </row>
    <row r="280" ht="20.1" customFormat="1" customHeight="1" s="41">
      <c r="A280" s="132" t="n"/>
      <c r="B280" s="797" t="n"/>
      <c r="D280" s="798" t="n"/>
      <c r="P280" s="132" t="n"/>
      <c r="Q280" s="132" t="n"/>
      <c r="R280" s="132" t="n"/>
      <c r="S280" s="132" t="n"/>
      <c r="T280" s="132" t="n"/>
      <c r="U280" s="132" t="n"/>
      <c r="V280" s="132" t="n"/>
      <c r="W280" s="132" t="n"/>
      <c r="X280" s="132" t="n"/>
      <c r="Y280" s="132" t="n"/>
      <c r="Z280" s="132" t="n"/>
      <c r="AA280" s="132" t="n"/>
      <c r="AB280" s="132" t="n"/>
      <c r="AC280" s="132" t="n"/>
      <c r="AD280" s="132" t="n"/>
      <c r="AE280" s="132" t="n"/>
      <c r="AF280" s="132" t="n"/>
      <c r="AG280" s="132" t="n"/>
      <c r="AH280" s="132" t="n"/>
      <c r="AI280" s="132" t="n"/>
      <c r="AJ280" s="132" t="n"/>
      <c r="AK280" s="132" t="n"/>
      <c r="AN280" s="739" t="inlineStr">
        <is>
          <t>Sensitivity Analysis</t>
        </is>
      </c>
    </row>
    <row r="282" ht="15" customHeight="1" s="783">
      <c r="AN282" s="657">
        <f>Peers!AM287&amp;" Stock Price - Blended Discount Rate and Terminal Growth Rate"</f>
        <v/>
      </c>
      <c r="AW282" s="132" t="n">
        <v>1</v>
      </c>
    </row>
    <row r="283" ht="15" customHeight="1" s="783" thickBot="1">
      <c r="AN283" t="inlineStr">
        <is>
          <t>Stock Price (in USD)</t>
        </is>
      </c>
      <c r="AW283" s="132" t="n">
        <v>2</v>
      </c>
    </row>
    <row r="284" ht="15" customHeight="1" s="783">
      <c r="AN284" s="655" t="n"/>
      <c r="AO284" s="656" t="n"/>
      <c r="AP284" s="740" t="n"/>
      <c r="AQ284" s="655" t="n"/>
      <c r="AR284" s="741" t="inlineStr">
        <is>
          <t>WACC</t>
        </is>
      </c>
      <c r="AS284" s="655" t="n"/>
      <c r="AT284" s="655" t="n"/>
      <c r="AW284" s="132" t="n">
        <v>3</v>
      </c>
    </row>
    <row r="285" ht="15" customHeight="1" s="783" thickBot="1">
      <c r="AN285" s="647" t="n"/>
      <c r="AO285" s="995">
        <f>Q208</f>
        <v/>
      </c>
      <c r="AP285" s="660" t="n"/>
      <c r="AQ285" s="660" t="n"/>
      <c r="AR285" s="660" t="n"/>
      <c r="AS285" s="660" t="n"/>
      <c r="AT285" s="660" t="n"/>
      <c r="AW285" s="132" t="n">
        <v>4</v>
      </c>
    </row>
    <row r="286" ht="15" customHeight="1" s="783">
      <c r="AO286" s="750" t="n">
        <v>0.01</v>
      </c>
      <c r="AP286" s="658" t="n"/>
      <c r="AQ286" s="658" t="n"/>
      <c r="AR286" s="658" t="n"/>
      <c r="AS286" s="658" t="n"/>
      <c r="AT286" s="658" t="n"/>
      <c r="AW286" s="132" t="n">
        <v>5</v>
      </c>
    </row>
    <row r="287" ht="15" customHeight="1" s="783">
      <c r="AN287" s="738" t="n"/>
      <c r="AO287" s="750" t="n">
        <v>0.02</v>
      </c>
      <c r="AP287" s="658" t="n"/>
      <c r="AQ287" s="658" t="n"/>
      <c r="AR287" s="658" t="n"/>
      <c r="AS287" s="658" t="n"/>
      <c r="AT287" s="658" t="n"/>
      <c r="AW287" s="132" t="n">
        <v>6</v>
      </c>
    </row>
    <row r="288" ht="15" customHeight="1" s="783">
      <c r="AN288" s="24" t="inlineStr">
        <is>
          <t>TGR</t>
        </is>
      </c>
      <c r="AO288" s="750" t="n">
        <v>0.03</v>
      </c>
      <c r="AP288" s="658" t="n"/>
      <c r="AQ288" s="658" t="n"/>
      <c r="AR288" s="658" t="n"/>
      <c r="AS288" s="658" t="n"/>
      <c r="AT288" s="658" t="n"/>
      <c r="AW288" s="132" t="n">
        <v>7</v>
      </c>
    </row>
    <row r="289" ht="15" customHeight="1" s="783">
      <c r="AO289" s="750" t="n">
        <v>0.04</v>
      </c>
      <c r="AP289" s="658" t="n"/>
      <c r="AQ289" s="658" t="n"/>
      <c r="AR289" s="658" t="n"/>
      <c r="AS289" s="658" t="n"/>
      <c r="AT289" s="658" t="n"/>
      <c r="AW289" s="132" t="n">
        <v>8</v>
      </c>
    </row>
    <row r="290" ht="15" customHeight="1" s="783" thickBot="1">
      <c r="AN290" s="647" t="n"/>
      <c r="AO290" s="653" t="n">
        <v>0.05</v>
      </c>
      <c r="AP290" s="659" t="n"/>
      <c r="AQ290" s="659" t="n"/>
      <c r="AR290" s="659" t="n"/>
      <c r="AS290" s="659" t="n"/>
      <c r="AT290" s="659" t="n"/>
      <c r="AW290" s="132" t="n">
        <v>9</v>
      </c>
    </row>
    <row r="291" ht="15" customHeight="1" s="783">
      <c r="AO291" s="750" t="n"/>
      <c r="AW291" s="132" t="n">
        <v>10</v>
      </c>
    </row>
    <row r="292" ht="15" customHeight="1" s="783">
      <c r="AN292" s="657">
        <f>Peers!AM287&amp;" Stock Price - Blended Revenue Growth and Operating Margin"</f>
        <v/>
      </c>
      <c r="AW292" s="132" t="n">
        <v>11</v>
      </c>
    </row>
    <row r="293" ht="15" customHeight="1" s="783" thickBot="1">
      <c r="AN293" t="inlineStr">
        <is>
          <t>Stock Price (in USD)</t>
        </is>
      </c>
      <c r="AW293" s="132" t="n">
        <v>12</v>
      </c>
    </row>
    <row r="294" ht="15" customHeight="1" s="783">
      <c r="AN294" s="655" t="n"/>
      <c r="AO294" s="656" t="n"/>
      <c r="AP294" s="655" t="n"/>
      <c r="AQ294" s="661" t="inlineStr">
        <is>
          <t>Revenue</t>
        </is>
      </c>
      <c r="AR294" s="655" t="n"/>
      <c r="AW294" s="132" t="n">
        <v>13</v>
      </c>
    </row>
    <row r="295" ht="15" customHeight="1" s="783" thickBot="1">
      <c r="AN295" s="647" t="n"/>
      <c r="AO295" s="995">
        <f>Q208</f>
        <v/>
      </c>
      <c r="AP295" s="742" t="n">
        <v>1</v>
      </c>
      <c r="AQ295" s="742" t="n">
        <v>2</v>
      </c>
      <c r="AR295" s="742" t="n">
        <v>3</v>
      </c>
      <c r="AW295" s="132" t="n">
        <v>14</v>
      </c>
    </row>
    <row r="296" ht="15" customHeight="1" s="783">
      <c r="AO296" s="745" t="n">
        <v>1</v>
      </c>
      <c r="AW296" s="132" t="n">
        <v>15</v>
      </c>
    </row>
    <row r="297" ht="15" customHeight="1" s="783">
      <c r="AN297" s="24" t="inlineStr">
        <is>
          <t>EBIT</t>
        </is>
      </c>
      <c r="AO297" s="745" t="n">
        <v>2</v>
      </c>
      <c r="AW297" s="132" t="n">
        <v>16</v>
      </c>
    </row>
    <row r="298" ht="15" customHeight="1" s="783" thickBot="1">
      <c r="AN298" s="647" t="n"/>
      <c r="AO298" s="744" t="n">
        <v>3</v>
      </c>
      <c r="AP298" s="647" t="n"/>
      <c r="AQ298" s="647" t="n"/>
      <c r="AR298" s="647" t="n"/>
      <c r="AW298" s="132" t="n">
        <v>17</v>
      </c>
    </row>
    <row r="299" ht="15" customHeight="1" s="783">
      <c r="AO299" s="745" t="n"/>
      <c r="AW299" s="132" t="n">
        <v>18</v>
      </c>
    </row>
    <row r="300" ht="15" customHeight="1" s="783">
      <c r="AN300" s="665" t="inlineStr">
        <is>
          <t>Notes</t>
        </is>
      </c>
      <c r="AO300" s="37" t="n"/>
      <c r="AP300" s="37" t="n"/>
      <c r="AQ300" s="37" t="n"/>
      <c r="AR300" s="37" t="n"/>
      <c r="AS300" s="37" t="n"/>
      <c r="AT300" s="37" t="n"/>
      <c r="AW300" s="132" t="n">
        <v>19</v>
      </c>
    </row>
    <row r="301" ht="15" customHeight="1" s="783">
      <c r="AW301" s="132" t="n">
        <v>20</v>
      </c>
    </row>
    <row r="302" ht="15" customHeight="1" s="783">
      <c r="AW302" s="132" t="n">
        <v>21</v>
      </c>
    </row>
    <row r="303" ht="15" customHeight="1" s="783">
      <c r="AR303" s="139" t="n"/>
      <c r="AS303" s="139" t="n"/>
      <c r="AW303" s="132" t="n">
        <v>22</v>
      </c>
    </row>
    <row r="304" ht="15" customHeight="1" s="783">
      <c r="AR304" s="139" t="n"/>
      <c r="AS304" s="139" t="n"/>
      <c r="AW304" s="132" t="n">
        <v>23</v>
      </c>
    </row>
    <row r="305" ht="15" customHeight="1" s="783">
      <c r="AR305" s="916" t="n"/>
      <c r="AS305" s="916" t="n"/>
      <c r="AW305" s="132" t="n">
        <v>24</v>
      </c>
    </row>
    <row r="306" ht="15" customHeight="1" s="783">
      <c r="AW306" s="132" t="n">
        <v>25</v>
      </c>
    </row>
    <row r="307" ht="15" customHeight="1" s="783">
      <c r="AN307" s="164" t="n"/>
      <c r="AW307" s="132" t="n">
        <v>26</v>
      </c>
    </row>
    <row r="308" ht="15" customHeight="1" s="783">
      <c r="AW308" s="132" t="n">
        <v>27</v>
      </c>
    </row>
    <row r="309" ht="15" customHeight="1" s="783">
      <c r="AW309" s="132" t="n">
        <v>28</v>
      </c>
    </row>
    <row r="310" ht="15" customHeight="1" s="783">
      <c r="AW310" s="132" t="n">
        <v>29</v>
      </c>
    </row>
    <row r="311" ht="15" customHeight="1" s="783">
      <c r="AW311" s="132" t="n">
        <v>30</v>
      </c>
    </row>
    <row r="312" ht="15" customHeight="1" s="783">
      <c r="AW312" s="132" t="n">
        <v>31</v>
      </c>
    </row>
    <row r="313" ht="15" customHeight="1" s="783">
      <c r="AW313" s="132" t="n">
        <v>32</v>
      </c>
    </row>
    <row r="314" ht="15" customHeight="1" s="783">
      <c r="AW314" s="132" t="n">
        <v>33</v>
      </c>
    </row>
    <row r="315" ht="15" customHeight="1" s="783">
      <c r="AW315" s="132" t="n">
        <v>34</v>
      </c>
    </row>
    <row r="316" ht="15" customHeight="1" s="783">
      <c r="AW316" s="132" t="n">
        <v>35</v>
      </c>
    </row>
    <row r="317" ht="15" customHeight="1" s="783">
      <c r="AW317" s="132" t="n">
        <v>36</v>
      </c>
    </row>
    <row r="318" ht="15" customHeight="1" s="783">
      <c r="AW318" s="132" t="n">
        <v>37</v>
      </c>
    </row>
    <row r="319" ht="15" customHeight="1" s="783">
      <c r="AW319" s="132" t="n">
        <v>38</v>
      </c>
    </row>
    <row r="320" ht="15" customHeight="1" s="783">
      <c r="AW320" s="132" t="n">
        <v>39</v>
      </c>
    </row>
    <row r="321" ht="15" customHeight="1" s="783">
      <c r="AW321" s="132" t="n">
        <v>40</v>
      </c>
    </row>
    <row r="322" ht="15" customHeight="1" s="783">
      <c r="AW322" s="132" t="n">
        <v>41</v>
      </c>
    </row>
    <row r="323" ht="15" customHeight="1" s="783">
      <c r="AW323" s="132" t="n">
        <v>42</v>
      </c>
    </row>
    <row r="324" ht="15" customHeight="1" s="783">
      <c r="AW324" s="132" t="n">
        <v>43</v>
      </c>
    </row>
    <row r="325" ht="15" customHeight="1" s="783">
      <c r="AW325" s="132" t="n">
        <v>44</v>
      </c>
    </row>
    <row r="326" ht="15" customHeight="1" s="783">
      <c r="AW326" s="132" t="n">
        <v>45</v>
      </c>
    </row>
    <row r="327" ht="15" customHeight="1" s="783">
      <c r="AW327" s="132" t="n">
        <v>46</v>
      </c>
    </row>
    <row r="328" ht="15" customHeight="1" s="783">
      <c r="AW328" s="132" t="n">
        <v>47</v>
      </c>
    </row>
    <row r="329" ht="15" customHeight="1" s="783">
      <c r="AW329" s="132" t="n">
        <v>48</v>
      </c>
    </row>
    <row r="330" ht="15" customHeight="1" s="783">
      <c r="AW330" s="132" t="n">
        <v>49</v>
      </c>
    </row>
    <row r="331" ht="15" customHeight="1" s="783">
      <c r="AW331" s="132" t="n">
        <v>50</v>
      </c>
    </row>
    <row r="332" ht="15" customHeight="1" s="783">
      <c r="AW332" s="132" t="n">
        <v>51</v>
      </c>
    </row>
    <row r="333" ht="15" customHeight="1" s="783">
      <c r="AW333" s="132" t="n">
        <v>52</v>
      </c>
    </row>
    <row r="334" ht="15" customHeight="1" s="783">
      <c r="AW334" s="132" t="n">
        <v>53</v>
      </c>
    </row>
    <row r="335" ht="15" customHeight="1" s="783">
      <c r="AW335" s="132" t="n">
        <v>54</v>
      </c>
    </row>
    <row r="336" ht="15" customHeight="1" s="783">
      <c r="AW336" s="132" t="n">
        <v>55</v>
      </c>
    </row>
    <row r="337" ht="15" customHeight="1" s="783">
      <c r="AW337" s="132" t="n">
        <v>56</v>
      </c>
    </row>
    <row r="338" ht="15" customHeight="1" s="783">
      <c r="AW338" s="132" t="n">
        <v>57</v>
      </c>
    </row>
    <row r="339" ht="15" customHeight="1" s="783">
      <c r="AW339" s="132" t="n">
        <v>58</v>
      </c>
    </row>
    <row r="340" ht="15" customHeight="1" s="783">
      <c r="AW340" s="132" t="n">
        <v>59</v>
      </c>
    </row>
    <row r="341" ht="15" customHeight="1" s="783">
      <c r="AW341" s="132" t="n">
        <v>60</v>
      </c>
    </row>
    <row r="342" ht="15" customHeight="1" s="783">
      <c r="AW342" s="132" t="n">
        <v>61</v>
      </c>
    </row>
    <row r="343" ht="15" customHeight="1" s="783">
      <c r="AW343" s="132" t="n">
        <v>62</v>
      </c>
    </row>
    <row r="344" ht="15" customHeight="1" s="783">
      <c r="AW344" s="132" t="n">
        <v>63</v>
      </c>
    </row>
    <row r="345" ht="15" customHeight="1" s="783">
      <c r="AW345" s="132" t="n">
        <v>64</v>
      </c>
    </row>
    <row r="346" ht="15" customHeight="1" s="783">
      <c r="AW346" s="132" t="n">
        <v>65</v>
      </c>
    </row>
    <row r="347" ht="15" customHeight="1" s="783">
      <c r="AW347" s="132" t="n">
        <v>66</v>
      </c>
    </row>
    <row r="348" ht="15" customHeight="1" s="783">
      <c r="AW348" s="132" t="n">
        <v>67</v>
      </c>
    </row>
    <row r="349" ht="15" customHeight="1" s="783">
      <c r="AW349" s="132" t="n">
        <v>68</v>
      </c>
    </row>
    <row r="350" ht="15" customHeight="1" s="783">
      <c r="AW350" s="132" t="n">
        <v>69</v>
      </c>
    </row>
    <row r="351" ht="15" customHeight="1" s="783">
      <c r="AW351" s="132" t="n">
        <v>70</v>
      </c>
    </row>
    <row r="352" ht="15" customHeight="1" s="783">
      <c r="AW352" s="132" t="n">
        <v>71</v>
      </c>
    </row>
    <row r="353" ht="15" customHeight="1" s="783">
      <c r="AW353" s="132" t="n">
        <v>72</v>
      </c>
    </row>
    <row r="354" ht="15" customHeight="1" s="783">
      <c r="AW354" s="132" t="n">
        <v>73</v>
      </c>
    </row>
    <row r="355" ht="15" customHeight="1" s="783">
      <c r="AW355" s="132" t="n">
        <v>74</v>
      </c>
    </row>
    <row r="356" ht="15" customHeight="1" s="783">
      <c r="AW356" s="132" t="n">
        <v>75</v>
      </c>
    </row>
    <row r="357" ht="15" customHeight="1" s="783">
      <c r="AW357" s="132" t="n">
        <v>76</v>
      </c>
    </row>
    <row r="358" ht="15" customHeight="1" s="783">
      <c r="AW358" s="132" t="n">
        <v>77</v>
      </c>
    </row>
    <row r="359" ht="15" customHeight="1" s="783">
      <c r="AW359" s="132" t="n">
        <v>78</v>
      </c>
    </row>
    <row r="360" ht="15" customHeight="1" s="783">
      <c r="AW360" s="132" t="n">
        <v>79</v>
      </c>
    </row>
    <row r="361" ht="15" customHeight="1" s="783">
      <c r="AW361" s="132" t="n">
        <v>80</v>
      </c>
    </row>
    <row r="362" ht="15" customHeight="1" s="783">
      <c r="AW362" s="132" t="n">
        <v>81</v>
      </c>
    </row>
    <row r="363" ht="15" customHeight="1" s="783">
      <c r="AW363" s="132" t="n">
        <v>82</v>
      </c>
    </row>
    <row r="364" ht="15" customHeight="1" s="783">
      <c r="AW364" s="132" t="n">
        <v>83</v>
      </c>
    </row>
    <row r="365" ht="15" customHeight="1" s="783">
      <c r="AW365" s="132" t="n">
        <v>84</v>
      </c>
    </row>
    <row r="366" ht="15" customHeight="1" s="783">
      <c r="AW366" s="132" t="n">
        <v>85</v>
      </c>
    </row>
    <row r="367" ht="15" customHeight="1" s="783">
      <c r="AW367" s="132" t="n">
        <v>86</v>
      </c>
    </row>
    <row r="368" ht="15" customHeight="1" s="783">
      <c r="AW368" s="132" t="n">
        <v>87</v>
      </c>
    </row>
    <row r="369" ht="15" customHeight="1" s="783">
      <c r="AW369" s="132" t="n">
        <v>88</v>
      </c>
    </row>
    <row r="370" ht="15" customHeight="1" s="783">
      <c r="AW370" s="132" t="n">
        <v>89</v>
      </c>
    </row>
    <row r="371" ht="15" customHeight="1" s="783">
      <c r="AW371" s="132" t="n">
        <v>90</v>
      </c>
    </row>
    <row r="372" ht="15" customHeight="1" s="783">
      <c r="AW372" s="132" t="n">
        <v>91</v>
      </c>
    </row>
    <row r="373" ht="15" customHeight="1" s="783">
      <c r="AW373" s="132" t="n">
        <v>92</v>
      </c>
    </row>
    <row r="374" ht="15" customHeight="1" s="783">
      <c r="AW374" s="132" t="n">
        <v>93</v>
      </c>
    </row>
    <row r="375" ht="15" customHeight="1" s="783">
      <c r="AW375" s="132" t="n">
        <v>94</v>
      </c>
    </row>
    <row r="376" ht="15" customHeight="1" s="783">
      <c r="AW376" s="132" t="n">
        <v>95</v>
      </c>
    </row>
    <row r="377" ht="15" customHeight="1" s="783">
      <c r="AW377" s="132" t="n">
        <v>96</v>
      </c>
    </row>
    <row r="378" ht="15" customHeight="1" s="783">
      <c r="AW378" s="132" t="n">
        <v>97</v>
      </c>
    </row>
    <row r="379" ht="15" customHeight="1" s="783">
      <c r="AW379" s="132" t="n">
        <v>98</v>
      </c>
    </row>
    <row r="380" ht="15" customHeight="1" s="783">
      <c r="AW380" s="132" t="n">
        <v>99</v>
      </c>
    </row>
    <row r="381" ht="15" customHeight="1" s="783">
      <c r="AW381" s="132" t="n">
        <v>100</v>
      </c>
    </row>
    <row r="382" ht="15" customHeight="1" s="783">
      <c r="AW382" s="132" t="n">
        <v>101</v>
      </c>
    </row>
    <row r="383" ht="15" customHeight="1" s="783">
      <c r="AW383" s="132" t="n">
        <v>102</v>
      </c>
    </row>
    <row r="384" ht="15" customHeight="1" s="783">
      <c r="AW384" s="132" t="n">
        <v>103</v>
      </c>
    </row>
    <row r="385" ht="15" customHeight="1" s="783">
      <c r="AW385" s="132" t="n">
        <v>104</v>
      </c>
    </row>
    <row r="386" ht="15" customHeight="1" s="783">
      <c r="AW386" s="132" t="n">
        <v>105</v>
      </c>
    </row>
    <row r="387" ht="15" customHeight="1" s="783">
      <c r="AW387" s="132" t="n">
        <v>106</v>
      </c>
    </row>
    <row r="388" ht="15" customHeight="1" s="783">
      <c r="AW388" s="132" t="n">
        <v>107</v>
      </c>
    </row>
    <row r="389" ht="15" customHeight="1" s="783">
      <c r="AW389" s="132" t="n">
        <v>108</v>
      </c>
    </row>
    <row r="390" ht="15" customHeight="1" s="783">
      <c r="AW390" s="132" t="n">
        <v>109</v>
      </c>
    </row>
    <row r="391" ht="15" customHeight="1" s="783">
      <c r="AW391" s="132" t="n">
        <v>110</v>
      </c>
    </row>
    <row r="392" ht="15" customHeight="1" s="783">
      <c r="AW392" s="132" t="n">
        <v>111</v>
      </c>
    </row>
    <row r="393" ht="15" customHeight="1" s="783">
      <c r="AW393" s="132" t="n">
        <v>112</v>
      </c>
    </row>
    <row r="394" ht="15" customHeight="1" s="783">
      <c r="AW394" s="132" t="n">
        <v>113</v>
      </c>
    </row>
    <row r="395" ht="15" customHeight="1" s="783">
      <c r="AW395" s="132" t="n">
        <v>114</v>
      </c>
    </row>
    <row r="396" ht="15" customHeight="1" s="783">
      <c r="AW396" s="132" t="n">
        <v>115</v>
      </c>
    </row>
    <row r="397" ht="15" customHeight="1" s="783">
      <c r="AW397" s="132" t="n">
        <v>116</v>
      </c>
    </row>
    <row r="398" ht="15" customHeight="1" s="783">
      <c r="AW398" s="132" t="n">
        <v>117</v>
      </c>
    </row>
    <row r="399" ht="15" customHeight="1" s="783">
      <c r="AW399" s="132" t="n">
        <v>118</v>
      </c>
    </row>
    <row r="400" ht="15" customHeight="1" s="783">
      <c r="AW400" s="132" t="n">
        <v>119</v>
      </c>
    </row>
    <row r="401" ht="15" customHeight="1" s="783">
      <c r="AW401" s="132" t="n">
        <v>120</v>
      </c>
    </row>
    <row r="402" ht="15" customHeight="1" s="783">
      <c r="AW402" s="132" t="n">
        <v>121</v>
      </c>
    </row>
    <row r="403" ht="15" customHeight="1" s="783">
      <c r="AW403" s="132" t="n">
        <v>122</v>
      </c>
    </row>
    <row r="404" ht="15" customHeight="1" s="783">
      <c r="AW404" s="132" t="n">
        <v>123</v>
      </c>
    </row>
    <row r="405" ht="15" customHeight="1" s="783">
      <c r="AW405" s="132" t="n">
        <v>124</v>
      </c>
    </row>
    <row r="406" ht="15" customHeight="1" s="783">
      <c r="AW406" s="132" t="n">
        <v>125</v>
      </c>
    </row>
    <row r="407" ht="15" customHeight="1" s="783">
      <c r="AW407" s="132" t="n">
        <v>126</v>
      </c>
    </row>
    <row r="408" ht="15" customHeight="1" s="783">
      <c r="AW408" s="132" t="n">
        <v>127</v>
      </c>
    </row>
    <row r="409" ht="15" customHeight="1" s="783">
      <c r="AW409" s="132" t="n">
        <v>128</v>
      </c>
    </row>
    <row r="410" ht="15" customHeight="1" s="783">
      <c r="AW410" s="132" t="n">
        <v>129</v>
      </c>
    </row>
    <row r="411" ht="15" customHeight="1" s="783">
      <c r="AW411" s="132" t="n">
        <v>130</v>
      </c>
    </row>
    <row r="412" ht="15" customHeight="1" s="783">
      <c r="AW412" s="132" t="n">
        <v>131</v>
      </c>
    </row>
    <row r="413" ht="15" customHeight="1" s="783">
      <c r="AW413" s="132" t="n">
        <v>132</v>
      </c>
    </row>
    <row r="414" ht="15" customHeight="1" s="783">
      <c r="AW414" s="132" t="n">
        <v>133</v>
      </c>
    </row>
    <row r="415" ht="15" customHeight="1" s="783">
      <c r="AW415" s="132" t="n">
        <v>134</v>
      </c>
    </row>
    <row r="416" ht="15" customHeight="1" s="783">
      <c r="AW416" s="132" t="n">
        <v>135</v>
      </c>
    </row>
    <row r="417" ht="15" customHeight="1" s="783">
      <c r="AW417" s="132" t="n">
        <v>136</v>
      </c>
    </row>
    <row r="418" ht="15" customHeight="1" s="783">
      <c r="AW418" s="132" t="n">
        <v>137</v>
      </c>
    </row>
    <row r="419" ht="15" customHeight="1" s="783">
      <c r="AW419" s="132" t="n">
        <v>138</v>
      </c>
    </row>
    <row r="420" ht="15" customHeight="1" s="783">
      <c r="AW420" s="132" t="n">
        <v>139</v>
      </c>
    </row>
    <row r="421" ht="15" customHeight="1" s="783">
      <c r="AW421" s="132" t="n">
        <v>140</v>
      </c>
    </row>
    <row r="422" ht="15" customHeight="1" s="783">
      <c r="AW422" s="132" t="n">
        <v>141</v>
      </c>
    </row>
    <row r="423" ht="15" customHeight="1" s="783">
      <c r="AW423" s="132" t="n">
        <v>142</v>
      </c>
    </row>
    <row r="424" ht="15" customHeight="1" s="783">
      <c r="AW424" s="132" t="n">
        <v>143</v>
      </c>
    </row>
    <row r="425" ht="15" customHeight="1" s="783">
      <c r="AW425" s="132" t="n">
        <v>144</v>
      </c>
    </row>
    <row r="426" ht="15" customHeight="1" s="783">
      <c r="AW426" s="132" t="n">
        <v>145</v>
      </c>
    </row>
    <row r="427" ht="15" customHeight="1" s="783">
      <c r="AW427" s="132" t="n">
        <v>146</v>
      </c>
    </row>
    <row r="428" ht="15" customHeight="1" s="783">
      <c r="AW428" s="132" t="n">
        <v>147</v>
      </c>
    </row>
    <row r="429" ht="15" customHeight="1" s="783">
      <c r="AW429" s="132" t="n">
        <v>148</v>
      </c>
    </row>
    <row r="430" ht="15" customHeight="1" s="783">
      <c r="AW430" s="132" t="n">
        <v>149</v>
      </c>
    </row>
    <row r="431" ht="15" customHeight="1" s="783">
      <c r="AW431" s="132" t="n">
        <v>150</v>
      </c>
    </row>
    <row r="432" ht="15" customHeight="1" s="783">
      <c r="AW432" s="132" t="n">
        <v>151</v>
      </c>
    </row>
    <row r="433" ht="15" customHeight="1" s="783">
      <c r="AW433" s="132" t="n">
        <v>152</v>
      </c>
    </row>
    <row r="434" ht="15" customHeight="1" s="783">
      <c r="AW434" s="132" t="n">
        <v>153</v>
      </c>
    </row>
    <row r="435" ht="15" customHeight="1" s="783">
      <c r="AW435" s="132" t="n">
        <v>154</v>
      </c>
    </row>
    <row r="436" ht="15" customHeight="1" s="783">
      <c r="AW436" s="132" t="n">
        <v>155</v>
      </c>
    </row>
    <row r="437" ht="15" customHeight="1" s="783">
      <c r="AW437" s="132" t="n">
        <v>156</v>
      </c>
    </row>
    <row r="438" ht="15" customHeight="1" s="783">
      <c r="AW438" s="132" t="n">
        <v>157</v>
      </c>
    </row>
    <row r="439" ht="15" customHeight="1" s="783">
      <c r="AW439" s="132" t="n">
        <v>158</v>
      </c>
    </row>
    <row r="440" ht="15" customHeight="1" s="783">
      <c r="AW440" s="132" t="n">
        <v>159</v>
      </c>
    </row>
    <row r="441" ht="15" customHeight="1" s="783">
      <c r="AW441" s="132" t="n">
        <v>160</v>
      </c>
    </row>
    <row r="442" ht="15" customHeight="1" s="783">
      <c r="AW442" s="132" t="n">
        <v>161</v>
      </c>
    </row>
    <row r="443" ht="15" customHeight="1" s="783">
      <c r="AW443" s="132" t="n">
        <v>162</v>
      </c>
    </row>
    <row r="444" ht="15" customHeight="1" s="783">
      <c r="AW444" s="132" t="n">
        <v>163</v>
      </c>
    </row>
    <row r="445" ht="15" customHeight="1" s="783">
      <c r="AW445" s="132" t="n">
        <v>164</v>
      </c>
    </row>
    <row r="446" ht="15" customHeight="1" s="783">
      <c r="AW446" s="132" t="n">
        <v>165</v>
      </c>
    </row>
    <row r="447" ht="15" customHeight="1" s="783">
      <c r="AW447" s="132" t="n">
        <v>166</v>
      </c>
    </row>
    <row r="448" ht="15" customHeight="1" s="783">
      <c r="AW448" s="132" t="n">
        <v>167</v>
      </c>
    </row>
    <row r="449" ht="15" customHeight="1" s="783">
      <c r="AW449" s="132" t="n">
        <v>168</v>
      </c>
    </row>
    <row r="450" ht="15" customHeight="1" s="783">
      <c r="AW450" s="132" t="n">
        <v>169</v>
      </c>
    </row>
    <row r="451" ht="15" customHeight="1" s="783">
      <c r="AW451" s="132" t="n">
        <v>170</v>
      </c>
    </row>
    <row r="452" ht="15" customHeight="1" s="783">
      <c r="AW452" s="132" t="n">
        <v>171</v>
      </c>
    </row>
    <row r="453" ht="15" customHeight="1" s="783">
      <c r="AW453" s="132" t="n">
        <v>172</v>
      </c>
    </row>
    <row r="454" ht="15" customHeight="1" s="783">
      <c r="AW454" s="132" t="n">
        <v>173</v>
      </c>
    </row>
    <row r="455" ht="15" customHeight="1" s="783">
      <c r="AW455" s="132" t="n">
        <v>174</v>
      </c>
    </row>
    <row r="456" ht="15" customHeight="1" s="783">
      <c r="AW456" s="132" t="n">
        <v>175</v>
      </c>
    </row>
    <row r="457" ht="15" customHeight="1" s="783">
      <c r="AW457" s="132" t="n">
        <v>176</v>
      </c>
    </row>
    <row r="458" ht="15" customHeight="1" s="783">
      <c r="AW458" s="132" t="n">
        <v>177</v>
      </c>
    </row>
    <row r="459" ht="15" customHeight="1" s="783">
      <c r="AW459" s="132" t="n">
        <v>178</v>
      </c>
    </row>
    <row r="460" ht="15" customHeight="1" s="783">
      <c r="AW460" s="132" t="n">
        <v>179</v>
      </c>
    </row>
    <row r="461" ht="15" customHeight="1" s="783">
      <c r="AW461" s="132" t="n">
        <v>180</v>
      </c>
    </row>
    <row r="462" ht="15" customHeight="1" s="783">
      <c r="AW462" s="132" t="n">
        <v>181</v>
      </c>
    </row>
    <row r="463" ht="15" customHeight="1" s="783">
      <c r="AW463" s="132" t="n">
        <v>182</v>
      </c>
    </row>
    <row r="464" ht="15" customHeight="1" s="783">
      <c r="AW464" s="132" t="n">
        <v>183</v>
      </c>
    </row>
    <row r="465" ht="15" customHeight="1" s="783">
      <c r="AW465" s="132" t="n">
        <v>184</v>
      </c>
    </row>
    <row r="466" ht="15" customHeight="1" s="783">
      <c r="AW466" s="132" t="n">
        <v>185</v>
      </c>
    </row>
    <row r="467" ht="15" customHeight="1" s="783">
      <c r="AW467" s="132" t="n">
        <v>186</v>
      </c>
    </row>
    <row r="468" ht="15" customHeight="1" s="783">
      <c r="AW468" s="132" t="n">
        <v>187</v>
      </c>
    </row>
    <row r="469" ht="15" customHeight="1" s="783">
      <c r="AW469" s="132" t="n">
        <v>188</v>
      </c>
    </row>
    <row r="470" ht="15" customHeight="1" s="783">
      <c r="AW470" s="132" t="n">
        <v>189</v>
      </c>
    </row>
    <row r="471" ht="15" customHeight="1" s="783">
      <c r="AW471" s="132" t="n">
        <v>190</v>
      </c>
    </row>
    <row r="472" ht="15" customHeight="1" s="783">
      <c r="AW472" s="132" t="n">
        <v>191</v>
      </c>
    </row>
    <row r="473" ht="15" customHeight="1" s="783">
      <c r="AW473" s="132" t="n">
        <v>192</v>
      </c>
    </row>
    <row r="474" ht="15" customHeight="1" s="783">
      <c r="AW474" s="132" t="n">
        <v>193</v>
      </c>
    </row>
    <row r="475" ht="15" customHeight="1" s="783">
      <c r="AW475" s="132" t="n">
        <v>194</v>
      </c>
    </row>
    <row r="476" ht="15" customHeight="1" s="783">
      <c r="AW476" s="132" t="n">
        <v>195</v>
      </c>
    </row>
    <row r="477" ht="15" customHeight="1" s="783">
      <c r="AW477" s="132" t="n">
        <v>196</v>
      </c>
    </row>
    <row r="478" ht="15" customHeight="1" s="783">
      <c r="AW478" s="132" t="n">
        <v>197</v>
      </c>
    </row>
    <row r="479" ht="15" customHeight="1" s="783">
      <c r="AW479" s="132" t="n">
        <v>198</v>
      </c>
    </row>
    <row r="480" ht="15" customHeight="1" s="783">
      <c r="AW480" s="132" t="n">
        <v>199</v>
      </c>
    </row>
    <row r="481" ht="15" customHeight="1" s="783">
      <c r="AW481" s="132" t="n">
        <v>200</v>
      </c>
    </row>
    <row r="482" ht="15" customHeight="1" s="783">
      <c r="AW482" s="132" t="n">
        <v>201</v>
      </c>
    </row>
    <row r="483" ht="15" customHeight="1" s="783">
      <c r="AW483" s="132" t="n">
        <v>202</v>
      </c>
    </row>
    <row r="484" ht="15" customHeight="1" s="783">
      <c r="AW484" s="132" t="n">
        <v>203</v>
      </c>
    </row>
    <row r="485" ht="15" customHeight="1" s="783">
      <c r="AW485" s="132" t="n">
        <v>204</v>
      </c>
    </row>
    <row r="486" ht="15" customHeight="1" s="783">
      <c r="AW486" s="132" t="n">
        <v>205</v>
      </c>
    </row>
    <row r="487" ht="15" customHeight="1" s="783">
      <c r="AW487" s="132" t="n">
        <v>206</v>
      </c>
    </row>
    <row r="488" ht="15" customHeight="1" s="783">
      <c r="AW488" s="132" t="n">
        <v>207</v>
      </c>
    </row>
    <row r="489" ht="15" customHeight="1" s="783">
      <c r="AW489" s="132" t="n">
        <v>208</v>
      </c>
    </row>
    <row r="490" ht="15" customHeight="1" s="783">
      <c r="AW490" s="132" t="n">
        <v>209</v>
      </c>
    </row>
    <row r="491" ht="15" customHeight="1" s="783">
      <c r="AW491" s="132" t="n">
        <v>210</v>
      </c>
    </row>
    <row r="492" ht="15" customHeight="1" s="783">
      <c r="AW492" s="132" t="n">
        <v>211</v>
      </c>
    </row>
    <row r="493" ht="15" customHeight="1" s="783">
      <c r="AW493" s="132" t="n">
        <v>212</v>
      </c>
    </row>
    <row r="494" ht="15" customHeight="1" s="783">
      <c r="AW494" s="132" t="n">
        <v>213</v>
      </c>
    </row>
    <row r="495" ht="15" customHeight="1" s="783">
      <c r="AW495" s="132" t="n">
        <v>214</v>
      </c>
    </row>
    <row r="496" ht="15" customHeight="1" s="783">
      <c r="AW496" s="132" t="n">
        <v>215</v>
      </c>
    </row>
    <row r="497" ht="15" customHeight="1" s="783">
      <c r="AW497" s="132" t="n">
        <v>216</v>
      </c>
    </row>
    <row r="498" ht="15" customHeight="1" s="783">
      <c r="AW498" s="132" t="n">
        <v>217</v>
      </c>
    </row>
    <row r="499" ht="15" customHeight="1" s="783">
      <c r="AW499" s="132" t="n">
        <v>218</v>
      </c>
    </row>
    <row r="500" ht="15" customHeight="1" s="783">
      <c r="AW500" s="132" t="n">
        <v>219</v>
      </c>
    </row>
    <row r="501" ht="15" customHeight="1" s="783">
      <c r="AW501" s="132" t="n">
        <v>220</v>
      </c>
    </row>
    <row r="502" ht="15" customHeight="1" s="783">
      <c r="AW502" s="132" t="n">
        <v>221</v>
      </c>
    </row>
    <row r="503" ht="15" customHeight="1" s="783">
      <c r="AW503" s="132" t="n">
        <v>222</v>
      </c>
    </row>
    <row r="504" ht="15" customHeight="1" s="783">
      <c r="AW504" s="132" t="n">
        <v>223</v>
      </c>
    </row>
    <row r="505" ht="15" customHeight="1" s="783">
      <c r="AW505" s="132" t="n">
        <v>224</v>
      </c>
    </row>
    <row r="506" ht="15" customHeight="1" s="783">
      <c r="AW506" s="132" t="n">
        <v>225</v>
      </c>
    </row>
    <row r="507" ht="15" customHeight="1" s="783">
      <c r="AW507" s="132" t="n">
        <v>226</v>
      </c>
    </row>
    <row r="508" ht="15" customHeight="1" s="783">
      <c r="AW508" s="132" t="n">
        <v>227</v>
      </c>
    </row>
    <row r="509" ht="15" customHeight="1" s="783">
      <c r="AW509" s="132" t="n">
        <v>228</v>
      </c>
    </row>
    <row r="510" ht="15" customHeight="1" s="783">
      <c r="AW510" s="132" t="n">
        <v>229</v>
      </c>
    </row>
    <row r="511" ht="15" customHeight="1" s="783">
      <c r="AW511" s="132" t="n">
        <v>230</v>
      </c>
    </row>
    <row r="512" ht="15" customHeight="1" s="783">
      <c r="AW512" s="132" t="n">
        <v>231</v>
      </c>
    </row>
    <row r="513" ht="15" customHeight="1" s="783">
      <c r="AW513" s="132" t="n">
        <v>232</v>
      </c>
    </row>
    <row r="514" ht="15" customHeight="1" s="783">
      <c r="AW514" s="132" t="n">
        <v>233</v>
      </c>
    </row>
    <row r="515" ht="15" customHeight="1" s="783">
      <c r="AW515" s="132" t="n">
        <v>234</v>
      </c>
    </row>
    <row r="516" ht="15" customHeight="1" s="783">
      <c r="AW516" s="132" t="n">
        <v>235</v>
      </c>
    </row>
    <row r="517" ht="15" customHeight="1" s="783">
      <c r="AW517" s="132" t="n">
        <v>236</v>
      </c>
    </row>
    <row r="518" ht="15" customHeight="1" s="783">
      <c r="AW518" s="132" t="n">
        <v>237</v>
      </c>
    </row>
    <row r="519" ht="15" customHeight="1" s="783">
      <c r="AW519" s="132" t="n">
        <v>238</v>
      </c>
    </row>
    <row r="520" ht="15" customHeight="1" s="783">
      <c r="AW520" s="132" t="n">
        <v>239</v>
      </c>
    </row>
    <row r="521" ht="15" customHeight="1" s="783">
      <c r="AW521" s="132" t="n">
        <v>240</v>
      </c>
    </row>
    <row r="522" ht="15" customHeight="1" s="783">
      <c r="AW522" s="132" t="n">
        <v>241</v>
      </c>
    </row>
    <row r="523" ht="15" customHeight="1" s="783">
      <c r="AW523" s="132" t="n">
        <v>242</v>
      </c>
    </row>
    <row r="524" ht="15" customHeight="1" s="783">
      <c r="AW524" s="132" t="n">
        <v>243</v>
      </c>
    </row>
    <row r="525" ht="15" customHeight="1" s="783">
      <c r="AW525" s="132" t="n">
        <v>244</v>
      </c>
    </row>
    <row r="526" ht="15" customHeight="1" s="783">
      <c r="AW526" s="132" t="n">
        <v>245</v>
      </c>
    </row>
    <row r="527" ht="15" customHeight="1" s="783">
      <c r="AW527" s="132" t="n">
        <v>246</v>
      </c>
    </row>
    <row r="528" ht="15" customHeight="1" s="783">
      <c r="AW528" s="132" t="n">
        <v>247</v>
      </c>
    </row>
    <row r="529" ht="15" customHeight="1" s="783">
      <c r="AW529" s="132" t="n">
        <v>248</v>
      </c>
    </row>
    <row r="530" ht="15" customHeight="1" s="783">
      <c r="AW530" s="132" t="n">
        <v>249</v>
      </c>
    </row>
    <row r="531" ht="15" customHeight="1" s="783">
      <c r="AW531" s="132" t="n">
        <v>250</v>
      </c>
    </row>
    <row r="532" ht="15" customHeight="1" s="783">
      <c r="AW532" s="132" t="n">
        <v>251</v>
      </c>
    </row>
    <row r="533" ht="15" customHeight="1" s="783">
      <c r="AW533" s="132" t="n">
        <v>252</v>
      </c>
    </row>
    <row r="534" ht="15" customHeight="1" s="783">
      <c r="AW534" s="132" t="n">
        <v>253</v>
      </c>
    </row>
    <row r="535" ht="15" customHeight="1" s="783">
      <c r="AW535" s="132" t="n">
        <v>254</v>
      </c>
    </row>
    <row r="536" ht="15" customHeight="1" s="783">
      <c r="AW536" s="132" t="n">
        <v>255</v>
      </c>
    </row>
    <row r="537" ht="15" customHeight="1" s="783">
      <c r="AW537" s="132" t="n">
        <v>256</v>
      </c>
    </row>
    <row r="538" ht="15" customHeight="1" s="783">
      <c r="AW538" s="132" t="n">
        <v>257</v>
      </c>
    </row>
    <row r="539" ht="15" customHeight="1" s="783">
      <c r="AW539" s="132" t="n">
        <v>258</v>
      </c>
    </row>
    <row r="540" ht="15" customHeight="1" s="783">
      <c r="AW540" s="132" t="n">
        <v>259</v>
      </c>
    </row>
    <row r="541" ht="15" customHeight="1" s="783">
      <c r="AW541" s="132" t="n">
        <v>260</v>
      </c>
    </row>
    <row r="542" ht="15" customHeight="1" s="783">
      <c r="AW542" s="132" t="n">
        <v>261</v>
      </c>
    </row>
    <row r="543" ht="15" customHeight="1" s="783">
      <c r="AW543" s="132" t="n">
        <v>262</v>
      </c>
    </row>
    <row r="544" ht="15" customHeight="1" s="783">
      <c r="AW544" s="132" t="n">
        <v>263</v>
      </c>
    </row>
    <row r="545" ht="15" customHeight="1" s="783">
      <c r="AW545" s="132" t="n">
        <v>264</v>
      </c>
    </row>
    <row r="546" ht="15" customHeight="1" s="783">
      <c r="AW546" s="132" t="n">
        <v>265</v>
      </c>
    </row>
    <row r="547" ht="15" customHeight="1" s="783">
      <c r="AW547" s="132" t="n">
        <v>266</v>
      </c>
    </row>
    <row r="548" ht="15" customHeight="1" s="783">
      <c r="AW548" s="132" t="n">
        <v>267</v>
      </c>
    </row>
    <row r="549" ht="15" customHeight="1" s="783">
      <c r="AW549" s="132" t="n">
        <v>268</v>
      </c>
    </row>
    <row r="550" ht="15" customHeight="1" s="783">
      <c r="AW550" s="132" t="n">
        <v>269</v>
      </c>
    </row>
    <row r="551" ht="15" customHeight="1" s="783">
      <c r="AW551" s="132" t="n">
        <v>270</v>
      </c>
    </row>
    <row r="552" ht="15" customHeight="1" s="783">
      <c r="AW552" s="132" t="n">
        <v>271</v>
      </c>
    </row>
    <row r="553" ht="15" customHeight="1" s="783">
      <c r="AW553" s="132" t="n">
        <v>272</v>
      </c>
    </row>
    <row r="554" ht="15" customHeight="1" s="783">
      <c r="AW554" s="132" t="n">
        <v>273</v>
      </c>
    </row>
    <row r="555" ht="15" customHeight="1" s="783">
      <c r="AW555" s="132" t="n">
        <v>274</v>
      </c>
    </row>
    <row r="556" ht="15" customHeight="1" s="783">
      <c r="AW556" s="132" t="n">
        <v>275</v>
      </c>
    </row>
    <row r="557" ht="15" customHeight="1" s="783">
      <c r="AW557" s="132" t="n">
        <v>276</v>
      </c>
    </row>
    <row r="558" ht="15" customHeight="1" s="783">
      <c r="AW558" s="132" t="n">
        <v>277</v>
      </c>
    </row>
    <row r="559" ht="15" customHeight="1" s="783">
      <c r="AW559" s="132" t="n">
        <v>278</v>
      </c>
    </row>
    <row r="560" ht="15" customHeight="1" s="783">
      <c r="AW560" s="132" t="n">
        <v>279</v>
      </c>
    </row>
    <row r="561" ht="15" customHeight="1" s="783">
      <c r="AW561" s="132" t="n">
        <v>280</v>
      </c>
    </row>
    <row r="562" ht="15" customHeight="1" s="783">
      <c r="AW562" s="132" t="n">
        <v>281</v>
      </c>
    </row>
    <row r="563" ht="15" customHeight="1" s="783">
      <c r="AW563" s="132" t="n">
        <v>282</v>
      </c>
    </row>
    <row r="564" ht="15" customHeight="1" s="783">
      <c r="AW564" s="132" t="n">
        <v>283</v>
      </c>
    </row>
    <row r="565" ht="15" customHeight="1" s="783">
      <c r="AW565" s="132" t="n">
        <v>284</v>
      </c>
    </row>
    <row r="566" ht="15" customHeight="1" s="783">
      <c r="AW566" s="132" t="n">
        <v>285</v>
      </c>
    </row>
    <row r="567" ht="15" customHeight="1" s="783">
      <c r="AW567" s="132" t="n">
        <v>286</v>
      </c>
    </row>
    <row r="568" ht="15" customHeight="1" s="783">
      <c r="AW568" s="132" t="n">
        <v>287</v>
      </c>
    </row>
    <row r="569" ht="15" customHeight="1" s="783">
      <c r="AW569" s="132" t="n">
        <v>288</v>
      </c>
    </row>
    <row r="570" ht="15" customHeight="1" s="783">
      <c r="AW570" s="132" t="n">
        <v>289</v>
      </c>
    </row>
    <row r="571" ht="15" customHeight="1" s="783">
      <c r="AW571" s="132" t="n">
        <v>290</v>
      </c>
    </row>
    <row r="572" ht="15" customHeight="1" s="783">
      <c r="AW572" s="132" t="n">
        <v>291</v>
      </c>
    </row>
    <row r="573" ht="15" customHeight="1" s="783">
      <c r="AW573" s="132" t="n">
        <v>292</v>
      </c>
    </row>
    <row r="574" ht="15" customHeight="1" s="783">
      <c r="AW574" s="132" t="n">
        <v>293</v>
      </c>
    </row>
    <row r="575" ht="15" customHeight="1" s="783">
      <c r="AW575" s="132" t="n">
        <v>294</v>
      </c>
    </row>
    <row r="576" ht="15" customHeight="1" s="783">
      <c r="AW576" s="132" t="n">
        <v>295</v>
      </c>
    </row>
    <row r="577" ht="15" customHeight="1" s="783">
      <c r="AW577" s="132" t="n">
        <v>296</v>
      </c>
    </row>
    <row r="578" ht="15" customHeight="1" s="783">
      <c r="AW578" s="132" t="n">
        <v>297</v>
      </c>
    </row>
    <row r="579" ht="15" customHeight="1" s="783">
      <c r="AW579" s="132" t="n">
        <v>298</v>
      </c>
    </row>
    <row r="580" ht="15" customHeight="1" s="783">
      <c r="AW580" s="132" t="n">
        <v>299</v>
      </c>
    </row>
    <row r="581" ht="15" customHeight="1" s="783">
      <c r="AW581" s="132" t="n">
        <v>300</v>
      </c>
    </row>
    <row r="582" ht="15" customHeight="1" s="783">
      <c r="AW582" s="132" t="n">
        <v>301</v>
      </c>
    </row>
    <row r="583" ht="15" customHeight="1" s="783">
      <c r="AW583" s="132" t="n">
        <v>302</v>
      </c>
    </row>
    <row r="584" ht="15" customHeight="1" s="783">
      <c r="AW584" s="132" t="n">
        <v>303</v>
      </c>
    </row>
    <row r="585" ht="15" customHeight="1" s="783">
      <c r="AW585" s="132" t="n">
        <v>304</v>
      </c>
    </row>
    <row r="586" ht="15" customHeight="1" s="783">
      <c r="AW586" s="132" t="n">
        <v>305</v>
      </c>
    </row>
    <row r="587" ht="15" customHeight="1" s="783">
      <c r="AW587" s="132" t="n">
        <v>306</v>
      </c>
    </row>
    <row r="588" ht="15" customHeight="1" s="783">
      <c r="AW588" s="132" t="n">
        <v>307</v>
      </c>
    </row>
    <row r="589" ht="15" customHeight="1" s="783">
      <c r="AW589" s="132" t="n">
        <v>308</v>
      </c>
    </row>
    <row r="590" ht="15" customHeight="1" s="783">
      <c r="AW590" s="132" t="n">
        <v>309</v>
      </c>
    </row>
    <row r="591" ht="15" customHeight="1" s="783">
      <c r="AW591" s="132" t="n">
        <v>310</v>
      </c>
    </row>
    <row r="592" ht="15" customHeight="1" s="783">
      <c r="AW592" s="132" t="n">
        <v>311</v>
      </c>
    </row>
    <row r="593" ht="15" customHeight="1" s="783">
      <c r="AW593" s="132" t="n">
        <v>312</v>
      </c>
    </row>
    <row r="594" ht="15" customHeight="1" s="783">
      <c r="AW594" s="132" t="n">
        <v>313</v>
      </c>
    </row>
    <row r="595" ht="15" customHeight="1" s="783">
      <c r="AW595" s="132" t="n">
        <v>314</v>
      </c>
    </row>
    <row r="596" ht="15" customHeight="1" s="783">
      <c r="AW596" s="132" t="n">
        <v>315</v>
      </c>
    </row>
    <row r="597" ht="15" customHeight="1" s="783">
      <c r="AW597" s="132" t="n">
        <v>316</v>
      </c>
    </row>
    <row r="598" ht="15" customHeight="1" s="783">
      <c r="AW598" s="132" t="n">
        <v>317</v>
      </c>
    </row>
    <row r="599" ht="15" customHeight="1" s="783">
      <c r="AW599" s="132" t="n">
        <v>318</v>
      </c>
    </row>
    <row r="600" ht="15" customHeight="1" s="783">
      <c r="AW600" s="132" t="n">
        <v>319</v>
      </c>
    </row>
    <row r="601" ht="15" customHeight="1" s="783">
      <c r="AW601" s="132" t="n">
        <v>320</v>
      </c>
    </row>
    <row r="602" ht="15" customHeight="1" s="783">
      <c r="AW602" s="132" t="n">
        <v>321</v>
      </c>
    </row>
    <row r="603" ht="15" customHeight="1" s="783">
      <c r="AW603" s="132" t="n">
        <v>322</v>
      </c>
    </row>
    <row r="604" ht="15" customHeight="1" s="783">
      <c r="AW604" s="132" t="n">
        <v>323</v>
      </c>
    </row>
    <row r="605" ht="15" customHeight="1" s="783">
      <c r="AW605" s="132" t="n">
        <v>324</v>
      </c>
    </row>
    <row r="606" ht="15" customHeight="1" s="783">
      <c r="AW606" s="132" t="n">
        <v>325</v>
      </c>
    </row>
    <row r="607" ht="15" customHeight="1" s="783">
      <c r="AW607" s="132" t="n">
        <v>326</v>
      </c>
    </row>
    <row r="608" ht="15" customHeight="1" s="783">
      <c r="AW608" s="132" t="n">
        <v>327</v>
      </c>
    </row>
    <row r="609" ht="15" customHeight="1" s="783">
      <c r="AW609" s="132" t="n">
        <v>328</v>
      </c>
    </row>
    <row r="610" ht="15" customHeight="1" s="783">
      <c r="AW610" s="132" t="n">
        <v>329</v>
      </c>
    </row>
    <row r="611" ht="15" customHeight="1" s="783">
      <c r="AW611" s="132" t="n">
        <v>330</v>
      </c>
    </row>
    <row r="612" ht="15" customHeight="1" s="783">
      <c r="AW612" s="132" t="n">
        <v>331</v>
      </c>
    </row>
    <row r="613" ht="15" customHeight="1" s="783">
      <c r="AW613" s="132" t="n">
        <v>332</v>
      </c>
    </row>
    <row r="614" ht="15" customHeight="1" s="783">
      <c r="AW614" s="132" t="n">
        <v>333</v>
      </c>
    </row>
    <row r="615" ht="15" customHeight="1" s="783">
      <c r="AW615" s="132" t="n">
        <v>334</v>
      </c>
    </row>
    <row r="616" ht="15" customHeight="1" s="783">
      <c r="AW616" s="132" t="n">
        <v>335</v>
      </c>
    </row>
    <row r="617" ht="15" customHeight="1" s="783">
      <c r="AW617" s="132" t="n">
        <v>336</v>
      </c>
    </row>
    <row r="618" ht="15" customHeight="1" s="783">
      <c r="AW618" s="132" t="n">
        <v>337</v>
      </c>
    </row>
    <row r="619" ht="15" customHeight="1" s="783">
      <c r="AW619" s="132" t="n">
        <v>338</v>
      </c>
    </row>
    <row r="620" ht="15" customHeight="1" s="783">
      <c r="AW620" s="132" t="n">
        <v>339</v>
      </c>
    </row>
    <row r="621" ht="15" customHeight="1" s="783">
      <c r="AW621" s="132" t="n">
        <v>340</v>
      </c>
    </row>
    <row r="622" ht="15" customHeight="1" s="783">
      <c r="AW622" s="132" t="n">
        <v>341</v>
      </c>
    </row>
    <row r="623" ht="15" customHeight="1" s="783">
      <c r="AW623" s="132" t="n">
        <v>342</v>
      </c>
    </row>
    <row r="624" ht="15" customHeight="1" s="783">
      <c r="AW624" s="132" t="n">
        <v>343</v>
      </c>
    </row>
    <row r="625" ht="15" customHeight="1" s="783">
      <c r="AW625" s="132" t="n">
        <v>344</v>
      </c>
    </row>
    <row r="626" ht="15" customHeight="1" s="783">
      <c r="AW626" s="132" t="n">
        <v>345</v>
      </c>
    </row>
    <row r="627" ht="15" customHeight="1" s="783">
      <c r="AW627" s="132" t="n">
        <v>346</v>
      </c>
    </row>
    <row r="628" ht="15" customHeight="1" s="783">
      <c r="AW628" s="132" t="n">
        <v>347</v>
      </c>
    </row>
    <row r="629" ht="15" customHeight="1" s="783">
      <c r="AW629" s="132" t="n">
        <v>348</v>
      </c>
    </row>
    <row r="630" ht="15" customHeight="1" s="783">
      <c r="AW630" s="132" t="n">
        <v>349</v>
      </c>
    </row>
    <row r="631" ht="15" customHeight="1" s="783">
      <c r="AW631" s="132" t="n">
        <v>350</v>
      </c>
    </row>
    <row r="632" ht="15" customHeight="1" s="783">
      <c r="AW632" s="132" t="n">
        <v>351</v>
      </c>
    </row>
    <row r="633" ht="15" customHeight="1" s="783">
      <c r="AW633" s="132" t="n">
        <v>352</v>
      </c>
    </row>
    <row r="634" ht="15" customHeight="1" s="783">
      <c r="AW634" s="132" t="n">
        <v>353</v>
      </c>
    </row>
    <row r="635" ht="15" customHeight="1" s="783">
      <c r="AW635" s="132" t="n">
        <v>354</v>
      </c>
    </row>
    <row r="636" ht="15" customHeight="1" s="783">
      <c r="AW636" s="132" t="n">
        <v>355</v>
      </c>
    </row>
    <row r="637" ht="15" customHeight="1" s="783">
      <c r="AW637" s="132" t="n">
        <v>356</v>
      </c>
    </row>
    <row r="638" ht="15" customHeight="1" s="783">
      <c r="AW638" s="132" t="n">
        <v>357</v>
      </c>
    </row>
    <row r="639" ht="15" customHeight="1" s="783">
      <c r="AW639" s="132" t="n">
        <v>358</v>
      </c>
    </row>
    <row r="640" ht="15" customHeight="1" s="783">
      <c r="AW640" s="132" t="n">
        <v>359</v>
      </c>
    </row>
    <row r="641" ht="15" customHeight="1" s="783">
      <c r="AW641" s="132" t="n">
        <v>360</v>
      </c>
    </row>
    <row r="642" ht="15" customHeight="1" s="783">
      <c r="AW642" s="132" t="n">
        <v>361</v>
      </c>
    </row>
    <row r="643" ht="15" customHeight="1" s="783">
      <c r="AW643" s="132" t="n">
        <v>362</v>
      </c>
    </row>
    <row r="644" ht="15" customHeight="1" s="783">
      <c r="AW644" s="132" t="n">
        <v>363</v>
      </c>
    </row>
    <row r="645" ht="15" customHeight="1" s="783">
      <c r="AW645" s="132" t="n">
        <v>364</v>
      </c>
    </row>
    <row r="646" ht="15" customHeight="1" s="783">
      <c r="AW646" s="132" t="n">
        <v>365</v>
      </c>
    </row>
    <row r="647" ht="15" customHeight="1" s="783">
      <c r="AW647" s="132" t="n">
        <v>366</v>
      </c>
    </row>
    <row r="648" ht="15" customHeight="1" s="783">
      <c r="AW648" s="132" t="n">
        <v>367</v>
      </c>
    </row>
    <row r="649" ht="15" customHeight="1" s="783">
      <c r="AW649" s="132" t="n">
        <v>368</v>
      </c>
    </row>
    <row r="650" ht="15" customHeight="1" s="783">
      <c r="AW650" s="132" t="n">
        <v>369</v>
      </c>
    </row>
    <row r="651" ht="15" customHeight="1" s="783">
      <c r="AW651" s="132" t="n">
        <v>370</v>
      </c>
    </row>
    <row r="652" ht="15" customHeight="1" s="783">
      <c r="AW652" s="132" t="n">
        <v>371</v>
      </c>
    </row>
    <row r="653" ht="15" customHeight="1" s="783">
      <c r="AW653" s="132" t="n">
        <v>372</v>
      </c>
    </row>
    <row r="654" ht="15" customHeight="1" s="783">
      <c r="AW654" s="132" t="n">
        <v>373</v>
      </c>
    </row>
    <row r="655" ht="15" customHeight="1" s="783">
      <c r="AW655" s="132" t="n">
        <v>374</v>
      </c>
    </row>
    <row r="656" ht="15" customHeight="1" s="783">
      <c r="AW656" s="132" t="n">
        <v>375</v>
      </c>
    </row>
    <row r="657" ht="15" customHeight="1" s="783">
      <c r="AW657" s="132" t="n">
        <v>376</v>
      </c>
    </row>
    <row r="658" ht="15" customHeight="1" s="783">
      <c r="AW658" s="132" t="n">
        <v>377</v>
      </c>
    </row>
    <row r="659" ht="15" customHeight="1" s="783">
      <c r="AW659" s="132" t="n">
        <v>378</v>
      </c>
    </row>
    <row r="660" ht="15" customHeight="1" s="783">
      <c r="AW660" s="132" t="n">
        <v>379</v>
      </c>
    </row>
    <row r="661" ht="15" customHeight="1" s="783">
      <c r="AW661" s="132" t="n">
        <v>380</v>
      </c>
    </row>
    <row r="662" ht="15" customHeight="1" s="783">
      <c r="AW662" s="132" t="n">
        <v>381</v>
      </c>
    </row>
    <row r="663" ht="15" customHeight="1" s="783">
      <c r="AW663" s="132" t="n">
        <v>382</v>
      </c>
    </row>
    <row r="664" ht="15" customHeight="1" s="783">
      <c r="AW664" s="132" t="n">
        <v>383</v>
      </c>
    </row>
    <row r="665" ht="15" customHeight="1" s="783">
      <c r="AW665" s="132" t="n">
        <v>384</v>
      </c>
    </row>
    <row r="666" ht="15" customHeight="1" s="783">
      <c r="AW666" s="132" t="n">
        <v>385</v>
      </c>
    </row>
    <row r="667" ht="15" customHeight="1" s="783">
      <c r="AW667" s="132" t="n">
        <v>386</v>
      </c>
    </row>
    <row r="668" ht="15" customHeight="1" s="783">
      <c r="AW668" s="132" t="n">
        <v>387</v>
      </c>
    </row>
    <row r="669" ht="15" customHeight="1" s="783">
      <c r="AW669" s="132" t="n">
        <v>388</v>
      </c>
    </row>
    <row r="670" ht="15" customHeight="1" s="783">
      <c r="AW670" s="132" t="n">
        <v>389</v>
      </c>
    </row>
    <row r="671" ht="15" customHeight="1" s="783">
      <c r="AW671" s="132" t="n">
        <v>390</v>
      </c>
    </row>
    <row r="672" ht="15" customHeight="1" s="783">
      <c r="AW672" s="132" t="n">
        <v>391</v>
      </c>
    </row>
    <row r="673" ht="15" customHeight="1" s="783">
      <c r="AW673" s="132" t="n">
        <v>392</v>
      </c>
    </row>
    <row r="674" ht="15" customHeight="1" s="783">
      <c r="AW674" s="132" t="n">
        <v>393</v>
      </c>
    </row>
    <row r="675" ht="15" customHeight="1" s="783">
      <c r="AW675" s="132" t="n">
        <v>394</v>
      </c>
    </row>
    <row r="676" ht="15" customHeight="1" s="783">
      <c r="AW676" s="132" t="n">
        <v>395</v>
      </c>
    </row>
    <row r="677" ht="15" customHeight="1" s="783">
      <c r="AW677" s="132" t="n">
        <v>396</v>
      </c>
    </row>
    <row r="678" ht="15" customHeight="1" s="783">
      <c r="AW678" s="132" t="n">
        <v>397</v>
      </c>
    </row>
    <row r="679" ht="15" customHeight="1" s="783">
      <c r="AW679" s="132" t="n">
        <v>398</v>
      </c>
    </row>
    <row r="680" ht="15" customHeight="1" s="783">
      <c r="AW680" s="132" t="n">
        <v>399</v>
      </c>
    </row>
    <row r="681" ht="15" customHeight="1" s="783">
      <c r="AW681" s="132" t="n">
        <v>400</v>
      </c>
    </row>
    <row r="682" ht="15" customHeight="1" s="783">
      <c r="AW682" s="132" t="n">
        <v>401</v>
      </c>
    </row>
    <row r="683" ht="15" customHeight="1" s="783">
      <c r="AW683" s="132" t="n">
        <v>402</v>
      </c>
    </row>
    <row r="684" ht="15" customHeight="1" s="783">
      <c r="AW684" s="132" t="n">
        <v>403</v>
      </c>
    </row>
    <row r="685" ht="15" customHeight="1" s="783">
      <c r="AW685" s="132" t="n">
        <v>404</v>
      </c>
    </row>
    <row r="686" ht="15" customHeight="1" s="783">
      <c r="AW686" s="132" t="n">
        <v>405</v>
      </c>
    </row>
    <row r="687" ht="15" customHeight="1" s="783">
      <c r="AW687" s="132" t="n">
        <v>406</v>
      </c>
    </row>
    <row r="688" ht="15" customHeight="1" s="783">
      <c r="AW688" s="132" t="n">
        <v>407</v>
      </c>
    </row>
    <row r="689" ht="15" customHeight="1" s="783">
      <c r="AW689" s="132" t="n">
        <v>408</v>
      </c>
    </row>
    <row r="690" ht="15" customHeight="1" s="783">
      <c r="AW690" s="132" t="n">
        <v>409</v>
      </c>
    </row>
    <row r="691" ht="15" customHeight="1" s="783">
      <c r="AW691" s="132" t="n">
        <v>410</v>
      </c>
    </row>
    <row r="692" ht="15" customHeight="1" s="783">
      <c r="AW692" s="132" t="n">
        <v>411</v>
      </c>
    </row>
    <row r="693" ht="15" customHeight="1" s="783">
      <c r="AW693" s="132" t="n">
        <v>412</v>
      </c>
    </row>
    <row r="694" ht="15" customHeight="1" s="783">
      <c r="AW694" s="132" t="n">
        <v>413</v>
      </c>
    </row>
    <row r="695" ht="15" customHeight="1" s="783">
      <c r="AW695" s="132" t="n">
        <v>414</v>
      </c>
    </row>
    <row r="696" ht="15" customHeight="1" s="783">
      <c r="AW696" s="132" t="n">
        <v>415</v>
      </c>
    </row>
    <row r="697" ht="15" customHeight="1" s="783">
      <c r="AW697" s="132" t="n">
        <v>416</v>
      </c>
    </row>
    <row r="698" ht="15" customHeight="1" s="783">
      <c r="AW698" s="132" t="n">
        <v>417</v>
      </c>
    </row>
    <row r="699" ht="15" customHeight="1" s="783">
      <c r="AW699" s="132" t="n">
        <v>418</v>
      </c>
    </row>
    <row r="700" ht="15" customHeight="1" s="783">
      <c r="AW700" s="132" t="n">
        <v>419</v>
      </c>
    </row>
    <row r="701" ht="15" customHeight="1" s="783">
      <c r="AW701" s="132" t="n">
        <v>420</v>
      </c>
    </row>
    <row r="702" ht="15" customHeight="1" s="783">
      <c r="AW702" s="132" t="n">
        <v>421</v>
      </c>
    </row>
    <row r="703" ht="15" customHeight="1" s="783">
      <c r="AW703" s="132" t="n">
        <v>422</v>
      </c>
    </row>
    <row r="704" ht="15" customHeight="1" s="783">
      <c r="AW704" s="132" t="n">
        <v>423</v>
      </c>
    </row>
    <row r="705" ht="15" customHeight="1" s="783">
      <c r="AW705" s="132" t="n">
        <v>424</v>
      </c>
    </row>
    <row r="706" ht="15" customHeight="1" s="783">
      <c r="AW706" s="132" t="n">
        <v>425</v>
      </c>
    </row>
    <row r="707" ht="15" customHeight="1" s="783">
      <c r="AW707" s="132" t="n">
        <v>426</v>
      </c>
    </row>
    <row r="708" ht="15" customHeight="1" s="783">
      <c r="AW708" s="132" t="n">
        <v>427</v>
      </c>
    </row>
    <row r="709" ht="15" customHeight="1" s="783">
      <c r="AW709" s="132" t="n">
        <v>428</v>
      </c>
    </row>
    <row r="710" ht="15" customHeight="1" s="783">
      <c r="AW710" s="132" t="n">
        <v>429</v>
      </c>
    </row>
    <row r="711" ht="15" customHeight="1" s="783">
      <c r="AW711" s="132" t="n">
        <v>430</v>
      </c>
    </row>
    <row r="712" ht="15" customHeight="1" s="783">
      <c r="AW712" s="132" t="n">
        <v>431</v>
      </c>
    </row>
    <row r="713" ht="15" customHeight="1" s="783">
      <c r="AW713" s="132" t="n">
        <v>432</v>
      </c>
    </row>
    <row r="714" ht="15" customHeight="1" s="783">
      <c r="AW714" s="132" t="n">
        <v>433</v>
      </c>
    </row>
    <row r="715" ht="15" customHeight="1" s="783">
      <c r="AW715" s="132" t="n">
        <v>434</v>
      </c>
    </row>
    <row r="716" ht="15" customHeight="1" s="783">
      <c r="AW716" s="132" t="n">
        <v>435</v>
      </c>
    </row>
    <row r="717" ht="15" customHeight="1" s="783">
      <c r="AW717" s="132" t="n">
        <v>436</v>
      </c>
    </row>
    <row r="718" ht="15" customHeight="1" s="783">
      <c r="AW718" s="132" t="n">
        <v>437</v>
      </c>
    </row>
    <row r="719" ht="15" customHeight="1" s="783">
      <c r="AW719" s="132" t="n">
        <v>438</v>
      </c>
    </row>
    <row r="720" ht="15" customHeight="1" s="783">
      <c r="AW720" s="132" t="n">
        <v>439</v>
      </c>
    </row>
    <row r="721" ht="15" customHeight="1" s="783">
      <c r="AW721" s="132" t="n">
        <v>440</v>
      </c>
    </row>
    <row r="722" ht="15" customHeight="1" s="783">
      <c r="AW722" s="132" t="n">
        <v>441</v>
      </c>
    </row>
    <row r="723" ht="15" customHeight="1" s="783">
      <c r="AW723" s="132" t="n">
        <v>442</v>
      </c>
    </row>
    <row r="724" ht="15" customHeight="1" s="783">
      <c r="AW724" s="132" t="n">
        <v>443</v>
      </c>
    </row>
    <row r="725" ht="15" customHeight="1" s="783">
      <c r="AW725" s="132" t="n">
        <v>444</v>
      </c>
    </row>
    <row r="726" ht="15" customHeight="1" s="783">
      <c r="AW726" s="132" t="n">
        <v>445</v>
      </c>
    </row>
    <row r="727" ht="15" customHeight="1" s="783">
      <c r="AW727" s="132" t="n">
        <v>446</v>
      </c>
    </row>
    <row r="728" ht="15" customHeight="1" s="783">
      <c r="AW728" s="132" t="n">
        <v>447</v>
      </c>
    </row>
    <row r="729" ht="15" customHeight="1" s="783">
      <c r="AW729" s="132" t="n">
        <v>448</v>
      </c>
    </row>
    <row r="730" ht="15" customHeight="1" s="783">
      <c r="AW730" s="132" t="n">
        <v>449</v>
      </c>
    </row>
    <row r="731" ht="15" customHeight="1" s="783">
      <c r="AW731" s="132" t="n">
        <v>450</v>
      </c>
    </row>
    <row r="732" ht="15" customHeight="1" s="783">
      <c r="AW732" s="132" t="n">
        <v>451</v>
      </c>
    </row>
    <row r="733" ht="15" customHeight="1" s="783">
      <c r="AW733" s="132" t="n">
        <v>452</v>
      </c>
    </row>
    <row r="734" ht="15" customHeight="1" s="783">
      <c r="AW734" s="132" t="n">
        <v>453</v>
      </c>
    </row>
    <row r="735" ht="15" customHeight="1" s="783">
      <c r="AW735" s="132" t="n">
        <v>454</v>
      </c>
    </row>
    <row r="736" ht="15" customHeight="1" s="783">
      <c r="AW736" s="132" t="n">
        <v>455</v>
      </c>
    </row>
    <row r="737" ht="15" customHeight="1" s="783">
      <c r="AW737" s="132" t="n">
        <v>456</v>
      </c>
    </row>
    <row r="738" ht="15" customHeight="1" s="783">
      <c r="AW738" s="132" t="n">
        <v>457</v>
      </c>
    </row>
    <row r="739" ht="15" customHeight="1" s="783">
      <c r="AW739" s="132" t="n">
        <v>458</v>
      </c>
    </row>
    <row r="740" ht="15" customHeight="1" s="783">
      <c r="AW740" s="132" t="n">
        <v>459</v>
      </c>
    </row>
    <row r="741" ht="15" customHeight="1" s="783">
      <c r="AW741" s="132" t="n">
        <v>460</v>
      </c>
    </row>
    <row r="742" ht="15" customHeight="1" s="783">
      <c r="AW742" s="132" t="n">
        <v>461</v>
      </c>
    </row>
    <row r="743" ht="15" customHeight="1" s="783">
      <c r="AW743" s="132" t="n">
        <v>462</v>
      </c>
    </row>
    <row r="744" ht="15" customHeight="1" s="783">
      <c r="AW744" s="132" t="n">
        <v>463</v>
      </c>
    </row>
    <row r="745" ht="15" customHeight="1" s="783">
      <c r="AW745" s="132" t="n">
        <v>464</v>
      </c>
    </row>
    <row r="746" ht="15" customHeight="1" s="783">
      <c r="AW746" s="132" t="n">
        <v>465</v>
      </c>
    </row>
    <row r="747" ht="15" customHeight="1" s="783">
      <c r="AW747" s="132" t="n">
        <v>466</v>
      </c>
    </row>
    <row r="748" ht="15" customHeight="1" s="783">
      <c r="AW748" s="132" t="n">
        <v>467</v>
      </c>
    </row>
    <row r="749" ht="15" customHeight="1" s="783">
      <c r="AW749" s="132" t="n">
        <v>468</v>
      </c>
    </row>
    <row r="750" ht="15" customHeight="1" s="783">
      <c r="AW750" s="132" t="n">
        <v>469</v>
      </c>
    </row>
    <row r="751" ht="15" customHeight="1" s="783">
      <c r="AW751" s="132" t="n">
        <v>470</v>
      </c>
    </row>
    <row r="752" ht="15" customHeight="1" s="783">
      <c r="AW752" s="132" t="n">
        <v>471</v>
      </c>
    </row>
    <row r="753" ht="15" customHeight="1" s="783">
      <c r="AW753" s="132" t="n">
        <v>472</v>
      </c>
    </row>
    <row r="754" ht="15" customHeight="1" s="783">
      <c r="AW754" s="132" t="n">
        <v>473</v>
      </c>
    </row>
    <row r="755" ht="15" customHeight="1" s="783">
      <c r="AW755" s="132" t="n">
        <v>474</v>
      </c>
    </row>
    <row r="756" ht="15" customHeight="1" s="783">
      <c r="AW756" s="132" t="n">
        <v>475</v>
      </c>
    </row>
    <row r="757" ht="15" customHeight="1" s="783">
      <c r="AW757" s="132" t="n">
        <v>476</v>
      </c>
    </row>
    <row r="758" ht="15" customHeight="1" s="783">
      <c r="AW758" s="132" t="n">
        <v>477</v>
      </c>
    </row>
    <row r="759" ht="15" customHeight="1" s="783">
      <c r="AW759" s="132" t="n">
        <v>478</v>
      </c>
    </row>
    <row r="760" ht="15" customHeight="1" s="783">
      <c r="AW760" s="132" t="n">
        <v>479</v>
      </c>
    </row>
    <row r="761" ht="15" customHeight="1" s="783">
      <c r="AW761" s="132" t="n">
        <v>480</v>
      </c>
    </row>
    <row r="762" ht="15" customHeight="1" s="783">
      <c r="AW762" s="132" t="n">
        <v>481</v>
      </c>
    </row>
    <row r="763" ht="15" customHeight="1" s="783">
      <c r="AW763" s="132" t="n">
        <v>482</v>
      </c>
    </row>
    <row r="764" ht="15" customHeight="1" s="783">
      <c r="AW764" s="132" t="n">
        <v>483</v>
      </c>
    </row>
    <row r="765" ht="15" customHeight="1" s="783">
      <c r="AW765" s="132" t="n">
        <v>484</v>
      </c>
    </row>
    <row r="766" ht="15" customHeight="1" s="783">
      <c r="AW766" s="132" t="n">
        <v>485</v>
      </c>
    </row>
    <row r="767" ht="15" customHeight="1" s="783">
      <c r="AW767" s="132" t="n">
        <v>486</v>
      </c>
    </row>
    <row r="768" ht="15" customHeight="1" s="783">
      <c r="AW768" s="132" t="n">
        <v>487</v>
      </c>
    </row>
    <row r="769" ht="15" customHeight="1" s="783">
      <c r="AW769" s="132" t="n">
        <v>488</v>
      </c>
    </row>
    <row r="770" ht="15" customHeight="1" s="783">
      <c r="AW770" s="132" t="n">
        <v>489</v>
      </c>
    </row>
    <row r="771" ht="15" customHeight="1" s="783">
      <c r="AW771" s="132" t="n">
        <v>490</v>
      </c>
    </row>
    <row r="772" ht="15" customHeight="1" s="783">
      <c r="AW772" s="132" t="n">
        <v>491</v>
      </c>
    </row>
    <row r="773" ht="15" customHeight="1" s="783">
      <c r="AW773" s="132" t="n">
        <v>492</v>
      </c>
    </row>
    <row r="774" ht="15" customHeight="1" s="783">
      <c r="AW774" s="132" t="n">
        <v>493</v>
      </c>
    </row>
    <row r="775" ht="15" customHeight="1" s="783">
      <c r="AW775" s="132" t="n">
        <v>494</v>
      </c>
    </row>
    <row r="776" ht="15" customHeight="1" s="783">
      <c r="AW776" s="132" t="n">
        <v>495</v>
      </c>
    </row>
    <row r="777" ht="15" customHeight="1" s="783">
      <c r="AW777" s="132" t="n">
        <v>496</v>
      </c>
    </row>
    <row r="778" ht="15" customHeight="1" s="783">
      <c r="AW778" s="132" t="n">
        <v>497</v>
      </c>
    </row>
    <row r="779" ht="15" customHeight="1" s="783">
      <c r="AW779" s="132" t="n">
        <v>498</v>
      </c>
    </row>
    <row r="780" ht="15" customHeight="1" s="783">
      <c r="AW780" s="132" t="n">
        <v>499</v>
      </c>
    </row>
    <row r="781" ht="15" customHeight="1" s="783">
      <c r="AW781" s="132" t="n">
        <v>500</v>
      </c>
    </row>
    <row r="782" ht="15" customHeight="1" s="783">
      <c r="AW782" s="132" t="n">
        <v>501</v>
      </c>
    </row>
    <row r="783" ht="15" customHeight="1" s="783">
      <c r="AW783" s="132" t="n">
        <v>502</v>
      </c>
    </row>
    <row r="784" ht="15" customHeight="1" s="783">
      <c r="AW784" s="132" t="n">
        <v>503</v>
      </c>
    </row>
    <row r="785" ht="15" customHeight="1" s="783">
      <c r="AW785" s="132" t="n">
        <v>504</v>
      </c>
    </row>
    <row r="786" ht="15" customHeight="1" s="783">
      <c r="AW786" s="132" t="n">
        <v>505</v>
      </c>
    </row>
    <row r="787" ht="15" customHeight="1" s="783">
      <c r="AW787" s="132" t="n">
        <v>506</v>
      </c>
    </row>
    <row r="788" ht="15" customHeight="1" s="783">
      <c r="AW788" s="132" t="n">
        <v>507</v>
      </c>
    </row>
    <row r="789" ht="15" customHeight="1" s="783">
      <c r="AW789" s="132" t="n">
        <v>508</v>
      </c>
    </row>
    <row r="790" ht="15" customHeight="1" s="783">
      <c r="AW790" s="132" t="n">
        <v>509</v>
      </c>
    </row>
    <row r="791" ht="15" customHeight="1" s="783">
      <c r="AW791" s="132" t="n">
        <v>510</v>
      </c>
    </row>
    <row r="792" ht="15" customHeight="1" s="783">
      <c r="AW792" s="132" t="n">
        <v>511</v>
      </c>
    </row>
    <row r="793" ht="15" customHeight="1" s="783">
      <c r="AW793" s="132" t="n">
        <v>512</v>
      </c>
    </row>
    <row r="794" ht="15" customHeight="1" s="783">
      <c r="AW794" s="132" t="n">
        <v>513</v>
      </c>
    </row>
    <row r="795" ht="15" customHeight="1" s="783">
      <c r="AW795" s="132" t="n">
        <v>514</v>
      </c>
    </row>
    <row r="796" ht="15" customHeight="1" s="783">
      <c r="AW796" s="132" t="n">
        <v>515</v>
      </c>
    </row>
    <row r="797" ht="15" customHeight="1" s="783">
      <c r="AW797" s="132" t="n">
        <v>516</v>
      </c>
    </row>
    <row r="798" ht="15" customHeight="1" s="783">
      <c r="AW798" s="132" t="n">
        <v>517</v>
      </c>
    </row>
    <row r="799" ht="15" customHeight="1" s="783">
      <c r="AW799" s="132" t="n">
        <v>518</v>
      </c>
    </row>
    <row r="800" ht="15" customHeight="1" s="783">
      <c r="AW800" s="132" t="n">
        <v>519</v>
      </c>
    </row>
    <row r="801" ht="15" customHeight="1" s="783">
      <c r="AW801" s="132" t="n">
        <v>520</v>
      </c>
    </row>
    <row r="802" ht="15" customHeight="1" s="783">
      <c r="AW802" s="132" t="n">
        <v>521</v>
      </c>
    </row>
    <row r="803" ht="15" customHeight="1" s="783">
      <c r="AW803" s="132" t="n">
        <v>522</v>
      </c>
    </row>
    <row r="804" ht="15" customHeight="1" s="783">
      <c r="AW804" s="132" t="n">
        <v>523</v>
      </c>
    </row>
    <row r="805" ht="15" customHeight="1" s="783">
      <c r="AW805" s="132" t="n">
        <v>524</v>
      </c>
    </row>
    <row r="806" ht="15" customHeight="1" s="783">
      <c r="AW806" s="132" t="n">
        <v>525</v>
      </c>
    </row>
    <row r="807" ht="15" customHeight="1" s="783">
      <c r="AW807" s="132" t="n">
        <v>526</v>
      </c>
    </row>
    <row r="808" ht="15" customHeight="1" s="783">
      <c r="AW808" s="132" t="n">
        <v>527</v>
      </c>
    </row>
    <row r="809" ht="15" customHeight="1" s="783">
      <c r="AW809" s="132" t="n">
        <v>528</v>
      </c>
    </row>
    <row r="810" ht="15" customHeight="1" s="783">
      <c r="AW810" s="132" t="n">
        <v>529</v>
      </c>
    </row>
    <row r="811" ht="15" customHeight="1" s="783">
      <c r="AW811" s="132" t="n">
        <v>530</v>
      </c>
    </row>
    <row r="812" ht="15" customHeight="1" s="783">
      <c r="AW812" s="132" t="n">
        <v>531</v>
      </c>
    </row>
    <row r="813" ht="15" customHeight="1" s="783">
      <c r="AW813" s="132" t="n">
        <v>532</v>
      </c>
    </row>
    <row r="814" ht="15" customHeight="1" s="783">
      <c r="AW814" s="132" t="n">
        <v>533</v>
      </c>
    </row>
    <row r="815" ht="15" customHeight="1" s="783">
      <c r="AW815" s="132" t="n">
        <v>534</v>
      </c>
    </row>
    <row r="816" ht="15" customHeight="1" s="783">
      <c r="AW816" s="132" t="n">
        <v>535</v>
      </c>
    </row>
    <row r="817" ht="15" customHeight="1" s="783">
      <c r="AW817" s="132" t="n">
        <v>536</v>
      </c>
    </row>
    <row r="818" ht="15" customHeight="1" s="783">
      <c r="AW818" s="132" t="n">
        <v>537</v>
      </c>
    </row>
    <row r="819" ht="15" customHeight="1" s="783">
      <c r="AW819" s="132" t="n">
        <v>538</v>
      </c>
    </row>
    <row r="820" ht="15" customHeight="1" s="783">
      <c r="AW820" s="132" t="n">
        <v>539</v>
      </c>
    </row>
    <row r="821" ht="15" customHeight="1" s="783">
      <c r="AW821" s="132" t="n">
        <v>540</v>
      </c>
    </row>
    <row r="822" ht="15" customHeight="1" s="783">
      <c r="AW822" s="132" t="n">
        <v>541</v>
      </c>
    </row>
    <row r="823" ht="15" customHeight="1" s="783">
      <c r="AW823" s="132" t="n">
        <v>542</v>
      </c>
    </row>
    <row r="824" ht="15" customHeight="1" s="783">
      <c r="AW824" s="132" t="n">
        <v>543</v>
      </c>
    </row>
    <row r="825" ht="15" customHeight="1" s="783">
      <c r="AW825" s="132" t="n">
        <v>544</v>
      </c>
    </row>
    <row r="826" ht="15" customHeight="1" s="783">
      <c r="AW826" s="132" t="n">
        <v>545</v>
      </c>
    </row>
    <row r="827" ht="15" customHeight="1" s="783">
      <c r="AW827" s="132" t="n">
        <v>546</v>
      </c>
    </row>
    <row r="828" ht="15" customHeight="1" s="783">
      <c r="AW828" s="132" t="n">
        <v>547</v>
      </c>
    </row>
    <row r="829" ht="15" customHeight="1" s="783">
      <c r="AW829" s="132" t="n">
        <v>548</v>
      </c>
    </row>
    <row r="830" ht="15" customHeight="1" s="783">
      <c r="AW830" s="132" t="n">
        <v>549</v>
      </c>
    </row>
    <row r="831" ht="15" customHeight="1" s="783">
      <c r="AW831" s="132" t="n">
        <v>550</v>
      </c>
    </row>
    <row r="832" ht="15" customHeight="1" s="783">
      <c r="AW832" s="132" t="n">
        <v>551</v>
      </c>
    </row>
    <row r="833" ht="15" customHeight="1" s="783">
      <c r="AW833" s="132" t="n">
        <v>552</v>
      </c>
    </row>
    <row r="834" ht="15" customHeight="1" s="783">
      <c r="AW834" s="132" t="n">
        <v>553</v>
      </c>
    </row>
    <row r="835" ht="15" customHeight="1" s="783">
      <c r="AW835" s="132" t="n">
        <v>554</v>
      </c>
    </row>
    <row r="836" ht="15" customHeight="1" s="783">
      <c r="AW836" s="132" t="n">
        <v>555</v>
      </c>
    </row>
    <row r="837" ht="15" customHeight="1" s="783">
      <c r="AW837" s="132" t="n">
        <v>556</v>
      </c>
    </row>
    <row r="838" ht="15" customHeight="1" s="783">
      <c r="AW838" s="132" t="n">
        <v>557</v>
      </c>
    </row>
    <row r="839" ht="15" customHeight="1" s="783">
      <c r="AW839" s="132" t="n">
        <v>558</v>
      </c>
    </row>
    <row r="840" ht="15" customHeight="1" s="783">
      <c r="AW840" s="132" t="n">
        <v>559</v>
      </c>
    </row>
    <row r="841" ht="15" customHeight="1" s="783">
      <c r="AW841" s="132" t="n">
        <v>560</v>
      </c>
    </row>
    <row r="842" ht="15" customHeight="1" s="783">
      <c r="AW842" s="132" t="n">
        <v>561</v>
      </c>
    </row>
    <row r="843" ht="15" customHeight="1" s="783">
      <c r="AW843" s="132" t="n">
        <v>562</v>
      </c>
    </row>
    <row r="844" ht="15" customHeight="1" s="783">
      <c r="AW844" s="132" t="n">
        <v>563</v>
      </c>
    </row>
    <row r="845" ht="15" customHeight="1" s="783">
      <c r="AW845" s="132" t="n">
        <v>564</v>
      </c>
    </row>
    <row r="846" ht="15" customHeight="1" s="783">
      <c r="AW846" s="132" t="n">
        <v>565</v>
      </c>
    </row>
    <row r="847" ht="15" customHeight="1" s="783">
      <c r="AW847" s="132" t="n">
        <v>566</v>
      </c>
    </row>
    <row r="848" ht="15" customHeight="1" s="783">
      <c r="AW848" s="132" t="n">
        <v>567</v>
      </c>
    </row>
    <row r="849" ht="15" customHeight="1" s="783">
      <c r="AW849" s="132" t="n">
        <v>568</v>
      </c>
    </row>
    <row r="850" ht="15" customHeight="1" s="783">
      <c r="AW850" s="132" t="n">
        <v>569</v>
      </c>
    </row>
    <row r="851" ht="15" customHeight="1" s="783">
      <c r="AW851" s="132" t="n">
        <v>570</v>
      </c>
    </row>
    <row r="852" ht="15" customHeight="1" s="783">
      <c r="AW852" s="132" t="n">
        <v>571</v>
      </c>
    </row>
    <row r="853" ht="15" customHeight="1" s="783">
      <c r="AW853" s="132" t="n">
        <v>572</v>
      </c>
    </row>
    <row r="854" ht="15" customHeight="1" s="783">
      <c r="AW854" s="132" t="n">
        <v>573</v>
      </c>
    </row>
    <row r="855" ht="15" customHeight="1" s="783">
      <c r="AW855" s="132" t="n">
        <v>574</v>
      </c>
    </row>
    <row r="856" ht="15" customHeight="1" s="783">
      <c r="AW856" s="132" t="n">
        <v>575</v>
      </c>
    </row>
    <row r="857" ht="15" customHeight="1" s="783">
      <c r="AW857" s="132" t="n">
        <v>576</v>
      </c>
    </row>
    <row r="858" ht="15" customHeight="1" s="783">
      <c r="AW858" s="132" t="n">
        <v>577</v>
      </c>
    </row>
    <row r="859" ht="15" customHeight="1" s="783">
      <c r="AW859" s="132" t="n">
        <v>578</v>
      </c>
    </row>
    <row r="860" ht="15" customHeight="1" s="783">
      <c r="AW860" s="132" t="n">
        <v>579</v>
      </c>
    </row>
    <row r="861" ht="15" customHeight="1" s="783">
      <c r="AW861" s="132" t="n">
        <v>580</v>
      </c>
    </row>
    <row r="862" ht="15" customHeight="1" s="783">
      <c r="AW862" s="132" t="n">
        <v>581</v>
      </c>
    </row>
    <row r="863" ht="15" customHeight="1" s="783">
      <c r="AW863" s="132" t="n">
        <v>582</v>
      </c>
    </row>
    <row r="864" ht="15" customHeight="1" s="783">
      <c r="AW864" s="132" t="n">
        <v>583</v>
      </c>
    </row>
    <row r="865" ht="15" customHeight="1" s="783">
      <c r="AW865" s="132" t="n">
        <v>584</v>
      </c>
    </row>
    <row r="866" ht="15" customHeight="1" s="783">
      <c r="AW866" s="132" t="n">
        <v>585</v>
      </c>
    </row>
    <row r="867" ht="15" customHeight="1" s="783">
      <c r="AW867" s="132" t="n">
        <v>586</v>
      </c>
    </row>
    <row r="868" ht="15" customHeight="1" s="783">
      <c r="AW868" s="132" t="n">
        <v>587</v>
      </c>
    </row>
    <row r="869" ht="15" customHeight="1" s="783">
      <c r="AW869" s="132" t="n">
        <v>588</v>
      </c>
    </row>
    <row r="870" ht="15" customHeight="1" s="783">
      <c r="AW870" s="132" t="n">
        <v>589</v>
      </c>
    </row>
    <row r="871" ht="15" customHeight="1" s="783">
      <c r="AW871" s="132" t="n">
        <v>590</v>
      </c>
    </row>
    <row r="872" ht="15" customHeight="1" s="783">
      <c r="AW872" s="132" t="n">
        <v>591</v>
      </c>
    </row>
    <row r="873" ht="15" customHeight="1" s="783">
      <c r="AW873" s="132" t="n">
        <v>592</v>
      </c>
    </row>
    <row r="874" ht="15" customHeight="1" s="783">
      <c r="AW874" s="132" t="n">
        <v>593</v>
      </c>
    </row>
    <row r="875" ht="15" customHeight="1" s="783">
      <c r="AW875" s="132" t="n">
        <v>594</v>
      </c>
    </row>
    <row r="876" ht="15" customHeight="1" s="783">
      <c r="AW876" s="132" t="n">
        <v>595</v>
      </c>
    </row>
    <row r="877" ht="15" customHeight="1" s="783">
      <c r="AW877" s="132" t="n">
        <v>596</v>
      </c>
    </row>
    <row r="878" ht="15" customHeight="1" s="783">
      <c r="AW878" s="132" t="n">
        <v>597</v>
      </c>
    </row>
    <row r="879" ht="15" customHeight="1" s="783">
      <c r="AW879" s="132" t="n">
        <v>598</v>
      </c>
    </row>
    <row r="880" ht="15" customHeight="1" s="783">
      <c r="AW880" s="132" t="n">
        <v>599</v>
      </c>
    </row>
    <row r="881" ht="15" customHeight="1" s="783">
      <c r="AW881" s="132" t="n">
        <v>600</v>
      </c>
    </row>
    <row r="882" ht="15" customHeight="1" s="783">
      <c r="AW882" s="132" t="n">
        <v>601</v>
      </c>
    </row>
    <row r="883" ht="15" customHeight="1" s="783">
      <c r="AW883" s="132" t="n">
        <v>602</v>
      </c>
    </row>
    <row r="884" ht="15" customHeight="1" s="783">
      <c r="AW884" s="132" t="n">
        <v>603</v>
      </c>
    </row>
    <row r="885" ht="15" customHeight="1" s="783">
      <c r="AW885" s="132" t="n">
        <v>604</v>
      </c>
    </row>
    <row r="886" ht="15" customHeight="1" s="783">
      <c r="AW886" s="132" t="n">
        <v>605</v>
      </c>
    </row>
    <row r="887" ht="15" customHeight="1" s="783">
      <c r="AW887" s="132" t="n">
        <v>606</v>
      </c>
    </row>
    <row r="888" ht="15" customHeight="1" s="783">
      <c r="AW888" s="132" t="n">
        <v>607</v>
      </c>
    </row>
    <row r="889" ht="15" customHeight="1" s="783">
      <c r="AW889" s="132" t="n">
        <v>608</v>
      </c>
    </row>
    <row r="890" ht="15" customHeight="1" s="783">
      <c r="AW890" s="132" t="n">
        <v>609</v>
      </c>
    </row>
    <row r="891" ht="15" customHeight="1" s="783">
      <c r="AW891" s="132" t="n">
        <v>610</v>
      </c>
    </row>
    <row r="892" ht="15" customHeight="1" s="783">
      <c r="AW892" s="132" t="n">
        <v>611</v>
      </c>
    </row>
    <row r="893" ht="15" customHeight="1" s="783">
      <c r="AW893" s="132" t="n">
        <v>612</v>
      </c>
    </row>
    <row r="894" ht="15" customHeight="1" s="783">
      <c r="AW894" s="132" t="n">
        <v>613</v>
      </c>
    </row>
    <row r="895" ht="15" customHeight="1" s="783">
      <c r="AW895" s="132" t="n">
        <v>614</v>
      </c>
    </row>
    <row r="896" ht="15" customHeight="1" s="783">
      <c r="AW896" s="132" t="n">
        <v>615</v>
      </c>
    </row>
    <row r="897" ht="15" customHeight="1" s="783">
      <c r="AW897" s="132" t="n">
        <v>616</v>
      </c>
    </row>
    <row r="898" ht="15" customHeight="1" s="783">
      <c r="AW898" s="132" t="n">
        <v>617</v>
      </c>
    </row>
    <row r="899" ht="15" customHeight="1" s="783">
      <c r="AW899" s="132" t="n">
        <v>618</v>
      </c>
    </row>
    <row r="900" ht="15" customHeight="1" s="783">
      <c r="AW900" s="132" t="n">
        <v>619</v>
      </c>
    </row>
    <row r="901" ht="15" customHeight="1" s="783">
      <c r="AW901" s="132" t="n">
        <v>620</v>
      </c>
    </row>
    <row r="902" ht="15" customHeight="1" s="783">
      <c r="AW902" s="132" t="n">
        <v>621</v>
      </c>
    </row>
    <row r="903" ht="15" customHeight="1" s="783">
      <c r="AW903" s="132" t="n">
        <v>622</v>
      </c>
    </row>
    <row r="904" ht="15" customHeight="1" s="783">
      <c r="AW904" s="132" t="n">
        <v>623</v>
      </c>
    </row>
    <row r="905" ht="15" customHeight="1" s="783">
      <c r="AW905" s="132" t="n">
        <v>624</v>
      </c>
    </row>
    <row r="906" ht="15" customHeight="1" s="783">
      <c r="AW906" s="132" t="n">
        <v>625</v>
      </c>
    </row>
    <row r="907" ht="15" customHeight="1" s="783">
      <c r="AW907" s="132" t="n">
        <v>626</v>
      </c>
    </row>
    <row r="908" ht="15" customHeight="1" s="783">
      <c r="AW908" s="132" t="n">
        <v>627</v>
      </c>
    </row>
    <row r="909" ht="15" customHeight="1" s="783">
      <c r="AW909" s="132" t="n">
        <v>628</v>
      </c>
    </row>
    <row r="910" ht="15" customHeight="1" s="783">
      <c r="AW910" s="132" t="n">
        <v>629</v>
      </c>
    </row>
    <row r="911" ht="15" customHeight="1" s="783">
      <c r="AW911" s="132" t="n">
        <v>630</v>
      </c>
    </row>
    <row r="912" ht="15" customHeight="1" s="783">
      <c r="AW912" s="132" t="n">
        <v>631</v>
      </c>
    </row>
    <row r="913" ht="15" customHeight="1" s="783">
      <c r="AW913" s="132" t="n">
        <v>632</v>
      </c>
    </row>
    <row r="914" ht="15" customHeight="1" s="783">
      <c r="AW914" s="132" t="n">
        <v>633</v>
      </c>
    </row>
    <row r="915" ht="15" customHeight="1" s="783">
      <c r="AW915" s="132" t="n">
        <v>634</v>
      </c>
    </row>
    <row r="916" ht="15" customHeight="1" s="783">
      <c r="AW916" s="132" t="n">
        <v>635</v>
      </c>
    </row>
    <row r="917" ht="15" customHeight="1" s="783">
      <c r="AW917" s="132" t="n">
        <v>636</v>
      </c>
    </row>
    <row r="918" ht="15" customHeight="1" s="783">
      <c r="AW918" s="132" t="n">
        <v>637</v>
      </c>
    </row>
    <row r="919" ht="15" customHeight="1" s="783">
      <c r="AW919" s="132" t="n">
        <v>638</v>
      </c>
    </row>
    <row r="920" ht="15" customHeight="1" s="783">
      <c r="AW920" s="132" t="n">
        <v>639</v>
      </c>
    </row>
    <row r="921" ht="15" customHeight="1" s="783">
      <c r="AW921" s="132" t="n">
        <v>640</v>
      </c>
    </row>
    <row r="922" ht="15" customHeight="1" s="783">
      <c r="AW922" s="132" t="n">
        <v>641</v>
      </c>
    </row>
    <row r="923" ht="15" customHeight="1" s="783">
      <c r="AW923" s="132" t="n">
        <v>642</v>
      </c>
    </row>
    <row r="924" ht="15" customHeight="1" s="783">
      <c r="AW924" s="132" t="n">
        <v>643</v>
      </c>
    </row>
    <row r="925" ht="15" customHeight="1" s="783">
      <c r="AW925" s="132" t="n">
        <v>644</v>
      </c>
    </row>
    <row r="926" ht="15" customHeight="1" s="783">
      <c r="AW926" s="132" t="n">
        <v>645</v>
      </c>
    </row>
    <row r="927" ht="15" customHeight="1" s="783">
      <c r="AW927" s="132" t="n">
        <v>646</v>
      </c>
    </row>
    <row r="928" ht="15" customHeight="1" s="783">
      <c r="AW928" s="132" t="n">
        <v>647</v>
      </c>
    </row>
    <row r="929" ht="15" customHeight="1" s="783">
      <c r="AW929" s="132" t="n">
        <v>648</v>
      </c>
    </row>
    <row r="930" ht="15" customHeight="1" s="783">
      <c r="AW930" s="132" t="n">
        <v>649</v>
      </c>
    </row>
    <row r="931" ht="15" customHeight="1" s="783">
      <c r="AW931" s="132" t="n">
        <v>650</v>
      </c>
    </row>
    <row r="932" ht="15" customHeight="1" s="783">
      <c r="AW932" s="132" t="n">
        <v>651</v>
      </c>
    </row>
    <row r="933" ht="15" customHeight="1" s="783">
      <c r="AW933" s="132" t="n">
        <v>652</v>
      </c>
    </row>
    <row r="934" ht="15" customHeight="1" s="783">
      <c r="AW934" s="132" t="n">
        <v>653</v>
      </c>
    </row>
    <row r="935" ht="15" customHeight="1" s="783">
      <c r="AW935" s="132" t="n">
        <v>654</v>
      </c>
    </row>
    <row r="936" ht="15" customHeight="1" s="783">
      <c r="AW936" s="132" t="n">
        <v>655</v>
      </c>
    </row>
    <row r="937" ht="15" customHeight="1" s="783">
      <c r="AW937" s="132" t="n">
        <v>656</v>
      </c>
    </row>
    <row r="938" ht="15" customHeight="1" s="783">
      <c r="AW938" s="132" t="n">
        <v>657</v>
      </c>
    </row>
    <row r="939" ht="15" customHeight="1" s="783">
      <c r="AW939" s="132" t="n">
        <v>658</v>
      </c>
    </row>
    <row r="940" ht="15" customHeight="1" s="783">
      <c r="AW940" s="132" t="n">
        <v>659</v>
      </c>
    </row>
    <row r="941" ht="15" customHeight="1" s="783">
      <c r="AW941" s="132" t="n">
        <v>660</v>
      </c>
    </row>
    <row r="942" ht="15" customHeight="1" s="783">
      <c r="AW942" s="132" t="n">
        <v>661</v>
      </c>
    </row>
    <row r="943" ht="15" customHeight="1" s="783">
      <c r="AW943" s="132" t="n">
        <v>662</v>
      </c>
    </row>
    <row r="944" ht="15" customHeight="1" s="783">
      <c r="AW944" s="132" t="n">
        <v>663</v>
      </c>
    </row>
    <row r="945" ht="15" customHeight="1" s="783">
      <c r="AW945" s="132" t="n">
        <v>664</v>
      </c>
    </row>
    <row r="946" ht="15" customHeight="1" s="783">
      <c r="AW946" s="132" t="n">
        <v>665</v>
      </c>
    </row>
    <row r="947" ht="15" customHeight="1" s="783">
      <c r="AW947" s="132" t="n">
        <v>666</v>
      </c>
    </row>
    <row r="948" ht="15" customHeight="1" s="783">
      <c r="AW948" s="132" t="n">
        <v>667</v>
      </c>
    </row>
    <row r="949" ht="15" customHeight="1" s="783">
      <c r="AW949" s="132" t="n">
        <v>668</v>
      </c>
    </row>
    <row r="950" ht="15" customHeight="1" s="783">
      <c r="AW950" s="132" t="n">
        <v>669</v>
      </c>
    </row>
    <row r="951" ht="15" customHeight="1" s="783">
      <c r="AW951" s="132" t="n">
        <v>670</v>
      </c>
    </row>
    <row r="952" ht="15" customHeight="1" s="783">
      <c r="AW952" s="132" t="n">
        <v>671</v>
      </c>
    </row>
    <row r="953" ht="15" customHeight="1" s="783">
      <c r="AW953" s="132" t="n">
        <v>672</v>
      </c>
    </row>
    <row r="954" ht="15" customHeight="1" s="783">
      <c r="AW954" s="132" t="n">
        <v>673</v>
      </c>
    </row>
    <row r="955" ht="15" customHeight="1" s="783">
      <c r="AW955" s="132" t="n">
        <v>674</v>
      </c>
    </row>
    <row r="956" ht="15" customHeight="1" s="783">
      <c r="AW956" s="132" t="n">
        <v>675</v>
      </c>
    </row>
    <row r="957" ht="15" customHeight="1" s="783">
      <c r="AW957" s="132" t="n">
        <v>676</v>
      </c>
    </row>
    <row r="958" ht="15" customHeight="1" s="783">
      <c r="AW958" s="132" t="n">
        <v>677</v>
      </c>
    </row>
    <row r="959" ht="15" customHeight="1" s="783">
      <c r="AW959" s="132" t="n">
        <v>678</v>
      </c>
    </row>
    <row r="960" ht="15" customHeight="1" s="783">
      <c r="AW960" s="132" t="n">
        <v>679</v>
      </c>
    </row>
    <row r="961" ht="15" customHeight="1" s="783">
      <c r="AW961" s="132" t="n">
        <v>680</v>
      </c>
    </row>
    <row r="962" ht="15" customHeight="1" s="783">
      <c r="AW962" s="132" t="n">
        <v>681</v>
      </c>
    </row>
    <row r="963" ht="15" customHeight="1" s="783">
      <c r="AW963" s="132" t="n">
        <v>682</v>
      </c>
    </row>
    <row r="964" ht="15" customHeight="1" s="783">
      <c r="AW964" s="132" t="n">
        <v>683</v>
      </c>
    </row>
    <row r="965" ht="15" customHeight="1" s="783">
      <c r="AW965" s="132" t="n">
        <v>684</v>
      </c>
    </row>
    <row r="966" ht="15" customHeight="1" s="783">
      <c r="AW966" s="132" t="n">
        <v>685</v>
      </c>
    </row>
    <row r="967" ht="15" customHeight="1" s="783">
      <c r="AW967" s="132" t="n">
        <v>686</v>
      </c>
    </row>
    <row r="968" ht="15" customHeight="1" s="783">
      <c r="AW968" s="132" t="n">
        <v>687</v>
      </c>
    </row>
    <row r="969" ht="15" customHeight="1" s="783">
      <c r="AW969" s="132" t="n">
        <v>688</v>
      </c>
    </row>
    <row r="970" ht="15" customHeight="1" s="783">
      <c r="AW970" s="132" t="n">
        <v>689</v>
      </c>
    </row>
    <row r="971" ht="15" customHeight="1" s="783">
      <c r="AW971" s="132" t="n">
        <v>690</v>
      </c>
    </row>
    <row r="972" ht="15" customHeight="1" s="783">
      <c r="AW972" s="132" t="n">
        <v>691</v>
      </c>
    </row>
    <row r="973" ht="15" customHeight="1" s="783">
      <c r="AW973" s="132" t="n">
        <v>692</v>
      </c>
    </row>
    <row r="974" ht="15" customHeight="1" s="783">
      <c r="AW974" s="132" t="n">
        <v>693</v>
      </c>
    </row>
    <row r="975" ht="15" customHeight="1" s="783">
      <c r="AW975" s="132" t="n">
        <v>694</v>
      </c>
    </row>
    <row r="976" ht="15" customHeight="1" s="783">
      <c r="AW976" s="132" t="n">
        <v>695</v>
      </c>
    </row>
    <row r="977" ht="15" customHeight="1" s="783">
      <c r="AW977" s="132" t="n">
        <v>696</v>
      </c>
    </row>
    <row r="978" ht="15" customHeight="1" s="783">
      <c r="AW978" s="132" t="n">
        <v>697</v>
      </c>
    </row>
    <row r="979" ht="15" customHeight="1" s="783">
      <c r="AW979" s="132" t="n">
        <v>698</v>
      </c>
    </row>
    <row r="980" ht="15" customHeight="1" s="783">
      <c r="AW980" s="132" t="n">
        <v>699</v>
      </c>
    </row>
    <row r="981" ht="15" customHeight="1" s="783">
      <c r="AW981" s="132" t="n">
        <v>700</v>
      </c>
    </row>
    <row r="982" ht="15" customHeight="1" s="783">
      <c r="AW982" s="132" t="n">
        <v>701</v>
      </c>
    </row>
    <row r="983" ht="15" customHeight="1" s="783">
      <c r="AW983" s="132" t="n">
        <v>702</v>
      </c>
    </row>
    <row r="984" ht="15" customHeight="1" s="783">
      <c r="AW984" s="132" t="n">
        <v>703</v>
      </c>
    </row>
    <row r="985" ht="15" customHeight="1" s="783">
      <c r="AW985" s="132" t="n">
        <v>704</v>
      </c>
    </row>
    <row r="986" ht="15" customHeight="1" s="783">
      <c r="AW986" s="132" t="n">
        <v>705</v>
      </c>
    </row>
    <row r="987" ht="15" customHeight="1" s="783">
      <c r="AW987" s="132" t="n">
        <v>706</v>
      </c>
    </row>
    <row r="988" ht="15" customHeight="1" s="783">
      <c r="AW988" s="132" t="n">
        <v>707</v>
      </c>
    </row>
    <row r="989" ht="15" customHeight="1" s="783">
      <c r="AW989" s="132" t="n">
        <v>708</v>
      </c>
    </row>
    <row r="990" ht="15" customHeight="1" s="783">
      <c r="AW990" s="132" t="n">
        <v>709</v>
      </c>
    </row>
    <row r="991" ht="15" customHeight="1" s="783">
      <c r="AW991" s="132" t="n">
        <v>710</v>
      </c>
    </row>
    <row r="992" ht="15" customHeight="1" s="783">
      <c r="AW992" s="132" t="n">
        <v>711</v>
      </c>
    </row>
    <row r="993" ht="15" customHeight="1" s="783">
      <c r="AW993" s="132" t="n">
        <v>712</v>
      </c>
    </row>
    <row r="994" ht="15" customHeight="1" s="783">
      <c r="AW994" s="132" t="n">
        <v>713</v>
      </c>
    </row>
    <row r="995" ht="15" customHeight="1" s="783">
      <c r="AW995" s="132" t="n">
        <v>714</v>
      </c>
    </row>
    <row r="996" ht="15" customHeight="1" s="783">
      <c r="AW996" s="132" t="n">
        <v>715</v>
      </c>
    </row>
    <row r="997" ht="15" customHeight="1" s="783">
      <c r="AW997" s="132" t="n">
        <v>716</v>
      </c>
    </row>
    <row r="998" ht="15" customHeight="1" s="783">
      <c r="AW998" s="132" t="n">
        <v>717</v>
      </c>
    </row>
    <row r="999" ht="15" customHeight="1" s="783">
      <c r="AW999" s="132" t="n">
        <v>718</v>
      </c>
    </row>
    <row r="1000" ht="15" customHeight="1" s="783">
      <c r="AW1000" s="132" t="n">
        <v>719</v>
      </c>
    </row>
    <row r="1001" ht="15" customHeight="1" s="783">
      <c r="AW1001" s="132" t="n">
        <v>720</v>
      </c>
    </row>
    <row r="1002" ht="15" customHeight="1" s="783">
      <c r="AW1002" s="132" t="n">
        <v>721</v>
      </c>
    </row>
    <row r="1003" ht="15" customHeight="1" s="783">
      <c r="AW1003" s="132" t="n">
        <v>722</v>
      </c>
    </row>
    <row r="1004" ht="15" customHeight="1" s="783">
      <c r="AW1004" s="132" t="n">
        <v>723</v>
      </c>
    </row>
    <row r="1005" ht="15" customHeight="1" s="783">
      <c r="AW1005" s="132" t="n">
        <v>724</v>
      </c>
    </row>
    <row r="1006" ht="15" customHeight="1" s="783">
      <c r="AW1006" s="132" t="n">
        <v>725</v>
      </c>
    </row>
    <row r="1007" ht="15" customHeight="1" s="783">
      <c r="AW1007" s="132" t="n">
        <v>726</v>
      </c>
    </row>
    <row r="1008" ht="15" customHeight="1" s="783">
      <c r="AW1008" s="132" t="n">
        <v>727</v>
      </c>
    </row>
    <row r="1009" ht="15" customHeight="1" s="783">
      <c r="AW1009" s="132" t="n">
        <v>728</v>
      </c>
    </row>
    <row r="1010" ht="15" customHeight="1" s="783">
      <c r="AW1010" s="132" t="n">
        <v>729</v>
      </c>
    </row>
    <row r="1011" ht="15" customHeight="1" s="783">
      <c r="AW1011" s="132" t="n">
        <v>730</v>
      </c>
    </row>
    <row r="1012" ht="15" customHeight="1" s="783">
      <c r="AW1012" s="132" t="n">
        <v>731</v>
      </c>
    </row>
    <row r="1013" ht="15" customHeight="1" s="783">
      <c r="AW1013" s="132" t="n">
        <v>732</v>
      </c>
    </row>
    <row r="1014" ht="15" customHeight="1" s="783">
      <c r="AW1014" s="132" t="n">
        <v>733</v>
      </c>
    </row>
    <row r="1015" ht="15" customHeight="1" s="783">
      <c r="AW1015" s="132" t="n">
        <v>734</v>
      </c>
    </row>
    <row r="1016" ht="15" customHeight="1" s="783">
      <c r="AW1016" s="132" t="n">
        <v>735</v>
      </c>
    </row>
    <row r="1017" ht="15" customHeight="1" s="783">
      <c r="AW1017" s="132" t="n">
        <v>736</v>
      </c>
    </row>
    <row r="1018" ht="15" customHeight="1" s="783">
      <c r="AW1018" s="132" t="n">
        <v>737</v>
      </c>
    </row>
    <row r="1019" ht="15" customHeight="1" s="783">
      <c r="AW1019" s="132" t="n">
        <v>738</v>
      </c>
    </row>
    <row r="1020" ht="15" customHeight="1" s="783">
      <c r="AW1020" s="132" t="n">
        <v>739</v>
      </c>
    </row>
    <row r="1021" ht="15" customHeight="1" s="783">
      <c r="AW1021" s="132" t="n">
        <v>740</v>
      </c>
    </row>
    <row r="1022" ht="15" customHeight="1" s="783">
      <c r="AW1022" s="132" t="n">
        <v>741</v>
      </c>
    </row>
    <row r="1023" ht="15" customHeight="1" s="783">
      <c r="AW1023" s="132" t="n">
        <v>742</v>
      </c>
    </row>
    <row r="1024" ht="15" customHeight="1" s="783">
      <c r="AW1024" s="132" t="n">
        <v>743</v>
      </c>
    </row>
    <row r="1025" ht="15" customHeight="1" s="783">
      <c r="AW1025" s="132" t="n">
        <v>744</v>
      </c>
    </row>
    <row r="1026" ht="15" customHeight="1" s="783">
      <c r="AW1026" s="132" t="n">
        <v>745</v>
      </c>
    </row>
    <row r="1027" ht="15" customHeight="1" s="783">
      <c r="AW1027" s="132" t="n">
        <v>746</v>
      </c>
    </row>
    <row r="1028" ht="15" customHeight="1" s="783">
      <c r="AW1028" s="132" t="n">
        <v>747</v>
      </c>
    </row>
    <row r="1029" ht="15" customHeight="1" s="783">
      <c r="AW1029" s="132" t="n">
        <v>748</v>
      </c>
    </row>
    <row r="1030" ht="15" customHeight="1" s="783">
      <c r="AW1030" s="132" t="n">
        <v>749</v>
      </c>
    </row>
    <row r="1031" ht="15" customHeight="1" s="783">
      <c r="AW1031" s="132" t="n">
        <v>750</v>
      </c>
    </row>
    <row r="1032" ht="15" customHeight="1" s="783">
      <c r="AW1032" s="132" t="n">
        <v>751</v>
      </c>
    </row>
    <row r="1033" ht="15" customHeight="1" s="783">
      <c r="AW1033" s="132" t="n">
        <v>752</v>
      </c>
    </row>
    <row r="1034" ht="15" customHeight="1" s="783">
      <c r="AW1034" s="132" t="n">
        <v>753</v>
      </c>
    </row>
    <row r="1035" ht="15" customHeight="1" s="783">
      <c r="AW1035" s="132" t="n">
        <v>754</v>
      </c>
    </row>
    <row r="1036" ht="15" customHeight="1" s="783">
      <c r="AW1036" s="132" t="n">
        <v>755</v>
      </c>
    </row>
    <row r="1037" ht="15" customHeight="1" s="783">
      <c r="AW1037" s="132" t="n">
        <v>756</v>
      </c>
    </row>
    <row r="1038" ht="15" customHeight="1" s="783">
      <c r="AW1038" s="132" t="n">
        <v>757</v>
      </c>
    </row>
    <row r="1039" ht="15" customHeight="1" s="783">
      <c r="AW1039" s="132" t="n">
        <v>758</v>
      </c>
    </row>
    <row r="1040" ht="15" customHeight="1" s="783">
      <c r="AW1040" s="132" t="n">
        <v>759</v>
      </c>
    </row>
    <row r="1041" ht="15" customHeight="1" s="783">
      <c r="AW1041" s="132" t="n">
        <v>760</v>
      </c>
    </row>
    <row r="1042" ht="15" customHeight="1" s="783">
      <c r="AW1042" s="132" t="n">
        <v>761</v>
      </c>
    </row>
    <row r="1043" ht="15" customHeight="1" s="783">
      <c r="AW1043" s="132" t="n">
        <v>762</v>
      </c>
    </row>
    <row r="1044" ht="15" customHeight="1" s="783">
      <c r="AW1044" s="132" t="n">
        <v>763</v>
      </c>
    </row>
    <row r="1045" ht="15" customHeight="1" s="783">
      <c r="AW1045" s="132" t="n">
        <v>764</v>
      </c>
    </row>
    <row r="1046" ht="15" customHeight="1" s="783">
      <c r="AW1046" s="132" t="n">
        <v>765</v>
      </c>
    </row>
    <row r="1047" ht="15" customHeight="1" s="783">
      <c r="AW1047" s="132" t="n">
        <v>766</v>
      </c>
    </row>
    <row r="1048" ht="15" customHeight="1" s="783">
      <c r="AW1048" s="132" t="n">
        <v>767</v>
      </c>
    </row>
    <row r="1049" ht="15" customHeight="1" s="783">
      <c r="AW1049" s="132" t="n">
        <v>768</v>
      </c>
    </row>
    <row r="1050" ht="15" customHeight="1" s="783">
      <c r="AW1050" s="132" t="n">
        <v>769</v>
      </c>
    </row>
    <row r="1051" ht="15" customHeight="1" s="783">
      <c r="AW1051" s="132" t="n">
        <v>770</v>
      </c>
    </row>
    <row r="1052" ht="15" customHeight="1" s="783">
      <c r="AW1052" s="132" t="n">
        <v>771</v>
      </c>
    </row>
    <row r="1053" ht="15" customHeight="1" s="783">
      <c r="AW1053" s="132" t="n">
        <v>772</v>
      </c>
    </row>
    <row r="1054" ht="15" customHeight="1" s="783">
      <c r="AW1054" s="132" t="n">
        <v>773</v>
      </c>
    </row>
    <row r="1055" ht="15" customHeight="1" s="783">
      <c r="AW1055" s="132" t="n">
        <v>774</v>
      </c>
    </row>
    <row r="1056" ht="15" customHeight="1" s="783">
      <c r="AW1056" s="132" t="n">
        <v>775</v>
      </c>
    </row>
    <row r="1057" ht="15" customHeight="1" s="783">
      <c r="AW1057" s="132" t="n">
        <v>776</v>
      </c>
    </row>
    <row r="1058" ht="15" customHeight="1" s="783">
      <c r="AW1058" s="132" t="n">
        <v>777</v>
      </c>
    </row>
    <row r="1059" ht="15" customHeight="1" s="783">
      <c r="AW1059" s="132" t="n">
        <v>778</v>
      </c>
    </row>
    <row r="1060" ht="15" customHeight="1" s="783">
      <c r="AW1060" s="132" t="n">
        <v>779</v>
      </c>
    </row>
    <row r="1061" ht="15" customHeight="1" s="783">
      <c r="AW1061" s="132" t="n">
        <v>780</v>
      </c>
    </row>
    <row r="1062" ht="15" customHeight="1" s="783">
      <c r="AW1062" s="132" t="n">
        <v>781</v>
      </c>
    </row>
    <row r="1063" ht="15" customHeight="1" s="783">
      <c r="AW1063" s="132" t="n">
        <v>782</v>
      </c>
    </row>
    <row r="1064" ht="15" customHeight="1" s="783">
      <c r="AW1064" s="132" t="n">
        <v>783</v>
      </c>
    </row>
    <row r="1065" ht="15" customHeight="1" s="783">
      <c r="AW1065" s="132" t="n">
        <v>784</v>
      </c>
    </row>
    <row r="1066" ht="15" customHeight="1" s="783">
      <c r="AW1066" s="132" t="n">
        <v>785</v>
      </c>
    </row>
    <row r="1067" ht="15" customHeight="1" s="783">
      <c r="AW1067" s="132" t="n">
        <v>786</v>
      </c>
    </row>
    <row r="1068" ht="15" customHeight="1" s="783">
      <c r="AW1068" s="132" t="n">
        <v>787</v>
      </c>
    </row>
    <row r="1069" ht="15" customHeight="1" s="783">
      <c r="AW1069" s="132" t="n">
        <v>788</v>
      </c>
    </row>
    <row r="1070" ht="15" customHeight="1" s="783">
      <c r="AW1070" s="132" t="n">
        <v>789</v>
      </c>
    </row>
    <row r="1071" ht="15" customHeight="1" s="783">
      <c r="AW1071" s="132" t="n">
        <v>790</v>
      </c>
    </row>
    <row r="1072" ht="15" customHeight="1" s="783">
      <c r="AW1072" s="132" t="n">
        <v>791</v>
      </c>
    </row>
    <row r="1073" ht="15" customHeight="1" s="783">
      <c r="AW1073" s="132" t="n">
        <v>792</v>
      </c>
    </row>
    <row r="1074" ht="15" customHeight="1" s="783">
      <c r="AW1074" s="132" t="n">
        <v>793</v>
      </c>
    </row>
    <row r="1075" ht="15" customHeight="1" s="783">
      <c r="AW1075" s="132" t="n">
        <v>794</v>
      </c>
    </row>
    <row r="1076" ht="15" customHeight="1" s="783">
      <c r="AW1076" s="132" t="n">
        <v>795</v>
      </c>
    </row>
    <row r="1077" ht="15" customHeight="1" s="783">
      <c r="AW1077" s="132" t="n">
        <v>796</v>
      </c>
    </row>
    <row r="1078" ht="15" customHeight="1" s="783">
      <c r="AW1078" s="132" t="n">
        <v>797</v>
      </c>
    </row>
    <row r="1079" ht="15" customHeight="1" s="783">
      <c r="AW1079" s="132" t="n">
        <v>798</v>
      </c>
    </row>
    <row r="1080" ht="15" customHeight="1" s="783">
      <c r="AW1080" s="132" t="n">
        <v>799</v>
      </c>
    </row>
    <row r="1081" ht="15" customHeight="1" s="783">
      <c r="AW1081" s="132" t="n">
        <v>800</v>
      </c>
    </row>
    <row r="1082" ht="15" customHeight="1" s="783">
      <c r="AW1082" s="132" t="n">
        <v>801</v>
      </c>
    </row>
    <row r="1083" ht="15" customHeight="1" s="783">
      <c r="AW1083" s="132" t="n">
        <v>802</v>
      </c>
    </row>
    <row r="1084" ht="15" customHeight="1" s="783">
      <c r="AW1084" s="132" t="n">
        <v>803</v>
      </c>
    </row>
    <row r="1085" ht="15" customHeight="1" s="783">
      <c r="AW1085" s="132" t="n">
        <v>804</v>
      </c>
    </row>
    <row r="1086" ht="15" customHeight="1" s="783">
      <c r="AW1086" s="132" t="n">
        <v>805</v>
      </c>
    </row>
    <row r="1087" ht="15" customHeight="1" s="783">
      <c r="AW1087" s="132" t="n">
        <v>806</v>
      </c>
    </row>
    <row r="1088" ht="15" customHeight="1" s="783">
      <c r="AW1088" s="132" t="n">
        <v>807</v>
      </c>
    </row>
    <row r="1089" ht="15" customHeight="1" s="783">
      <c r="AW1089" s="132" t="n">
        <v>808</v>
      </c>
    </row>
    <row r="1090" ht="15" customHeight="1" s="783">
      <c r="AW1090" s="132" t="n">
        <v>809</v>
      </c>
    </row>
    <row r="1091" ht="15" customHeight="1" s="783">
      <c r="AW1091" s="132" t="n">
        <v>810</v>
      </c>
    </row>
    <row r="1092" ht="15" customHeight="1" s="783">
      <c r="AW1092" s="132" t="n">
        <v>811</v>
      </c>
    </row>
    <row r="1093" ht="15" customHeight="1" s="783">
      <c r="AW1093" s="132" t="n">
        <v>812</v>
      </c>
    </row>
    <row r="1094" ht="15" customHeight="1" s="783">
      <c r="AW1094" s="132" t="n">
        <v>813</v>
      </c>
    </row>
    <row r="1095" ht="15" customHeight="1" s="783">
      <c r="AW1095" s="132" t="n">
        <v>814</v>
      </c>
    </row>
    <row r="1096" ht="15" customHeight="1" s="783">
      <c r="AW1096" s="132" t="n">
        <v>815</v>
      </c>
    </row>
    <row r="1097" ht="15" customHeight="1" s="783">
      <c r="AW1097" s="132" t="n">
        <v>816</v>
      </c>
    </row>
    <row r="1098" ht="15" customHeight="1" s="783">
      <c r="AW1098" s="132" t="n">
        <v>817</v>
      </c>
    </row>
    <row r="1099" ht="15" customHeight="1" s="783">
      <c r="AW1099" s="132" t="n">
        <v>818</v>
      </c>
    </row>
    <row r="1100" ht="15" customHeight="1" s="783">
      <c r="AW1100" s="132" t="n">
        <v>819</v>
      </c>
    </row>
    <row r="1101" ht="15" customHeight="1" s="783">
      <c r="AW1101" s="132" t="n">
        <v>820</v>
      </c>
    </row>
    <row r="1102" ht="15" customHeight="1" s="783">
      <c r="AW1102" s="132" t="n">
        <v>821</v>
      </c>
    </row>
    <row r="1103" ht="15" customHeight="1" s="783">
      <c r="AW1103" s="132" t="n">
        <v>822</v>
      </c>
    </row>
    <row r="1104" ht="15" customHeight="1" s="783">
      <c r="AW1104" s="132" t="n">
        <v>823</v>
      </c>
    </row>
    <row r="1105" ht="15" customHeight="1" s="783">
      <c r="AW1105" s="132" t="n">
        <v>824</v>
      </c>
    </row>
    <row r="1106" ht="15" customHeight="1" s="783">
      <c r="AW1106" s="132" t="n">
        <v>825</v>
      </c>
    </row>
    <row r="1107" ht="15" customHeight="1" s="783">
      <c r="AW1107" s="132" t="n">
        <v>826</v>
      </c>
    </row>
    <row r="1108" ht="15" customHeight="1" s="783">
      <c r="AW1108" s="132" t="n">
        <v>827</v>
      </c>
    </row>
    <row r="1109" ht="15" customHeight="1" s="783">
      <c r="AW1109" s="132" t="n">
        <v>828</v>
      </c>
    </row>
    <row r="1110" ht="15" customHeight="1" s="783">
      <c r="AW1110" s="132" t="n">
        <v>829</v>
      </c>
    </row>
    <row r="1111" ht="15" customHeight="1" s="783">
      <c r="AW1111" s="132" t="n">
        <v>830</v>
      </c>
    </row>
    <row r="1112" ht="15" customHeight="1" s="783">
      <c r="AW1112" s="132" t="n">
        <v>831</v>
      </c>
    </row>
    <row r="1113" ht="15" customHeight="1" s="783">
      <c r="AW1113" s="132" t="n">
        <v>832</v>
      </c>
    </row>
    <row r="1114" ht="15" customHeight="1" s="783">
      <c r="AW1114" s="132" t="n">
        <v>833</v>
      </c>
    </row>
    <row r="1115" ht="15" customHeight="1" s="783">
      <c r="AW1115" s="132" t="n">
        <v>834</v>
      </c>
    </row>
    <row r="1116" ht="15" customHeight="1" s="783">
      <c r="AW1116" s="132" t="n">
        <v>835</v>
      </c>
    </row>
    <row r="1117" ht="15" customHeight="1" s="783">
      <c r="AW1117" s="132" t="n">
        <v>836</v>
      </c>
    </row>
    <row r="1118" ht="15" customHeight="1" s="783">
      <c r="AW1118" s="132" t="n">
        <v>837</v>
      </c>
    </row>
    <row r="1119" ht="15" customHeight="1" s="783">
      <c r="AW1119" s="132" t="n">
        <v>838</v>
      </c>
    </row>
    <row r="1120" ht="15" customHeight="1" s="783">
      <c r="AW1120" s="132" t="n">
        <v>839</v>
      </c>
    </row>
    <row r="1121" ht="15" customHeight="1" s="783">
      <c r="AW1121" s="132" t="n">
        <v>840</v>
      </c>
    </row>
    <row r="1122" ht="15" customHeight="1" s="783">
      <c r="AW1122" s="132" t="n">
        <v>841</v>
      </c>
    </row>
    <row r="1123" ht="15" customHeight="1" s="783">
      <c r="AW1123" s="132" t="n">
        <v>842</v>
      </c>
    </row>
    <row r="1124" ht="15" customHeight="1" s="783">
      <c r="AW1124" s="132" t="n">
        <v>843</v>
      </c>
    </row>
    <row r="1125" ht="15" customHeight="1" s="783">
      <c r="AW1125" s="132" t="n">
        <v>844</v>
      </c>
    </row>
    <row r="1126" ht="15" customHeight="1" s="783">
      <c r="AW1126" s="132" t="n">
        <v>845</v>
      </c>
    </row>
    <row r="1127" ht="15" customHeight="1" s="783">
      <c r="AW1127" s="132" t="n">
        <v>846</v>
      </c>
    </row>
    <row r="1128" ht="15" customHeight="1" s="783">
      <c r="AW1128" s="132" t="n">
        <v>847</v>
      </c>
    </row>
    <row r="1129" ht="15" customHeight="1" s="783">
      <c r="AW1129" s="132" t="n">
        <v>848</v>
      </c>
    </row>
    <row r="1130" ht="15" customHeight="1" s="783">
      <c r="AW1130" s="132" t="n">
        <v>849</v>
      </c>
    </row>
    <row r="1131" ht="15" customHeight="1" s="783">
      <c r="AW1131" s="132" t="n">
        <v>850</v>
      </c>
    </row>
    <row r="1132" ht="15" customHeight="1" s="783">
      <c r="AW1132" s="132" t="n">
        <v>851</v>
      </c>
    </row>
    <row r="1133" ht="15" customHeight="1" s="783">
      <c r="AW1133" s="132" t="n">
        <v>852</v>
      </c>
    </row>
    <row r="1134" ht="15" customHeight="1" s="783">
      <c r="AW1134" s="132" t="n">
        <v>853</v>
      </c>
    </row>
    <row r="1135" ht="15" customHeight="1" s="783">
      <c r="AW1135" s="132" t="n">
        <v>854</v>
      </c>
    </row>
    <row r="1136" ht="15" customHeight="1" s="783">
      <c r="AW1136" s="132" t="n">
        <v>855</v>
      </c>
    </row>
    <row r="1137" ht="15" customHeight="1" s="783">
      <c r="AW1137" s="132" t="n">
        <v>856</v>
      </c>
    </row>
    <row r="1138" ht="15" customHeight="1" s="783">
      <c r="AW1138" s="132" t="n">
        <v>857</v>
      </c>
    </row>
    <row r="1139" ht="15" customHeight="1" s="783">
      <c r="AW1139" s="132" t="n">
        <v>858</v>
      </c>
    </row>
    <row r="1140" ht="15" customHeight="1" s="783">
      <c r="AW1140" s="132" t="n">
        <v>859</v>
      </c>
    </row>
    <row r="1141" ht="15" customHeight="1" s="783">
      <c r="AW1141" s="132" t="n">
        <v>860</v>
      </c>
    </row>
    <row r="1142" ht="15" customHeight="1" s="783">
      <c r="AW1142" s="132" t="n">
        <v>861</v>
      </c>
    </row>
    <row r="1143" ht="15" customHeight="1" s="783">
      <c r="AW1143" s="132" t="n">
        <v>862</v>
      </c>
    </row>
    <row r="1144" ht="15" customHeight="1" s="783">
      <c r="AW1144" s="132" t="n">
        <v>863</v>
      </c>
    </row>
    <row r="1145" ht="15" customHeight="1" s="783">
      <c r="AW1145" s="132" t="n">
        <v>864</v>
      </c>
    </row>
    <row r="1146" ht="15" customHeight="1" s="783">
      <c r="AW1146" s="132" t="n">
        <v>865</v>
      </c>
    </row>
    <row r="1147" ht="15" customHeight="1" s="783">
      <c r="AW1147" s="132" t="n">
        <v>866</v>
      </c>
    </row>
    <row r="1148" ht="15" customHeight="1" s="783">
      <c r="AW1148" s="132" t="n">
        <v>867</v>
      </c>
    </row>
    <row r="1149" ht="15" customHeight="1" s="783">
      <c r="AW1149" s="132" t="n">
        <v>868</v>
      </c>
    </row>
    <row r="1150" ht="15" customHeight="1" s="783">
      <c r="AW1150" s="132" t="n">
        <v>869</v>
      </c>
    </row>
    <row r="1151" ht="15" customHeight="1" s="783">
      <c r="AW1151" s="132" t="n">
        <v>870</v>
      </c>
    </row>
    <row r="1152" ht="15" customHeight="1" s="783">
      <c r="AW1152" s="132" t="n">
        <v>871</v>
      </c>
    </row>
    <row r="1153" ht="15" customHeight="1" s="783">
      <c r="AW1153" s="132" t="n">
        <v>872</v>
      </c>
    </row>
    <row r="1154" ht="15" customHeight="1" s="783">
      <c r="AW1154" s="132" t="n">
        <v>873</v>
      </c>
    </row>
    <row r="1155" ht="15" customHeight="1" s="783">
      <c r="AW1155" s="132" t="n">
        <v>874</v>
      </c>
    </row>
    <row r="1156" ht="15" customHeight="1" s="783">
      <c r="AW1156" s="132" t="n">
        <v>875</v>
      </c>
    </row>
    <row r="1157" ht="15" customHeight="1" s="783">
      <c r="AW1157" s="132" t="n">
        <v>876</v>
      </c>
    </row>
    <row r="1158" ht="15" customHeight="1" s="783">
      <c r="AW1158" s="132" t="n">
        <v>877</v>
      </c>
    </row>
    <row r="1159" ht="15" customHeight="1" s="783">
      <c r="AW1159" s="132" t="n">
        <v>878</v>
      </c>
    </row>
    <row r="1160" ht="15" customHeight="1" s="783">
      <c r="AW1160" s="132" t="n">
        <v>879</v>
      </c>
    </row>
    <row r="1161" ht="15" customHeight="1" s="783">
      <c r="AW1161" s="132" t="n">
        <v>880</v>
      </c>
    </row>
    <row r="1162" ht="15" customHeight="1" s="783">
      <c r="AW1162" s="132" t="n">
        <v>881</v>
      </c>
    </row>
    <row r="1163" ht="15" customHeight="1" s="783">
      <c r="AW1163" s="132" t="n">
        <v>882</v>
      </c>
    </row>
    <row r="1164" ht="15" customHeight="1" s="783">
      <c r="AW1164" s="132" t="n">
        <v>883</v>
      </c>
    </row>
    <row r="1165" ht="15" customHeight="1" s="783">
      <c r="AW1165" s="132" t="n">
        <v>884</v>
      </c>
    </row>
    <row r="1166" ht="15" customHeight="1" s="783">
      <c r="AW1166" s="132" t="n">
        <v>885</v>
      </c>
    </row>
    <row r="1167" ht="15" customHeight="1" s="783">
      <c r="AW1167" s="132" t="n">
        <v>886</v>
      </c>
    </row>
    <row r="1168" ht="15" customHeight="1" s="783">
      <c r="AW1168" s="132" t="n">
        <v>887</v>
      </c>
    </row>
    <row r="1169" ht="15" customHeight="1" s="783">
      <c r="AW1169" s="132" t="n">
        <v>888</v>
      </c>
    </row>
    <row r="1170" ht="15" customHeight="1" s="783">
      <c r="AW1170" s="132" t="n">
        <v>889</v>
      </c>
    </row>
    <row r="1171" ht="15" customHeight="1" s="783">
      <c r="AW1171" s="132" t="n">
        <v>890</v>
      </c>
    </row>
    <row r="1172" ht="15" customHeight="1" s="783">
      <c r="AW1172" s="132" t="n">
        <v>891</v>
      </c>
    </row>
    <row r="1173" ht="15" customHeight="1" s="783">
      <c r="AW1173" s="132" t="n">
        <v>892</v>
      </c>
    </row>
    <row r="1174" ht="15" customHeight="1" s="783">
      <c r="AW1174" s="132" t="n">
        <v>893</v>
      </c>
    </row>
    <row r="1175" ht="15" customHeight="1" s="783">
      <c r="AW1175" s="132" t="n">
        <v>894</v>
      </c>
    </row>
    <row r="1176" ht="15" customHeight="1" s="783">
      <c r="AW1176" s="132" t="n">
        <v>895</v>
      </c>
    </row>
    <row r="1177" ht="15" customHeight="1" s="783">
      <c r="AW1177" s="132" t="n">
        <v>896</v>
      </c>
    </row>
    <row r="1178" ht="15" customHeight="1" s="783">
      <c r="AW1178" s="132" t="n">
        <v>897</v>
      </c>
    </row>
    <row r="1179" ht="15" customHeight="1" s="783">
      <c r="AW1179" s="132" t="n">
        <v>898</v>
      </c>
    </row>
    <row r="1180" ht="15" customHeight="1" s="783">
      <c r="AW1180" s="132" t="n">
        <v>899</v>
      </c>
    </row>
    <row r="1181" ht="15" customHeight="1" s="783">
      <c r="AW1181" s="132" t="n">
        <v>900</v>
      </c>
    </row>
    <row r="1182" ht="15" customHeight="1" s="783">
      <c r="AW1182" s="132" t="n">
        <v>901</v>
      </c>
    </row>
    <row r="1183" ht="15" customHeight="1" s="783">
      <c r="AW1183" s="132" t="n">
        <v>902</v>
      </c>
    </row>
    <row r="1184" ht="15" customHeight="1" s="783">
      <c r="AW1184" s="132" t="n">
        <v>903</v>
      </c>
    </row>
    <row r="1185" ht="15" customHeight="1" s="783">
      <c r="AW1185" s="132" t="n">
        <v>904</v>
      </c>
    </row>
    <row r="1186" ht="15" customHeight="1" s="783">
      <c r="AW1186" s="132" t="n">
        <v>905</v>
      </c>
    </row>
    <row r="1187" ht="15" customHeight="1" s="783">
      <c r="AW1187" s="132" t="n">
        <v>906</v>
      </c>
    </row>
    <row r="1188" ht="15" customHeight="1" s="783">
      <c r="AW1188" s="132" t="n">
        <v>907</v>
      </c>
    </row>
    <row r="1189" ht="15" customHeight="1" s="783">
      <c r="AW1189" s="132" t="n">
        <v>908</v>
      </c>
    </row>
    <row r="1190" ht="15" customHeight="1" s="783">
      <c r="AW1190" s="132" t="n">
        <v>909</v>
      </c>
    </row>
    <row r="1191" ht="15" customHeight="1" s="783">
      <c r="AW1191" s="132" t="n">
        <v>910</v>
      </c>
    </row>
    <row r="1192" ht="15" customHeight="1" s="783">
      <c r="AW1192" s="132" t="n">
        <v>911</v>
      </c>
    </row>
    <row r="1193" ht="15" customHeight="1" s="783">
      <c r="AW1193" s="132" t="n">
        <v>912</v>
      </c>
    </row>
    <row r="1194" ht="15" customHeight="1" s="783">
      <c r="AW1194" s="132" t="n">
        <v>913</v>
      </c>
    </row>
    <row r="1195" ht="15" customHeight="1" s="783">
      <c r="AW1195" s="132" t="n">
        <v>914</v>
      </c>
    </row>
    <row r="1196" ht="15" customHeight="1" s="783">
      <c r="AW1196" s="132" t="n">
        <v>915</v>
      </c>
    </row>
    <row r="1197" ht="15" customHeight="1" s="783">
      <c r="AW1197" s="132" t="n">
        <v>916</v>
      </c>
    </row>
    <row r="1198" ht="15" customHeight="1" s="783">
      <c r="AW1198" s="132" t="n">
        <v>917</v>
      </c>
    </row>
    <row r="1199" ht="15" customHeight="1" s="783">
      <c r="AW1199" s="132" t="n">
        <v>918</v>
      </c>
    </row>
    <row r="1200" ht="15" customHeight="1" s="783">
      <c r="AW1200" s="132" t="n">
        <v>919</v>
      </c>
    </row>
    <row r="1201" ht="15" customHeight="1" s="783">
      <c r="AW1201" s="132" t="n">
        <v>920</v>
      </c>
    </row>
    <row r="1202" ht="15" customHeight="1" s="783">
      <c r="AW1202" s="132" t="n">
        <v>921</v>
      </c>
    </row>
    <row r="1203" ht="15" customHeight="1" s="783">
      <c r="AW1203" s="132" t="n">
        <v>922</v>
      </c>
    </row>
    <row r="1204" ht="15" customHeight="1" s="783">
      <c r="AW1204" s="132" t="n">
        <v>923</v>
      </c>
    </row>
    <row r="1205" ht="15" customHeight="1" s="783">
      <c r="AW1205" s="132" t="n">
        <v>924</v>
      </c>
    </row>
    <row r="1206" ht="15" customHeight="1" s="783">
      <c r="AW1206" s="132" t="n">
        <v>925</v>
      </c>
    </row>
    <row r="1207" ht="15" customHeight="1" s="783">
      <c r="AW1207" s="132" t="n">
        <v>926</v>
      </c>
    </row>
    <row r="1208" ht="15" customHeight="1" s="783">
      <c r="AW1208" s="132" t="n">
        <v>927</v>
      </c>
    </row>
    <row r="1209" ht="15" customHeight="1" s="783">
      <c r="AW1209" s="132" t="n">
        <v>928</v>
      </c>
    </row>
    <row r="1210" ht="15" customHeight="1" s="783">
      <c r="AW1210" s="132" t="n">
        <v>929</v>
      </c>
    </row>
    <row r="1211" ht="15" customHeight="1" s="783">
      <c r="AW1211" s="132" t="n">
        <v>930</v>
      </c>
    </row>
    <row r="1212" ht="15" customHeight="1" s="783">
      <c r="AW1212" s="132" t="n">
        <v>931</v>
      </c>
    </row>
    <row r="1213" ht="15" customHeight="1" s="783">
      <c r="AW1213" s="132" t="n">
        <v>932</v>
      </c>
    </row>
    <row r="1214" ht="15" customHeight="1" s="783">
      <c r="AW1214" s="132" t="n">
        <v>933</v>
      </c>
    </row>
    <row r="1215" ht="15" customHeight="1" s="783">
      <c r="AW1215" s="132" t="n">
        <v>934</v>
      </c>
    </row>
    <row r="1216" ht="15" customHeight="1" s="783">
      <c r="AW1216" s="132" t="n">
        <v>935</v>
      </c>
    </row>
    <row r="1217" ht="15" customHeight="1" s="783">
      <c r="AW1217" s="132" t="n">
        <v>936</v>
      </c>
    </row>
    <row r="1218" ht="15" customHeight="1" s="783">
      <c r="AW1218" s="132" t="n">
        <v>937</v>
      </c>
    </row>
    <row r="1219" ht="15" customHeight="1" s="783">
      <c r="AW1219" s="132" t="n">
        <v>938</v>
      </c>
    </row>
    <row r="1220" ht="15" customHeight="1" s="783">
      <c r="AW1220" s="132" t="n">
        <v>939</v>
      </c>
    </row>
    <row r="1221" ht="15" customHeight="1" s="783">
      <c r="AW1221" s="132" t="n">
        <v>940</v>
      </c>
    </row>
    <row r="1222" ht="15" customHeight="1" s="783">
      <c r="AW1222" s="132" t="n">
        <v>941</v>
      </c>
    </row>
    <row r="1223" ht="15" customHeight="1" s="783">
      <c r="AW1223" s="132" t="n">
        <v>942</v>
      </c>
    </row>
    <row r="1224" ht="15" customHeight="1" s="783">
      <c r="AW1224" s="132" t="n">
        <v>943</v>
      </c>
    </row>
    <row r="1225" ht="15" customHeight="1" s="783">
      <c r="AW1225" s="132" t="n">
        <v>944</v>
      </c>
    </row>
    <row r="1226" ht="15" customHeight="1" s="783">
      <c r="AW1226" s="132" t="n">
        <v>945</v>
      </c>
    </row>
    <row r="1227" ht="15" customHeight="1" s="783">
      <c r="AW1227" s="132" t="n">
        <v>946</v>
      </c>
    </row>
    <row r="1228" ht="15" customHeight="1" s="783">
      <c r="AW1228" s="132" t="n">
        <v>947</v>
      </c>
    </row>
    <row r="1229" ht="15" customHeight="1" s="783">
      <c r="AW1229" s="132" t="n">
        <v>948</v>
      </c>
    </row>
    <row r="1230" ht="15" customHeight="1" s="783">
      <c r="AW1230" s="132" t="n">
        <v>949</v>
      </c>
    </row>
    <row r="1231" ht="15" customHeight="1" s="783">
      <c r="AW1231" s="132" t="n">
        <v>950</v>
      </c>
    </row>
    <row r="1232" ht="15" customHeight="1" s="783">
      <c r="AW1232" s="132" t="n">
        <v>951</v>
      </c>
    </row>
    <row r="1233" ht="15" customHeight="1" s="783">
      <c r="AW1233" s="132" t="n">
        <v>952</v>
      </c>
    </row>
    <row r="1234" ht="15" customHeight="1" s="783">
      <c r="AW1234" s="132" t="n">
        <v>953</v>
      </c>
    </row>
    <row r="1235" ht="15" customHeight="1" s="783">
      <c r="AW1235" s="132" t="n">
        <v>954</v>
      </c>
    </row>
    <row r="1236" ht="15" customHeight="1" s="783">
      <c r="AW1236" s="132" t="n">
        <v>955</v>
      </c>
    </row>
    <row r="1237" ht="15" customHeight="1" s="783">
      <c r="AW1237" s="132" t="n">
        <v>956</v>
      </c>
    </row>
    <row r="1238" ht="15" customHeight="1" s="783">
      <c r="AW1238" s="132" t="n">
        <v>957</v>
      </c>
    </row>
    <row r="1239" ht="15" customHeight="1" s="783">
      <c r="AW1239" s="132" t="n">
        <v>958</v>
      </c>
    </row>
    <row r="1240" ht="15" customHeight="1" s="783">
      <c r="AW1240" s="132" t="n">
        <v>959</v>
      </c>
    </row>
    <row r="1241" ht="15" customHeight="1" s="783">
      <c r="AW1241" s="132" t="n">
        <v>960</v>
      </c>
    </row>
    <row r="1242" ht="15" customHeight="1" s="783">
      <c r="AW1242" s="132" t="n">
        <v>961</v>
      </c>
    </row>
    <row r="1243" ht="15" customHeight="1" s="783">
      <c r="AW1243" s="132" t="n">
        <v>962</v>
      </c>
    </row>
    <row r="1244" ht="15" customHeight="1" s="783">
      <c r="AW1244" s="132" t="n">
        <v>963</v>
      </c>
    </row>
    <row r="1245" ht="15" customHeight="1" s="783">
      <c r="AW1245" s="132" t="n">
        <v>964</v>
      </c>
    </row>
    <row r="1246" ht="15" customHeight="1" s="783">
      <c r="AW1246" s="132" t="n">
        <v>965</v>
      </c>
    </row>
    <row r="1247" ht="15" customHeight="1" s="783">
      <c r="AW1247" s="132" t="n">
        <v>966</v>
      </c>
    </row>
    <row r="1248" ht="15" customHeight="1" s="783">
      <c r="AW1248" s="132" t="n">
        <v>967</v>
      </c>
    </row>
    <row r="1249" ht="15" customHeight="1" s="783">
      <c r="AW1249" s="132" t="n">
        <v>968</v>
      </c>
    </row>
    <row r="1250" ht="15" customHeight="1" s="783">
      <c r="AW1250" s="132" t="n">
        <v>969</v>
      </c>
    </row>
    <row r="1251" ht="15" customHeight="1" s="783">
      <c r="AW1251" s="132" t="n">
        <v>970</v>
      </c>
    </row>
    <row r="1252" ht="15" customHeight="1" s="783">
      <c r="AW1252" s="132" t="n">
        <v>971</v>
      </c>
    </row>
    <row r="1253" ht="15" customHeight="1" s="783">
      <c r="AW1253" s="132" t="n">
        <v>972</v>
      </c>
    </row>
    <row r="1254" ht="15" customHeight="1" s="783">
      <c r="AW1254" s="132" t="n">
        <v>973</v>
      </c>
    </row>
    <row r="1255" ht="15" customHeight="1" s="783">
      <c r="AW1255" s="132" t="n">
        <v>974</v>
      </c>
    </row>
    <row r="1256" ht="15" customHeight="1" s="783">
      <c r="AW1256" s="132" t="n">
        <v>975</v>
      </c>
    </row>
    <row r="1257" ht="15" customHeight="1" s="783">
      <c r="AW1257" s="132" t="n">
        <v>976</v>
      </c>
    </row>
    <row r="1258" ht="15" customHeight="1" s="783">
      <c r="AW1258" s="132" t="n">
        <v>977</v>
      </c>
    </row>
    <row r="1259" ht="15" customHeight="1" s="783">
      <c r="AW1259" s="132" t="n">
        <v>978</v>
      </c>
    </row>
    <row r="1260" ht="15" customHeight="1" s="783">
      <c r="AW1260" s="132" t="n">
        <v>979</v>
      </c>
    </row>
    <row r="1261" ht="15" customHeight="1" s="783">
      <c r="AW1261" s="132" t="n">
        <v>980</v>
      </c>
    </row>
    <row r="1262" ht="15" customHeight="1" s="783">
      <c r="AW1262" s="132" t="n">
        <v>981</v>
      </c>
    </row>
    <row r="1263" ht="15" customHeight="1" s="783">
      <c r="AW1263" s="132" t="n">
        <v>982</v>
      </c>
    </row>
    <row r="1264" ht="15" customHeight="1" s="783">
      <c r="AW1264" s="132" t="n">
        <v>983</v>
      </c>
    </row>
    <row r="1265" ht="15" customHeight="1" s="783">
      <c r="AW1265" s="132" t="n">
        <v>984</v>
      </c>
    </row>
    <row r="1266" ht="15" customHeight="1" s="783">
      <c r="AW1266" s="132" t="n">
        <v>985</v>
      </c>
    </row>
    <row r="1267" ht="15" customHeight="1" s="783">
      <c r="AW1267" s="132" t="n">
        <v>986</v>
      </c>
    </row>
    <row r="1268" ht="15" customHeight="1" s="783">
      <c r="AW1268" s="132" t="n">
        <v>987</v>
      </c>
    </row>
    <row r="1269" ht="15" customHeight="1" s="783">
      <c r="AW1269" s="132" t="n">
        <v>988</v>
      </c>
    </row>
    <row r="1270" ht="15" customHeight="1" s="783">
      <c r="AW1270" s="132" t="n">
        <v>989</v>
      </c>
    </row>
    <row r="1271" ht="15" customHeight="1" s="783">
      <c r="AW1271" s="132" t="n">
        <v>990</v>
      </c>
    </row>
    <row r="1272" ht="15" customHeight="1" s="783">
      <c r="AW1272" s="132" t="n">
        <v>991</v>
      </c>
    </row>
    <row r="1273" ht="15" customHeight="1" s="783">
      <c r="AW1273" s="132" t="n">
        <v>992</v>
      </c>
    </row>
    <row r="1274" ht="15" customHeight="1" s="783">
      <c r="AW1274" s="132" t="n">
        <v>993</v>
      </c>
    </row>
    <row r="1275" ht="15" customHeight="1" s="783">
      <c r="AW1275" s="132" t="n">
        <v>994</v>
      </c>
    </row>
    <row r="1276" ht="15" customHeight="1" s="783">
      <c r="AW1276" s="132" t="n">
        <v>995</v>
      </c>
    </row>
    <row r="1277" ht="15" customHeight="1" s="783">
      <c r="AW1277" s="132" t="n">
        <v>996</v>
      </c>
    </row>
    <row r="1278" ht="15" customHeight="1" s="783">
      <c r="AW1278" s="132" t="n">
        <v>997</v>
      </c>
    </row>
    <row r="1279" ht="15" customHeight="1" s="783">
      <c r="AW1279" s="132" t="n">
        <v>998</v>
      </c>
    </row>
    <row r="1280" ht="15" customHeight="1" s="783">
      <c r="AW1280" s="132" t="n">
        <v>999</v>
      </c>
    </row>
    <row r="1281" ht="15" customHeight="1" s="783">
      <c r="AW1281" s="132" t="n">
        <v>1000</v>
      </c>
    </row>
    <row r="1282" ht="15" customHeight="1" s="783">
      <c r="AW1282" s="132" t="n">
        <v>1001</v>
      </c>
    </row>
    <row r="1283" ht="15" customHeight="1" s="783">
      <c r="AW1283" s="132" t="n">
        <v>1002</v>
      </c>
    </row>
    <row r="1284" ht="15" customHeight="1" s="783">
      <c r="AW1284" s="132" t="n">
        <v>1003</v>
      </c>
    </row>
    <row r="1285" ht="15" customHeight="1" s="783">
      <c r="AW1285" s="132" t="n">
        <v>1004</v>
      </c>
    </row>
    <row r="1286" ht="15" customHeight="1" s="783">
      <c r="AW1286" s="132" t="n">
        <v>1005</v>
      </c>
    </row>
    <row r="1287" ht="15" customHeight="1" s="783">
      <c r="AW1287" s="132" t="n">
        <v>1006</v>
      </c>
    </row>
    <row r="1288" ht="15" customHeight="1" s="783">
      <c r="AW1288" s="132" t="n">
        <v>1007</v>
      </c>
    </row>
    <row r="1289" ht="15" customHeight="1" s="783">
      <c r="AW1289" s="132" t="n">
        <v>1008</v>
      </c>
    </row>
    <row r="1290" ht="15" customHeight="1" s="783">
      <c r="AW1290" s="132" t="n">
        <v>1009</v>
      </c>
    </row>
    <row r="1291" ht="15" customHeight="1" s="783">
      <c r="AW1291" s="132" t="n">
        <v>1010</v>
      </c>
    </row>
    <row r="1292" ht="15" customHeight="1" s="783">
      <c r="AW1292" s="132" t="n">
        <v>1011</v>
      </c>
    </row>
    <row r="1293" ht="15" customHeight="1" s="783">
      <c r="AW1293" s="132" t="n">
        <v>1012</v>
      </c>
    </row>
    <row r="1294" ht="15" customHeight="1" s="783">
      <c r="AW1294" s="132" t="n">
        <v>1013</v>
      </c>
    </row>
    <row r="1295" ht="15" customHeight="1" s="783">
      <c r="AW1295" s="132" t="n">
        <v>1014</v>
      </c>
    </row>
    <row r="1296" ht="15" customHeight="1" s="783">
      <c r="AW1296" s="132" t="n">
        <v>1015</v>
      </c>
    </row>
    <row r="1297" ht="15" customHeight="1" s="783">
      <c r="AW1297" s="132" t="n">
        <v>1016</v>
      </c>
    </row>
    <row r="1298" ht="15" customHeight="1" s="783">
      <c r="AW1298" s="132" t="n">
        <v>1017</v>
      </c>
    </row>
    <row r="1299" ht="15" customHeight="1" s="783">
      <c r="AW1299" s="132" t="n">
        <v>1018</v>
      </c>
    </row>
    <row r="1300" ht="15" customHeight="1" s="783">
      <c r="AW1300" s="132" t="n">
        <v>1019</v>
      </c>
    </row>
    <row r="1301" ht="15" customHeight="1" s="783">
      <c r="AW1301" s="132" t="n">
        <v>1020</v>
      </c>
    </row>
    <row r="1302" ht="15" customHeight="1" s="783">
      <c r="AW1302" s="132" t="n">
        <v>1021</v>
      </c>
    </row>
    <row r="1303" ht="15" customHeight="1" s="783">
      <c r="AW1303" s="132" t="n">
        <v>1022</v>
      </c>
    </row>
    <row r="1304" ht="15" customHeight="1" s="783">
      <c r="AW1304" s="132" t="n">
        <v>1023</v>
      </c>
    </row>
    <row r="1305" ht="15" customHeight="1" s="783">
      <c r="AW1305" s="132" t="n">
        <v>1024</v>
      </c>
    </row>
    <row r="1306" ht="15" customHeight="1" s="783">
      <c r="AW1306" s="132" t="n">
        <v>1025</v>
      </c>
    </row>
    <row r="1307" ht="15" customHeight="1" s="783">
      <c r="AW1307" s="132" t="n">
        <v>1026</v>
      </c>
    </row>
    <row r="1308" ht="15" customHeight="1" s="783">
      <c r="AW1308" s="132" t="n">
        <v>1027</v>
      </c>
    </row>
    <row r="1309" ht="15" customHeight="1" s="783">
      <c r="AW1309" s="132" t="n">
        <v>1028</v>
      </c>
    </row>
    <row r="1310" ht="15" customHeight="1" s="783">
      <c r="AW1310" s="132" t="n">
        <v>1029</v>
      </c>
    </row>
    <row r="1311" ht="15" customHeight="1" s="783">
      <c r="AW1311" s="132" t="n">
        <v>1030</v>
      </c>
    </row>
    <row r="1312" ht="15" customHeight="1" s="783">
      <c r="AW1312" s="132" t="n">
        <v>1031</v>
      </c>
    </row>
    <row r="1313" ht="15" customHeight="1" s="783">
      <c r="AW1313" s="132" t="n">
        <v>1032</v>
      </c>
    </row>
    <row r="1314" ht="15" customHeight="1" s="783">
      <c r="AW1314" s="132" t="n">
        <v>1033</v>
      </c>
    </row>
    <row r="1315" ht="15" customHeight="1" s="783">
      <c r="AW1315" s="132" t="n">
        <v>1034</v>
      </c>
    </row>
    <row r="1316" ht="15" customHeight="1" s="783">
      <c r="AW1316" s="132" t="n">
        <v>1035</v>
      </c>
    </row>
    <row r="1317" ht="15" customHeight="1" s="783">
      <c r="AW1317" s="132" t="n">
        <v>1036</v>
      </c>
    </row>
    <row r="1318" ht="15" customHeight="1" s="783">
      <c r="AW1318" s="132" t="n">
        <v>1037</v>
      </c>
    </row>
    <row r="1319" ht="15" customHeight="1" s="783">
      <c r="AW1319" s="132" t="n">
        <v>1038</v>
      </c>
    </row>
    <row r="1320" ht="15" customHeight="1" s="783">
      <c r="AW1320" s="132" t="n">
        <v>1039</v>
      </c>
    </row>
    <row r="1321" ht="15" customHeight="1" s="783">
      <c r="AW1321" s="132" t="n">
        <v>1040</v>
      </c>
    </row>
    <row r="1322" ht="15" customHeight="1" s="783">
      <c r="AW1322" s="132" t="n">
        <v>1041</v>
      </c>
    </row>
    <row r="1323" ht="15" customHeight="1" s="783">
      <c r="AW1323" s="132" t="n">
        <v>1042</v>
      </c>
    </row>
    <row r="1324" ht="15" customHeight="1" s="783">
      <c r="AW1324" s="132" t="n">
        <v>1043</v>
      </c>
    </row>
    <row r="1325" ht="15" customHeight="1" s="783">
      <c r="AW1325" s="132" t="n">
        <v>1044</v>
      </c>
    </row>
    <row r="1326" ht="15" customHeight="1" s="783">
      <c r="AW1326" s="132" t="n">
        <v>1045</v>
      </c>
    </row>
    <row r="1327" ht="15" customHeight="1" s="783">
      <c r="AW1327" s="132" t="n">
        <v>1046</v>
      </c>
    </row>
    <row r="1328" ht="15" customHeight="1" s="783">
      <c r="AW1328" s="132" t="n">
        <v>1047</v>
      </c>
    </row>
    <row r="1329" ht="15" customHeight="1" s="783">
      <c r="AW1329" s="132" t="n">
        <v>1048</v>
      </c>
    </row>
    <row r="1330" ht="15" customHeight="1" s="783">
      <c r="AW1330" s="132" t="n">
        <v>1049</v>
      </c>
    </row>
    <row r="1331" ht="15" customHeight="1" s="783">
      <c r="AW1331" s="132" t="n">
        <v>1050</v>
      </c>
    </row>
    <row r="1332" ht="15" customHeight="1" s="783">
      <c r="AW1332" s="132" t="n">
        <v>1051</v>
      </c>
    </row>
    <row r="1333" ht="15" customHeight="1" s="783">
      <c r="AW1333" s="132" t="n">
        <v>1052</v>
      </c>
    </row>
    <row r="1334" ht="15" customHeight="1" s="783">
      <c r="AW1334" s="132" t="n">
        <v>1053</v>
      </c>
    </row>
    <row r="1335" ht="15" customHeight="1" s="783">
      <c r="AW1335" s="132" t="n">
        <v>1054</v>
      </c>
    </row>
    <row r="1336" ht="15" customHeight="1" s="783">
      <c r="AW1336" s="132" t="n">
        <v>1055</v>
      </c>
    </row>
    <row r="1337" ht="15" customHeight="1" s="783">
      <c r="AW1337" s="132" t="n">
        <v>1056</v>
      </c>
    </row>
    <row r="1338" ht="15" customHeight="1" s="783">
      <c r="AW1338" s="132" t="n">
        <v>1057</v>
      </c>
    </row>
    <row r="1339" ht="15" customHeight="1" s="783">
      <c r="AW1339" s="132" t="n">
        <v>1058</v>
      </c>
    </row>
    <row r="1340" ht="15" customHeight="1" s="783">
      <c r="AW1340" s="132" t="n">
        <v>1059</v>
      </c>
    </row>
    <row r="1341" ht="15" customHeight="1" s="783">
      <c r="AW1341" s="132" t="n">
        <v>1060</v>
      </c>
    </row>
    <row r="1342" ht="15" customHeight="1" s="783">
      <c r="AW1342" s="132" t="n">
        <v>1061</v>
      </c>
    </row>
    <row r="1343" ht="15" customHeight="1" s="783">
      <c r="AW1343" s="132" t="n">
        <v>1062</v>
      </c>
    </row>
    <row r="1344" ht="15" customHeight="1" s="783">
      <c r="AW1344" s="132" t="n">
        <v>1063</v>
      </c>
    </row>
    <row r="1345" ht="15" customHeight="1" s="783">
      <c r="AW1345" s="132" t="n">
        <v>1064</v>
      </c>
    </row>
    <row r="1346" ht="15" customHeight="1" s="783">
      <c r="AW1346" s="132" t="n">
        <v>1065</v>
      </c>
    </row>
    <row r="1347" ht="15" customHeight="1" s="783">
      <c r="AW1347" s="132" t="n">
        <v>1066</v>
      </c>
    </row>
    <row r="1348" ht="15" customHeight="1" s="783">
      <c r="AW1348" s="132" t="n">
        <v>1067</v>
      </c>
    </row>
    <row r="1349" ht="15" customHeight="1" s="783">
      <c r="AW1349" s="132" t="n">
        <v>1068</v>
      </c>
    </row>
    <row r="1350" ht="15" customHeight="1" s="783">
      <c r="AW1350" s="132" t="n">
        <v>1069</v>
      </c>
    </row>
    <row r="1351" ht="15" customHeight="1" s="783">
      <c r="AW1351" s="132" t="n">
        <v>1070</v>
      </c>
    </row>
    <row r="1352" ht="15" customHeight="1" s="783">
      <c r="AW1352" s="132" t="n">
        <v>1071</v>
      </c>
    </row>
    <row r="1353" ht="15" customHeight="1" s="783">
      <c r="AW1353" s="132" t="n">
        <v>1072</v>
      </c>
    </row>
    <row r="1354" ht="15" customHeight="1" s="783">
      <c r="AW1354" s="132" t="n">
        <v>1073</v>
      </c>
    </row>
    <row r="1355" ht="15" customHeight="1" s="783">
      <c r="AW1355" s="132" t="n">
        <v>1074</v>
      </c>
    </row>
    <row r="1356" ht="15" customHeight="1" s="783">
      <c r="AW1356" s="132" t="n">
        <v>1075</v>
      </c>
    </row>
    <row r="1357" ht="15" customHeight="1" s="783">
      <c r="AW1357" s="132" t="n">
        <v>1076</v>
      </c>
    </row>
    <row r="1358" ht="15" customHeight="1" s="783">
      <c r="AW1358" s="132" t="n">
        <v>1077</v>
      </c>
    </row>
    <row r="1359" ht="15" customHeight="1" s="783">
      <c r="AW1359" s="132" t="n">
        <v>1078</v>
      </c>
    </row>
    <row r="1360" ht="15" customHeight="1" s="783">
      <c r="AW1360" s="132" t="n">
        <v>1079</v>
      </c>
    </row>
    <row r="1361" ht="15" customHeight="1" s="783">
      <c r="AW1361" s="132" t="n">
        <v>1080</v>
      </c>
    </row>
    <row r="1362" ht="15" customHeight="1" s="783">
      <c r="AW1362" s="132" t="n">
        <v>1081</v>
      </c>
    </row>
    <row r="1363" ht="15" customHeight="1" s="783">
      <c r="AW1363" s="132" t="n">
        <v>1082</v>
      </c>
    </row>
    <row r="1364" ht="15" customHeight="1" s="783">
      <c r="AW1364" s="132" t="n">
        <v>1083</v>
      </c>
    </row>
    <row r="1365" ht="15" customHeight="1" s="783">
      <c r="AW1365" s="132" t="n">
        <v>1084</v>
      </c>
    </row>
    <row r="1366" ht="15" customHeight="1" s="783">
      <c r="AW1366" s="132" t="n">
        <v>1085</v>
      </c>
    </row>
    <row r="1367" ht="15" customHeight="1" s="783">
      <c r="AW1367" s="132" t="n">
        <v>1086</v>
      </c>
    </row>
    <row r="1368" ht="15" customHeight="1" s="783">
      <c r="AW1368" s="132" t="n">
        <v>1087</v>
      </c>
    </row>
    <row r="1369" ht="15" customHeight="1" s="783">
      <c r="AW1369" s="132" t="n">
        <v>1088</v>
      </c>
    </row>
    <row r="1370" ht="15" customHeight="1" s="783">
      <c r="AW1370" s="132" t="n">
        <v>1089</v>
      </c>
    </row>
    <row r="1371" ht="15" customHeight="1" s="783">
      <c r="AW1371" s="132" t="n">
        <v>1090</v>
      </c>
    </row>
    <row r="1372" ht="15" customHeight="1" s="783">
      <c r="AW1372" s="132" t="n">
        <v>1091</v>
      </c>
    </row>
    <row r="1373" ht="15" customHeight="1" s="783">
      <c r="AW1373" s="132" t="n">
        <v>1092</v>
      </c>
    </row>
    <row r="1374" ht="15" customHeight="1" s="783">
      <c r="AW1374" s="132" t="n">
        <v>1093</v>
      </c>
    </row>
    <row r="1375" ht="15" customHeight="1" s="783">
      <c r="AW1375" s="132" t="n">
        <v>1094</v>
      </c>
    </row>
    <row r="1376" ht="15" customHeight="1" s="783">
      <c r="AW1376" s="132" t="n">
        <v>1095</v>
      </c>
    </row>
    <row r="1377" ht="15" customHeight="1" s="783">
      <c r="AW1377" s="132" t="n">
        <v>1096</v>
      </c>
    </row>
    <row r="1378" ht="15" customHeight="1" s="783">
      <c r="AW1378" s="132" t="n">
        <v>1097</v>
      </c>
    </row>
    <row r="1379" ht="15" customHeight="1" s="783">
      <c r="AW1379" s="132" t="n">
        <v>1098</v>
      </c>
    </row>
    <row r="1380" ht="15" customHeight="1" s="783">
      <c r="AW1380" s="132" t="n">
        <v>1099</v>
      </c>
    </row>
    <row r="1381" ht="15" customHeight="1" s="783">
      <c r="AW1381" s="132" t="n">
        <v>1100</v>
      </c>
    </row>
    <row r="1382" ht="15" customHeight="1" s="783">
      <c r="AW1382" s="132" t="n">
        <v>1101</v>
      </c>
    </row>
    <row r="1383" ht="15" customHeight="1" s="783">
      <c r="AW1383" s="132" t="n">
        <v>1102</v>
      </c>
    </row>
    <row r="1384" ht="15" customHeight="1" s="783">
      <c r="AW1384" s="132" t="n">
        <v>1103</v>
      </c>
    </row>
    <row r="1385" ht="15" customHeight="1" s="783">
      <c r="AW1385" s="132" t="n">
        <v>1104</v>
      </c>
    </row>
    <row r="1386" ht="15" customHeight="1" s="783">
      <c r="AW1386" s="132" t="n">
        <v>1105</v>
      </c>
    </row>
    <row r="1387" ht="15" customHeight="1" s="783">
      <c r="AW1387" s="132" t="n">
        <v>1106</v>
      </c>
    </row>
    <row r="1388" ht="15" customHeight="1" s="783">
      <c r="AW1388" s="132" t="n">
        <v>1107</v>
      </c>
    </row>
    <row r="1389" ht="15" customHeight="1" s="783">
      <c r="AW1389" s="132" t="n">
        <v>1108</v>
      </c>
    </row>
    <row r="1390" ht="15" customHeight="1" s="783">
      <c r="AW1390" s="132" t="n">
        <v>1109</v>
      </c>
    </row>
    <row r="1391" ht="15" customHeight="1" s="783">
      <c r="AW1391" s="132" t="n">
        <v>1110</v>
      </c>
    </row>
    <row r="1392" ht="15" customHeight="1" s="783">
      <c r="AW1392" s="132" t="n">
        <v>1111</v>
      </c>
    </row>
    <row r="1393" ht="15" customHeight="1" s="783">
      <c r="AW1393" s="132" t="n">
        <v>1112</v>
      </c>
    </row>
    <row r="1394" ht="15" customHeight="1" s="783">
      <c r="AW1394" s="132" t="n">
        <v>1113</v>
      </c>
    </row>
    <row r="1395" ht="15" customHeight="1" s="783">
      <c r="AW1395" s="132" t="n">
        <v>1114</v>
      </c>
    </row>
    <row r="1396" ht="15" customHeight="1" s="783">
      <c r="AW1396" s="132" t="n">
        <v>1115</v>
      </c>
    </row>
    <row r="1397" ht="15" customHeight="1" s="783">
      <c r="AW1397" s="132" t="n">
        <v>1116</v>
      </c>
    </row>
    <row r="1398" ht="15" customHeight="1" s="783">
      <c r="AW1398" s="132" t="n">
        <v>1117</v>
      </c>
    </row>
    <row r="1399" ht="15" customHeight="1" s="783">
      <c r="AW1399" s="132" t="n">
        <v>1118</v>
      </c>
    </row>
    <row r="1400" ht="15" customHeight="1" s="783">
      <c r="AW1400" s="132" t="n">
        <v>1119</v>
      </c>
    </row>
    <row r="1401" ht="15" customHeight="1" s="783">
      <c r="AW1401" s="132" t="n">
        <v>1120</v>
      </c>
    </row>
    <row r="1402" ht="15" customHeight="1" s="783">
      <c r="AW1402" s="132" t="n">
        <v>1121</v>
      </c>
    </row>
    <row r="1403" ht="15" customHeight="1" s="783">
      <c r="AW1403" s="132" t="n">
        <v>1122</v>
      </c>
    </row>
    <row r="1404" ht="15" customHeight="1" s="783">
      <c r="AW1404" s="132" t="n">
        <v>1123</v>
      </c>
    </row>
    <row r="1405" ht="15" customHeight="1" s="783">
      <c r="AW1405" s="132" t="n">
        <v>1124</v>
      </c>
    </row>
    <row r="1406" ht="15" customHeight="1" s="783">
      <c r="AW1406" s="132" t="n">
        <v>1125</v>
      </c>
    </row>
    <row r="1407" ht="15" customHeight="1" s="783">
      <c r="AW1407" s="132" t="n">
        <v>1126</v>
      </c>
    </row>
    <row r="1408" ht="15" customHeight="1" s="783">
      <c r="AW1408" s="132" t="n">
        <v>1127</v>
      </c>
    </row>
    <row r="1409" ht="15" customHeight="1" s="783">
      <c r="AW1409" s="132" t="n">
        <v>1128</v>
      </c>
    </row>
    <row r="1410" ht="15" customHeight="1" s="783">
      <c r="AW1410" s="132" t="n">
        <v>1129</v>
      </c>
    </row>
    <row r="1411" ht="15" customHeight="1" s="783">
      <c r="AW1411" s="132" t="n">
        <v>1130</v>
      </c>
    </row>
    <row r="1412" ht="15" customHeight="1" s="783">
      <c r="AW1412" s="132" t="n">
        <v>1131</v>
      </c>
    </row>
    <row r="1413" ht="15" customHeight="1" s="783">
      <c r="AW1413" s="132" t="n">
        <v>1132</v>
      </c>
    </row>
    <row r="1414" ht="15" customHeight="1" s="783">
      <c r="AW1414" s="132" t="n">
        <v>1133</v>
      </c>
    </row>
    <row r="1415" ht="15" customHeight="1" s="783">
      <c r="AW1415" s="132" t="n">
        <v>1134</v>
      </c>
    </row>
    <row r="1416" ht="15" customHeight="1" s="783">
      <c r="AW1416" s="132" t="n">
        <v>1135</v>
      </c>
    </row>
    <row r="1417" ht="15" customHeight="1" s="783">
      <c r="AW1417" s="132" t="n">
        <v>1136</v>
      </c>
    </row>
    <row r="1418" ht="15" customHeight="1" s="783">
      <c r="AW1418" s="132" t="n">
        <v>1137</v>
      </c>
    </row>
    <row r="1419" ht="15" customHeight="1" s="783">
      <c r="AW1419" s="132" t="n">
        <v>1138</v>
      </c>
    </row>
    <row r="1420" ht="15" customHeight="1" s="783">
      <c r="AW1420" s="132" t="n">
        <v>1139</v>
      </c>
    </row>
    <row r="1421" ht="15" customHeight="1" s="783">
      <c r="AW1421" s="132" t="n">
        <v>1140</v>
      </c>
    </row>
    <row r="1422" ht="15" customHeight="1" s="783">
      <c r="AW1422" s="132" t="n">
        <v>1141</v>
      </c>
    </row>
    <row r="1423" ht="15" customHeight="1" s="783">
      <c r="AW1423" s="132" t="n">
        <v>1142</v>
      </c>
    </row>
    <row r="1424" ht="15" customHeight="1" s="783">
      <c r="AW1424" s="132" t="n">
        <v>1143</v>
      </c>
    </row>
    <row r="1425" ht="15" customHeight="1" s="783">
      <c r="AW1425" s="132" t="n">
        <v>1144</v>
      </c>
    </row>
    <row r="1426" ht="15" customHeight="1" s="783">
      <c r="AW1426" s="132" t="n">
        <v>1145</v>
      </c>
    </row>
    <row r="1427" ht="15" customHeight="1" s="783">
      <c r="AW1427" s="132" t="n">
        <v>1146</v>
      </c>
    </row>
    <row r="1428" ht="15" customHeight="1" s="783">
      <c r="AW1428" s="132" t="n">
        <v>1147</v>
      </c>
    </row>
    <row r="1429" ht="15" customHeight="1" s="783">
      <c r="AW1429" s="132" t="n">
        <v>1148</v>
      </c>
    </row>
    <row r="1430" ht="15" customHeight="1" s="783">
      <c r="AW1430" s="132" t="n">
        <v>1149</v>
      </c>
    </row>
    <row r="1431" ht="15" customHeight="1" s="783">
      <c r="AW1431" s="132" t="n">
        <v>1150</v>
      </c>
    </row>
    <row r="1432" ht="15" customHeight="1" s="783">
      <c r="AW1432" s="132" t="n">
        <v>1151</v>
      </c>
    </row>
    <row r="1433" ht="15" customHeight="1" s="783">
      <c r="AW1433" s="132" t="n">
        <v>1152</v>
      </c>
    </row>
    <row r="1434" ht="15" customHeight="1" s="783">
      <c r="AW1434" s="132" t="n">
        <v>1153</v>
      </c>
    </row>
    <row r="1435" ht="15" customHeight="1" s="783">
      <c r="AW1435" s="132" t="n">
        <v>1154</v>
      </c>
    </row>
    <row r="1436" ht="15" customHeight="1" s="783">
      <c r="AW1436" s="132" t="n">
        <v>1155</v>
      </c>
    </row>
    <row r="1437" ht="15" customHeight="1" s="783">
      <c r="AW1437" s="132" t="n">
        <v>1156</v>
      </c>
    </row>
    <row r="1438" ht="15" customHeight="1" s="783">
      <c r="AW1438" s="132" t="n">
        <v>1157</v>
      </c>
    </row>
    <row r="1439" ht="15" customHeight="1" s="783">
      <c r="AW1439" s="132" t="n">
        <v>1158</v>
      </c>
    </row>
    <row r="1440" ht="15" customHeight="1" s="783">
      <c r="AW1440" s="132" t="n">
        <v>1159</v>
      </c>
    </row>
    <row r="1441" ht="15" customHeight="1" s="783">
      <c r="AW1441" s="132" t="n">
        <v>1160</v>
      </c>
    </row>
    <row r="1442" ht="15" customHeight="1" s="783">
      <c r="AW1442" s="132" t="n">
        <v>1161</v>
      </c>
    </row>
    <row r="1443" ht="15" customHeight="1" s="783">
      <c r="AW1443" s="132" t="n">
        <v>1162</v>
      </c>
    </row>
    <row r="1444" ht="15" customHeight="1" s="783">
      <c r="AW1444" s="132" t="n">
        <v>1163</v>
      </c>
    </row>
    <row r="1445" ht="15" customHeight="1" s="783">
      <c r="AW1445" s="132" t="n">
        <v>1164</v>
      </c>
    </row>
    <row r="1446" ht="15" customHeight="1" s="783">
      <c r="AW1446" s="132" t="n">
        <v>1165</v>
      </c>
    </row>
    <row r="1447" ht="15" customHeight="1" s="783">
      <c r="AW1447" s="132" t="n">
        <v>1166</v>
      </c>
    </row>
    <row r="1448" ht="15" customHeight="1" s="783">
      <c r="AW1448" s="132" t="n">
        <v>1167</v>
      </c>
    </row>
    <row r="1449" ht="15" customHeight="1" s="783">
      <c r="AW1449" s="132" t="n">
        <v>1168</v>
      </c>
    </row>
    <row r="1450" ht="15" customHeight="1" s="783">
      <c r="AW1450" s="132" t="n">
        <v>1169</v>
      </c>
    </row>
    <row r="1451" ht="15" customHeight="1" s="783">
      <c r="AW1451" s="132" t="n">
        <v>1170</v>
      </c>
    </row>
    <row r="1452" ht="15" customHeight="1" s="783">
      <c r="AW1452" s="132" t="n">
        <v>1171</v>
      </c>
    </row>
    <row r="1453" ht="15" customHeight="1" s="783">
      <c r="AW1453" s="132" t="n">
        <v>1172</v>
      </c>
    </row>
    <row r="1454" ht="15" customHeight="1" s="783">
      <c r="AW1454" s="132" t="n">
        <v>1173</v>
      </c>
    </row>
    <row r="1455" ht="15" customHeight="1" s="783">
      <c r="AW1455" s="132" t="n">
        <v>1174</v>
      </c>
    </row>
    <row r="1456" ht="15" customHeight="1" s="783">
      <c r="AW1456" s="132" t="n">
        <v>1175</v>
      </c>
    </row>
    <row r="1457" ht="15" customHeight="1" s="783">
      <c r="AW1457" s="132" t="n">
        <v>1176</v>
      </c>
    </row>
    <row r="1458" ht="15" customHeight="1" s="783">
      <c r="AW1458" s="132" t="n">
        <v>1177</v>
      </c>
    </row>
    <row r="1459" ht="15" customHeight="1" s="783">
      <c r="AW1459" s="132" t="n">
        <v>1178</v>
      </c>
    </row>
    <row r="1460" ht="15" customHeight="1" s="783">
      <c r="AW1460" s="132" t="n">
        <v>1179</v>
      </c>
    </row>
    <row r="1461" ht="15" customHeight="1" s="783">
      <c r="AW1461" s="132" t="n">
        <v>1180</v>
      </c>
    </row>
    <row r="1462" ht="15" customHeight="1" s="783">
      <c r="AW1462" s="132" t="n">
        <v>1181</v>
      </c>
    </row>
    <row r="1463" ht="15" customHeight="1" s="783">
      <c r="AW1463" s="132" t="n">
        <v>1182</v>
      </c>
    </row>
    <row r="1464" ht="15" customHeight="1" s="783">
      <c r="AW1464" s="132" t="n">
        <v>1183</v>
      </c>
    </row>
    <row r="1465" ht="15" customHeight="1" s="783">
      <c r="AW1465" s="132" t="n">
        <v>1184</v>
      </c>
    </row>
    <row r="1466" ht="15" customHeight="1" s="783">
      <c r="AW1466" s="132" t="n">
        <v>1185</v>
      </c>
    </row>
    <row r="1467" ht="15" customHeight="1" s="783">
      <c r="AW1467" s="132" t="n">
        <v>1186</v>
      </c>
    </row>
    <row r="1468" ht="15" customHeight="1" s="783">
      <c r="AW1468" s="132" t="n">
        <v>1187</v>
      </c>
    </row>
    <row r="1469" ht="15" customHeight="1" s="783">
      <c r="AW1469" s="132" t="n">
        <v>1188</v>
      </c>
    </row>
    <row r="1470" ht="15" customHeight="1" s="783">
      <c r="AW1470" s="132" t="n">
        <v>1189</v>
      </c>
    </row>
    <row r="1471" ht="15" customHeight="1" s="783">
      <c r="AW1471" s="132" t="n">
        <v>1190</v>
      </c>
    </row>
    <row r="1472" ht="15" customHeight="1" s="783">
      <c r="AW1472" s="132" t="n">
        <v>1191</v>
      </c>
    </row>
    <row r="1473" ht="15" customHeight="1" s="783">
      <c r="AW1473" s="132" t="n">
        <v>1192</v>
      </c>
    </row>
    <row r="1474" ht="15" customHeight="1" s="783">
      <c r="AW1474" s="132" t="n">
        <v>1193</v>
      </c>
    </row>
    <row r="1475" ht="15" customHeight="1" s="783">
      <c r="AW1475" s="132" t="n">
        <v>1194</v>
      </c>
    </row>
    <row r="1476" ht="15" customHeight="1" s="783">
      <c r="AW1476" s="132" t="n">
        <v>1195</v>
      </c>
    </row>
    <row r="1477" ht="15" customHeight="1" s="783">
      <c r="AW1477" s="132" t="n">
        <v>1196</v>
      </c>
    </row>
    <row r="1478" ht="15" customHeight="1" s="783">
      <c r="AW1478" s="132" t="n">
        <v>1197</v>
      </c>
    </row>
    <row r="1479" ht="15" customHeight="1" s="783">
      <c r="AW1479" s="132" t="n">
        <v>1198</v>
      </c>
    </row>
    <row r="1480" ht="15" customHeight="1" s="783">
      <c r="AW1480" s="132" t="n">
        <v>1199</v>
      </c>
    </row>
    <row r="1481" ht="15" customHeight="1" s="783">
      <c r="AW1481" s="132" t="n">
        <v>1200</v>
      </c>
    </row>
    <row r="1482" ht="15" customHeight="1" s="783">
      <c r="AW1482" s="132" t="n">
        <v>1201</v>
      </c>
    </row>
    <row r="1483" ht="15" customHeight="1" s="783">
      <c r="AW1483" s="132" t="n">
        <v>1202</v>
      </c>
    </row>
    <row r="1484" ht="15" customHeight="1" s="783">
      <c r="AW1484" s="132" t="n">
        <v>1203</v>
      </c>
    </row>
    <row r="1485" ht="15" customHeight="1" s="783">
      <c r="AW1485" s="132" t="n">
        <v>1204</v>
      </c>
    </row>
    <row r="1486" ht="15" customHeight="1" s="783">
      <c r="AW1486" s="132" t="n">
        <v>1205</v>
      </c>
    </row>
    <row r="1487" ht="15" customHeight="1" s="783">
      <c r="AW1487" s="132" t="n">
        <v>1206</v>
      </c>
    </row>
    <row r="1488" ht="15" customHeight="1" s="783">
      <c r="AW1488" s="132" t="n">
        <v>1207</v>
      </c>
    </row>
    <row r="1489" ht="15" customHeight="1" s="783">
      <c r="AW1489" s="132" t="n">
        <v>1208</v>
      </c>
    </row>
    <row r="1490" ht="15" customHeight="1" s="783">
      <c r="AW1490" s="132" t="n">
        <v>1209</v>
      </c>
    </row>
    <row r="1491" ht="15" customHeight="1" s="783">
      <c r="AW1491" s="132" t="n">
        <v>1210</v>
      </c>
    </row>
    <row r="1492" ht="15" customHeight="1" s="783">
      <c r="AW1492" s="132" t="n">
        <v>1211</v>
      </c>
    </row>
    <row r="1493" ht="15" customHeight="1" s="783">
      <c r="AW1493" s="132" t="n">
        <v>1212</v>
      </c>
    </row>
    <row r="1494" ht="15" customHeight="1" s="783">
      <c r="AW1494" s="132" t="n">
        <v>1213</v>
      </c>
    </row>
    <row r="1495" ht="15" customHeight="1" s="783">
      <c r="AW1495" s="132" t="n">
        <v>1214</v>
      </c>
    </row>
    <row r="1496" ht="15" customHeight="1" s="783">
      <c r="AW1496" s="132" t="n">
        <v>1215</v>
      </c>
    </row>
    <row r="1497" ht="15" customHeight="1" s="783">
      <c r="AW1497" s="132" t="n">
        <v>1216</v>
      </c>
    </row>
    <row r="1498" ht="15" customHeight="1" s="783">
      <c r="AW1498" s="132" t="n">
        <v>1217</v>
      </c>
    </row>
    <row r="1499" ht="15" customHeight="1" s="783">
      <c r="AW1499" s="132" t="n">
        <v>1218</v>
      </c>
    </row>
    <row r="1500" ht="15" customHeight="1" s="783">
      <c r="AW1500" s="132" t="n">
        <v>1219</v>
      </c>
    </row>
    <row r="1501" ht="15" customHeight="1" s="783">
      <c r="AW1501" s="132" t="n">
        <v>1220</v>
      </c>
    </row>
    <row r="1502" ht="15" customHeight="1" s="783">
      <c r="AW1502" s="132" t="n">
        <v>1221</v>
      </c>
    </row>
    <row r="1503" ht="15" customHeight="1" s="783">
      <c r="AW1503" s="132" t="n">
        <v>1222</v>
      </c>
    </row>
    <row r="1504" ht="15" customHeight="1" s="783">
      <c r="AW1504" s="132" t="n">
        <v>1223</v>
      </c>
    </row>
    <row r="1505" ht="15" customHeight="1" s="783">
      <c r="AW1505" s="132" t="n">
        <v>1224</v>
      </c>
    </row>
    <row r="1506" ht="15" customHeight="1" s="783">
      <c r="AW1506" s="132" t="n">
        <v>1225</v>
      </c>
    </row>
    <row r="1507" ht="15" customHeight="1" s="783">
      <c r="AW1507" s="132" t="n">
        <v>1226</v>
      </c>
    </row>
    <row r="1508" ht="15" customHeight="1" s="783">
      <c r="AW1508" s="132" t="n">
        <v>1227</v>
      </c>
    </row>
    <row r="1509" ht="15" customHeight="1" s="783">
      <c r="AW1509" s="132" t="n">
        <v>1228</v>
      </c>
    </row>
    <row r="1510" ht="15" customHeight="1" s="783">
      <c r="AW1510" s="132" t="n">
        <v>1229</v>
      </c>
    </row>
    <row r="1511" ht="15" customHeight="1" s="783">
      <c r="AW1511" s="132" t="n">
        <v>1230</v>
      </c>
    </row>
    <row r="1512" ht="15" customHeight="1" s="783">
      <c r="AW1512" s="132" t="n">
        <v>1231</v>
      </c>
    </row>
    <row r="1513" ht="15" customHeight="1" s="783">
      <c r="AW1513" s="132" t="n">
        <v>1232</v>
      </c>
    </row>
    <row r="1514" ht="15" customHeight="1" s="783">
      <c r="AW1514" s="132" t="n">
        <v>1233</v>
      </c>
    </row>
    <row r="1515" ht="15" customHeight="1" s="783">
      <c r="AW1515" s="132" t="n">
        <v>1234</v>
      </c>
    </row>
    <row r="1516" ht="15" customHeight="1" s="783">
      <c r="AW1516" s="132" t="n">
        <v>1235</v>
      </c>
    </row>
    <row r="1517" ht="15" customHeight="1" s="783">
      <c r="AW1517" s="132" t="n">
        <v>1236</v>
      </c>
    </row>
    <row r="1518" ht="15" customHeight="1" s="783">
      <c r="AW1518" s="132" t="n">
        <v>1237</v>
      </c>
    </row>
    <row r="1519" ht="15" customHeight="1" s="783">
      <c r="AW1519" s="132" t="n">
        <v>1238</v>
      </c>
    </row>
    <row r="1520" ht="15" customHeight="1" s="783">
      <c r="AW1520" s="132" t="n">
        <v>1239</v>
      </c>
    </row>
    <row r="1521" ht="15" customHeight="1" s="783">
      <c r="AW1521" s="132" t="n">
        <v>1240</v>
      </c>
    </row>
    <row r="1522" ht="15" customHeight="1" s="783">
      <c r="AW1522" s="132" t="n">
        <v>1241</v>
      </c>
    </row>
    <row r="1523" ht="15" customHeight="1" s="783">
      <c r="AW1523" s="132" t="n">
        <v>1242</v>
      </c>
    </row>
    <row r="1524" ht="15" customHeight="1" s="783">
      <c r="AW1524" s="132" t="n">
        <v>1243</v>
      </c>
    </row>
    <row r="1525" ht="15" customHeight="1" s="783">
      <c r="AW1525" s="132" t="n">
        <v>1244</v>
      </c>
    </row>
    <row r="1526" ht="15" customHeight="1" s="783">
      <c r="AW1526" s="132" t="n">
        <v>1245</v>
      </c>
    </row>
    <row r="1527" ht="15" customHeight="1" s="783">
      <c r="AW1527" s="132" t="n">
        <v>1246</v>
      </c>
    </row>
    <row r="1528" ht="15" customHeight="1" s="783">
      <c r="AW1528" s="132" t="n">
        <v>1247</v>
      </c>
    </row>
    <row r="1529" ht="15" customHeight="1" s="783">
      <c r="AW1529" s="132" t="n">
        <v>1248</v>
      </c>
    </row>
    <row r="1530" ht="15" customHeight="1" s="783">
      <c r="AW1530" s="132" t="n">
        <v>1249</v>
      </c>
    </row>
    <row r="1531" ht="15" customHeight="1" s="783">
      <c r="AW1531" s="132" t="n">
        <v>1250</v>
      </c>
    </row>
    <row r="1532" ht="15" customHeight="1" s="783">
      <c r="AW1532" s="132" t="n">
        <v>1251</v>
      </c>
    </row>
    <row r="1533" ht="15" customHeight="1" s="783">
      <c r="AW1533" s="132" t="n">
        <v>1252</v>
      </c>
    </row>
    <row r="1534" ht="15" customHeight="1" s="783">
      <c r="AW1534" s="132" t="n">
        <v>1253</v>
      </c>
    </row>
    <row r="1535" ht="15" customHeight="1" s="783">
      <c r="AW1535" s="132" t="n">
        <v>1254</v>
      </c>
    </row>
    <row r="1536" ht="15" customHeight="1" s="783">
      <c r="AW1536" s="132" t="n">
        <v>1255</v>
      </c>
    </row>
    <row r="1537" ht="15" customHeight="1" s="783">
      <c r="AW1537" s="132" t="n">
        <v>1256</v>
      </c>
    </row>
    <row r="1538" ht="15" customHeight="1" s="783">
      <c r="AW1538" s="132" t="n">
        <v>1257</v>
      </c>
    </row>
    <row r="1539" ht="15" customHeight="1" s="783">
      <c r="AW1539" s="132" t="n">
        <v>1258</v>
      </c>
    </row>
    <row r="1540" ht="15" customHeight="1" s="783">
      <c r="AW1540" s="132" t="n">
        <v>1259</v>
      </c>
    </row>
    <row r="1541" ht="15" customHeight="1" s="783">
      <c r="AW1541" s="132" t="n">
        <v>1260</v>
      </c>
    </row>
    <row r="1542" ht="15" customHeight="1" s="783">
      <c r="AW1542" s="132" t="n">
        <v>1261</v>
      </c>
    </row>
    <row r="1543" ht="15" customHeight="1" s="783">
      <c r="AW1543" s="132" t="n">
        <v>1262</v>
      </c>
    </row>
    <row r="1544" ht="15" customHeight="1" s="783">
      <c r="AW1544" s="132" t="n">
        <v>1263</v>
      </c>
    </row>
    <row r="1545" ht="15" customHeight="1" s="783">
      <c r="AW1545" s="132" t="n">
        <v>1264</v>
      </c>
    </row>
    <row r="1546" ht="15" customHeight="1" s="783">
      <c r="AW1546" s="132" t="n">
        <v>1265</v>
      </c>
    </row>
    <row r="1547" ht="15" customHeight="1" s="783">
      <c r="AW1547" s="132" t="n">
        <v>1266</v>
      </c>
    </row>
    <row r="1548" ht="15" customHeight="1" s="783">
      <c r="AW1548" s="132" t="n">
        <v>1267</v>
      </c>
    </row>
    <row r="1549" ht="15" customHeight="1" s="783">
      <c r="AW1549" s="132" t="n">
        <v>1268</v>
      </c>
    </row>
    <row r="1550" ht="15" customHeight="1" s="783">
      <c r="AW1550" s="132" t="n">
        <v>1269</v>
      </c>
    </row>
    <row r="1551" ht="15" customHeight="1" s="783">
      <c r="AW1551" s="132" t="n">
        <v>1270</v>
      </c>
    </row>
    <row r="1552" ht="15" customHeight="1" s="783">
      <c r="AW1552" s="132" t="n">
        <v>1271</v>
      </c>
    </row>
    <row r="1553" ht="15" customHeight="1" s="783">
      <c r="AW1553" s="132" t="n">
        <v>1272</v>
      </c>
    </row>
    <row r="1554" ht="15" customHeight="1" s="783">
      <c r="AW1554" s="132" t="n">
        <v>1273</v>
      </c>
    </row>
    <row r="1555" ht="15" customHeight="1" s="783">
      <c r="AW1555" s="132" t="n">
        <v>1274</v>
      </c>
    </row>
    <row r="1556" ht="15" customHeight="1" s="783">
      <c r="AW1556" s="132" t="n">
        <v>1275</v>
      </c>
    </row>
    <row r="1557" ht="15" customHeight="1" s="783">
      <c r="AW1557" s="132" t="n">
        <v>1276</v>
      </c>
    </row>
    <row r="1558" ht="15" customHeight="1" s="783">
      <c r="AW1558" s="132" t="n">
        <v>1277</v>
      </c>
    </row>
    <row r="1559" ht="15" customHeight="1" s="783">
      <c r="AW1559" s="132" t="n">
        <v>1278</v>
      </c>
    </row>
    <row r="1560" ht="15" customHeight="1" s="783">
      <c r="AW1560" s="132" t="n">
        <v>1279</v>
      </c>
    </row>
    <row r="1561" ht="15" customHeight="1" s="783">
      <c r="AW1561" s="132" t="n">
        <v>1280</v>
      </c>
    </row>
    <row r="1562" ht="15" customHeight="1" s="783">
      <c r="AW1562" s="132" t="n">
        <v>1281</v>
      </c>
    </row>
    <row r="1563" ht="15" customHeight="1" s="783">
      <c r="AW1563" s="132" t="n">
        <v>1282</v>
      </c>
    </row>
    <row r="1564" ht="15" customHeight="1" s="783">
      <c r="AW1564" s="132" t="n">
        <v>1283</v>
      </c>
    </row>
    <row r="1565" ht="15" customHeight="1" s="783">
      <c r="AW1565" s="132" t="n">
        <v>1284</v>
      </c>
    </row>
    <row r="1566" ht="15" customHeight="1" s="783">
      <c r="AW1566" s="132" t="n">
        <v>1285</v>
      </c>
    </row>
    <row r="1567" ht="15" customHeight="1" s="783">
      <c r="AW1567" s="132" t="n">
        <v>1286</v>
      </c>
    </row>
    <row r="1568" ht="15" customHeight="1" s="783">
      <c r="AW1568" s="132" t="n">
        <v>1287</v>
      </c>
    </row>
    <row r="1569" ht="15" customHeight="1" s="783">
      <c r="AW1569" s="132" t="n">
        <v>1288</v>
      </c>
    </row>
    <row r="1570" ht="15" customHeight="1" s="783">
      <c r="AW1570" s="132" t="n">
        <v>1289</v>
      </c>
    </row>
    <row r="1571" ht="15" customHeight="1" s="783">
      <c r="AW1571" s="132" t="n">
        <v>1290</v>
      </c>
    </row>
    <row r="1572" ht="15" customHeight="1" s="783">
      <c r="AW1572" s="132" t="n">
        <v>1291</v>
      </c>
    </row>
    <row r="1573" ht="15" customHeight="1" s="783">
      <c r="AW1573" s="132" t="n">
        <v>1292</v>
      </c>
    </row>
    <row r="1574" ht="15" customHeight="1" s="783">
      <c r="AW1574" s="132" t="n">
        <v>1293</v>
      </c>
    </row>
    <row r="1575" ht="15" customHeight="1" s="783">
      <c r="AW1575" s="132" t="n">
        <v>1294</v>
      </c>
    </row>
    <row r="1576" ht="15" customHeight="1" s="783">
      <c r="AW1576" s="132" t="n">
        <v>1295</v>
      </c>
    </row>
    <row r="1577" ht="15" customHeight="1" s="783">
      <c r="AW1577" s="132" t="n">
        <v>1296</v>
      </c>
    </row>
    <row r="1578" ht="15" customHeight="1" s="783">
      <c r="AW1578" s="132" t="n">
        <v>1297</v>
      </c>
    </row>
    <row r="1579" ht="15" customHeight="1" s="783">
      <c r="AW1579" s="132" t="n">
        <v>1298</v>
      </c>
    </row>
    <row r="1580" ht="15" customHeight="1" s="783">
      <c r="AW1580" s="132" t="n">
        <v>1299</v>
      </c>
    </row>
    <row r="1581" ht="15" customHeight="1" s="783">
      <c r="AW1581" s="132" t="n">
        <v>1300</v>
      </c>
    </row>
    <row r="1582" ht="15" customHeight="1" s="783">
      <c r="AW1582" s="132" t="n">
        <v>1301</v>
      </c>
    </row>
    <row r="1583" ht="15" customHeight="1" s="783">
      <c r="AW1583" s="132" t="n">
        <v>1302</v>
      </c>
    </row>
    <row r="1584" ht="15" customHeight="1" s="783">
      <c r="AW1584" s="132" t="n">
        <v>1303</v>
      </c>
    </row>
    <row r="1585" ht="15" customHeight="1" s="783">
      <c r="AW1585" s="132" t="n">
        <v>1304</v>
      </c>
    </row>
    <row r="1586" ht="15" customHeight="1" s="783">
      <c r="AW1586" s="132" t="n">
        <v>1305</v>
      </c>
    </row>
    <row r="1587" ht="15" customHeight="1" s="783">
      <c r="AW1587" s="132" t="n">
        <v>1306</v>
      </c>
    </row>
    <row r="1588" ht="15" customHeight="1" s="783">
      <c r="AW1588" s="132" t="n">
        <v>1307</v>
      </c>
    </row>
    <row r="1589" ht="15" customHeight="1" s="783">
      <c r="AW1589" s="132" t="n">
        <v>1308</v>
      </c>
    </row>
    <row r="1590" ht="15" customHeight="1" s="783">
      <c r="AW1590" s="132" t="n">
        <v>1309</v>
      </c>
    </row>
    <row r="1591" ht="15" customHeight="1" s="783">
      <c r="AW1591" s="132" t="n">
        <v>1310</v>
      </c>
    </row>
    <row r="1592" ht="15" customHeight="1" s="783">
      <c r="AW1592" s="132" t="n">
        <v>1311</v>
      </c>
    </row>
    <row r="1593" ht="15" customHeight="1" s="783">
      <c r="AW1593" s="132" t="n">
        <v>1312</v>
      </c>
    </row>
    <row r="1594" ht="15" customHeight="1" s="783">
      <c r="AW1594" s="132" t="n">
        <v>1313</v>
      </c>
    </row>
    <row r="1595" ht="15" customHeight="1" s="783">
      <c r="AW1595" s="132" t="n">
        <v>1314</v>
      </c>
    </row>
    <row r="1596" ht="15" customHeight="1" s="783">
      <c r="AW1596" s="132" t="n">
        <v>1315</v>
      </c>
    </row>
    <row r="1597" ht="15" customHeight="1" s="783">
      <c r="AW1597" s="132" t="n">
        <v>1316</v>
      </c>
    </row>
    <row r="1598" ht="15" customHeight="1" s="783">
      <c r="AW1598" s="132" t="n">
        <v>1317</v>
      </c>
    </row>
    <row r="1599" ht="15" customHeight="1" s="783">
      <c r="AW1599" s="132" t="n">
        <v>1318</v>
      </c>
    </row>
    <row r="1600" ht="15" customHeight="1" s="783">
      <c r="AW1600" s="132" t="n">
        <v>1319</v>
      </c>
    </row>
    <row r="1601" ht="15" customHeight="1" s="783">
      <c r="AW1601" s="132" t="n">
        <v>1320</v>
      </c>
    </row>
    <row r="1602" ht="15" customHeight="1" s="783">
      <c r="AW1602" s="132" t="n">
        <v>1321</v>
      </c>
    </row>
    <row r="1603" ht="15" customHeight="1" s="783">
      <c r="AW1603" s="132" t="n">
        <v>1322</v>
      </c>
    </row>
    <row r="1604" ht="15" customHeight="1" s="783">
      <c r="AW1604" s="132" t="n">
        <v>1323</v>
      </c>
    </row>
    <row r="1605" ht="15" customHeight="1" s="783">
      <c r="AW1605" s="132" t="n">
        <v>1324</v>
      </c>
    </row>
    <row r="1606" ht="15" customHeight="1" s="783">
      <c r="AW1606" s="132" t="n">
        <v>1325</v>
      </c>
    </row>
    <row r="1607" ht="15" customHeight="1" s="783">
      <c r="AW1607" s="132" t="n">
        <v>1326</v>
      </c>
    </row>
    <row r="1608" ht="15" customHeight="1" s="783">
      <c r="AW1608" s="132" t="n">
        <v>1327</v>
      </c>
    </row>
    <row r="1609" ht="15" customHeight="1" s="783">
      <c r="AW1609" s="132" t="n">
        <v>1328</v>
      </c>
    </row>
    <row r="1610" ht="15" customHeight="1" s="783">
      <c r="AW1610" s="132" t="n">
        <v>1329</v>
      </c>
    </row>
    <row r="1611" ht="15" customHeight="1" s="783">
      <c r="AW1611" s="132" t="n">
        <v>1330</v>
      </c>
    </row>
    <row r="1612" ht="15" customHeight="1" s="783">
      <c r="AW1612" s="132" t="n">
        <v>1331</v>
      </c>
    </row>
    <row r="1613" ht="15" customHeight="1" s="783">
      <c r="AW1613" s="132" t="n">
        <v>1332</v>
      </c>
    </row>
    <row r="1614" ht="15" customHeight="1" s="783">
      <c r="AW1614" s="132" t="n">
        <v>1333</v>
      </c>
    </row>
    <row r="1615" ht="15" customHeight="1" s="783">
      <c r="AW1615" s="132" t="n">
        <v>1334</v>
      </c>
    </row>
    <row r="1616" ht="15" customHeight="1" s="783">
      <c r="AW1616" s="132" t="n">
        <v>1335</v>
      </c>
    </row>
    <row r="1617" ht="15" customHeight="1" s="783">
      <c r="AW1617" s="132" t="n">
        <v>1336</v>
      </c>
    </row>
    <row r="1618" ht="15" customHeight="1" s="783">
      <c r="AW1618" s="132" t="n">
        <v>1337</v>
      </c>
    </row>
    <row r="1619" ht="15" customHeight="1" s="783">
      <c r="AW1619" s="132" t="n">
        <v>1338</v>
      </c>
    </row>
    <row r="1620" ht="15" customHeight="1" s="783">
      <c r="AW1620" s="132" t="n">
        <v>1339</v>
      </c>
    </row>
    <row r="1621" ht="15" customHeight="1" s="783">
      <c r="AW1621" s="132" t="n">
        <v>1340</v>
      </c>
    </row>
    <row r="1622" ht="15" customHeight="1" s="783">
      <c r="AW1622" s="132" t="n">
        <v>1341</v>
      </c>
    </row>
    <row r="1623" ht="15" customHeight="1" s="783">
      <c r="AW1623" s="132" t="n">
        <v>1342</v>
      </c>
    </row>
    <row r="1624" ht="15" customHeight="1" s="783">
      <c r="AW1624" s="132" t="n">
        <v>1343</v>
      </c>
    </row>
    <row r="1625" ht="15" customHeight="1" s="783">
      <c r="AW1625" s="132" t="n">
        <v>1344</v>
      </c>
    </row>
    <row r="1626" ht="15" customHeight="1" s="783">
      <c r="AW1626" s="132" t="n">
        <v>1345</v>
      </c>
    </row>
    <row r="1627" ht="15" customHeight="1" s="783">
      <c r="AW1627" s="132" t="n">
        <v>1346</v>
      </c>
    </row>
    <row r="1628" ht="15" customHeight="1" s="783">
      <c r="AW1628" s="132" t="n">
        <v>1347</v>
      </c>
    </row>
    <row r="1629" ht="15" customHeight="1" s="783">
      <c r="AW1629" s="132" t="n">
        <v>1348</v>
      </c>
    </row>
    <row r="1630" ht="15" customHeight="1" s="783">
      <c r="AW1630" s="132" t="n">
        <v>1349</v>
      </c>
    </row>
    <row r="1631" ht="15" customHeight="1" s="783">
      <c r="AW1631" s="132" t="n">
        <v>1350</v>
      </c>
    </row>
    <row r="1632" ht="15" customHeight="1" s="783">
      <c r="AW1632" s="132" t="n">
        <v>1351</v>
      </c>
    </row>
    <row r="1633" ht="15" customHeight="1" s="783">
      <c r="AW1633" s="132" t="n">
        <v>1352</v>
      </c>
    </row>
    <row r="1634" ht="15" customHeight="1" s="783">
      <c r="AW1634" s="132" t="n">
        <v>1353</v>
      </c>
    </row>
    <row r="1635" ht="15" customHeight="1" s="783">
      <c r="AW1635" s="132" t="n">
        <v>1354</v>
      </c>
    </row>
    <row r="1636" ht="15" customHeight="1" s="783">
      <c r="AW1636" s="132" t="n">
        <v>1355</v>
      </c>
    </row>
    <row r="1637" ht="15" customHeight="1" s="783">
      <c r="AW1637" s="132" t="n">
        <v>1356</v>
      </c>
    </row>
    <row r="1638" ht="15" customHeight="1" s="783">
      <c r="AW1638" s="132" t="n">
        <v>1357</v>
      </c>
    </row>
    <row r="1639" ht="15" customHeight="1" s="783">
      <c r="AW1639" s="132" t="n">
        <v>1358</v>
      </c>
    </row>
    <row r="1640" ht="15" customHeight="1" s="783">
      <c r="AW1640" s="132" t="n">
        <v>1359</v>
      </c>
    </row>
    <row r="1641" ht="15" customHeight="1" s="783">
      <c r="AW1641" s="132" t="n">
        <v>1360</v>
      </c>
    </row>
    <row r="1642" ht="15" customHeight="1" s="783">
      <c r="AW1642" s="132" t="n">
        <v>1361</v>
      </c>
    </row>
    <row r="1643" ht="15" customHeight="1" s="783">
      <c r="AW1643" s="132" t="n">
        <v>1362</v>
      </c>
    </row>
    <row r="1644" ht="15" customHeight="1" s="783">
      <c r="AW1644" s="132" t="n">
        <v>1363</v>
      </c>
    </row>
    <row r="1645" ht="15" customHeight="1" s="783">
      <c r="AW1645" s="132" t="n">
        <v>1364</v>
      </c>
    </row>
    <row r="1646" ht="15" customHeight="1" s="783">
      <c r="AW1646" s="132" t="n">
        <v>1365</v>
      </c>
    </row>
    <row r="1647" ht="15" customHeight="1" s="783">
      <c r="AW1647" s="132" t="n">
        <v>1366</v>
      </c>
    </row>
    <row r="1648" ht="15" customHeight="1" s="783">
      <c r="AW1648" s="132" t="n">
        <v>1367</v>
      </c>
    </row>
    <row r="1649" ht="15" customHeight="1" s="783">
      <c r="AW1649" s="132" t="n">
        <v>1368</v>
      </c>
    </row>
    <row r="1650" ht="15" customHeight="1" s="783">
      <c r="AW1650" s="132" t="n">
        <v>1369</v>
      </c>
    </row>
    <row r="1651" ht="15" customHeight="1" s="783">
      <c r="AW1651" s="132" t="n">
        <v>1370</v>
      </c>
    </row>
    <row r="1652" ht="15" customHeight="1" s="783">
      <c r="AW1652" s="132" t="n">
        <v>1371</v>
      </c>
    </row>
    <row r="1653" ht="15" customHeight="1" s="783">
      <c r="AW1653" s="132" t="n">
        <v>1372</v>
      </c>
    </row>
    <row r="1654" ht="15" customHeight="1" s="783">
      <c r="AW1654" s="132" t="n">
        <v>1373</v>
      </c>
    </row>
    <row r="1655" ht="15" customHeight="1" s="783">
      <c r="AW1655" s="132" t="n">
        <v>1374</v>
      </c>
    </row>
    <row r="1656" ht="15" customHeight="1" s="783">
      <c r="AW1656" s="132" t="n">
        <v>1375</v>
      </c>
    </row>
    <row r="1657" ht="15" customHeight="1" s="783">
      <c r="AW1657" s="132" t="n">
        <v>1376</v>
      </c>
    </row>
    <row r="1658" ht="15" customHeight="1" s="783">
      <c r="AW1658" s="132" t="n">
        <v>1377</v>
      </c>
    </row>
    <row r="1659" ht="15" customHeight="1" s="783">
      <c r="AW1659" s="132" t="n">
        <v>1378</v>
      </c>
    </row>
    <row r="1660" ht="15" customHeight="1" s="783">
      <c r="AW1660" s="132" t="n">
        <v>1379</v>
      </c>
    </row>
    <row r="1661" ht="15" customHeight="1" s="783">
      <c r="AW1661" s="132" t="n">
        <v>1380</v>
      </c>
    </row>
    <row r="1662" ht="15" customHeight="1" s="783">
      <c r="AW1662" s="132" t="n">
        <v>1381</v>
      </c>
    </row>
    <row r="1663" ht="15" customHeight="1" s="783">
      <c r="AW1663" s="132" t="n">
        <v>1382</v>
      </c>
    </row>
    <row r="1664" ht="15" customHeight="1" s="783">
      <c r="AW1664" s="132" t="n">
        <v>1383</v>
      </c>
    </row>
    <row r="1665" ht="15" customHeight="1" s="783">
      <c r="AW1665" s="132" t="n">
        <v>1384</v>
      </c>
    </row>
    <row r="1666" ht="15" customHeight="1" s="783">
      <c r="AW1666" s="132" t="n">
        <v>1385</v>
      </c>
    </row>
    <row r="1667" ht="15" customHeight="1" s="783">
      <c r="AW1667" s="132" t="n">
        <v>1386</v>
      </c>
    </row>
    <row r="1668" ht="15" customHeight="1" s="783">
      <c r="AW1668" s="132" t="n">
        <v>1387</v>
      </c>
    </row>
    <row r="1669" ht="15" customHeight="1" s="783">
      <c r="AW1669" s="132" t="n">
        <v>1388</v>
      </c>
    </row>
    <row r="1670" ht="15" customHeight="1" s="783">
      <c r="AW1670" s="132" t="n">
        <v>1389</v>
      </c>
    </row>
    <row r="1671" ht="15" customHeight="1" s="783">
      <c r="AW1671" s="132" t="n">
        <v>1390</v>
      </c>
    </row>
    <row r="1672" ht="15" customHeight="1" s="783">
      <c r="AW1672" s="132" t="n">
        <v>1391</v>
      </c>
    </row>
    <row r="1673" ht="15" customHeight="1" s="783">
      <c r="AW1673" s="132" t="n">
        <v>1392</v>
      </c>
    </row>
    <row r="1674" ht="15" customHeight="1" s="783">
      <c r="AW1674" s="132" t="n">
        <v>1393</v>
      </c>
    </row>
    <row r="1675" ht="15" customHeight="1" s="783">
      <c r="AW1675" s="132" t="n">
        <v>1394</v>
      </c>
    </row>
    <row r="1676" ht="15" customHeight="1" s="783">
      <c r="AW1676" s="132" t="n">
        <v>1395</v>
      </c>
    </row>
    <row r="1677" ht="15" customHeight="1" s="783">
      <c r="AW1677" s="132" t="n">
        <v>1396</v>
      </c>
    </row>
    <row r="1678" ht="15" customHeight="1" s="783">
      <c r="AW1678" s="132" t="n">
        <v>1397</v>
      </c>
    </row>
    <row r="1679" ht="15" customHeight="1" s="783">
      <c r="AW1679" s="132" t="n">
        <v>1398</v>
      </c>
    </row>
    <row r="1680" ht="15" customHeight="1" s="783">
      <c r="AW1680" s="132" t="n">
        <v>1399</v>
      </c>
    </row>
    <row r="1681" ht="15" customHeight="1" s="783">
      <c r="AW1681" s="132" t="n">
        <v>1400</v>
      </c>
    </row>
    <row r="1682" ht="15" customHeight="1" s="783">
      <c r="AW1682" s="132" t="n">
        <v>1401</v>
      </c>
    </row>
    <row r="1683" ht="15" customHeight="1" s="783">
      <c r="AW1683" s="132" t="n">
        <v>1402</v>
      </c>
    </row>
    <row r="1684" ht="15" customHeight="1" s="783">
      <c r="AW1684" s="132" t="n">
        <v>1403</v>
      </c>
    </row>
    <row r="1685" ht="15" customHeight="1" s="783">
      <c r="AW1685" s="132" t="n">
        <v>1404</v>
      </c>
    </row>
    <row r="1686" ht="15" customHeight="1" s="783">
      <c r="AW1686" s="132" t="n">
        <v>1405</v>
      </c>
    </row>
    <row r="1687" ht="15" customHeight="1" s="783">
      <c r="AW1687" s="132" t="n">
        <v>1406</v>
      </c>
    </row>
    <row r="1688" ht="15" customHeight="1" s="783">
      <c r="AW1688" s="132" t="n">
        <v>1407</v>
      </c>
    </row>
    <row r="1689" ht="15" customHeight="1" s="783">
      <c r="AW1689" s="132" t="n">
        <v>1408</v>
      </c>
    </row>
    <row r="1690" ht="15" customHeight="1" s="783">
      <c r="AW1690" s="132" t="n">
        <v>1409</v>
      </c>
    </row>
    <row r="1691" ht="15" customHeight="1" s="783">
      <c r="AW1691" s="132" t="n">
        <v>1410</v>
      </c>
    </row>
    <row r="1692" ht="15" customHeight="1" s="783">
      <c r="AW1692" s="132" t="n">
        <v>1411</v>
      </c>
    </row>
    <row r="1693" ht="15" customHeight="1" s="783">
      <c r="AW1693" s="132" t="n">
        <v>1412</v>
      </c>
    </row>
    <row r="1694" ht="15" customHeight="1" s="783">
      <c r="AW1694" s="132" t="n">
        <v>1413</v>
      </c>
    </row>
    <row r="1695" ht="15" customHeight="1" s="783">
      <c r="AW1695" s="132" t="n">
        <v>1414</v>
      </c>
    </row>
    <row r="1696" ht="15" customHeight="1" s="783">
      <c r="AW1696" s="132" t="n">
        <v>1415</v>
      </c>
    </row>
    <row r="1697" ht="15" customHeight="1" s="783">
      <c r="AW1697" s="132" t="n">
        <v>1416</v>
      </c>
    </row>
    <row r="1698" ht="15" customHeight="1" s="783">
      <c r="AW1698" s="132" t="n">
        <v>1417</v>
      </c>
    </row>
    <row r="1699" ht="15" customHeight="1" s="783">
      <c r="AW1699" s="132" t="n">
        <v>1418</v>
      </c>
    </row>
    <row r="1700" ht="15" customHeight="1" s="783">
      <c r="AW1700" s="132" t="n">
        <v>1419</v>
      </c>
    </row>
    <row r="1701" ht="15" customHeight="1" s="783">
      <c r="AW1701" s="132" t="n">
        <v>1420</v>
      </c>
    </row>
    <row r="1702" ht="15" customHeight="1" s="783">
      <c r="AW1702" s="132" t="n">
        <v>1421</v>
      </c>
    </row>
    <row r="1703" ht="15" customHeight="1" s="783">
      <c r="AW1703" s="132" t="n">
        <v>1422</v>
      </c>
    </row>
    <row r="1704" ht="15" customHeight="1" s="783">
      <c r="AW1704" s="132" t="n">
        <v>1423</v>
      </c>
    </row>
    <row r="1705" ht="15" customHeight="1" s="783">
      <c r="AW1705" s="132" t="n">
        <v>1424</v>
      </c>
    </row>
    <row r="1706" ht="15" customHeight="1" s="783">
      <c r="AW1706" s="132" t="n">
        <v>1425</v>
      </c>
    </row>
    <row r="1707" ht="15" customHeight="1" s="783">
      <c r="AW1707" s="132" t="n">
        <v>1426</v>
      </c>
    </row>
    <row r="1708" ht="15" customHeight="1" s="783">
      <c r="AW1708" s="132" t="n">
        <v>1427</v>
      </c>
    </row>
    <row r="1709" ht="15" customHeight="1" s="783">
      <c r="AW1709" s="132" t="n">
        <v>1428</v>
      </c>
    </row>
    <row r="1710" ht="15" customHeight="1" s="783">
      <c r="AW1710" s="132" t="n">
        <v>1429</v>
      </c>
    </row>
    <row r="1711" ht="15" customHeight="1" s="783">
      <c r="AW1711" s="132" t="n">
        <v>1430</v>
      </c>
    </row>
    <row r="1712" ht="15" customHeight="1" s="783">
      <c r="AW1712" s="132" t="n">
        <v>1431</v>
      </c>
    </row>
    <row r="1713" ht="15" customHeight="1" s="783">
      <c r="AW1713" s="132" t="n">
        <v>1432</v>
      </c>
    </row>
    <row r="1714" ht="15" customHeight="1" s="783">
      <c r="AW1714" s="132" t="n">
        <v>1433</v>
      </c>
    </row>
    <row r="1715" ht="15" customHeight="1" s="783">
      <c r="AW1715" s="132" t="n">
        <v>1434</v>
      </c>
    </row>
    <row r="1716" ht="15" customHeight="1" s="783">
      <c r="AW1716" s="132" t="n">
        <v>1435</v>
      </c>
    </row>
    <row r="1717" ht="15" customHeight="1" s="783">
      <c r="AW1717" s="132" t="n">
        <v>1436</v>
      </c>
    </row>
    <row r="1718" ht="15" customHeight="1" s="783">
      <c r="AW1718" s="132" t="n">
        <v>1437</v>
      </c>
    </row>
    <row r="1719" ht="15" customHeight="1" s="783">
      <c r="AW1719" s="132" t="n">
        <v>1438</v>
      </c>
    </row>
    <row r="1720" ht="15" customHeight="1" s="783">
      <c r="AW1720" s="132" t="n">
        <v>1439</v>
      </c>
    </row>
    <row r="1721" ht="15" customHeight="1" s="783">
      <c r="AW1721" s="132" t="n">
        <v>1440</v>
      </c>
    </row>
    <row r="1722" ht="15" customHeight="1" s="783">
      <c r="AW1722" s="132" t="n">
        <v>1441</v>
      </c>
    </row>
    <row r="1723" ht="15" customHeight="1" s="783">
      <c r="AW1723" s="132" t="n">
        <v>1442</v>
      </c>
    </row>
    <row r="1724" ht="15" customHeight="1" s="783">
      <c r="AW1724" s="132" t="n">
        <v>1443</v>
      </c>
    </row>
    <row r="1725" ht="15" customHeight="1" s="783">
      <c r="AW1725" s="132" t="n">
        <v>1444</v>
      </c>
    </row>
    <row r="1726" ht="15" customHeight="1" s="783">
      <c r="AW1726" s="132" t="n">
        <v>1445</v>
      </c>
    </row>
    <row r="1727" ht="15" customHeight="1" s="783">
      <c r="AW1727" s="132" t="n">
        <v>1446</v>
      </c>
    </row>
    <row r="1728" ht="15" customHeight="1" s="783">
      <c r="AW1728" s="132" t="n">
        <v>1447</v>
      </c>
    </row>
    <row r="1729" ht="15" customHeight="1" s="783">
      <c r="AW1729" s="132" t="n">
        <v>1448</v>
      </c>
    </row>
    <row r="1730" ht="15" customHeight="1" s="783">
      <c r="AW1730" s="132" t="n">
        <v>1449</v>
      </c>
    </row>
    <row r="1731" ht="15" customHeight="1" s="783">
      <c r="AW1731" s="132" t="n">
        <v>1450</v>
      </c>
    </row>
    <row r="1732" ht="15" customHeight="1" s="783">
      <c r="AW1732" s="132" t="n">
        <v>1451</v>
      </c>
    </row>
    <row r="1733" ht="15" customHeight="1" s="783">
      <c r="AW1733" s="132" t="n">
        <v>1452</v>
      </c>
    </row>
    <row r="1734" ht="15" customHeight="1" s="783">
      <c r="AW1734" s="132" t="n">
        <v>1453</v>
      </c>
    </row>
    <row r="1735" ht="15" customHeight="1" s="783">
      <c r="AW1735" s="132" t="n">
        <v>1454</v>
      </c>
    </row>
    <row r="1736" ht="15" customHeight="1" s="783">
      <c r="AW1736" s="132" t="n">
        <v>1455</v>
      </c>
    </row>
    <row r="1737" ht="15" customHeight="1" s="783">
      <c r="AW1737" s="132" t="n">
        <v>1456</v>
      </c>
    </row>
    <row r="1738" ht="15" customHeight="1" s="783">
      <c r="AW1738" s="132" t="n">
        <v>1457</v>
      </c>
    </row>
    <row r="1739" ht="15" customHeight="1" s="783">
      <c r="AW1739" s="132" t="n">
        <v>1458</v>
      </c>
    </row>
    <row r="1740" ht="15" customHeight="1" s="783">
      <c r="AW1740" s="132" t="n">
        <v>1459</v>
      </c>
    </row>
    <row r="1741" ht="15" customHeight="1" s="783">
      <c r="AW1741" s="132" t="n">
        <v>1460</v>
      </c>
    </row>
    <row r="1742" ht="15" customHeight="1" s="783">
      <c r="AW1742" s="132" t="n">
        <v>1461</v>
      </c>
    </row>
    <row r="1743" ht="15" customHeight="1" s="783">
      <c r="AW1743" s="132" t="n">
        <v>1462</v>
      </c>
    </row>
    <row r="1744" ht="15" customHeight="1" s="783">
      <c r="AW1744" s="132" t="n">
        <v>1463</v>
      </c>
    </row>
    <row r="1745" ht="15" customHeight="1" s="783">
      <c r="AW1745" s="132" t="n">
        <v>1464</v>
      </c>
    </row>
    <row r="1746" ht="15" customHeight="1" s="783">
      <c r="AW1746" s="132" t="n">
        <v>1465</v>
      </c>
    </row>
    <row r="1747" ht="15" customHeight="1" s="783">
      <c r="AW1747" s="132" t="n">
        <v>1466</v>
      </c>
    </row>
    <row r="1748" ht="15" customHeight="1" s="783">
      <c r="AW1748" s="132" t="n">
        <v>1467</v>
      </c>
    </row>
    <row r="1749" ht="15" customHeight="1" s="783">
      <c r="AW1749" s="132" t="n">
        <v>1468</v>
      </c>
    </row>
    <row r="1750" ht="15" customHeight="1" s="783">
      <c r="AW1750" s="132" t="n">
        <v>1469</v>
      </c>
    </row>
    <row r="1751" ht="15" customHeight="1" s="783">
      <c r="AW1751" s="132" t="n">
        <v>1470</v>
      </c>
    </row>
    <row r="1752" ht="15" customHeight="1" s="783">
      <c r="AW1752" s="132" t="n">
        <v>1471</v>
      </c>
    </row>
    <row r="1753" ht="15" customHeight="1" s="783">
      <c r="AW1753" s="132" t="n">
        <v>1472</v>
      </c>
    </row>
    <row r="1754" ht="15" customHeight="1" s="783">
      <c r="AW1754" s="132" t="n">
        <v>1473</v>
      </c>
    </row>
    <row r="1755" ht="15" customHeight="1" s="783">
      <c r="AW1755" s="132" t="n">
        <v>1474</v>
      </c>
    </row>
    <row r="1756" ht="15" customHeight="1" s="783">
      <c r="AW1756" s="132" t="n">
        <v>1475</v>
      </c>
    </row>
    <row r="1757" ht="15" customHeight="1" s="783">
      <c r="AW1757" s="132" t="n">
        <v>1476</v>
      </c>
    </row>
    <row r="1758" ht="15" customHeight="1" s="783">
      <c r="AW1758" s="132" t="n">
        <v>1477</v>
      </c>
    </row>
    <row r="1759" ht="15" customHeight="1" s="783">
      <c r="AW1759" s="132" t="n">
        <v>1478</v>
      </c>
    </row>
    <row r="1760" ht="15" customHeight="1" s="783">
      <c r="AW1760" s="132" t="n">
        <v>1479</v>
      </c>
    </row>
    <row r="1761" ht="15" customHeight="1" s="783">
      <c r="AW1761" s="132" t="n">
        <v>1480</v>
      </c>
    </row>
    <row r="1762" ht="15" customHeight="1" s="783">
      <c r="AW1762" s="132" t="n">
        <v>1481</v>
      </c>
    </row>
    <row r="1763" ht="15" customHeight="1" s="783">
      <c r="AW1763" s="132" t="n">
        <v>1482</v>
      </c>
    </row>
    <row r="1764" ht="15" customHeight="1" s="783">
      <c r="AW1764" s="132" t="n">
        <v>1483</v>
      </c>
    </row>
    <row r="1765" ht="15" customHeight="1" s="783">
      <c r="AW1765" s="132" t="n">
        <v>1484</v>
      </c>
    </row>
    <row r="1766" ht="15" customHeight="1" s="783">
      <c r="AW1766" s="132" t="n">
        <v>1485</v>
      </c>
    </row>
    <row r="1767" ht="15" customHeight="1" s="783">
      <c r="AW1767" s="132" t="n">
        <v>1486</v>
      </c>
    </row>
    <row r="1768" ht="15" customHeight="1" s="783">
      <c r="AW1768" s="132" t="n">
        <v>1487</v>
      </c>
    </row>
    <row r="1769" ht="15" customHeight="1" s="783">
      <c r="AW1769" s="132" t="n">
        <v>1488</v>
      </c>
    </row>
    <row r="1770" ht="15" customHeight="1" s="783">
      <c r="AW1770" s="132" t="n">
        <v>1489</v>
      </c>
    </row>
    <row r="1771" ht="15" customHeight="1" s="783">
      <c r="AW1771" s="132" t="n">
        <v>1490</v>
      </c>
    </row>
    <row r="1772" ht="15" customHeight="1" s="783">
      <c r="AW1772" s="132" t="n">
        <v>1491</v>
      </c>
    </row>
    <row r="1773" ht="15" customHeight="1" s="783">
      <c r="AW1773" s="132" t="n">
        <v>1492</v>
      </c>
    </row>
  </sheetData>
  <mergeCells count="15">
    <mergeCell ref="B280:C280"/>
    <mergeCell ref="D276:N276"/>
    <mergeCell ref="D280:N280"/>
    <mergeCell ref="D278:O278"/>
    <mergeCell ref="B275:C275"/>
    <mergeCell ref="D275:N275"/>
    <mergeCell ref="D279:N279"/>
    <mergeCell ref="D273:O273"/>
    <mergeCell ref="B278:C278"/>
    <mergeCell ref="B273:C273"/>
    <mergeCell ref="D274:N274"/>
    <mergeCell ref="D277:O277"/>
    <mergeCell ref="B274:C274"/>
    <mergeCell ref="B276:C276"/>
    <mergeCell ref="B277:C277"/>
  </mergeCells>
  <conditionalFormatting sqref="AP296:AR298">
    <cfRule type="colorScale" priority="2">
      <colorScale>
        <cfvo type="formula" val="$Q$210*0.5"/>
        <cfvo type="num" val="$Q$210"/>
        <cfvo type="formula" val="$Q$210*2"/>
        <color rgb="FFF8696B"/>
        <color rgb="FFFCFCFF"/>
        <color rgb="FF63BE7B"/>
      </colorScale>
    </cfRule>
  </conditionalFormatting>
  <conditionalFormatting sqref="AP286:AT290 AP297:AR298 AP299:AT300 AS294:AT298">
    <cfRule type="colorScale" priority="1">
      <colorScale>
        <cfvo type="formula" val="$Q$210*0.5"/>
        <cfvo type="num" val="$Q$210"/>
        <cfvo type="formula" val="$Q$210*2"/>
        <color rgb="FFF8696B"/>
        <color rgb="FFFCFCFF"/>
        <color rgb="FF63BE7B"/>
      </colorScale>
    </cfRule>
  </conditionalFormatting>
  <pageMargins left="0.7" right="0.7" top="0.75" bottom="0.75" header="0.3" footer="0.3"/>
  <pageSetup orientation="portrait" paperSize="9"/>
  <legacyDrawing xmlns:r="http://schemas.openxmlformats.org/officeDocument/2006/relationships" r:id="anysvml"/>
</worksheet>
</file>

<file path=xl/worksheets/sheet8.xml><?xml version="1.0" encoding="utf-8"?>
<worksheet xmlns="http://schemas.openxmlformats.org/spreadsheetml/2006/main">
  <sheetPr>
    <tabColor theme="8" tint="-0.249977111117893"/>
    <outlinePr summaryBelow="1" summaryRight="1"/>
    <pageSetUpPr/>
  </sheetPr>
  <dimension ref="A2:T396"/>
  <sheetViews>
    <sheetView showGridLines="0" topLeftCell="A67" zoomScale="87" zoomScaleNormal="87" workbookViewId="0">
      <selection activeCell="H87" sqref="H87"/>
    </sheetView>
  </sheetViews>
  <sheetFormatPr baseColWidth="8" defaultRowHeight="14.25"/>
  <cols>
    <col width="2.375" customWidth="1" style="783" min="1" max="1"/>
    <col width="18.125" customWidth="1" style="783" min="2" max="2"/>
    <col width="25.125" bestFit="1" customWidth="1" style="783" min="3" max="3"/>
    <col width="13.25" customWidth="1" style="783" min="6" max="6"/>
    <col width="11.125" bestFit="1" customWidth="1" style="26" min="7" max="11"/>
    <col width="10.75" customWidth="1" style="26" min="12" max="17"/>
    <col width="21.75" customWidth="1" style="6" min="18" max="18"/>
  </cols>
  <sheetData>
    <row r="2" ht="20.1" customFormat="1" customHeight="1" s="41">
      <c r="B2" s="40" t="inlineStr">
        <is>
          <t>Inputs</t>
        </is>
      </c>
      <c r="G2" s="233" t="n"/>
      <c r="H2" s="233" t="n"/>
      <c r="I2" s="233" t="n"/>
      <c r="J2" s="233" t="n"/>
      <c r="K2" s="233" t="n"/>
      <c r="L2" s="233" t="n"/>
      <c r="M2" s="233" t="n"/>
      <c r="N2" s="233" t="n"/>
      <c r="O2" s="233" t="n"/>
      <c r="P2" s="233" t="n"/>
      <c r="Q2" s="233" t="n"/>
      <c r="R2" s="42" t="n"/>
    </row>
    <row r="3">
      <c r="B3" s="89" t="inlineStr">
        <is>
          <t>in millions of USD</t>
        </is>
      </c>
      <c r="Q3" s="268" t="n"/>
    </row>
    <row r="4" ht="15.75" customHeight="1" s="783">
      <c r="A4" t="inlineStr">
        <is>
          <t>x</t>
        </is>
      </c>
      <c r="B4" s="234" t="inlineStr">
        <is>
          <t>Income Statement</t>
        </is>
      </c>
      <c r="C4" s="56" t="n"/>
      <c r="D4" s="56" t="n"/>
      <c r="E4" s="56" t="n"/>
      <c r="F4" s="56" t="n"/>
      <c r="G4" s="235" t="n">
        <v>2014</v>
      </c>
      <c r="H4" s="235">
        <f>+G4+1</f>
        <v/>
      </c>
      <c r="I4" s="235">
        <f>+H4+1</f>
        <v/>
      </c>
      <c r="J4" s="235">
        <f>+I4+1</f>
        <v/>
      </c>
      <c r="K4" s="235">
        <f>+J4+1</f>
        <v/>
      </c>
      <c r="L4" s="235">
        <f>+K4+1</f>
        <v/>
      </c>
      <c r="M4" s="235">
        <f>+L4+1</f>
        <v/>
      </c>
      <c r="N4" s="235">
        <f>+M4+1</f>
        <v/>
      </c>
      <c r="O4" s="235">
        <f>+N4+1</f>
        <v/>
      </c>
      <c r="P4" s="235">
        <f>+O4+1</f>
        <v/>
      </c>
      <c r="Q4" s="235">
        <f>+P4+1</f>
        <v/>
      </c>
      <c r="R4" s="58">
        <f>"CAGR "&amp;$G$4&amp;" - "&amp;$Q$4</f>
        <v/>
      </c>
    </row>
    <row r="5" ht="3.95" customHeight="1" s="783">
      <c r="B5" s="53" t="n"/>
      <c r="C5" s="53" t="n"/>
      <c r="D5" s="53" t="n"/>
      <c r="E5" s="53" t="n"/>
      <c r="F5" s="53" t="n"/>
      <c r="G5" s="236" t="n"/>
      <c r="H5" s="236" t="n"/>
      <c r="I5" s="236" t="n"/>
      <c r="J5" s="236" t="n"/>
      <c r="K5" s="236" t="n"/>
      <c r="L5" s="236" t="n"/>
      <c r="M5" s="236" t="n"/>
      <c r="N5" s="236" t="n"/>
      <c r="O5" s="236" t="n"/>
      <c r="P5" s="236" t="n"/>
      <c r="Q5" s="236" t="n"/>
      <c r="R5" s="60" t="n"/>
    </row>
    <row r="6" ht="15" customHeight="1" s="783">
      <c r="B6" s="1" t="inlineStr">
        <is>
          <t>Revenue (Sales)</t>
        </is>
      </c>
      <c r="G6" s="237" t="inlineStr">
        <is>
          <t>N/A (No Data)</t>
        </is>
      </c>
      <c r="H6" s="237" t="inlineStr">
        <is>
          <t>N/A (No Data)</t>
        </is>
      </c>
      <c r="I6" s="237" t="inlineStr">
        <is>
          <t>N/A (No Data)</t>
        </is>
      </c>
      <c r="J6" s="237" t="inlineStr">
        <is>
          <t>N/A (No Data)</t>
        </is>
      </c>
      <c r="K6" s="237" t="inlineStr">
        <is>
          <t>N/A (No Data)</t>
        </is>
      </c>
      <c r="L6" s="237" t="inlineStr">
        <is>
          <t>N/A (No Data)</t>
        </is>
      </c>
      <c r="M6" s="237" t="inlineStr">
        <is>
          <t>N/A (No Data)</t>
        </is>
      </c>
      <c r="N6" s="237" t="inlineStr">
        <is>
          <t>N/A (No Data)</t>
        </is>
      </c>
      <c r="O6" s="237" t="inlineStr">
        <is>
          <t>N/A (No Data)</t>
        </is>
      </c>
      <c r="P6" s="237" t="inlineStr">
        <is>
          <t>N/A (No Data)</t>
        </is>
      </c>
      <c r="Q6" s="237" t="inlineStr">
        <is>
          <t>N/A (No Data)</t>
        </is>
      </c>
      <c r="R6" s="67">
        <f>IFERROR((Q6/G6)^(1/COUNT($G$4:$Q$4))-1,"")</f>
        <v/>
      </c>
    </row>
    <row r="7" ht="15" customHeight="1" s="783">
      <c r="B7" t="inlineStr">
        <is>
          <t>COGS (Cost of Goods Sold)</t>
        </is>
      </c>
      <c r="G7" s="237" t="inlineStr">
        <is>
          <t>N/A (No Data)</t>
        </is>
      </c>
      <c r="H7" s="237" t="inlineStr">
        <is>
          <t>N/A (No Data)</t>
        </is>
      </c>
      <c r="I7" s="237" t="inlineStr">
        <is>
          <t>N/A (No Data)</t>
        </is>
      </c>
      <c r="J7" s="237" t="inlineStr">
        <is>
          <t>N/A (No Data)</t>
        </is>
      </c>
      <c r="K7" s="237" t="inlineStr">
        <is>
          <t>N/A (No Data)</t>
        </is>
      </c>
      <c r="L7" s="237" t="inlineStr">
        <is>
          <t>N/A (No Data)</t>
        </is>
      </c>
      <c r="M7" s="237" t="inlineStr">
        <is>
          <t>N/A (No Data)</t>
        </is>
      </c>
      <c r="N7" s="237" t="inlineStr">
        <is>
          <t>N/A (No Data)</t>
        </is>
      </c>
      <c r="O7" s="237" t="inlineStr">
        <is>
          <t>N/A (No Data)</t>
        </is>
      </c>
      <c r="P7" s="237" t="inlineStr">
        <is>
          <t>N/A (No Data)</t>
        </is>
      </c>
      <c r="Q7" s="237" t="inlineStr">
        <is>
          <t>N/A (No Data)</t>
        </is>
      </c>
      <c r="R7" s="67">
        <f>IFERROR((Q7/G7)^(1/COUNT($G$4:$Q$4))-1,"")</f>
        <v/>
      </c>
    </row>
    <row r="8" ht="15" customHeight="1" s="783">
      <c r="B8" s="1" t="inlineStr">
        <is>
          <t>Gross Profit</t>
        </is>
      </c>
      <c r="G8" s="238" t="inlineStr">
        <is>
          <t>N/A (No Data)</t>
        </is>
      </c>
      <c r="H8" s="238" t="inlineStr">
        <is>
          <t>N/A (No Data)</t>
        </is>
      </c>
      <c r="I8" s="238" t="inlineStr">
        <is>
          <t>N/A (No Data)</t>
        </is>
      </c>
      <c r="J8" s="238" t="inlineStr">
        <is>
          <t>N/A (No Data)</t>
        </is>
      </c>
      <c r="K8" s="238" t="inlineStr">
        <is>
          <t>N/A (No Data)</t>
        </is>
      </c>
      <c r="L8" s="238" t="inlineStr">
        <is>
          <t>N/A (No Data)</t>
        </is>
      </c>
      <c r="M8" s="238" t="inlineStr">
        <is>
          <t>N/A (No Data)</t>
        </is>
      </c>
      <c r="N8" s="238" t="inlineStr">
        <is>
          <t>N/A (No Data)</t>
        </is>
      </c>
      <c r="O8" s="238" t="inlineStr">
        <is>
          <t>N/A (No Data)</t>
        </is>
      </c>
      <c r="P8" s="238" t="inlineStr">
        <is>
          <t>N/A (No Data)</t>
        </is>
      </c>
      <c r="Q8" s="238" t="inlineStr">
        <is>
          <t>N/A (No Data)</t>
        </is>
      </c>
      <c r="R8" s="67">
        <f>IFERROR((Q8/G8)^(1/COUNT($G$4:$Q$4))-1,"")</f>
        <v/>
      </c>
    </row>
    <row r="9" ht="15" customHeight="1" s="783">
      <c r="B9" t="inlineStr">
        <is>
          <t>SG&amp;A (Selling, General &amp; Administrative)</t>
        </is>
      </c>
      <c r="G9" s="237" t="inlineStr">
        <is>
          <t>N/A (No Data)</t>
        </is>
      </c>
      <c r="H9" s="237" t="inlineStr">
        <is>
          <t>N/A (No Data)</t>
        </is>
      </c>
      <c r="I9" s="237" t="inlineStr">
        <is>
          <t>N/A (No Data)</t>
        </is>
      </c>
      <c r="J9" s="237" t="inlineStr">
        <is>
          <t>N/A (No Data)</t>
        </is>
      </c>
      <c r="K9" s="237" t="inlineStr">
        <is>
          <t>N/A (No Data)</t>
        </is>
      </c>
      <c r="L9" s="237" t="inlineStr">
        <is>
          <t>N/A (No Data)</t>
        </is>
      </c>
      <c r="M9" s="237" t="inlineStr">
        <is>
          <t>N/A (No Data)</t>
        </is>
      </c>
      <c r="N9" s="237" t="inlineStr">
        <is>
          <t>N/A (No Data)</t>
        </is>
      </c>
      <c r="O9" s="237" t="inlineStr">
        <is>
          <t>N/A (No Data)</t>
        </is>
      </c>
      <c r="P9" s="237" t="inlineStr">
        <is>
          <t>N/A (No Data)</t>
        </is>
      </c>
      <c r="Q9" s="237" t="inlineStr">
        <is>
          <t>N/A (No Data)</t>
        </is>
      </c>
      <c r="R9" s="67">
        <f>IFERROR((Q9/G9)^(1/COUNT($G$4:$Q$4))-1,"")</f>
        <v/>
      </c>
    </row>
    <row r="10" ht="15" customHeight="1" s="783">
      <c r="B10" t="inlineStr">
        <is>
          <t>R&amp;D (Research &amp; Development)</t>
        </is>
      </c>
      <c r="G10" s="237" t="inlineStr">
        <is>
          <t>N/A (No Data)</t>
        </is>
      </c>
      <c r="H10" s="237" t="inlineStr">
        <is>
          <t>N/A (No Data)</t>
        </is>
      </c>
      <c r="I10" s="237" t="inlineStr">
        <is>
          <t>N/A (No Data)</t>
        </is>
      </c>
      <c r="J10" s="237" t="inlineStr">
        <is>
          <t>N/A (No Data)</t>
        </is>
      </c>
      <c r="K10" s="237" t="inlineStr">
        <is>
          <t>N/A (No Data)</t>
        </is>
      </c>
      <c r="L10" s="237" t="inlineStr">
        <is>
          <t>N/A (No Data)</t>
        </is>
      </c>
      <c r="M10" s="237" t="inlineStr">
        <is>
          <t>N/A (No Data)</t>
        </is>
      </c>
      <c r="N10" s="237" t="inlineStr">
        <is>
          <t>N/A (No Data)</t>
        </is>
      </c>
      <c r="O10" s="237" t="inlineStr">
        <is>
          <t>N/A (No Data)</t>
        </is>
      </c>
      <c r="P10" s="237" t="inlineStr">
        <is>
          <t>N/A (No Data)</t>
        </is>
      </c>
      <c r="Q10" s="237" t="inlineStr">
        <is>
          <t>N/A (No Data)</t>
        </is>
      </c>
      <c r="R10" s="67">
        <f>IFERROR((Q10/G10)^(1/COUNT($G$4:$Q$4))-1,"")</f>
        <v/>
      </c>
    </row>
    <row r="11" ht="15" customHeight="1" s="783">
      <c r="B11" t="inlineStr">
        <is>
          <t>Other Operating (Income) Expenses</t>
        </is>
      </c>
      <c r="G11" s="237" t="inlineStr">
        <is>
          <t>N/A (No Data)</t>
        </is>
      </c>
      <c r="H11" s="237" t="inlineStr">
        <is>
          <t>N/A (No Data)</t>
        </is>
      </c>
      <c r="I11" s="237" t="inlineStr">
        <is>
          <t>N/A (No Data)</t>
        </is>
      </c>
      <c r="J11" s="237" t="inlineStr">
        <is>
          <t>N/A (No Data)</t>
        </is>
      </c>
      <c r="K11" s="237" t="inlineStr">
        <is>
          <t>N/A (No Data)</t>
        </is>
      </c>
      <c r="L11" s="237" t="inlineStr">
        <is>
          <t>N/A (No Data)</t>
        </is>
      </c>
      <c r="M11" s="237" t="inlineStr">
        <is>
          <t>N/A (No Data)</t>
        </is>
      </c>
      <c r="N11" s="237" t="inlineStr">
        <is>
          <t>N/A (No Data)</t>
        </is>
      </c>
      <c r="O11" s="237" t="inlineStr">
        <is>
          <t>N/A (No Data)</t>
        </is>
      </c>
      <c r="P11" s="237" t="inlineStr">
        <is>
          <t>N/A (No Data)</t>
        </is>
      </c>
      <c r="Q11" s="237" t="inlineStr">
        <is>
          <t>N/A (No Data)</t>
        </is>
      </c>
      <c r="R11" s="67">
        <f>IFERROR((Q11/G11)^(1/COUNT($G$4:$Q$4))-1,"")</f>
        <v/>
      </c>
    </row>
    <row r="12" ht="15" customHeight="1" s="783">
      <c r="B12" s="1" t="inlineStr">
        <is>
          <t>EBITDA</t>
        </is>
      </c>
      <c r="G12" s="239" t="inlineStr">
        <is>
          <t>N/A (No Data)</t>
        </is>
      </c>
      <c r="H12" s="239" t="inlineStr">
        <is>
          <t>N/A (No Data)</t>
        </is>
      </c>
      <c r="I12" s="239" t="inlineStr">
        <is>
          <t>N/A (No Data)</t>
        </is>
      </c>
      <c r="J12" s="239" t="inlineStr">
        <is>
          <t>N/A (No Data)</t>
        </is>
      </c>
      <c r="K12" s="239" t="inlineStr">
        <is>
          <t>N/A (No Data)</t>
        </is>
      </c>
      <c r="L12" s="239" t="inlineStr">
        <is>
          <t>N/A (No Data)</t>
        </is>
      </c>
      <c r="M12" s="239" t="inlineStr">
        <is>
          <t>N/A (No Data)</t>
        </is>
      </c>
      <c r="N12" s="239" t="inlineStr">
        <is>
          <t>N/A (No Data)</t>
        </is>
      </c>
      <c r="O12" s="239" t="inlineStr">
        <is>
          <t>N/A (No Data)</t>
        </is>
      </c>
      <c r="P12" s="239" t="inlineStr">
        <is>
          <t>N/A (No Data)</t>
        </is>
      </c>
      <c r="Q12" s="239" t="inlineStr">
        <is>
          <t>N/A (No Data)</t>
        </is>
      </c>
      <c r="R12" s="67">
        <f>IFERROR((Q12/G12)^(1/COUNT($G$4:$Q$4))-1,"")</f>
        <v/>
      </c>
    </row>
    <row r="13" ht="15" customHeight="1" s="783">
      <c r="B13" t="inlineStr">
        <is>
          <t>D&amp;A (Depreciation &amp; Amortization)</t>
        </is>
      </c>
      <c r="G13" s="250" t="inlineStr">
        <is>
          <t>N/A (No Data)</t>
        </is>
      </c>
      <c r="H13" s="250" t="inlineStr">
        <is>
          <t>N/A (No Data)</t>
        </is>
      </c>
      <c r="I13" s="250" t="inlineStr">
        <is>
          <t>N/A (No Data)</t>
        </is>
      </c>
      <c r="J13" s="250" t="inlineStr">
        <is>
          <t>N/A (No Data)</t>
        </is>
      </c>
      <c r="K13" s="250" t="inlineStr">
        <is>
          <t>N/A (No Data)</t>
        </is>
      </c>
      <c r="L13" s="250" t="inlineStr">
        <is>
          <t>N/A (No Data)</t>
        </is>
      </c>
      <c r="M13" s="250" t="inlineStr">
        <is>
          <t>N/A (No Data)</t>
        </is>
      </c>
      <c r="N13" s="250" t="inlineStr">
        <is>
          <t>N/A (No Data)</t>
        </is>
      </c>
      <c r="O13" s="250" t="inlineStr">
        <is>
          <t>N/A (No Data)</t>
        </is>
      </c>
      <c r="P13" s="250" t="inlineStr">
        <is>
          <t>N/A (No Data)</t>
        </is>
      </c>
      <c r="Q13" s="250" t="inlineStr">
        <is>
          <t>N/A (No Data)</t>
        </is>
      </c>
      <c r="R13" s="67">
        <f>IFERROR((Q13/G13)^(1/COUNT($G$4:$Q$4))-1,"")</f>
        <v/>
      </c>
    </row>
    <row r="14" ht="15" customHeight="1" s="783">
      <c r="B14" s="781" t="inlineStr">
        <is>
          <t>Depreciation Expense</t>
        </is>
      </c>
      <c r="G14" s="272" t="inlineStr">
        <is>
          <t>N/A (No Data)</t>
        </is>
      </c>
      <c r="H14" s="272" t="inlineStr">
        <is>
          <t>N/A (No Data)</t>
        </is>
      </c>
      <c r="I14" s="272" t="inlineStr">
        <is>
          <t>N/A (No Data)</t>
        </is>
      </c>
      <c r="J14" s="272" t="inlineStr">
        <is>
          <t>N/A (No Data)</t>
        </is>
      </c>
      <c r="K14" s="272" t="inlineStr">
        <is>
          <t>N/A (No Data)</t>
        </is>
      </c>
      <c r="L14" s="272" t="inlineStr">
        <is>
          <t>N/A (No Data)</t>
        </is>
      </c>
      <c r="M14" s="272" t="inlineStr">
        <is>
          <t>N/A (No Data)</t>
        </is>
      </c>
      <c r="N14" s="272" t="inlineStr">
        <is>
          <t>N/A (No Data)</t>
        </is>
      </c>
      <c r="O14" s="272" t="inlineStr">
        <is>
          <t>N/A (No Data)</t>
        </is>
      </c>
      <c r="P14" s="272" t="inlineStr">
        <is>
          <t>N/A (No Data)</t>
        </is>
      </c>
      <c r="Q14" s="272" t="inlineStr">
        <is>
          <t>N/A (No Data)</t>
        </is>
      </c>
      <c r="R14" s="67">
        <f>IFERROR((Q14/G14)^(1/COUNT($G$4:$Q$4))-1,"")</f>
        <v/>
      </c>
    </row>
    <row r="15" ht="15" customHeight="1" s="783">
      <c r="B15" s="781" t="inlineStr">
        <is>
          <t>Amortization Expense</t>
        </is>
      </c>
      <c r="G15" s="286" t="inlineStr">
        <is>
          <t>N/A (No Data)</t>
        </is>
      </c>
      <c r="H15" s="286" t="inlineStr">
        <is>
          <t>N/A (No Data)</t>
        </is>
      </c>
      <c r="I15" s="286" t="inlineStr">
        <is>
          <t>N/A (No Data)</t>
        </is>
      </c>
      <c r="J15" s="286" t="inlineStr">
        <is>
          <t>N/A (No Data)</t>
        </is>
      </c>
      <c r="K15" s="286" t="inlineStr">
        <is>
          <t>N/A (No Data)</t>
        </is>
      </c>
      <c r="L15" s="286" t="inlineStr">
        <is>
          <t>N/A (No Data)</t>
        </is>
      </c>
      <c r="M15" s="286" t="inlineStr">
        <is>
          <t>N/A (No Data)</t>
        </is>
      </c>
      <c r="N15" s="286" t="inlineStr">
        <is>
          <t>N/A (No Data)</t>
        </is>
      </c>
      <c r="O15" s="286" t="inlineStr">
        <is>
          <t>N/A (No Data)</t>
        </is>
      </c>
      <c r="P15" s="286" t="inlineStr">
        <is>
          <t>N/A (No Data)</t>
        </is>
      </c>
      <c r="Q15" s="286" t="inlineStr">
        <is>
          <t>N/A (No Data)</t>
        </is>
      </c>
      <c r="R15" s="67">
        <f>IFERROR((Q15/G15)^(1/COUNT($G$4:$Q$4))-1,"")</f>
        <v/>
      </c>
    </row>
    <row r="16" ht="15" customHeight="1" s="783">
      <c r="B16" s="1" t="inlineStr">
        <is>
          <t>Operating Income (EBIT)</t>
        </is>
      </c>
      <c r="G16" s="239" t="inlineStr">
        <is>
          <t>N/A (No Data)</t>
        </is>
      </c>
      <c r="H16" s="239" t="inlineStr">
        <is>
          <t>N/A (No Data)</t>
        </is>
      </c>
      <c r="I16" s="239" t="inlineStr">
        <is>
          <t>N/A (No Data)</t>
        </is>
      </c>
      <c r="J16" s="239" t="inlineStr">
        <is>
          <t>N/A (No Data)</t>
        </is>
      </c>
      <c r="K16" s="239" t="inlineStr">
        <is>
          <t>N/A (No Data)</t>
        </is>
      </c>
      <c r="L16" s="239" t="inlineStr">
        <is>
          <t>N/A (No Data)</t>
        </is>
      </c>
      <c r="M16" s="239" t="inlineStr">
        <is>
          <t>N/A (No Data)</t>
        </is>
      </c>
      <c r="N16" s="239" t="inlineStr">
        <is>
          <t>N/A (No Data)</t>
        </is>
      </c>
      <c r="O16" s="239" t="inlineStr">
        <is>
          <t>N/A (No Data)</t>
        </is>
      </c>
      <c r="P16" s="239" t="inlineStr">
        <is>
          <t>N/A (No Data)</t>
        </is>
      </c>
      <c r="Q16" s="239" t="inlineStr">
        <is>
          <t>N/A (No Data)</t>
        </is>
      </c>
      <c r="R16" s="67">
        <f>IFERROR((Q16/G16)^(1/COUNT($G$4:$Q$4))-1,"")</f>
        <v/>
      </c>
    </row>
    <row r="17" ht="15" customHeight="1" s="783">
      <c r="B17" t="inlineStr">
        <is>
          <t>Net Interest Expense (Income)</t>
        </is>
      </c>
      <c r="G17" s="250" t="inlineStr">
        <is>
          <t>N/A (No Data)</t>
        </is>
      </c>
      <c r="H17" s="250" t="inlineStr">
        <is>
          <t>N/A (No Data)</t>
        </is>
      </c>
      <c r="I17" s="250" t="inlineStr">
        <is>
          <t>N/A (No Data)</t>
        </is>
      </c>
      <c r="J17" s="250" t="inlineStr">
        <is>
          <t>N/A (No Data)</t>
        </is>
      </c>
      <c r="K17" s="250" t="inlineStr">
        <is>
          <t>N/A (No Data)</t>
        </is>
      </c>
      <c r="L17" s="250" t="inlineStr">
        <is>
          <t>N/A (No Data)</t>
        </is>
      </c>
      <c r="M17" s="250" t="inlineStr">
        <is>
          <t>N/A (No Data)</t>
        </is>
      </c>
      <c r="N17" s="250" t="inlineStr">
        <is>
          <t>N/A (No Data)</t>
        </is>
      </c>
      <c r="O17" s="250" t="inlineStr">
        <is>
          <t>N/A (No Data)</t>
        </is>
      </c>
      <c r="P17" s="250" t="inlineStr">
        <is>
          <t>N/A (No Data)</t>
        </is>
      </c>
      <c r="Q17" s="250" t="inlineStr">
        <is>
          <t>N/A (No Data)</t>
        </is>
      </c>
      <c r="R17" s="67">
        <f>IFERROR((Q17/G17)^(1/COUNT($G$4:$Q$4))-1,"")</f>
        <v/>
      </c>
    </row>
    <row r="18" ht="15" customHeight="1" s="783">
      <c r="B18" s="781" t="inlineStr">
        <is>
          <t>Interest Expense</t>
        </is>
      </c>
      <c r="C18" s="89" t="n"/>
      <c r="D18" s="89" t="n"/>
      <c r="E18" s="89" t="n"/>
      <c r="G18" s="272" t="inlineStr">
        <is>
          <t>N/A (No Data)</t>
        </is>
      </c>
      <c r="H18" s="272" t="inlineStr">
        <is>
          <t>N/A (No Data)</t>
        </is>
      </c>
      <c r="I18" s="272" t="inlineStr">
        <is>
          <t>N/A (No Data)</t>
        </is>
      </c>
      <c r="J18" s="272" t="inlineStr">
        <is>
          <t>N/A (No Data)</t>
        </is>
      </c>
      <c r="K18" s="272" t="inlineStr">
        <is>
          <t>N/A (No Data)</t>
        </is>
      </c>
      <c r="L18" s="272" t="inlineStr">
        <is>
          <t>N/A (No Data)</t>
        </is>
      </c>
      <c r="M18" s="272" t="inlineStr">
        <is>
          <t>N/A (No Data)</t>
        </is>
      </c>
      <c r="N18" s="272" t="inlineStr">
        <is>
          <t>N/A (No Data)</t>
        </is>
      </c>
      <c r="O18" s="272" t="inlineStr">
        <is>
          <t>N/A (No Data)</t>
        </is>
      </c>
      <c r="P18" s="272" t="inlineStr">
        <is>
          <t>N/A (No Data)</t>
        </is>
      </c>
      <c r="Q18" s="272" t="inlineStr">
        <is>
          <t>N/A (No Data)</t>
        </is>
      </c>
      <c r="R18" s="67">
        <f>IFERROR((Q18/G18)^(1/COUNT($G$4:$Q$4))-1,"")</f>
        <v/>
      </c>
    </row>
    <row r="19" ht="15" customHeight="1" s="783">
      <c r="B19" s="781" t="inlineStr">
        <is>
          <t>Interest Income</t>
        </is>
      </c>
      <c r="C19" s="89" t="n"/>
      <c r="D19" s="89" t="n"/>
      <c r="E19" s="89" t="n"/>
      <c r="G19" s="272" t="inlineStr">
        <is>
          <t>N/A (No Data)</t>
        </is>
      </c>
      <c r="H19" s="272" t="inlineStr">
        <is>
          <t>N/A (No Data)</t>
        </is>
      </c>
      <c r="I19" s="272" t="inlineStr">
        <is>
          <t>N/A (No Data)</t>
        </is>
      </c>
      <c r="J19" s="272" t="inlineStr">
        <is>
          <t>N/A (No Data)</t>
        </is>
      </c>
      <c r="K19" s="272" t="inlineStr">
        <is>
          <t>N/A (No Data)</t>
        </is>
      </c>
      <c r="L19" s="272" t="inlineStr">
        <is>
          <t>N/A (No Data)</t>
        </is>
      </c>
      <c r="M19" s="272" t="inlineStr">
        <is>
          <t>N/A (No Data)</t>
        </is>
      </c>
      <c r="N19" s="272" t="inlineStr">
        <is>
          <t>N/A (No Data)</t>
        </is>
      </c>
      <c r="O19" s="272" t="inlineStr">
        <is>
          <t>N/A (No Data)</t>
        </is>
      </c>
      <c r="P19" s="272" t="inlineStr">
        <is>
          <t>N/A (No Data)</t>
        </is>
      </c>
      <c r="Q19" s="272" t="inlineStr">
        <is>
          <t>N/A (No Data)</t>
        </is>
      </c>
      <c r="R19" s="67">
        <f>IFERROR((Q19/G19)^(1/COUNT($G$4:$Q$4))-1,"")</f>
        <v/>
      </c>
    </row>
    <row r="20" ht="15" customHeight="1" s="783">
      <c r="B20" t="inlineStr">
        <is>
          <t>FX (Gain) Loss</t>
        </is>
      </c>
      <c r="G20" s="237" t="inlineStr">
        <is>
          <t>N/A (No Data)</t>
        </is>
      </c>
      <c r="H20" s="237" t="inlineStr">
        <is>
          <t>N/A (No Data)</t>
        </is>
      </c>
      <c r="I20" s="237" t="inlineStr">
        <is>
          <t>N/A (No Data)</t>
        </is>
      </c>
      <c r="J20" s="237" t="inlineStr">
        <is>
          <t>N/A (No Data)</t>
        </is>
      </c>
      <c r="K20" s="237" t="inlineStr">
        <is>
          <t>N/A (No Data)</t>
        </is>
      </c>
      <c r="L20" s="237" t="inlineStr">
        <is>
          <t>N/A (No Data)</t>
        </is>
      </c>
      <c r="M20" s="237" t="inlineStr">
        <is>
          <t>N/A (No Data)</t>
        </is>
      </c>
      <c r="N20" s="237" t="inlineStr">
        <is>
          <t>N/A (No Data)</t>
        </is>
      </c>
      <c r="O20" s="237" t="inlineStr">
        <is>
          <t>N/A (No Data)</t>
        </is>
      </c>
      <c r="P20" s="237" t="inlineStr">
        <is>
          <t>N/A (No Data)</t>
        </is>
      </c>
      <c r="Q20" s="237" t="inlineStr">
        <is>
          <t>N/A (No Data)</t>
        </is>
      </c>
      <c r="R20" s="67">
        <f>IFERROR((Q20/G20)^(1/COUNT($G$4:$Q$4))-1,"")</f>
        <v/>
      </c>
    </row>
    <row r="21" ht="15" customHeight="1" s="783">
      <c r="B21" t="inlineStr">
        <is>
          <t>Other Non-Operating (Income) Expenses</t>
        </is>
      </c>
      <c r="G21" s="237" t="inlineStr">
        <is>
          <t>N/A (No Data)</t>
        </is>
      </c>
      <c r="H21" s="237" t="inlineStr">
        <is>
          <t>N/A (No Data)</t>
        </is>
      </c>
      <c r="I21" s="237" t="inlineStr">
        <is>
          <t>N/A (No Data)</t>
        </is>
      </c>
      <c r="J21" s="237" t="inlineStr">
        <is>
          <t>N/A (No Data)</t>
        </is>
      </c>
      <c r="K21" s="237" t="inlineStr">
        <is>
          <t>N/A (No Data)</t>
        </is>
      </c>
      <c r="L21" s="237" t="inlineStr">
        <is>
          <t>N/A (No Data)</t>
        </is>
      </c>
      <c r="M21" s="237" t="inlineStr">
        <is>
          <t>N/A (No Data)</t>
        </is>
      </c>
      <c r="N21" s="237" t="inlineStr">
        <is>
          <t>N/A (No Data)</t>
        </is>
      </c>
      <c r="O21" s="237" t="inlineStr">
        <is>
          <t>N/A (No Data)</t>
        </is>
      </c>
      <c r="P21" s="237" t="inlineStr">
        <is>
          <t>N/A (No Data)</t>
        </is>
      </c>
      <c r="Q21" s="237" t="inlineStr">
        <is>
          <t>N/A (No Data)</t>
        </is>
      </c>
      <c r="R21" s="67">
        <f>IFERROR((Q21/G21)^(1/COUNT($G$4:$Q$4))-1,"")</f>
        <v/>
      </c>
    </row>
    <row r="22" ht="15" customHeight="1" s="783">
      <c r="B22" s="1" t="inlineStr">
        <is>
          <t>Pre-Tax Income (EBT)</t>
        </is>
      </c>
      <c r="D22" s="1" t="n"/>
      <c r="E22" s="1" t="n"/>
      <c r="G22" s="500" t="inlineStr">
        <is>
          <t>N/A (No Data)</t>
        </is>
      </c>
      <c r="H22" s="500" t="inlineStr">
        <is>
          <t>N/A (No Data)</t>
        </is>
      </c>
      <c r="I22" s="500" t="inlineStr">
        <is>
          <t>N/A (No Data)</t>
        </is>
      </c>
      <c r="J22" s="500" t="inlineStr">
        <is>
          <t>N/A (No Data)</t>
        </is>
      </c>
      <c r="K22" s="500" t="inlineStr">
        <is>
          <t>N/A (No Data)</t>
        </is>
      </c>
      <c r="L22" s="500" t="inlineStr">
        <is>
          <t>N/A (No Data)</t>
        </is>
      </c>
      <c r="M22" s="500" t="inlineStr">
        <is>
          <t>N/A (No Data)</t>
        </is>
      </c>
      <c r="N22" s="500" t="inlineStr">
        <is>
          <t>N/A (No Data)</t>
        </is>
      </c>
      <c r="O22" s="500" t="inlineStr">
        <is>
          <t>N/A (No Data)</t>
        </is>
      </c>
      <c r="P22" s="500" t="inlineStr">
        <is>
          <t>N/A (No Data)</t>
        </is>
      </c>
      <c r="Q22" s="500" t="inlineStr">
        <is>
          <t>N/A (No Data)</t>
        </is>
      </c>
      <c r="R22" s="67">
        <f>IFERROR((Q22/G22)^(1/COUNT($G$4:$Q$4))-1,"")</f>
        <v/>
      </c>
    </row>
    <row r="23" ht="15" customHeight="1" s="783">
      <c r="B23" t="inlineStr">
        <is>
          <t>Tax Expense (Benefits)</t>
        </is>
      </c>
      <c r="G23" s="237" t="inlineStr">
        <is>
          <t>N/A (No Data)</t>
        </is>
      </c>
      <c r="H23" s="237" t="inlineStr">
        <is>
          <t>N/A (No Data)</t>
        </is>
      </c>
      <c r="I23" s="237" t="inlineStr">
        <is>
          <t>N/A (No Data)</t>
        </is>
      </c>
      <c r="J23" s="237" t="inlineStr">
        <is>
          <t>N/A (No Data)</t>
        </is>
      </c>
      <c r="K23" s="237" t="inlineStr">
        <is>
          <t>N/A (No Data)</t>
        </is>
      </c>
      <c r="L23" s="237" t="inlineStr">
        <is>
          <t>N/A (No Data)</t>
        </is>
      </c>
      <c r="M23" s="237" t="inlineStr">
        <is>
          <t>N/A (No Data)</t>
        </is>
      </c>
      <c r="N23" s="237" t="inlineStr">
        <is>
          <t>N/A (No Data)</t>
        </is>
      </c>
      <c r="O23" s="237" t="inlineStr">
        <is>
          <t>N/A (No Data)</t>
        </is>
      </c>
      <c r="P23" s="237" t="inlineStr">
        <is>
          <t>N/A (No Data)</t>
        </is>
      </c>
      <c r="Q23" s="237" t="inlineStr">
        <is>
          <t>N/A (No Data)</t>
        </is>
      </c>
      <c r="R23" s="67">
        <f>IFERROR((Q23/G23)^(1/COUNT($G$4:$Q$4))-1,"")</f>
        <v/>
      </c>
    </row>
    <row r="24" ht="15" customHeight="1" s="783">
      <c r="B24" s="1" t="inlineStr">
        <is>
          <t>Net Income</t>
        </is>
      </c>
      <c r="G24" s="239" t="inlineStr">
        <is>
          <t>N/A (No Data)</t>
        </is>
      </c>
      <c r="H24" s="239" t="inlineStr">
        <is>
          <t>N/A (No Data)</t>
        </is>
      </c>
      <c r="I24" s="239" t="inlineStr">
        <is>
          <t>N/A (No Data)</t>
        </is>
      </c>
      <c r="J24" s="239" t="inlineStr">
        <is>
          <t>N/A (No Data)</t>
        </is>
      </c>
      <c r="K24" s="239" t="inlineStr">
        <is>
          <t>N/A (No Data)</t>
        </is>
      </c>
      <c r="L24" s="239" t="inlineStr">
        <is>
          <t>N/A (No Data)</t>
        </is>
      </c>
      <c r="M24" s="239" t="inlineStr">
        <is>
          <t>N/A (No Data)</t>
        </is>
      </c>
      <c r="N24" s="239" t="inlineStr">
        <is>
          <t>N/A (No Data)</t>
        </is>
      </c>
      <c r="O24" s="239" t="inlineStr">
        <is>
          <t>N/A (No Data)</t>
        </is>
      </c>
      <c r="P24" s="239" t="inlineStr">
        <is>
          <t>N/A (No Data)</t>
        </is>
      </c>
      <c r="Q24" s="239" t="inlineStr">
        <is>
          <t>N/A (No Data)</t>
        </is>
      </c>
      <c r="R24" s="67">
        <f>IFERROR((Q24/G24)^(1/COUNT($G$4:$Q$4))-1,"")</f>
        <v/>
      </c>
    </row>
    <row r="25" ht="15" customHeight="1" s="783">
      <c r="B25" s="1" t="inlineStr">
        <is>
          <t>EPS basic</t>
        </is>
      </c>
      <c r="G25" s="240" t="inlineStr">
        <is>
          <t>N/A (No Data)</t>
        </is>
      </c>
      <c r="H25" s="240" t="inlineStr">
        <is>
          <t>N/A (No Data)</t>
        </is>
      </c>
      <c r="I25" s="240" t="inlineStr">
        <is>
          <t>N/A (No Data)</t>
        </is>
      </c>
      <c r="J25" s="240" t="inlineStr">
        <is>
          <t>N/A (No Data)</t>
        </is>
      </c>
      <c r="K25" s="240" t="inlineStr">
        <is>
          <t>N/A (No Data)</t>
        </is>
      </c>
      <c r="L25" s="240" t="inlineStr">
        <is>
          <t>N/A (No Data)</t>
        </is>
      </c>
      <c r="M25" s="240" t="inlineStr">
        <is>
          <t>N/A (No Data)</t>
        </is>
      </c>
      <c r="N25" s="240" t="inlineStr">
        <is>
          <t>N/A (No Data)</t>
        </is>
      </c>
      <c r="O25" s="240" t="inlineStr">
        <is>
          <t>N/A (No Data)</t>
        </is>
      </c>
      <c r="P25" s="240" t="inlineStr">
        <is>
          <t>N/A (No Data)</t>
        </is>
      </c>
      <c r="Q25" s="240" t="inlineStr">
        <is>
          <t>N/A (No Data)</t>
        </is>
      </c>
      <c r="R25" s="67">
        <f>IFERROR((Q25/G25)^(1/COUNT($G$4:$Q$4))-1,"")</f>
        <v/>
      </c>
    </row>
    <row r="26" ht="15" customHeight="1" s="783">
      <c r="B26" s="1" t="inlineStr">
        <is>
          <t>EPS diluted</t>
        </is>
      </c>
      <c r="G26" s="240" t="inlineStr">
        <is>
          <t>N/A (No Data)</t>
        </is>
      </c>
      <c r="H26" s="240" t="inlineStr">
        <is>
          <t>N/A (No Data)</t>
        </is>
      </c>
      <c r="I26" s="240" t="inlineStr">
        <is>
          <t>N/A (No Data)</t>
        </is>
      </c>
      <c r="J26" s="240" t="inlineStr">
        <is>
          <t>N/A (No Data)</t>
        </is>
      </c>
      <c r="K26" s="240" t="inlineStr">
        <is>
          <t>N/A (No Data)</t>
        </is>
      </c>
      <c r="L26" s="240" t="inlineStr">
        <is>
          <t>N/A (No Data)</t>
        </is>
      </c>
      <c r="M26" s="240" t="inlineStr">
        <is>
          <t>N/A (No Data)</t>
        </is>
      </c>
      <c r="N26" s="240" t="inlineStr">
        <is>
          <t>N/A (No Data)</t>
        </is>
      </c>
      <c r="O26" s="240" t="inlineStr">
        <is>
          <t>N/A (No Data)</t>
        </is>
      </c>
      <c r="P26" s="240" t="inlineStr">
        <is>
          <t>N/A (No Data)</t>
        </is>
      </c>
      <c r="Q26" s="240" t="inlineStr">
        <is>
          <t>N/A (No Data)</t>
        </is>
      </c>
      <c r="R26" s="67">
        <f>IFERROR((Q26/G26)^(1/COUNT($G$4:$Q$4))-1,"")</f>
        <v/>
      </c>
    </row>
    <row r="27">
      <c r="B27" t="inlineStr">
        <is>
          <t>Basic Weighted Average Shares</t>
        </is>
      </c>
      <c r="G27" s="237" t="inlineStr">
        <is>
          <t>N/A (No Data)</t>
        </is>
      </c>
      <c r="H27" s="237" t="inlineStr">
        <is>
          <t>N/A (No Data)</t>
        </is>
      </c>
      <c r="I27" s="237" t="inlineStr">
        <is>
          <t>N/A (No Data)</t>
        </is>
      </c>
      <c r="J27" s="237" t="inlineStr">
        <is>
          <t>N/A (No Data)</t>
        </is>
      </c>
      <c r="K27" s="237" t="inlineStr">
        <is>
          <t>N/A (No Data)</t>
        </is>
      </c>
      <c r="L27" s="237" t="inlineStr">
        <is>
          <t>N/A (No Data)</t>
        </is>
      </c>
      <c r="M27" s="237" t="inlineStr">
        <is>
          <t>N/A (No Data)</t>
        </is>
      </c>
      <c r="N27" s="237" t="inlineStr">
        <is>
          <t>N/A (No Data)</t>
        </is>
      </c>
      <c r="O27" s="237" t="inlineStr">
        <is>
          <t>N/A (No Data)</t>
        </is>
      </c>
      <c r="P27" s="237" t="inlineStr">
        <is>
          <t>N/A (No Data)</t>
        </is>
      </c>
      <c r="Q27" s="237" t="inlineStr">
        <is>
          <t>N/A (No Data)</t>
        </is>
      </c>
      <c r="R27" s="103" t="inlineStr">
        <is>
          <t> </t>
        </is>
      </c>
    </row>
    <row r="28">
      <c r="B28" t="inlineStr">
        <is>
          <t>Diluted Weighted Average Shares</t>
        </is>
      </c>
      <c r="G28" s="237" t="inlineStr">
        <is>
          <t>N/A (No Data)</t>
        </is>
      </c>
      <c r="H28" s="237" t="inlineStr">
        <is>
          <t>N/A (No Data)</t>
        </is>
      </c>
      <c r="I28" s="237" t="inlineStr">
        <is>
          <t>N/A (No Data)</t>
        </is>
      </c>
      <c r="J28" s="237" t="inlineStr">
        <is>
          <t>N/A (No Data)</t>
        </is>
      </c>
      <c r="K28" s="237" t="inlineStr">
        <is>
          <t>N/A (No Data)</t>
        </is>
      </c>
      <c r="L28" s="237" t="inlineStr">
        <is>
          <t>N/A (No Data)</t>
        </is>
      </c>
      <c r="M28" s="237" t="inlineStr">
        <is>
          <t>N/A (No Data)</t>
        </is>
      </c>
      <c r="N28" s="237" t="inlineStr">
        <is>
          <t>N/A (No Data)</t>
        </is>
      </c>
      <c r="O28" s="237" t="inlineStr">
        <is>
          <t>N/A (No Data)</t>
        </is>
      </c>
      <c r="P28" s="237" t="inlineStr">
        <is>
          <t>N/A (No Data)</t>
        </is>
      </c>
      <c r="Q28" s="237" t="inlineStr">
        <is>
          <t>N/A (No Data)</t>
        </is>
      </c>
      <c r="R28" s="103">
        <f>IFERROR((Q28/G28)^(1/COUNT($G$4:$Q$4))-1,"")</f>
        <v/>
      </c>
    </row>
    <row r="29" ht="3.95" customHeight="1" s="783"/>
    <row r="30" ht="15.75" customHeight="1" s="783">
      <c r="A30" t="inlineStr">
        <is>
          <t>x</t>
        </is>
      </c>
      <c r="B30" s="52" t="inlineStr">
        <is>
          <t>Balance Sheet</t>
        </is>
      </c>
      <c r="C30" s="56" t="n"/>
      <c r="D30" s="56" t="n"/>
      <c r="E30" s="56" t="n"/>
      <c r="F30" s="56" t="n"/>
      <c r="G30" s="235" t="n">
        <v>2014</v>
      </c>
      <c r="H30" s="235">
        <f>+G30+1</f>
        <v/>
      </c>
      <c r="I30" s="235">
        <f>+H30+1</f>
        <v/>
      </c>
      <c r="J30" s="235">
        <f>+I30+1</f>
        <v/>
      </c>
      <c r="K30" s="235">
        <f>+J30+1</f>
        <v/>
      </c>
      <c r="L30" s="235">
        <f>+K30+1</f>
        <v/>
      </c>
      <c r="M30" s="235">
        <f>+L30+1</f>
        <v/>
      </c>
      <c r="N30" s="235">
        <f>+M30+1</f>
        <v/>
      </c>
      <c r="O30" s="235">
        <f>+N30+1</f>
        <v/>
      </c>
      <c r="P30" s="235">
        <f>+O30+1</f>
        <v/>
      </c>
      <c r="Q30" s="235">
        <f>+P30+1</f>
        <v/>
      </c>
      <c r="R30" s="58">
        <f>"CAGR "&amp;$G$4&amp;" - "&amp;$Q$4</f>
        <v/>
      </c>
    </row>
    <row r="31" ht="3.95" customFormat="1" customHeight="1" s="99">
      <c r="B31" s="241" t="n"/>
      <c r="C31" s="241" t="n"/>
      <c r="D31" s="241" t="n"/>
      <c r="E31" s="241" t="n"/>
      <c r="F31" s="241" t="n"/>
      <c r="G31" s="242" t="n"/>
      <c r="H31" s="242" t="n"/>
      <c r="I31" s="242" t="n"/>
      <c r="J31" s="242" t="n"/>
      <c r="K31" s="242" t="n"/>
      <c r="L31" s="242" t="n"/>
      <c r="M31" s="242" t="n"/>
      <c r="N31" s="242" t="n"/>
      <c r="O31" s="242" t="n"/>
      <c r="P31" s="242" t="n"/>
      <c r="Q31" s="242" t="n"/>
      <c r="R31" s="60" t="n"/>
    </row>
    <row r="32">
      <c r="B32" t="inlineStr">
        <is>
          <t>Cash &amp; Cash Equivalents &amp; ST Investments</t>
        </is>
      </c>
      <c r="G32" s="245">
        <f>+SUM(G33:G34)</f>
        <v/>
      </c>
      <c r="H32" s="245">
        <f>+SUM(H33:H34)</f>
        <v/>
      </c>
      <c r="I32" s="245">
        <f>+SUM(I33:I34)</f>
        <v/>
      </c>
      <c r="J32" s="245">
        <f>+SUM(J33:J34)</f>
        <v/>
      </c>
      <c r="K32" s="245">
        <f>+SUM(K33:K34)</f>
        <v/>
      </c>
      <c r="L32" s="245">
        <f>+SUM(L33:L34)</f>
        <v/>
      </c>
      <c r="M32" s="245">
        <f>+SUM(M33:M34)</f>
        <v/>
      </c>
      <c r="N32" s="245">
        <f>+SUM(N33:N34)</f>
        <v/>
      </c>
      <c r="O32" s="245">
        <f>+SUM(O33:O34)</f>
        <v/>
      </c>
      <c r="P32" s="245">
        <f>+SUM(P33:P34)</f>
        <v/>
      </c>
      <c r="Q32" s="245">
        <f>+SUM(Q33:Q34)</f>
        <v/>
      </c>
      <c r="R32" s="103">
        <f>IFERROR((Q32/G32)^(1/COUNT($G$4:$Q$4))-1,"")</f>
        <v/>
      </c>
    </row>
    <row r="33">
      <c r="B33" s="781" t="inlineStr">
        <is>
          <t>Cash &amp; Cash Equivalents</t>
        </is>
      </c>
      <c r="C33" s="89" t="n"/>
      <c r="D33" s="89" t="n"/>
      <c r="E33" s="89" t="n"/>
      <c r="G33" s="272" t="inlineStr">
        <is>
          <t>N/A (No Data)</t>
        </is>
      </c>
      <c r="H33" s="272" t="inlineStr">
        <is>
          <t>N/A (No Data)</t>
        </is>
      </c>
      <c r="I33" s="272" t="inlineStr">
        <is>
          <t>N/A (No Data)</t>
        </is>
      </c>
      <c r="J33" s="272" t="inlineStr">
        <is>
          <t>N/A (No Data)</t>
        </is>
      </c>
      <c r="K33" s="272" t="inlineStr">
        <is>
          <t>N/A (No Data)</t>
        </is>
      </c>
      <c r="L33" s="272" t="inlineStr">
        <is>
          <t>N/A (No Data)</t>
        </is>
      </c>
      <c r="M33" s="272" t="inlineStr">
        <is>
          <t>N/A (No Data)</t>
        </is>
      </c>
      <c r="N33" s="272" t="inlineStr">
        <is>
          <t>N/A (No Data)</t>
        </is>
      </c>
      <c r="O33" s="272" t="inlineStr">
        <is>
          <t>N/A (No Data)</t>
        </is>
      </c>
      <c r="P33" s="272" t="inlineStr">
        <is>
          <t>N/A (No Data)</t>
        </is>
      </c>
      <c r="Q33" s="272" t="inlineStr">
        <is>
          <t>N/A (No Data)</t>
        </is>
      </c>
      <c r="R33" s="103">
        <f>IFERROR((Q33/G33)^(1/COUNT($G$4:$Q$4))-1,"")</f>
        <v/>
      </c>
    </row>
    <row r="34">
      <c r="B34" s="781" t="inlineStr">
        <is>
          <t>Short-Term Investments</t>
        </is>
      </c>
      <c r="C34" s="89" t="n"/>
      <c r="D34" s="89" t="n"/>
      <c r="E34" s="89" t="n"/>
      <c r="G34" s="272" t="inlineStr">
        <is>
          <t>N/A (No Data)</t>
        </is>
      </c>
      <c r="H34" s="272" t="inlineStr">
        <is>
          <t>N/A (No Data)</t>
        </is>
      </c>
      <c r="I34" s="272" t="inlineStr">
        <is>
          <t>N/A (No Data)</t>
        </is>
      </c>
      <c r="J34" s="272" t="inlineStr">
        <is>
          <t>N/A (No Data)</t>
        </is>
      </c>
      <c r="K34" s="272" t="inlineStr">
        <is>
          <t>N/A (No Data)</t>
        </is>
      </c>
      <c r="L34" s="272" t="inlineStr">
        <is>
          <t>N/A (No Data)</t>
        </is>
      </c>
      <c r="M34" s="272" t="inlineStr">
        <is>
          <t>N/A (No Data)</t>
        </is>
      </c>
      <c r="N34" s="272" t="inlineStr">
        <is>
          <t>N/A (No Data)</t>
        </is>
      </c>
      <c r="O34" s="272" t="inlineStr">
        <is>
          <t>N/A (No Data)</t>
        </is>
      </c>
      <c r="P34" s="272" t="inlineStr">
        <is>
          <t>N/A (No Data)</t>
        </is>
      </c>
      <c r="Q34" s="272" t="inlineStr">
        <is>
          <t>N/A (No Data)</t>
        </is>
      </c>
      <c r="R34" s="103">
        <f>IFERROR((Q34/G34)^(1/COUNT($G$4:$Q$4))-1,"")</f>
        <v/>
      </c>
    </row>
    <row r="35">
      <c r="B35" t="inlineStr">
        <is>
          <t>Accounts Receivable</t>
        </is>
      </c>
      <c r="G35" s="237" t="inlineStr">
        <is>
          <t>N/A (No Data)</t>
        </is>
      </c>
      <c r="H35" s="237" t="inlineStr">
        <is>
          <t>N/A (No Data)</t>
        </is>
      </c>
      <c r="I35" s="237" t="inlineStr">
        <is>
          <t>N/A (No Data)</t>
        </is>
      </c>
      <c r="J35" s="237" t="inlineStr">
        <is>
          <t>N/A (No Data)</t>
        </is>
      </c>
      <c r="K35" s="237" t="inlineStr">
        <is>
          <t>N/A (No Data)</t>
        </is>
      </c>
      <c r="L35" s="237" t="inlineStr">
        <is>
          <t>N/A (No Data)</t>
        </is>
      </c>
      <c r="M35" s="237" t="inlineStr">
        <is>
          <t>N/A (No Data)</t>
        </is>
      </c>
      <c r="N35" s="237" t="inlineStr">
        <is>
          <t>N/A (No Data)</t>
        </is>
      </c>
      <c r="O35" s="237" t="inlineStr">
        <is>
          <t>N/A (No Data)</t>
        </is>
      </c>
      <c r="P35" s="237" t="inlineStr">
        <is>
          <t>N/A (No Data)</t>
        </is>
      </c>
      <c r="Q35" s="237" t="inlineStr">
        <is>
          <t>N/A (No Data)</t>
        </is>
      </c>
      <c r="R35" s="103">
        <f>IFERROR((Q35/G35)^(1/COUNT($G$4:$Q$4))-1,"")</f>
        <v/>
      </c>
    </row>
    <row r="36">
      <c r="B36" t="inlineStr">
        <is>
          <t>Inventory</t>
        </is>
      </c>
      <c r="G36" s="237" t="inlineStr">
        <is>
          <t>N/A (No Data)</t>
        </is>
      </c>
      <c r="H36" s="237" t="inlineStr">
        <is>
          <t>N/A (No Data)</t>
        </is>
      </c>
      <c r="I36" s="237" t="inlineStr">
        <is>
          <t>N/A (No Data)</t>
        </is>
      </c>
      <c r="J36" s="237" t="inlineStr">
        <is>
          <t>N/A (No Data)</t>
        </is>
      </c>
      <c r="K36" s="237" t="inlineStr">
        <is>
          <t>N/A (No Data)</t>
        </is>
      </c>
      <c r="L36" s="237" t="inlineStr">
        <is>
          <t>N/A (No Data)</t>
        </is>
      </c>
      <c r="M36" s="237" t="inlineStr">
        <is>
          <t>N/A (No Data)</t>
        </is>
      </c>
      <c r="N36" s="237" t="inlineStr">
        <is>
          <t>N/A (No Data)</t>
        </is>
      </c>
      <c r="O36" s="237" t="inlineStr">
        <is>
          <t>N/A (No Data)</t>
        </is>
      </c>
      <c r="P36" s="237" t="inlineStr">
        <is>
          <t>N/A (No Data)</t>
        </is>
      </c>
      <c r="Q36" s="237" t="inlineStr">
        <is>
          <t>N/A (No Data)</t>
        </is>
      </c>
      <c r="R36" s="103">
        <f>IFERROR((Q36/G36)^(1/COUNT($G$4:$Q$4))-1,"")</f>
        <v/>
      </c>
    </row>
    <row r="37">
      <c r="B37" s="38" t="inlineStr">
        <is>
          <t>Prepaid expenses and Other Current Assets</t>
        </is>
      </c>
      <c r="C37" s="38" t="n"/>
      <c r="D37" s="38" t="n"/>
      <c r="E37" s="38" t="n"/>
      <c r="G37" s="243">
        <f>+G38-G32-G35-G36</f>
        <v/>
      </c>
      <c r="H37" s="243">
        <f>+H38-H32-H35-H36</f>
        <v/>
      </c>
      <c r="I37" s="243">
        <f>+I38-I32-I35-I36</f>
        <v/>
      </c>
      <c r="J37" s="243">
        <f>+J38-J32-J35-J36</f>
        <v/>
      </c>
      <c r="K37" s="243">
        <f>+K38-K32-K35-K36</f>
        <v/>
      </c>
      <c r="L37" s="243">
        <f>+L38-L32-L35-L36</f>
        <v/>
      </c>
      <c r="M37" s="243">
        <f>+M38-M32-M35-M36</f>
        <v/>
      </c>
      <c r="N37" s="243">
        <f>+N38-N32-N35-N36</f>
        <v/>
      </c>
      <c r="O37" s="243">
        <f>+O38-O32-O35-O36</f>
        <v/>
      </c>
      <c r="P37" s="243">
        <f>+P38-P32-P35-P36</f>
        <v/>
      </c>
      <c r="Q37" s="243">
        <f>+Q38-Q32-Q35-Q36</f>
        <v/>
      </c>
      <c r="R37" s="103">
        <f>IFERROR((Q37/G37)^(1/COUNT($G$4:$Q$4))-1,"")</f>
        <v/>
      </c>
      <c r="T37" s="73" t="n"/>
    </row>
    <row r="38" ht="15" customFormat="1" customHeight="1" s="1">
      <c r="B38" s="76" t="inlineStr">
        <is>
          <t>Current Assets</t>
        </is>
      </c>
      <c r="C38" s="76" t="n"/>
      <c r="D38" s="76" t="n"/>
      <c r="E38" s="76" t="n"/>
      <c r="F38" s="645" t="n"/>
      <c r="G38" s="269" t="inlineStr">
        <is>
          <t>N/A (No Data)</t>
        </is>
      </c>
      <c r="H38" s="269" t="inlineStr">
        <is>
          <t>N/A (No Data)</t>
        </is>
      </c>
      <c r="I38" s="269" t="inlineStr">
        <is>
          <t>N/A (No Data)</t>
        </is>
      </c>
      <c r="J38" s="269" t="inlineStr">
        <is>
          <t>N/A (No Data)</t>
        </is>
      </c>
      <c r="K38" s="269" t="inlineStr">
        <is>
          <t>N/A (No Data)</t>
        </is>
      </c>
      <c r="L38" s="269" t="inlineStr">
        <is>
          <t>N/A (No Data)</t>
        </is>
      </c>
      <c r="M38" s="269" t="inlineStr">
        <is>
          <t>N/A (No Data)</t>
        </is>
      </c>
      <c r="N38" s="269" t="inlineStr">
        <is>
          <t>N/A (No Data)</t>
        </is>
      </c>
      <c r="O38" s="269" t="inlineStr">
        <is>
          <t>N/A (No Data)</t>
        </is>
      </c>
      <c r="P38" s="269" t="inlineStr">
        <is>
          <t>N/A (No Data)</t>
        </is>
      </c>
      <c r="Q38" s="269" t="inlineStr">
        <is>
          <t>N/A (No Data)</t>
        </is>
      </c>
      <c r="R38" s="244">
        <f>IFERROR((Q38/G38)^(1/COUNT($G$4:$Q$4))-1,"")</f>
        <v/>
      </c>
    </row>
    <row r="39">
      <c r="B39" t="inlineStr">
        <is>
          <t>Net PP&amp;E (Property, Plant and Equipment)</t>
        </is>
      </c>
      <c r="G39" s="270">
        <f>+G40-G41</f>
        <v/>
      </c>
      <c r="H39" s="270">
        <f>+H40-H41</f>
        <v/>
      </c>
      <c r="I39" s="270">
        <f>+I40-I41</f>
        <v/>
      </c>
      <c r="J39" s="270">
        <f>+J40-J41</f>
        <v/>
      </c>
      <c r="K39" s="270">
        <f>+K40-K41</f>
        <v/>
      </c>
      <c r="L39" s="270">
        <f>+L40-L41</f>
        <v/>
      </c>
      <c r="M39" s="270">
        <f>+M40-M41</f>
        <v/>
      </c>
      <c r="N39" s="270">
        <f>+N40-N41</f>
        <v/>
      </c>
      <c r="O39" s="270">
        <f>+O40-O41</f>
        <v/>
      </c>
      <c r="P39" s="270">
        <f>+P40-P41</f>
        <v/>
      </c>
      <c r="Q39" s="270">
        <f>+Q40-Q41</f>
        <v/>
      </c>
      <c r="R39" s="103">
        <f>IFERROR((Q39/G39)^(1/COUNT($G$4:$Q$4))-1,"")</f>
        <v/>
      </c>
    </row>
    <row r="40">
      <c r="B40" s="781" t="inlineStr">
        <is>
          <t>Gross PP&amp;E (Property, Plant and Equipment)</t>
        </is>
      </c>
      <c r="C40" s="89" t="n"/>
      <c r="D40" s="89" t="n"/>
      <c r="E40" s="89" t="n"/>
      <c r="G40" s="272" t="inlineStr">
        <is>
          <t>N/A (No Data)</t>
        </is>
      </c>
      <c r="H40" s="272" t="inlineStr">
        <is>
          <t>N/A (No Data)</t>
        </is>
      </c>
      <c r="I40" s="272" t="inlineStr">
        <is>
          <t>N/A (No Data)</t>
        </is>
      </c>
      <c r="J40" s="272" t="inlineStr">
        <is>
          <t>N/A (No Data)</t>
        </is>
      </c>
      <c r="K40" s="272" t="inlineStr">
        <is>
          <t>N/A (No Data)</t>
        </is>
      </c>
      <c r="L40" s="272" t="inlineStr">
        <is>
          <t>N/A (No Data)</t>
        </is>
      </c>
      <c r="M40" s="272" t="inlineStr">
        <is>
          <t>N/A (No Data)</t>
        </is>
      </c>
      <c r="N40" s="272" t="inlineStr">
        <is>
          <t>N/A (No Data)</t>
        </is>
      </c>
      <c r="O40" s="272" t="inlineStr">
        <is>
          <t>N/A (No Data)</t>
        </is>
      </c>
      <c r="P40" s="272" t="inlineStr">
        <is>
          <t>N/A (No Data)</t>
        </is>
      </c>
      <c r="Q40" s="272" t="inlineStr">
        <is>
          <t>N/A (No Data)</t>
        </is>
      </c>
      <c r="R40" s="103">
        <f>IFERROR((Q40/G40)^(1/COUNT($G$4:$Q$4))-1,"")</f>
        <v/>
      </c>
    </row>
    <row r="41">
      <c r="B41" s="781" t="inlineStr">
        <is>
          <t>Accumulated Depreciation</t>
        </is>
      </c>
      <c r="C41" s="89" t="n"/>
      <c r="D41" s="89" t="n"/>
      <c r="E41" s="89" t="n"/>
      <c r="G41" s="272" t="inlineStr">
        <is>
          <t>N/A (No Data)</t>
        </is>
      </c>
      <c r="H41" s="272" t="inlineStr">
        <is>
          <t>N/A (No Data)</t>
        </is>
      </c>
      <c r="I41" s="272" t="inlineStr">
        <is>
          <t>N/A (No Data)</t>
        </is>
      </c>
      <c r="J41" s="272" t="inlineStr">
        <is>
          <t>N/A (No Data)</t>
        </is>
      </c>
      <c r="K41" s="272" t="inlineStr">
        <is>
          <t>N/A (No Data)</t>
        </is>
      </c>
      <c r="L41" s="272" t="inlineStr">
        <is>
          <t>N/A (No Data)</t>
        </is>
      </c>
      <c r="M41" s="272" t="inlineStr">
        <is>
          <t>N/A (No Data)</t>
        </is>
      </c>
      <c r="N41" s="272" t="inlineStr">
        <is>
          <t>N/A (No Data)</t>
        </is>
      </c>
      <c r="O41" s="272" t="inlineStr">
        <is>
          <t>N/A (No Data)</t>
        </is>
      </c>
      <c r="P41" s="272" t="inlineStr">
        <is>
          <t>N/A (No Data)</t>
        </is>
      </c>
      <c r="Q41" s="272" t="inlineStr">
        <is>
          <t>N/A (No Data)</t>
        </is>
      </c>
      <c r="R41" s="103">
        <f>IFERROR((Q41/G41)^(1/COUNT($G$4:$Q$4))-1,"")</f>
        <v/>
      </c>
    </row>
    <row r="42">
      <c r="B42" t="inlineStr">
        <is>
          <t>Right-of-Use Assets</t>
        </is>
      </c>
      <c r="G42" s="299" t="n"/>
      <c r="H42" s="299" t="n"/>
      <c r="I42" s="299" t="n"/>
      <c r="J42" s="299" t="n"/>
      <c r="K42" s="299" t="n"/>
      <c r="L42" s="299" t="n"/>
      <c r="M42" s="299" t="n"/>
      <c r="N42" s="299" t="n"/>
      <c r="O42" s="299" t="n"/>
      <c r="P42" s="299" t="n"/>
      <c r="Q42" s="299" t="n"/>
      <c r="R42" s="103">
        <f>IFERROR((Q42/G42)^(1/COUNT($G$4:$Q$4))-1,"")</f>
        <v/>
      </c>
    </row>
    <row r="43">
      <c r="B43" t="inlineStr">
        <is>
          <t>Intangibles</t>
        </is>
      </c>
      <c r="G43" s="237" t="inlineStr">
        <is>
          <t>N/A (No Data)</t>
        </is>
      </c>
      <c r="H43" s="237" t="inlineStr">
        <is>
          <t>N/A (No Data)</t>
        </is>
      </c>
      <c r="I43" s="237" t="inlineStr">
        <is>
          <t>N/A (No Data)</t>
        </is>
      </c>
      <c r="J43" s="237" t="inlineStr">
        <is>
          <t>N/A (No Data)</t>
        </is>
      </c>
      <c r="K43" s="237" t="inlineStr">
        <is>
          <t>N/A (No Data)</t>
        </is>
      </c>
      <c r="L43" s="237" t="inlineStr">
        <is>
          <t>N/A (No Data)</t>
        </is>
      </c>
      <c r="M43" s="237" t="inlineStr">
        <is>
          <t>N/A (No Data)</t>
        </is>
      </c>
      <c r="N43" s="237" t="inlineStr">
        <is>
          <t>N/A (No Data)</t>
        </is>
      </c>
      <c r="O43" s="237" t="inlineStr">
        <is>
          <t>N/A (No Data)</t>
        </is>
      </c>
      <c r="P43" s="237" t="inlineStr">
        <is>
          <t>N/A (No Data)</t>
        </is>
      </c>
      <c r="Q43" s="237" t="inlineStr">
        <is>
          <t>N/A (No Data)</t>
        </is>
      </c>
      <c r="R43" s="103">
        <f>IFERROR((Q43/G43)^(1/COUNT($G$4:$Q$4))-1,"")</f>
        <v/>
      </c>
    </row>
    <row r="44">
      <c r="B44" s="781" t="inlineStr">
        <is>
          <t>Goodwill</t>
        </is>
      </c>
      <c r="C44" s="89" t="n"/>
      <c r="D44" s="89" t="n"/>
      <c r="E44" s="89" t="n"/>
      <c r="G44" s="272" t="inlineStr">
        <is>
          <t>N/A (No Data)</t>
        </is>
      </c>
      <c r="H44" s="272" t="inlineStr">
        <is>
          <t>N/A (No Data)</t>
        </is>
      </c>
      <c r="I44" s="272" t="inlineStr">
        <is>
          <t>N/A (No Data)</t>
        </is>
      </c>
      <c r="J44" s="272" t="inlineStr">
        <is>
          <t>N/A (No Data)</t>
        </is>
      </c>
      <c r="K44" s="272" t="inlineStr">
        <is>
          <t>N/A (No Data)</t>
        </is>
      </c>
      <c r="L44" s="272" t="inlineStr">
        <is>
          <t>N/A (No Data)</t>
        </is>
      </c>
      <c r="M44" s="272" t="inlineStr">
        <is>
          <t>N/A (No Data)</t>
        </is>
      </c>
      <c r="N44" s="272" t="inlineStr">
        <is>
          <t>N/A (No Data)</t>
        </is>
      </c>
      <c r="O44" s="272" t="inlineStr">
        <is>
          <t>N/A (No Data)</t>
        </is>
      </c>
      <c r="P44" s="272" t="inlineStr">
        <is>
          <t>N/A (No Data)</t>
        </is>
      </c>
      <c r="Q44" s="272" t="inlineStr">
        <is>
          <t>N/A (No Data)</t>
        </is>
      </c>
      <c r="R44" s="103">
        <f>IFERROR((Q44/G44)^(1/COUNT($G$4:$Q$4))-1,"")</f>
        <v/>
      </c>
    </row>
    <row r="45">
      <c r="B45" s="781" t="inlineStr">
        <is>
          <t>Intangibles excl. Goodwill</t>
        </is>
      </c>
      <c r="C45" s="89" t="n"/>
      <c r="D45" s="89" t="n"/>
      <c r="E45" s="89" t="n"/>
      <c r="G45" s="273">
        <f>+G43-G44</f>
        <v/>
      </c>
      <c r="H45" s="273">
        <f>+H43-H44</f>
        <v/>
      </c>
      <c r="I45" s="273">
        <f>+I43-I44</f>
        <v/>
      </c>
      <c r="J45" s="273">
        <f>+J43-J44</f>
        <v/>
      </c>
      <c r="K45" s="273">
        <f>+K43-K44</f>
        <v/>
      </c>
      <c r="L45" s="273">
        <f>+L43-L44</f>
        <v/>
      </c>
      <c r="M45" s="273">
        <f>+M43-M44</f>
        <v/>
      </c>
      <c r="N45" s="273">
        <f>+N43-N44</f>
        <v/>
      </c>
      <c r="O45" s="273">
        <f>+O43-O44</f>
        <v/>
      </c>
      <c r="P45" s="273">
        <f>+P43-P44</f>
        <v/>
      </c>
      <c r="Q45" s="273">
        <f>+Q43-Q44</f>
        <v/>
      </c>
      <c r="R45" s="103">
        <f>IFERROR((Q45/G45)^(1/COUNT($G$4:$Q$4))-1,"")</f>
        <v/>
      </c>
    </row>
    <row r="46">
      <c r="B46" s="38" t="inlineStr">
        <is>
          <t>Other Non-Current Assets</t>
        </is>
      </c>
      <c r="C46" s="38" t="n"/>
      <c r="D46" s="38" t="n"/>
      <c r="E46" s="38" t="n"/>
      <c r="G46" s="243">
        <f>+G47-G39-G42-G43</f>
        <v/>
      </c>
      <c r="H46" s="243">
        <f>+H47-H39-H42-H43</f>
        <v/>
      </c>
      <c r="I46" s="243">
        <f>+I47-I39-I42-I43</f>
        <v/>
      </c>
      <c r="J46" s="243">
        <f>+J47-J39-J42-J43</f>
        <v/>
      </c>
      <c r="K46" s="243">
        <f>+K47-K39-K42-K43</f>
        <v/>
      </c>
      <c r="L46" s="243">
        <f>+L47-L39-L42-L43</f>
        <v/>
      </c>
      <c r="M46" s="243">
        <f>+M47-M39-M42-M43</f>
        <v/>
      </c>
      <c r="N46" s="243">
        <f>+N47-N39-N42-N43</f>
        <v/>
      </c>
      <c r="O46" s="243">
        <f>+O47-O39-O42-O43</f>
        <v/>
      </c>
      <c r="P46" s="243">
        <f>+P47-P39-P42-P43</f>
        <v/>
      </c>
      <c r="Q46" s="243">
        <f>+Q47-Q39-Q42-Q43</f>
        <v/>
      </c>
      <c r="R46" s="103">
        <f>IFERROR((Q46/G46)^(1/COUNT($G$4:$Q$4))-1,"")</f>
        <v/>
      </c>
    </row>
    <row r="47" ht="15.75" customFormat="1" customHeight="1" s="1" thickBot="1">
      <c r="B47" s="1" t="inlineStr">
        <is>
          <t>Non-Current Assets</t>
        </is>
      </c>
      <c r="F47" s="644" t="n"/>
      <c r="G47" s="780" t="inlineStr">
        <is>
          <t>N/A (No Data)</t>
        </is>
      </c>
      <c r="H47" s="780" t="inlineStr">
        <is>
          <t>N/A (No Data)</t>
        </is>
      </c>
      <c r="I47" s="780" t="inlineStr">
        <is>
          <t>N/A (No Data)</t>
        </is>
      </c>
      <c r="J47" s="780" t="inlineStr">
        <is>
          <t>N/A (No Data)</t>
        </is>
      </c>
      <c r="K47" s="780" t="inlineStr">
        <is>
          <t>N/A (No Data)</t>
        </is>
      </c>
      <c r="L47" s="780" t="inlineStr">
        <is>
          <t>N/A (No Data)</t>
        </is>
      </c>
      <c r="M47" s="780" t="inlineStr">
        <is>
          <t>N/A (No Data)</t>
        </is>
      </c>
      <c r="N47" s="780" t="inlineStr">
        <is>
          <t>N/A (No Data)</t>
        </is>
      </c>
      <c r="O47" s="780" t="inlineStr">
        <is>
          <t>N/A (No Data)</t>
        </is>
      </c>
      <c r="P47" s="780" t="inlineStr">
        <is>
          <t>N/A (No Data)</t>
        </is>
      </c>
      <c r="Q47" s="780" t="inlineStr">
        <is>
          <t>N/A (No Data)</t>
        </is>
      </c>
      <c r="R47" s="103">
        <f>IFERROR((Q47/G47)^(1/COUNT($G$4:$Q$4))-1,"")</f>
        <v/>
      </c>
    </row>
    <row r="48" ht="15.75" customFormat="1" customHeight="1" s="1" thickBot="1">
      <c r="B48" s="247" t="inlineStr">
        <is>
          <t>Total Assets</t>
        </is>
      </c>
      <c r="C48" s="247" t="n"/>
      <c r="D48" s="247" t="n"/>
      <c r="E48" s="247" t="n"/>
      <c r="F48" s="646" t="n"/>
      <c r="G48" s="248">
        <f>SUM(G47,G38)</f>
        <v/>
      </c>
      <c r="H48" s="248">
        <f>SUM(H47,H38)</f>
        <v/>
      </c>
      <c r="I48" s="248">
        <f>SUM(I47,I38)</f>
        <v/>
      </c>
      <c r="J48" s="248">
        <f>SUM(J47,J38)</f>
        <v/>
      </c>
      <c r="K48" s="248">
        <f>SUM(K47,K38)</f>
        <v/>
      </c>
      <c r="L48" s="248">
        <f>SUM(L47,L38)</f>
        <v/>
      </c>
      <c r="M48" s="248">
        <f>SUM(M47,M38)</f>
        <v/>
      </c>
      <c r="N48" s="248">
        <f>SUM(N47,N38)</f>
        <v/>
      </c>
      <c r="O48" s="248">
        <f>SUM(O47,O38)</f>
        <v/>
      </c>
      <c r="P48" s="248">
        <f>SUM(P47,P38)</f>
        <v/>
      </c>
      <c r="Q48" s="248">
        <f>SUM(Q47,Q38)</f>
        <v/>
      </c>
      <c r="R48" s="103">
        <f>IFERROR((Q48/G48)^(1/COUNT($G$4:$Q$4))-1,"")</f>
        <v/>
      </c>
    </row>
    <row r="49">
      <c r="B49" t="inlineStr">
        <is>
          <t>Accounts Payable</t>
        </is>
      </c>
      <c r="G49" s="237" t="inlineStr">
        <is>
          <t>N/A (No Data)</t>
        </is>
      </c>
      <c r="H49" s="237" t="inlineStr">
        <is>
          <t>N/A (No Data)</t>
        </is>
      </c>
      <c r="I49" s="237" t="inlineStr">
        <is>
          <t>N/A (No Data)</t>
        </is>
      </c>
      <c r="J49" s="237" t="inlineStr">
        <is>
          <t>N/A (No Data)</t>
        </is>
      </c>
      <c r="K49" s="237" t="inlineStr">
        <is>
          <t>N/A (No Data)</t>
        </is>
      </c>
      <c r="L49" s="237" t="inlineStr">
        <is>
          <t>N/A (No Data)</t>
        </is>
      </c>
      <c r="M49" s="237" t="inlineStr">
        <is>
          <t>N/A (No Data)</t>
        </is>
      </c>
      <c r="N49" s="237" t="inlineStr">
        <is>
          <t>N/A (No Data)</t>
        </is>
      </c>
      <c r="O49" s="237" t="inlineStr">
        <is>
          <t>N/A (No Data)</t>
        </is>
      </c>
      <c r="P49" s="237" t="inlineStr">
        <is>
          <t>N/A (No Data)</t>
        </is>
      </c>
      <c r="Q49" s="237" t="inlineStr">
        <is>
          <t>N/A (No Data)</t>
        </is>
      </c>
      <c r="R49" s="103">
        <f>IFERROR((Q49/G49)^(1/COUNT($G$4:$Q$4))-1,"")</f>
        <v/>
      </c>
    </row>
    <row r="50">
      <c r="B50" t="inlineStr">
        <is>
          <t>Short-Term Debt</t>
        </is>
      </c>
      <c r="G50" s="245">
        <f>+SUM(G51:G52)</f>
        <v/>
      </c>
      <c r="H50" s="245">
        <f>+SUM(H51:H52)</f>
        <v/>
      </c>
      <c r="I50" s="245">
        <f>+SUM(I51:I52)</f>
        <v/>
      </c>
      <c r="J50" s="245">
        <f>+SUM(J51:J52)</f>
        <v/>
      </c>
      <c r="K50" s="245">
        <f>+SUM(K51:K52)</f>
        <v/>
      </c>
      <c r="L50" s="245">
        <f>+SUM(L51:L52)</f>
        <v/>
      </c>
      <c r="M50" s="245">
        <f>+SUM(M51:M52)</f>
        <v/>
      </c>
      <c r="N50" s="245">
        <f>+SUM(N51:N52)</f>
        <v/>
      </c>
      <c r="O50" s="245">
        <f>+SUM(O51:O52)</f>
        <v/>
      </c>
      <c r="P50" s="245">
        <f>+SUM(P51:P52)</f>
        <v/>
      </c>
      <c r="Q50" s="245">
        <f>+SUM(Q51:Q52)</f>
        <v/>
      </c>
      <c r="R50" s="103">
        <f>IFERROR((Q50/G50)^(1/COUNT($G$4:$Q$4))-1,"")</f>
        <v/>
      </c>
    </row>
    <row r="51">
      <c r="B51" s="781" t="inlineStr">
        <is>
          <t>Short-Term Borrowings</t>
        </is>
      </c>
      <c r="G51" s="272" t="inlineStr">
        <is>
          <t>N/A (No Data)</t>
        </is>
      </c>
      <c r="H51" s="272" t="inlineStr">
        <is>
          <t>N/A (No Data)</t>
        </is>
      </c>
      <c r="I51" s="272" t="inlineStr">
        <is>
          <t>N/A (No Data)</t>
        </is>
      </c>
      <c r="J51" s="272" t="inlineStr">
        <is>
          <t>N/A (No Data)</t>
        </is>
      </c>
      <c r="K51" s="272" t="inlineStr">
        <is>
          <t>N/A (No Data)</t>
        </is>
      </c>
      <c r="L51" s="272" t="inlineStr">
        <is>
          <t>N/A (No Data)</t>
        </is>
      </c>
      <c r="M51" s="272" t="inlineStr">
        <is>
          <t>N/A (No Data)</t>
        </is>
      </c>
      <c r="N51" s="272" t="inlineStr">
        <is>
          <t>N/A (No Data)</t>
        </is>
      </c>
      <c r="O51" s="272" t="inlineStr">
        <is>
          <t>N/A (No Data)</t>
        </is>
      </c>
      <c r="P51" s="272" t="inlineStr">
        <is>
          <t>N/A (No Data)</t>
        </is>
      </c>
      <c r="Q51" s="272" t="inlineStr">
        <is>
          <t>N/A (No Data)</t>
        </is>
      </c>
      <c r="R51" s="103">
        <f>IFERROR((Q51/G51)^(1/COUNT($G$4:$Q$4))-1,"")</f>
        <v/>
      </c>
    </row>
    <row r="52">
      <c r="B52" s="781" t="inlineStr">
        <is>
          <t>Current Portion of Lease Liabilities</t>
        </is>
      </c>
      <c r="G52" s="272" t="inlineStr">
        <is>
          <t>N/A (No Data)</t>
        </is>
      </c>
      <c r="H52" s="272" t="inlineStr">
        <is>
          <t>N/A (No Data)</t>
        </is>
      </c>
      <c r="I52" s="272" t="inlineStr">
        <is>
          <t>N/A (No Data)</t>
        </is>
      </c>
      <c r="J52" s="272" t="inlineStr">
        <is>
          <t>N/A (No Data)</t>
        </is>
      </c>
      <c r="K52" s="272" t="inlineStr">
        <is>
          <t>N/A (No Data)</t>
        </is>
      </c>
      <c r="L52" s="272" t="inlineStr">
        <is>
          <t>N/A (No Data)</t>
        </is>
      </c>
      <c r="M52" s="272" t="inlineStr">
        <is>
          <t>N/A (No Data)</t>
        </is>
      </c>
      <c r="N52" s="272" t="inlineStr">
        <is>
          <t>N/A (No Data)</t>
        </is>
      </c>
      <c r="O52" s="272" t="inlineStr">
        <is>
          <t>N/A (No Data)</t>
        </is>
      </c>
      <c r="P52" s="272" t="inlineStr">
        <is>
          <t>N/A (No Data)</t>
        </is>
      </c>
      <c r="Q52" s="272" t="inlineStr">
        <is>
          <t>N/A (No Data)</t>
        </is>
      </c>
      <c r="R52" s="103">
        <f>IFERROR((Q52/G52)^(1/COUNT($G$4:$Q$4))-1,"")</f>
        <v/>
      </c>
    </row>
    <row r="53">
      <c r="B53" s="38" t="inlineStr">
        <is>
          <t>Accrued Expenses and Other Current Liabilities</t>
        </is>
      </c>
      <c r="C53" s="38" t="n"/>
      <c r="D53" s="38" t="n"/>
      <c r="E53" s="38" t="n"/>
      <c r="G53" s="243">
        <f>+G54-G49-G50</f>
        <v/>
      </c>
      <c r="H53" s="243">
        <f>+H54-H49-H50</f>
        <v/>
      </c>
      <c r="I53" s="243">
        <f>+I54-I49-I50</f>
        <v/>
      </c>
      <c r="J53" s="243">
        <f>+J54-J49-J50</f>
        <v/>
      </c>
      <c r="K53" s="243">
        <f>+K54-K49-K50</f>
        <v/>
      </c>
      <c r="L53" s="243">
        <f>+L54-L49-L50</f>
        <v/>
      </c>
      <c r="M53" s="243">
        <f>+M54-M49-M50</f>
        <v/>
      </c>
      <c r="N53" s="243">
        <f>+N54-N49-N50</f>
        <v/>
      </c>
      <c r="O53" s="243">
        <f>+O54-O49-O50</f>
        <v/>
      </c>
      <c r="P53" s="243">
        <f>+P54-P49-P50</f>
        <v/>
      </c>
      <c r="Q53" s="243">
        <f>+Q54-Q49-Q50</f>
        <v/>
      </c>
      <c r="R53" s="103">
        <f>IFERROR((Q53/G53)^(1/COUNT($G$4:$Q$4))-1,"")</f>
        <v/>
      </c>
    </row>
    <row r="54">
      <c r="B54" s="38" t="inlineStr">
        <is>
          <t>Current Liabilities</t>
        </is>
      </c>
      <c r="C54" s="38" t="n"/>
      <c r="D54" s="38" t="n"/>
      <c r="E54" s="38" t="n"/>
      <c r="F54" s="645" t="n"/>
      <c r="G54" s="237" t="inlineStr">
        <is>
          <t>N/A (No Data)</t>
        </is>
      </c>
      <c r="H54" s="237" t="inlineStr">
        <is>
          <t>N/A (No Data)</t>
        </is>
      </c>
      <c r="I54" s="237" t="inlineStr">
        <is>
          <t>N/A (No Data)</t>
        </is>
      </c>
      <c r="J54" s="237" t="inlineStr">
        <is>
          <t>N/A (No Data)</t>
        </is>
      </c>
      <c r="K54" s="237" t="inlineStr">
        <is>
          <t>N/A (No Data)</t>
        </is>
      </c>
      <c r="L54" s="237" t="inlineStr">
        <is>
          <t>N/A (No Data)</t>
        </is>
      </c>
      <c r="M54" s="237" t="inlineStr">
        <is>
          <t>N/A (No Data)</t>
        </is>
      </c>
      <c r="N54" s="237" t="inlineStr">
        <is>
          <t>N/A (No Data)</t>
        </is>
      </c>
      <c r="O54" s="237" t="inlineStr">
        <is>
          <t>N/A (No Data)</t>
        </is>
      </c>
      <c r="P54" s="237" t="inlineStr">
        <is>
          <t>N/A (No Data)</t>
        </is>
      </c>
      <c r="Q54" s="237" t="inlineStr">
        <is>
          <t>N/A (No Data)</t>
        </is>
      </c>
      <c r="R54" s="103">
        <f>IFERROR((Q54/G54)^(1/COUNT($G$4:$Q$4))-1,"")</f>
        <v/>
      </c>
    </row>
    <row r="55">
      <c r="B55" t="inlineStr">
        <is>
          <t>Long-Term Debt</t>
        </is>
      </c>
      <c r="G55" s="270">
        <f>+SUM(G56:G57)</f>
        <v/>
      </c>
      <c r="H55" s="270">
        <f>+SUM(H56:H57)</f>
        <v/>
      </c>
      <c r="I55" s="270">
        <f>+SUM(I56:I57)</f>
        <v/>
      </c>
      <c r="J55" s="270">
        <f>+SUM(J56:J57)</f>
        <v/>
      </c>
      <c r="K55" s="270">
        <f>+SUM(K56:K57)</f>
        <v/>
      </c>
      <c r="L55" s="270">
        <f>+SUM(L56:L57)</f>
        <v/>
      </c>
      <c r="M55" s="270">
        <f>+SUM(M56:M57)</f>
        <v/>
      </c>
      <c r="N55" s="270">
        <f>+SUM(N56:N57)</f>
        <v/>
      </c>
      <c r="O55" s="270">
        <f>+SUM(O56:O57)</f>
        <v/>
      </c>
      <c r="P55" s="270">
        <f>+SUM(P56:P57)</f>
        <v/>
      </c>
      <c r="Q55" s="270">
        <f>+SUM(Q56:Q57)</f>
        <v/>
      </c>
      <c r="R55" s="103">
        <f>IFERROR((Q55/G55)^(1/COUNT($G$4:$Q$4))-1,"")</f>
        <v/>
      </c>
    </row>
    <row r="56">
      <c r="B56" s="781" t="inlineStr">
        <is>
          <t>Long-Term Borrowings</t>
        </is>
      </c>
      <c r="G56" s="272" t="inlineStr">
        <is>
          <t>N/A (No Data)</t>
        </is>
      </c>
      <c r="H56" s="272" t="inlineStr">
        <is>
          <t>N/A (No Data)</t>
        </is>
      </c>
      <c r="I56" s="272" t="inlineStr">
        <is>
          <t>N/A (No Data)</t>
        </is>
      </c>
      <c r="J56" s="272" t="inlineStr">
        <is>
          <t>N/A (No Data)</t>
        </is>
      </c>
      <c r="K56" s="272" t="inlineStr">
        <is>
          <t>N/A (No Data)</t>
        </is>
      </c>
      <c r="L56" s="272" t="inlineStr">
        <is>
          <t>N/A (No Data)</t>
        </is>
      </c>
      <c r="M56" s="272" t="inlineStr">
        <is>
          <t>N/A (No Data)</t>
        </is>
      </c>
      <c r="N56" s="272" t="inlineStr">
        <is>
          <t>N/A (No Data)</t>
        </is>
      </c>
      <c r="O56" s="272" t="inlineStr">
        <is>
          <t>N/A (No Data)</t>
        </is>
      </c>
      <c r="P56" s="272" t="inlineStr">
        <is>
          <t>N/A (No Data)</t>
        </is>
      </c>
      <c r="Q56" s="272" t="inlineStr">
        <is>
          <t>N/A (No Data)</t>
        </is>
      </c>
      <c r="R56" s="103">
        <f>IFERROR((Q56/G56)^(1/COUNT($G$4:$Q$4))-1,"")</f>
        <v/>
      </c>
    </row>
    <row r="57">
      <c r="B57" s="781" t="inlineStr">
        <is>
          <t>Long-Term Operating Lease Liabilities</t>
        </is>
      </c>
      <c r="G57" s="272" t="inlineStr">
        <is>
          <t>N/A (No Data)</t>
        </is>
      </c>
      <c r="H57" s="272" t="inlineStr">
        <is>
          <t>N/A (No Data)</t>
        </is>
      </c>
      <c r="I57" s="272" t="inlineStr">
        <is>
          <t>N/A (No Data)</t>
        </is>
      </c>
      <c r="J57" s="272" t="inlineStr">
        <is>
          <t>N/A (No Data)</t>
        </is>
      </c>
      <c r="K57" s="272" t="inlineStr">
        <is>
          <t>N/A (No Data)</t>
        </is>
      </c>
      <c r="L57" s="272" t="inlineStr">
        <is>
          <t>N/A (No Data)</t>
        </is>
      </c>
      <c r="M57" s="272" t="inlineStr">
        <is>
          <t>N/A (No Data)</t>
        </is>
      </c>
      <c r="N57" s="272" t="inlineStr">
        <is>
          <t>N/A (No Data)</t>
        </is>
      </c>
      <c r="O57" s="272" t="inlineStr">
        <is>
          <t>N/A (No Data)</t>
        </is>
      </c>
      <c r="P57" s="272" t="inlineStr">
        <is>
          <t>N/A (No Data)</t>
        </is>
      </c>
      <c r="Q57" s="272" t="inlineStr">
        <is>
          <t>N/A (No Data)</t>
        </is>
      </c>
      <c r="R57" s="103">
        <f>IFERROR((Q57/G57)^(1/COUNT($G$4:$Q$4))-1,"")</f>
        <v/>
      </c>
    </row>
    <row r="58">
      <c r="B58" s="38" t="inlineStr">
        <is>
          <t>Other Non-Current Liabilities</t>
        </is>
      </c>
      <c r="C58" s="38" t="n"/>
      <c r="D58" s="38" t="n"/>
      <c r="E58" s="38" t="n"/>
      <c r="G58" s="249">
        <f>+G59-G55</f>
        <v/>
      </c>
      <c r="H58" s="249">
        <f>+H59-H55</f>
        <v/>
      </c>
      <c r="I58" s="249">
        <f>+I59-I55</f>
        <v/>
      </c>
      <c r="J58" s="249">
        <f>+J59-J55</f>
        <v/>
      </c>
      <c r="K58" s="249">
        <f>+K59-K55</f>
        <v/>
      </c>
      <c r="L58" s="249">
        <f>+L59-L55</f>
        <v/>
      </c>
      <c r="M58" s="249">
        <f>+M59-M55</f>
        <v/>
      </c>
      <c r="N58" s="249">
        <f>+N59-N55</f>
        <v/>
      </c>
      <c r="O58" s="249">
        <f>+O59-O55</f>
        <v/>
      </c>
      <c r="P58" s="249">
        <f>+P59-P55</f>
        <v/>
      </c>
      <c r="Q58" s="249">
        <f>+Q59-Q55</f>
        <v/>
      </c>
      <c r="R58" s="103">
        <f>IFERROR((Q58/G58)^(1/COUNT($G$4:$Q$4))-1,"")</f>
        <v/>
      </c>
    </row>
    <row r="59" ht="15.75" customFormat="1" customHeight="1" s="1" thickBot="1">
      <c r="B59" s="1" t="inlineStr">
        <is>
          <t>Non-Current Liabilities</t>
        </is>
      </c>
      <c r="F59" s="644" t="n"/>
      <c r="G59" s="237" t="inlineStr">
        <is>
          <t>N/A (No Data)</t>
        </is>
      </c>
      <c r="H59" s="237" t="inlineStr">
        <is>
          <t>N/A (No Data)</t>
        </is>
      </c>
      <c r="I59" s="237" t="inlineStr">
        <is>
          <t>N/A (No Data)</t>
        </is>
      </c>
      <c r="J59" s="237" t="inlineStr">
        <is>
          <t>N/A (No Data)</t>
        </is>
      </c>
      <c r="K59" s="237" t="inlineStr">
        <is>
          <t>N/A (No Data)</t>
        </is>
      </c>
      <c r="L59" s="237" t="inlineStr">
        <is>
          <t>N/A (No Data)</t>
        </is>
      </c>
      <c r="M59" s="237" t="inlineStr">
        <is>
          <t>N/A (No Data)</t>
        </is>
      </c>
      <c r="N59" s="237" t="inlineStr">
        <is>
          <t>N/A (No Data)</t>
        </is>
      </c>
      <c r="O59" s="237" t="inlineStr">
        <is>
          <t>N/A (No Data)</t>
        </is>
      </c>
      <c r="P59" s="237" t="inlineStr">
        <is>
          <t>N/A (No Data)</t>
        </is>
      </c>
      <c r="Q59" s="237" t="inlineStr">
        <is>
          <t>N/A (No Data)</t>
        </is>
      </c>
      <c r="R59" s="103">
        <f>IFERROR((Q59/G59)^(1/COUNT($G$4:$Q$4))-1,"")</f>
        <v/>
      </c>
    </row>
    <row r="60" ht="15.75" customFormat="1" customHeight="1" s="1" thickBot="1">
      <c r="B60" s="247" t="inlineStr">
        <is>
          <t>Total Liabilities</t>
        </is>
      </c>
      <c r="C60" s="247" t="n"/>
      <c r="D60" s="247" t="n"/>
      <c r="E60" s="247" t="n"/>
      <c r="F60" s="646" t="n"/>
      <c r="G60" s="248">
        <f>SUM(G59,G54)</f>
        <v/>
      </c>
      <c r="H60" s="248">
        <f>SUM(H59,H54)</f>
        <v/>
      </c>
      <c r="I60" s="248">
        <f>SUM(I59,I54)</f>
        <v/>
      </c>
      <c r="J60" s="248">
        <f>SUM(J59,J54)</f>
        <v/>
      </c>
      <c r="K60" s="248">
        <f>SUM(K59,K54)</f>
        <v/>
      </c>
      <c r="L60" s="248">
        <f>SUM(L59,L54)</f>
        <v/>
      </c>
      <c r="M60" s="248">
        <f>SUM(M59,M54)</f>
        <v/>
      </c>
      <c r="N60" s="248">
        <f>SUM(N59,N54)</f>
        <v/>
      </c>
      <c r="O60" s="248">
        <f>SUM(O59,O54)</f>
        <v/>
      </c>
      <c r="P60" s="248">
        <f>SUM(P59,P54)</f>
        <v/>
      </c>
      <c r="Q60" s="248">
        <f>SUM(Q59,Q54)</f>
        <v/>
      </c>
      <c r="R60" s="103">
        <f>IFERROR((Q60/G60)^(1/COUNT($G$4:$Q$4))-1,"")</f>
        <v/>
      </c>
    </row>
    <row r="61" ht="15" customFormat="1" customHeight="1" s="1">
      <c r="B61" s="1" t="inlineStr">
        <is>
          <t>Shareholder's Equity</t>
        </is>
      </c>
      <c r="G61" s="239">
        <f>G48-G60</f>
        <v/>
      </c>
      <c r="H61" s="239">
        <f>H48-H60</f>
        <v/>
      </c>
      <c r="I61" s="239">
        <f>I48-I60</f>
        <v/>
      </c>
      <c r="J61" s="239">
        <f>J48-J60</f>
        <v/>
      </c>
      <c r="K61" s="239">
        <f>K48-K60</f>
        <v/>
      </c>
      <c r="L61" s="239">
        <f>L48-L60</f>
        <v/>
      </c>
      <c r="M61" s="239">
        <f>M48-M60</f>
        <v/>
      </c>
      <c r="N61" s="239">
        <f>N48-N60</f>
        <v/>
      </c>
      <c r="O61" s="239">
        <f>O48-O60</f>
        <v/>
      </c>
      <c r="P61" s="239">
        <f>P48-P60</f>
        <v/>
      </c>
      <c r="Q61" s="239">
        <f>Q48-Q60</f>
        <v/>
      </c>
      <c r="R61" s="103">
        <f>IFERROR((Q61/G61)^(1/COUNT($G$4:$Q$4))-1,"")</f>
        <v/>
      </c>
    </row>
    <row r="62">
      <c r="B62" t="inlineStr">
        <is>
          <t>Non-Controlling Interest</t>
        </is>
      </c>
      <c r="G62" s="272" t="inlineStr">
        <is>
          <t>N/A (No Data)</t>
        </is>
      </c>
      <c r="H62" s="272" t="inlineStr">
        <is>
          <t>N/A (No Data)</t>
        </is>
      </c>
      <c r="I62" s="272" t="inlineStr">
        <is>
          <t>N/A (No Data)</t>
        </is>
      </c>
      <c r="J62" s="272" t="inlineStr">
        <is>
          <t>N/A (No Data)</t>
        </is>
      </c>
      <c r="K62" s="272" t="inlineStr">
        <is>
          <t>N/A (No Data)</t>
        </is>
      </c>
      <c r="L62" s="272" t="inlineStr">
        <is>
          <t>N/A (No Data)</t>
        </is>
      </c>
      <c r="M62" s="272" t="inlineStr">
        <is>
          <t>N/A (No Data)</t>
        </is>
      </c>
      <c r="N62" s="272" t="inlineStr">
        <is>
          <t>N/A (No Data)</t>
        </is>
      </c>
      <c r="O62" s="272" t="inlineStr">
        <is>
          <t>N/A (No Data)</t>
        </is>
      </c>
      <c r="P62" s="272" t="inlineStr">
        <is>
          <t>N/A (No Data)</t>
        </is>
      </c>
      <c r="Q62" s="272" t="inlineStr">
        <is>
          <t>N/A (No Data)</t>
        </is>
      </c>
      <c r="R62" s="103">
        <f>IFERROR((Q62/G62)^(1/COUNT($G$4:$Q$4))-1,"")</f>
        <v/>
      </c>
    </row>
    <row r="63" ht="3.95" customHeight="1" s="783"/>
    <row r="64" ht="15.75" customHeight="1" s="783">
      <c r="A64" t="inlineStr">
        <is>
          <t>x</t>
        </is>
      </c>
      <c r="B64" s="52" t="inlineStr">
        <is>
          <t>Cash Flow</t>
        </is>
      </c>
      <c r="C64" s="56" t="n"/>
      <c r="D64" s="56" t="n"/>
      <c r="E64" s="56" t="n"/>
      <c r="F64" s="56" t="n"/>
      <c r="G64" s="235" t="n">
        <v>2014</v>
      </c>
      <c r="H64" s="235">
        <f>+G64+1</f>
        <v/>
      </c>
      <c r="I64" s="235">
        <f>+H64+1</f>
        <v/>
      </c>
      <c r="J64" s="235">
        <f>+I64+1</f>
        <v/>
      </c>
      <c r="K64" s="235">
        <f>+J64+1</f>
        <v/>
      </c>
      <c r="L64" s="235">
        <f>+K64+1</f>
        <v/>
      </c>
      <c r="M64" s="235">
        <f>+L64+1</f>
        <v/>
      </c>
      <c r="N64" s="235">
        <f>+M64+1</f>
        <v/>
      </c>
      <c r="O64" s="235">
        <f>+N64+1</f>
        <v/>
      </c>
      <c r="P64" s="235">
        <f>+O64+1</f>
        <v/>
      </c>
      <c r="Q64" s="235">
        <f>+P64+1</f>
        <v/>
      </c>
      <c r="R64" s="58">
        <f>"CAGR "&amp;$G$4&amp;" - "&amp;$Q$4</f>
        <v/>
      </c>
    </row>
    <row r="65" ht="3.95" customHeight="1" s="783">
      <c r="B65" s="241" t="n"/>
      <c r="C65" s="241" t="n"/>
      <c r="D65" s="241" t="n"/>
      <c r="E65" s="241" t="n"/>
      <c r="F65" s="241" t="n"/>
      <c r="G65" s="242" t="n"/>
      <c r="H65" s="242" t="n"/>
      <c r="I65" s="242" t="n"/>
      <c r="J65" s="242" t="n"/>
      <c r="K65" s="242" t="n"/>
      <c r="L65" s="242" t="n"/>
      <c r="M65" s="242" t="n"/>
      <c r="N65" s="242" t="n"/>
      <c r="O65" s="242" t="n"/>
      <c r="P65" s="242" t="n"/>
      <c r="Q65" s="242" t="n"/>
      <c r="R65" s="60" t="n"/>
    </row>
    <row r="66">
      <c r="B66" t="inlineStr">
        <is>
          <t>Net Income</t>
        </is>
      </c>
      <c r="G66" s="250">
        <f>G24</f>
        <v/>
      </c>
      <c r="H66" s="250">
        <f>H24</f>
        <v/>
      </c>
      <c r="I66" s="250">
        <f>I24</f>
        <v/>
      </c>
      <c r="J66" s="250">
        <f>J24</f>
        <v/>
      </c>
      <c r="K66" s="250">
        <f>K24</f>
        <v/>
      </c>
      <c r="L66" s="250">
        <f>L24</f>
        <v/>
      </c>
      <c r="M66" s="250">
        <f>M24</f>
        <v/>
      </c>
      <c r="N66" s="250">
        <f>N24</f>
        <v/>
      </c>
      <c r="O66" s="250">
        <f>O24</f>
        <v/>
      </c>
      <c r="P66" s="250">
        <f>P24</f>
        <v/>
      </c>
      <c r="Q66" s="250">
        <f>Q24</f>
        <v/>
      </c>
      <c r="R66" s="103">
        <f>IFERROR((Q66/G66)^(1/COUNT($G$4:$Q$4))-1,"")</f>
        <v/>
      </c>
    </row>
    <row r="67">
      <c r="B67" t="inlineStr">
        <is>
          <t>D&amp;A (Depreciation and Amortization)</t>
        </is>
      </c>
      <c r="G67" s="245">
        <f>+G13</f>
        <v/>
      </c>
      <c r="H67" s="245">
        <f>+H13</f>
        <v/>
      </c>
      <c r="I67" s="245">
        <f>+I13</f>
        <v/>
      </c>
      <c r="J67" s="245">
        <f>+J13</f>
        <v/>
      </c>
      <c r="K67" s="245">
        <f>+K13</f>
        <v/>
      </c>
      <c r="L67" s="245">
        <f>+L13</f>
        <v/>
      </c>
      <c r="M67" s="245">
        <f>+M13</f>
        <v/>
      </c>
      <c r="N67" s="245">
        <f>+N13</f>
        <v/>
      </c>
      <c r="O67" s="245">
        <f>+O13</f>
        <v/>
      </c>
      <c r="P67" s="245">
        <f>+P13</f>
        <v/>
      </c>
      <c r="Q67" s="245">
        <f>+Q13</f>
        <v/>
      </c>
      <c r="R67" s="103">
        <f>IFERROR((Q67/G67)^(1/COUNT($G$4:$Q$4))-1,"")</f>
        <v/>
      </c>
    </row>
    <row r="68">
      <c r="B68" t="inlineStr">
        <is>
          <t>Changes in Net Working Capital</t>
        </is>
      </c>
      <c r="G68" s="270">
        <f>+SUM(G69:G73)</f>
        <v/>
      </c>
      <c r="H68" s="270">
        <f>+SUM(H69:H73)</f>
        <v/>
      </c>
      <c r="I68" s="270">
        <f>+SUM(I69:I73)</f>
        <v/>
      </c>
      <c r="J68" s="270">
        <f>+SUM(J69:J73)</f>
        <v/>
      </c>
      <c r="K68" s="270">
        <f>+SUM(K69:K73)</f>
        <v/>
      </c>
      <c r="L68" s="270">
        <f>+SUM(L69:L73)</f>
        <v/>
      </c>
      <c r="M68" s="270">
        <f>+SUM(M69:M73)</f>
        <v/>
      </c>
      <c r="N68" s="270">
        <f>+SUM(N69:N73)</f>
        <v/>
      </c>
      <c r="O68" s="270">
        <f>+SUM(O69:O73)</f>
        <v/>
      </c>
      <c r="P68" s="270">
        <f>+SUM(P69:P73)</f>
        <v/>
      </c>
      <c r="Q68" s="270">
        <f>+SUM(Q69:Q73)</f>
        <v/>
      </c>
      <c r="R68" s="103">
        <f>IFERROR((Q68/G68)^(1/COUNT($G$4:$Q$4))-1,"")</f>
        <v/>
      </c>
    </row>
    <row r="69">
      <c r="B69" s="781" t="inlineStr">
        <is>
          <t>(Increase) Decrease in Accounts Receivable</t>
        </is>
      </c>
      <c r="G69" s="237" t="inlineStr">
        <is>
          <t>N/A (No Data)</t>
        </is>
      </c>
      <c r="H69" s="237" t="inlineStr">
        <is>
          <t>N/A (No Data)</t>
        </is>
      </c>
      <c r="I69" s="237" t="inlineStr">
        <is>
          <t>N/A (No Data)</t>
        </is>
      </c>
      <c r="J69" s="237" t="inlineStr">
        <is>
          <t>N/A (No Data)</t>
        </is>
      </c>
      <c r="K69" s="237" t="inlineStr">
        <is>
          <t>N/A (No Data)</t>
        </is>
      </c>
      <c r="L69" s="237" t="inlineStr">
        <is>
          <t>N/A (No Data)</t>
        </is>
      </c>
      <c r="M69" s="237" t="inlineStr">
        <is>
          <t>N/A (No Data)</t>
        </is>
      </c>
      <c r="N69" s="237" t="inlineStr">
        <is>
          <t>N/A (No Data)</t>
        </is>
      </c>
      <c r="O69" s="237" t="inlineStr">
        <is>
          <t>N/A (No Data)</t>
        </is>
      </c>
      <c r="P69" s="237" t="inlineStr">
        <is>
          <t>N/A (No Data)</t>
        </is>
      </c>
      <c r="Q69" s="237" t="inlineStr">
        <is>
          <t>N/A (No Data)</t>
        </is>
      </c>
      <c r="R69" s="103">
        <f>IFERROR((Q69/G69)^(1/COUNT($G$4:$Q$4))-1,"")</f>
        <v/>
      </c>
    </row>
    <row r="70">
      <c r="B70" s="781" t="inlineStr">
        <is>
          <t>(Increase) Decrease in Inventories</t>
        </is>
      </c>
      <c r="G70" s="237" t="inlineStr">
        <is>
          <t>N/A (No Data)</t>
        </is>
      </c>
      <c r="H70" s="237" t="inlineStr">
        <is>
          <t>N/A (No Data)</t>
        </is>
      </c>
      <c r="I70" s="237" t="inlineStr">
        <is>
          <t>N/A (No Data)</t>
        </is>
      </c>
      <c r="J70" s="237" t="inlineStr">
        <is>
          <t>N/A (No Data)</t>
        </is>
      </c>
      <c r="K70" s="237" t="inlineStr">
        <is>
          <t>N/A (No Data)</t>
        </is>
      </c>
      <c r="L70" s="237" t="inlineStr">
        <is>
          <t>N/A (No Data)</t>
        </is>
      </c>
      <c r="M70" s="237" t="inlineStr">
        <is>
          <t>N/A (No Data)</t>
        </is>
      </c>
      <c r="N70" s="237" t="inlineStr">
        <is>
          <t>N/A (No Data)</t>
        </is>
      </c>
      <c r="O70" s="237" t="inlineStr">
        <is>
          <t>N/A (No Data)</t>
        </is>
      </c>
      <c r="P70" s="237" t="inlineStr">
        <is>
          <t>N/A (No Data)</t>
        </is>
      </c>
      <c r="Q70" s="237" t="inlineStr">
        <is>
          <t>N/A (No Data)</t>
        </is>
      </c>
      <c r="R70" s="103">
        <f>IFERROR((Q70/G70)^(1/COUNT($G$4:$Q$4))-1,"")</f>
        <v/>
      </c>
    </row>
    <row r="71">
      <c r="B71" s="782" t="inlineStr">
        <is>
          <t>(Increase) Decrease in Pre-paid expeses and Other CA</t>
        </is>
      </c>
      <c r="G71" s="237" t="inlineStr">
        <is>
          <t>N/A (No Data)</t>
        </is>
      </c>
      <c r="H71" s="237" t="inlineStr">
        <is>
          <t>N/A (No Data)</t>
        </is>
      </c>
      <c r="I71" s="237" t="inlineStr">
        <is>
          <t>N/A (No Data)</t>
        </is>
      </c>
      <c r="J71" s="237" t="inlineStr">
        <is>
          <t>N/A (No Data)</t>
        </is>
      </c>
      <c r="K71" s="237" t="inlineStr">
        <is>
          <t>N/A (No Data)</t>
        </is>
      </c>
      <c r="L71" s="237" t="inlineStr">
        <is>
          <t>N/A (No Data)</t>
        </is>
      </c>
      <c r="M71" s="237" t="inlineStr">
        <is>
          <t>N/A (No Data)</t>
        </is>
      </c>
      <c r="N71" s="237" t="inlineStr">
        <is>
          <t>N/A (No Data)</t>
        </is>
      </c>
      <c r="O71" s="237" t="inlineStr">
        <is>
          <t>N/A (No Data)</t>
        </is>
      </c>
      <c r="P71" s="237" t="inlineStr">
        <is>
          <t>N/A (No Data)</t>
        </is>
      </c>
      <c r="Q71" s="237" t="inlineStr">
        <is>
          <t>N/A (No Data)</t>
        </is>
      </c>
      <c r="R71" s="103">
        <f>IFERROR((Q71/G71)^(1/COUNT($G$4:$Q$4))-1,"")</f>
        <v/>
      </c>
    </row>
    <row r="72">
      <c r="B72" s="782" t="inlineStr">
        <is>
          <t>Increase (Decrease) in Accounts Payable</t>
        </is>
      </c>
      <c r="G72" s="237" t="inlineStr">
        <is>
          <t>N/A (No Data)</t>
        </is>
      </c>
      <c r="H72" s="237" t="inlineStr">
        <is>
          <t>N/A (No Data)</t>
        </is>
      </c>
      <c r="I72" s="237" t="inlineStr">
        <is>
          <t>N/A (No Data)</t>
        </is>
      </c>
      <c r="J72" s="237" t="inlineStr">
        <is>
          <t>N/A (No Data)</t>
        </is>
      </c>
      <c r="K72" s="237" t="inlineStr">
        <is>
          <t>N/A (No Data)</t>
        </is>
      </c>
      <c r="L72" s="237" t="inlineStr">
        <is>
          <t>N/A (No Data)</t>
        </is>
      </c>
      <c r="M72" s="237" t="inlineStr">
        <is>
          <t>N/A (No Data)</t>
        </is>
      </c>
      <c r="N72" s="237" t="inlineStr">
        <is>
          <t>N/A (No Data)</t>
        </is>
      </c>
      <c r="O72" s="237" t="inlineStr">
        <is>
          <t>N/A (No Data)</t>
        </is>
      </c>
      <c r="P72" s="237" t="inlineStr">
        <is>
          <t>N/A (No Data)</t>
        </is>
      </c>
      <c r="Q72" s="237" t="inlineStr">
        <is>
          <t>N/A (No Data)</t>
        </is>
      </c>
      <c r="R72" s="103">
        <f>IFERROR((Q72/G72)^(1/COUNT($G$4:$Q$4))-1,"")</f>
        <v/>
      </c>
    </row>
    <row r="73">
      <c r="B73" s="782" t="inlineStr">
        <is>
          <t>Increase (Decrease) in Accrued Revenues and Other CL</t>
        </is>
      </c>
      <c r="G73" s="237" t="inlineStr">
        <is>
          <t>N/A (No Data)</t>
        </is>
      </c>
      <c r="H73" s="237" t="inlineStr">
        <is>
          <t>N/A (No Data)</t>
        </is>
      </c>
      <c r="I73" s="237" t="inlineStr">
        <is>
          <t>N/A (No Data)</t>
        </is>
      </c>
      <c r="J73" s="237" t="inlineStr">
        <is>
          <t>N/A (No Data)</t>
        </is>
      </c>
      <c r="K73" s="237" t="inlineStr">
        <is>
          <t>N/A (No Data)</t>
        </is>
      </c>
      <c r="L73" s="237" t="inlineStr">
        <is>
          <t>N/A (No Data)</t>
        </is>
      </c>
      <c r="M73" s="237" t="inlineStr">
        <is>
          <t>N/A (No Data)</t>
        </is>
      </c>
      <c r="N73" s="237" t="inlineStr">
        <is>
          <t>N/A (No Data)</t>
        </is>
      </c>
      <c r="O73" s="237" t="inlineStr">
        <is>
          <t>N/A (No Data)</t>
        </is>
      </c>
      <c r="P73" s="237" t="inlineStr">
        <is>
          <t>N/A (No Data)</t>
        </is>
      </c>
      <c r="Q73" s="237" t="inlineStr">
        <is>
          <t>N/A (No Data)</t>
        </is>
      </c>
      <c r="R73" s="103">
        <f>IFERROR((Q73/G73)^(1/COUNT($G$4:$Q$4))-1,"")</f>
        <v/>
      </c>
    </row>
    <row r="74">
      <c r="B74" t="inlineStr">
        <is>
          <t>Stock Based Compensation</t>
        </is>
      </c>
      <c r="G74" s="237" t="inlineStr">
        <is>
          <t>N/A (No Data)</t>
        </is>
      </c>
      <c r="H74" s="237" t="inlineStr">
        <is>
          <t>N/A (No Data)</t>
        </is>
      </c>
      <c r="I74" s="237" t="inlineStr">
        <is>
          <t>N/A (No Data)</t>
        </is>
      </c>
      <c r="J74" s="237" t="inlineStr">
        <is>
          <t>N/A (No Data)</t>
        </is>
      </c>
      <c r="K74" s="237" t="inlineStr">
        <is>
          <t>N/A (No Data)</t>
        </is>
      </c>
      <c r="L74" s="237" t="inlineStr">
        <is>
          <t>N/A (No Data)</t>
        </is>
      </c>
      <c r="M74" s="237" t="inlineStr">
        <is>
          <t>N/A (No Data)</t>
        </is>
      </c>
      <c r="N74" s="237" t="inlineStr">
        <is>
          <t>N/A (No Data)</t>
        </is>
      </c>
      <c r="O74" s="237" t="inlineStr">
        <is>
          <t>N/A (No Data)</t>
        </is>
      </c>
      <c r="P74" s="237" t="inlineStr">
        <is>
          <t>N/A (No Data)</t>
        </is>
      </c>
      <c r="Q74" s="237" t="inlineStr">
        <is>
          <t>N/A (No Data)</t>
        </is>
      </c>
      <c r="R74" s="103">
        <f>IFERROR((Q74/G74)^(1/COUNT($G$4:$Q$4))-1,"")</f>
        <v/>
      </c>
    </row>
    <row r="75">
      <c r="B75" t="inlineStr">
        <is>
          <t>Other Operating Adjustments</t>
        </is>
      </c>
      <c r="G75" s="270">
        <f>+G76-G66-G67-G68-G74</f>
        <v/>
      </c>
      <c r="H75" s="270">
        <f>+H76-H66-H67-H68-H74</f>
        <v/>
      </c>
      <c r="I75" s="270">
        <f>+I76-I66-I67-I68-I74</f>
        <v/>
      </c>
      <c r="J75" s="270">
        <f>+J76-J66-J67-J68-J74</f>
        <v/>
      </c>
      <c r="K75" s="270">
        <f>+K76-K66-K67-K68-K74</f>
        <v/>
      </c>
      <c r="L75" s="270">
        <f>+L76-L66-L67-L68-L74</f>
        <v/>
      </c>
      <c r="M75" s="270">
        <f>+M76-M66-M67-M68-M74</f>
        <v/>
      </c>
      <c r="N75" s="270">
        <f>+N76-N66-N67-N68-N74</f>
        <v/>
      </c>
      <c r="O75" s="270">
        <f>+O76-O66-O67-O68-O74</f>
        <v/>
      </c>
      <c r="P75" s="270">
        <f>+P76-P66-P67-P68-P74</f>
        <v/>
      </c>
      <c r="Q75" s="270">
        <f>+Q76-Q66-Q67-Q68-Q74</f>
        <v/>
      </c>
      <c r="R75" s="103">
        <f>IFERROR((Q75/G75)^(1/COUNT($G$4:$Q$4))-1,"")</f>
        <v/>
      </c>
    </row>
    <row r="76" ht="15" customFormat="1" customHeight="1" s="1">
      <c r="B76" s="274" t="inlineStr">
        <is>
          <t>Operating Cash Flow</t>
        </is>
      </c>
      <c r="C76" s="274" t="n"/>
      <c r="D76" s="274" t="n"/>
      <c r="E76" s="274" t="n"/>
      <c r="F76" s="645" t="n"/>
      <c r="G76" s="275" t="inlineStr">
        <is>
          <t>N/A (No Data)</t>
        </is>
      </c>
      <c r="H76" s="275" t="inlineStr">
        <is>
          <t>N/A (No Data)</t>
        </is>
      </c>
      <c r="I76" s="275" t="inlineStr">
        <is>
          <t>N/A (No Data)</t>
        </is>
      </c>
      <c r="J76" s="275" t="inlineStr">
        <is>
          <t>N/A (No Data)</t>
        </is>
      </c>
      <c r="K76" s="275" t="inlineStr">
        <is>
          <t>N/A (No Data)</t>
        </is>
      </c>
      <c r="L76" s="275" t="inlineStr">
        <is>
          <t>N/A (No Data)</t>
        </is>
      </c>
      <c r="M76" s="275" t="inlineStr">
        <is>
          <t>N/A (No Data)</t>
        </is>
      </c>
      <c r="N76" s="275" t="inlineStr">
        <is>
          <t>N/A (No Data)</t>
        </is>
      </c>
      <c r="O76" s="275" t="inlineStr">
        <is>
          <t>N/A (No Data)</t>
        </is>
      </c>
      <c r="P76" s="275" t="inlineStr">
        <is>
          <t>N/A (No Data)</t>
        </is>
      </c>
      <c r="Q76" s="275" t="inlineStr">
        <is>
          <t>N/A (No Data)</t>
        </is>
      </c>
      <c r="R76" s="103">
        <f>IFERROR((Q76/G76)^(1/COUNT($G$4:$Q$4))-1,"")</f>
        <v/>
      </c>
    </row>
    <row r="77">
      <c r="B77" t="inlineStr">
        <is>
          <t>Net Capex</t>
        </is>
      </c>
      <c r="G77" s="245">
        <f>+SUM(G78:G79)</f>
        <v/>
      </c>
      <c r="H77" s="245">
        <f>+SUM(H78:H79)</f>
        <v/>
      </c>
      <c r="I77" s="245">
        <f>+SUM(I78:I79)</f>
        <v/>
      </c>
      <c r="J77" s="245">
        <f>+SUM(J78:J79)</f>
        <v/>
      </c>
      <c r="K77" s="245">
        <f>+SUM(K78:K79)</f>
        <v/>
      </c>
      <c r="L77" s="245">
        <f>+SUM(L78:L79)</f>
        <v/>
      </c>
      <c r="M77" s="245">
        <f>+SUM(M78:M79)</f>
        <v/>
      </c>
      <c r="N77" s="245">
        <f>+SUM(N78:N79)</f>
        <v/>
      </c>
      <c r="O77" s="245">
        <f>+SUM(O78:O79)</f>
        <v/>
      </c>
      <c r="P77" s="245">
        <f>+SUM(P78:P79)</f>
        <v/>
      </c>
      <c r="Q77" s="245">
        <f>+SUM(Q78:Q79)</f>
        <v/>
      </c>
      <c r="R77" s="103">
        <f>IFERROR((Q77/G77)^(1/COUNT($G$4:$Q$4))-1,"")</f>
        <v/>
      </c>
    </row>
    <row r="78">
      <c r="B78" s="781" t="inlineStr">
        <is>
          <t>Acquisition of Fixed &amp; Intangibles</t>
        </is>
      </c>
      <c r="G78" s="272" t="inlineStr">
        <is>
          <t>N/A (No Data)</t>
        </is>
      </c>
      <c r="H78" s="272" t="inlineStr">
        <is>
          <t>N/A (No Data)</t>
        </is>
      </c>
      <c r="I78" s="272" t="inlineStr">
        <is>
          <t>N/A (No Data)</t>
        </is>
      </c>
      <c r="J78" s="272" t="inlineStr">
        <is>
          <t>N/A (No Data)</t>
        </is>
      </c>
      <c r="K78" s="272" t="inlineStr">
        <is>
          <t>N/A (No Data)</t>
        </is>
      </c>
      <c r="L78" s="272" t="inlineStr">
        <is>
          <t>N/A (No Data)</t>
        </is>
      </c>
      <c r="M78" s="272" t="inlineStr">
        <is>
          <t>N/A (No Data)</t>
        </is>
      </c>
      <c r="N78" s="272" t="inlineStr">
        <is>
          <t>N/A (No Data)</t>
        </is>
      </c>
      <c r="O78" s="272" t="inlineStr">
        <is>
          <t>N/A (No Data)</t>
        </is>
      </c>
      <c r="P78" s="272" t="inlineStr">
        <is>
          <t>N/A (No Data)</t>
        </is>
      </c>
      <c r="Q78" s="272" t="inlineStr">
        <is>
          <t>N/A (No Data)</t>
        </is>
      </c>
      <c r="R78" s="103">
        <f>IFERROR((Q78/G78)^(1/COUNT($G$4:$Q$4))-1,"")</f>
        <v/>
      </c>
    </row>
    <row r="79">
      <c r="B79" s="781" t="inlineStr">
        <is>
          <t>Disposal of Fixed &amp; Intangibles</t>
        </is>
      </c>
      <c r="G79" s="272" t="inlineStr">
        <is>
          <t>N/A (No Data)</t>
        </is>
      </c>
      <c r="H79" s="272" t="inlineStr">
        <is>
          <t>N/A (No Data)</t>
        </is>
      </c>
      <c r="I79" s="272" t="inlineStr">
        <is>
          <t>N/A (No Data)</t>
        </is>
      </c>
      <c r="J79" s="272" t="inlineStr">
        <is>
          <t>N/A (No Data)</t>
        </is>
      </c>
      <c r="K79" s="272" t="inlineStr">
        <is>
          <t>N/A (No Data)</t>
        </is>
      </c>
      <c r="L79" s="272" t="inlineStr">
        <is>
          <t>N/A (No Data)</t>
        </is>
      </c>
      <c r="M79" s="272" t="inlineStr">
        <is>
          <t>N/A (No Data)</t>
        </is>
      </c>
      <c r="N79" s="272" t="inlineStr">
        <is>
          <t>N/A (No Data)</t>
        </is>
      </c>
      <c r="O79" s="272" t="inlineStr">
        <is>
          <t>N/A (No Data)</t>
        </is>
      </c>
      <c r="P79" s="272" t="inlineStr">
        <is>
          <t>N/A (No Data)</t>
        </is>
      </c>
      <c r="Q79" s="272" t="inlineStr">
        <is>
          <t>N/A (No Data)</t>
        </is>
      </c>
      <c r="R79" s="103">
        <f>IFERROR((Q79/G79)^(1/COUNT($G$4:$Q$4))-1,"")</f>
        <v/>
      </c>
    </row>
    <row r="80">
      <c r="B80" s="89" t="inlineStr">
        <is>
          <t>Net Cash from Investments &amp; Acquisitions</t>
        </is>
      </c>
      <c r="G80" s="245">
        <f>+SUM(G81:G84)</f>
        <v/>
      </c>
      <c r="H80" s="245">
        <f>+SUM(H81:H84)</f>
        <v/>
      </c>
      <c r="I80" s="245">
        <f>+SUM(I81:I84)</f>
        <v/>
      </c>
      <c r="J80" s="245">
        <f>+SUM(J81:J84)</f>
        <v/>
      </c>
      <c r="K80" s="245">
        <f>+SUM(K81:K84)</f>
        <v/>
      </c>
      <c r="L80" s="245">
        <f>+SUM(L81:L84)</f>
        <v/>
      </c>
      <c r="M80" s="245">
        <f>+SUM(M81:M84)</f>
        <v/>
      </c>
      <c r="N80" s="245">
        <f>+SUM(N81:N84)</f>
        <v/>
      </c>
      <c r="O80" s="245">
        <f>+SUM(O81:O84)</f>
        <v/>
      </c>
      <c r="P80" s="245">
        <f>+SUM(P81:P84)</f>
        <v/>
      </c>
      <c r="Q80" s="245">
        <f>+SUM(Q81:Q84)</f>
        <v/>
      </c>
      <c r="R80" s="103">
        <f>IFERROR((Q80/G80)^(1/COUNT($G$4:$Q$4))-1,"")</f>
        <v/>
      </c>
    </row>
    <row r="81">
      <c r="B81" s="781" t="inlineStr">
        <is>
          <t>Acquisitions</t>
        </is>
      </c>
      <c r="G81" s="272" t="inlineStr">
        <is>
          <t>N/A (No Data)</t>
        </is>
      </c>
      <c r="H81" s="272" t="inlineStr">
        <is>
          <t>N/A (No Data)</t>
        </is>
      </c>
      <c r="I81" s="272" t="inlineStr">
        <is>
          <t>N/A (No Data)</t>
        </is>
      </c>
      <c r="J81" s="272" t="inlineStr">
        <is>
          <t>N/A (No Data)</t>
        </is>
      </c>
      <c r="K81" s="272" t="inlineStr">
        <is>
          <t>N/A (No Data)</t>
        </is>
      </c>
      <c r="L81" s="272" t="inlineStr">
        <is>
          <t>N/A (No Data)</t>
        </is>
      </c>
      <c r="M81" s="272" t="inlineStr">
        <is>
          <t>N/A (No Data)</t>
        </is>
      </c>
      <c r="N81" s="272" t="inlineStr">
        <is>
          <t>N/A (No Data)</t>
        </is>
      </c>
      <c r="O81" s="272" t="inlineStr">
        <is>
          <t>N/A (No Data)</t>
        </is>
      </c>
      <c r="P81" s="272" t="inlineStr">
        <is>
          <t>N/A (No Data)</t>
        </is>
      </c>
      <c r="Q81" s="272" t="inlineStr">
        <is>
          <t>N/A (No Data)</t>
        </is>
      </c>
      <c r="R81" s="103">
        <f>IFERROR((Q81/G81)^(1/COUNT($G$4:$Q$4))-1,"")</f>
        <v/>
      </c>
    </row>
    <row r="82">
      <c r="B82" s="781" t="inlineStr">
        <is>
          <t>Divestitures</t>
        </is>
      </c>
      <c r="G82" s="272" t="inlineStr">
        <is>
          <t>N/A (No Data)</t>
        </is>
      </c>
      <c r="H82" s="272" t="inlineStr">
        <is>
          <t>N/A (No Data)</t>
        </is>
      </c>
      <c r="I82" s="272" t="inlineStr">
        <is>
          <t>N/A (No Data)</t>
        </is>
      </c>
      <c r="J82" s="272" t="inlineStr">
        <is>
          <t>N/A (No Data)</t>
        </is>
      </c>
      <c r="K82" s="272" t="inlineStr">
        <is>
          <t>N/A (No Data)</t>
        </is>
      </c>
      <c r="L82" s="272" t="inlineStr">
        <is>
          <t>N/A (No Data)</t>
        </is>
      </c>
      <c r="M82" s="272" t="inlineStr">
        <is>
          <t>N/A (No Data)</t>
        </is>
      </c>
      <c r="N82" s="272" t="inlineStr">
        <is>
          <t>N/A (No Data)</t>
        </is>
      </c>
      <c r="O82" s="272" t="inlineStr">
        <is>
          <t>N/A (No Data)</t>
        </is>
      </c>
      <c r="P82" s="272" t="inlineStr">
        <is>
          <t>N/A (No Data)</t>
        </is>
      </c>
      <c r="Q82" s="272" t="inlineStr">
        <is>
          <t>N/A (No Data)</t>
        </is>
      </c>
      <c r="R82" s="103">
        <f>IFERROR((Q82/G82)^(1/COUNT($G$4:$Q$4))-1,"")</f>
        <v/>
      </c>
    </row>
    <row r="83">
      <c r="B83" s="781" t="inlineStr">
        <is>
          <t>Increase in LT Investment</t>
        </is>
      </c>
      <c r="G83" s="272" t="inlineStr">
        <is>
          <t>N/A (No Data)</t>
        </is>
      </c>
      <c r="H83" s="272" t="inlineStr">
        <is>
          <t>N/A (No Data)</t>
        </is>
      </c>
      <c r="I83" s="272" t="inlineStr">
        <is>
          <t>N/A (No Data)</t>
        </is>
      </c>
      <c r="J83" s="272" t="inlineStr">
        <is>
          <t>N/A (No Data)</t>
        </is>
      </c>
      <c r="K83" s="272" t="inlineStr">
        <is>
          <t>N/A (No Data)</t>
        </is>
      </c>
      <c r="L83" s="272" t="inlineStr">
        <is>
          <t>N/A (No Data)</t>
        </is>
      </c>
      <c r="M83" s="272" t="inlineStr">
        <is>
          <t>N/A (No Data)</t>
        </is>
      </c>
      <c r="N83" s="272" t="inlineStr">
        <is>
          <t>N/A (No Data)</t>
        </is>
      </c>
      <c r="O83" s="272" t="inlineStr">
        <is>
          <t>N/A (No Data)</t>
        </is>
      </c>
      <c r="P83" s="272" t="inlineStr">
        <is>
          <t>N/A (No Data)</t>
        </is>
      </c>
      <c r="Q83" s="272" t="inlineStr">
        <is>
          <t>N/A (No Data)</t>
        </is>
      </c>
      <c r="R83" s="103">
        <f>IFERROR((Q83/G83)^(1/COUNT($G$4:$Q$4))-1,"")</f>
        <v/>
      </c>
    </row>
    <row r="84">
      <c r="B84" s="781" t="inlineStr">
        <is>
          <t>Decrease in LT Investment</t>
        </is>
      </c>
      <c r="G84" s="272" t="inlineStr">
        <is>
          <t>N/A (No Data)</t>
        </is>
      </c>
      <c r="H84" s="272" t="inlineStr">
        <is>
          <t>N/A (No Data)</t>
        </is>
      </c>
      <c r="I84" s="272" t="inlineStr">
        <is>
          <t>N/A (No Data)</t>
        </is>
      </c>
      <c r="J84" s="272" t="inlineStr">
        <is>
          <t>N/A (No Data)</t>
        </is>
      </c>
      <c r="K84" s="272" t="inlineStr">
        <is>
          <t>N/A (No Data)</t>
        </is>
      </c>
      <c r="L84" s="272" t="inlineStr">
        <is>
          <t>N/A (No Data)</t>
        </is>
      </c>
      <c r="M84" s="272" t="inlineStr">
        <is>
          <t>N/A (No Data)</t>
        </is>
      </c>
      <c r="N84" s="272" t="inlineStr">
        <is>
          <t>N/A (No Data)</t>
        </is>
      </c>
      <c r="O84" s="272" t="inlineStr">
        <is>
          <t>N/A (No Data)</t>
        </is>
      </c>
      <c r="P84" s="272" t="inlineStr">
        <is>
          <t>N/A (No Data)</t>
        </is>
      </c>
      <c r="Q84" s="272" t="inlineStr">
        <is>
          <t>N/A (No Data)</t>
        </is>
      </c>
      <c r="R84" s="103">
        <f>IFERROR((Q84/G84)^(1/COUNT($G$4:$Q$4))-1,"")</f>
        <v/>
      </c>
    </row>
    <row r="85">
      <c r="B85" t="inlineStr">
        <is>
          <t>Other Investing Inflows (Outflows)</t>
        </is>
      </c>
      <c r="G85" s="245">
        <f>+G86-G77-G80</f>
        <v/>
      </c>
      <c r="H85" s="245">
        <f>+H86-H77-H80</f>
        <v/>
      </c>
      <c r="I85" s="245">
        <f>+I86-I77-I80</f>
        <v/>
      </c>
      <c r="J85" s="245">
        <f>+J86-J77-J80</f>
        <v/>
      </c>
      <c r="K85" s="245">
        <f>+K86-K77-K80</f>
        <v/>
      </c>
      <c r="L85" s="245">
        <f>+L86-L77-L80</f>
        <v/>
      </c>
      <c r="M85" s="245">
        <f>+M86-M77-M80</f>
        <v/>
      </c>
      <c r="N85" s="245">
        <f>+N86-N77-N80</f>
        <v/>
      </c>
      <c r="O85" s="245">
        <f>+O86-O77-O80</f>
        <v/>
      </c>
      <c r="P85" s="245">
        <f>+P86-P77-P80</f>
        <v/>
      </c>
      <c r="Q85" s="245">
        <f>+Q86-Q77-Q80</f>
        <v/>
      </c>
      <c r="R85" s="103">
        <f>IFERROR((Q85/G85)^(1/COUNT($G$4:$Q$4))-1,"")</f>
        <v/>
      </c>
    </row>
    <row r="86" ht="15" customFormat="1" customHeight="1" s="1">
      <c r="B86" s="274" t="inlineStr">
        <is>
          <t>Investing Cash Flow</t>
        </is>
      </c>
      <c r="C86" s="274" t="n"/>
      <c r="D86" s="274" t="n"/>
      <c r="E86" s="274" t="n"/>
      <c r="F86" s="645" t="n"/>
      <c r="G86" s="275" t="inlineStr">
        <is>
          <t>N/A (No Data)</t>
        </is>
      </c>
      <c r="H86" s="275" t="inlineStr">
        <is>
          <t>N/A (No Data)</t>
        </is>
      </c>
      <c r="I86" s="275" t="inlineStr">
        <is>
          <t>N/A (No Data)</t>
        </is>
      </c>
      <c r="J86" s="275" t="inlineStr">
        <is>
          <t>N/A (No Data)</t>
        </is>
      </c>
      <c r="K86" s="275" t="inlineStr">
        <is>
          <t>N/A (No Data)</t>
        </is>
      </c>
      <c r="L86" s="275" t="inlineStr">
        <is>
          <t>N/A (No Data)</t>
        </is>
      </c>
      <c r="M86" s="275" t="inlineStr">
        <is>
          <t>N/A (No Data)</t>
        </is>
      </c>
      <c r="N86" s="275" t="inlineStr">
        <is>
          <t>N/A (No Data)</t>
        </is>
      </c>
      <c r="O86" s="275" t="inlineStr">
        <is>
          <t>N/A (No Data)</t>
        </is>
      </c>
      <c r="P86" s="275" t="inlineStr">
        <is>
          <t>N/A (No Data)</t>
        </is>
      </c>
      <c r="Q86" s="275" t="inlineStr">
        <is>
          <t>N/A (No Data)</t>
        </is>
      </c>
      <c r="R86" s="103">
        <f>IFERROR((Q86/G86)^(1/COUNT($G$4:$Q$4))-1,"")</f>
        <v/>
      </c>
    </row>
    <row r="87">
      <c r="B87" t="inlineStr">
        <is>
          <t>Debt Borrowing</t>
        </is>
      </c>
      <c r="G87" s="237" t="inlineStr">
        <is>
          <t>N/A (No Data)</t>
        </is>
      </c>
      <c r="H87" s="237" t="inlineStr">
        <is>
          <t>N/A (No Data)</t>
        </is>
      </c>
      <c r="I87" s="237" t="inlineStr">
        <is>
          <t>N/A (No Data)</t>
        </is>
      </c>
      <c r="J87" s="237" t="inlineStr">
        <is>
          <t>N/A (No Data)</t>
        </is>
      </c>
      <c r="K87" s="237" t="inlineStr">
        <is>
          <t>N/A (No Data)</t>
        </is>
      </c>
      <c r="L87" s="237" t="inlineStr">
        <is>
          <t>N/A (No Data)</t>
        </is>
      </c>
      <c r="M87" s="237" t="inlineStr">
        <is>
          <t>N/A (No Data)</t>
        </is>
      </c>
      <c r="N87" s="237" t="inlineStr">
        <is>
          <t>N/A (No Data)</t>
        </is>
      </c>
      <c r="O87" s="237" t="inlineStr">
        <is>
          <t>N/A (No Data)</t>
        </is>
      </c>
      <c r="P87" s="237" t="inlineStr">
        <is>
          <t>N/A (No Data)</t>
        </is>
      </c>
      <c r="Q87" s="237" t="inlineStr">
        <is>
          <t>N/A (No Data)</t>
        </is>
      </c>
      <c r="R87" s="103">
        <f>IFERROR((Q87/G87)^(1/COUNT($G$4:$Q$4))-1,"")</f>
        <v/>
      </c>
    </row>
    <row r="88">
      <c r="B88" t="inlineStr">
        <is>
          <t>Debt Repayment</t>
        </is>
      </c>
      <c r="G88" s="237" t="inlineStr">
        <is>
          <t>N/A (No Data)</t>
        </is>
      </c>
      <c r="H88" s="237" t="inlineStr">
        <is>
          <t>N/A (No Data)</t>
        </is>
      </c>
      <c r="I88" s="237" t="inlineStr">
        <is>
          <t>N/A (No Data)</t>
        </is>
      </c>
      <c r="J88" s="237" t="inlineStr">
        <is>
          <t>N/A (No Data)</t>
        </is>
      </c>
      <c r="K88" s="237" t="inlineStr">
        <is>
          <t>N/A (No Data)</t>
        </is>
      </c>
      <c r="L88" s="237" t="inlineStr">
        <is>
          <t>N/A (No Data)</t>
        </is>
      </c>
      <c r="M88" s="237" t="inlineStr">
        <is>
          <t>N/A (No Data)</t>
        </is>
      </c>
      <c r="N88" s="237" t="inlineStr">
        <is>
          <t>N/A (No Data)</t>
        </is>
      </c>
      <c r="O88" s="237" t="inlineStr">
        <is>
          <t>N/A (No Data)</t>
        </is>
      </c>
      <c r="P88" s="237" t="inlineStr">
        <is>
          <t>N/A (No Data)</t>
        </is>
      </c>
      <c r="Q88" s="237" t="inlineStr">
        <is>
          <t>N/A (No Data)</t>
        </is>
      </c>
      <c r="R88" s="103">
        <f>IFERROR((Q88/G88)^(1/COUNT($G$4:$Q$4))-1,"")</f>
        <v/>
      </c>
    </row>
    <row r="89">
      <c r="B89" t="inlineStr">
        <is>
          <t>Lease Payments</t>
        </is>
      </c>
      <c r="G89" s="237" t="n"/>
      <c r="H89" s="237" t="n"/>
      <c r="I89" s="237" t="n"/>
      <c r="J89" s="237" t="n"/>
      <c r="K89" s="237" t="n"/>
      <c r="L89" s="237" t="n"/>
      <c r="M89" s="237" t="n"/>
      <c r="N89" s="237" t="n"/>
      <c r="O89" s="237" t="n"/>
      <c r="P89" s="237" t="n"/>
      <c r="Q89" s="237" t="n"/>
      <c r="R89" s="103">
        <f>IFERROR((Q89/G89)^(1/COUNT($G$4:$Q$4))-1,"")</f>
        <v/>
      </c>
    </row>
    <row r="90">
      <c r="B90" t="inlineStr">
        <is>
          <t>Dividends</t>
        </is>
      </c>
      <c r="G90" s="237" t="inlineStr">
        <is>
          <t>N/A (No Data)</t>
        </is>
      </c>
      <c r="H90" s="237" t="inlineStr">
        <is>
          <t>N/A (No Data)</t>
        </is>
      </c>
      <c r="I90" s="237" t="inlineStr">
        <is>
          <t>N/A (No Data)</t>
        </is>
      </c>
      <c r="J90" s="237" t="inlineStr">
        <is>
          <t>N/A (No Data)</t>
        </is>
      </c>
      <c r="K90" s="237" t="inlineStr">
        <is>
          <t>N/A (No Data)</t>
        </is>
      </c>
      <c r="L90" s="237" t="inlineStr">
        <is>
          <t>N/A (No Data)</t>
        </is>
      </c>
      <c r="M90" s="237" t="inlineStr">
        <is>
          <t>N/A (No Data)</t>
        </is>
      </c>
      <c r="N90" s="237" t="inlineStr">
        <is>
          <t>N/A (No Data)</t>
        </is>
      </c>
      <c r="O90" s="237" t="inlineStr">
        <is>
          <t>N/A (No Data)</t>
        </is>
      </c>
      <c r="P90" s="237" t="inlineStr">
        <is>
          <t>N/A (No Data)</t>
        </is>
      </c>
      <c r="Q90" s="237" t="inlineStr">
        <is>
          <t>N/A (No Data)</t>
        </is>
      </c>
      <c r="R90" s="103">
        <f>IFERROR((Q90/G90)^(1/COUNT($G$4:$Q$4))-1,"")</f>
        <v/>
      </c>
    </row>
    <row r="91">
      <c r="B91" t="inlineStr">
        <is>
          <t>Increase (Repurchase) of Shares</t>
        </is>
      </c>
      <c r="G91" s="237" t="inlineStr">
        <is>
          <t>N/A (No Data)</t>
        </is>
      </c>
      <c r="H91" s="237" t="inlineStr">
        <is>
          <t>N/A (No Data)</t>
        </is>
      </c>
      <c r="I91" s="237" t="inlineStr">
        <is>
          <t>N/A (No Data)</t>
        </is>
      </c>
      <c r="J91" s="237" t="inlineStr">
        <is>
          <t>N/A (No Data)</t>
        </is>
      </c>
      <c r="K91" s="237" t="inlineStr">
        <is>
          <t>N/A (No Data)</t>
        </is>
      </c>
      <c r="L91" s="237" t="inlineStr">
        <is>
          <t>N/A (No Data)</t>
        </is>
      </c>
      <c r="M91" s="237" t="inlineStr">
        <is>
          <t>N/A (No Data)</t>
        </is>
      </c>
      <c r="N91" s="237" t="inlineStr">
        <is>
          <t>N/A (No Data)</t>
        </is>
      </c>
      <c r="O91" s="237" t="inlineStr">
        <is>
          <t>N/A (No Data)</t>
        </is>
      </c>
      <c r="P91" s="237" t="inlineStr">
        <is>
          <t>N/A (No Data)</t>
        </is>
      </c>
      <c r="Q91" s="237" t="inlineStr">
        <is>
          <t>N/A (No Data)</t>
        </is>
      </c>
      <c r="R91" s="103">
        <f>IFERROR((Q91/G91)^(1/COUNT($G$4:$Q$4))-1,"")</f>
        <v/>
      </c>
    </row>
    <row r="92">
      <c r="B92" t="inlineStr">
        <is>
          <t>Other Financing Inflows (Outflows)</t>
        </is>
      </c>
      <c r="G92" s="245">
        <f>+G93-G87-G88-G89-G90-G91</f>
        <v/>
      </c>
      <c r="H92" s="245">
        <f>+H93-H87-H88-H89-H90-H91</f>
        <v/>
      </c>
      <c r="I92" s="245">
        <f>+I93-I87-I88-I89-I90-I91</f>
        <v/>
      </c>
      <c r="J92" s="245">
        <f>+J93-J87-J88-J89-J90-J91</f>
        <v/>
      </c>
      <c r="K92" s="245">
        <f>+K93-K87-K88-K89-K90-K91</f>
        <v/>
      </c>
      <c r="L92" s="245">
        <f>+L93-L87-L88-L89-L90-L91</f>
        <v/>
      </c>
      <c r="M92" s="245">
        <f>+M93-M87-M88-M89-M90-M91</f>
        <v/>
      </c>
      <c r="N92" s="245">
        <f>+N93-N87-N88-N89-N90-N91</f>
        <v/>
      </c>
      <c r="O92" s="245">
        <f>+O93-O87-O88-O89-O90-O91</f>
        <v/>
      </c>
      <c r="P92" s="245">
        <f>+P93-P87-P88-P89-P90-P91</f>
        <v/>
      </c>
      <c r="Q92" s="245">
        <f>+Q93-Q87-Q88-Q89-Q90-Q91</f>
        <v/>
      </c>
      <c r="R92" s="103">
        <f>IFERROR((Q92/G92)^(1/COUNT($G$4:$Q$4))-1,"")</f>
        <v/>
      </c>
    </row>
    <row r="93" ht="15" customFormat="1" customHeight="1" s="1">
      <c r="B93" s="274" t="inlineStr">
        <is>
          <t>Financing Cash Flow</t>
        </is>
      </c>
      <c r="C93" s="274" t="n"/>
      <c r="D93" s="274" t="n"/>
      <c r="E93" s="274" t="n"/>
      <c r="F93" s="645" t="n"/>
      <c r="G93" s="277" t="inlineStr">
        <is>
          <t>N/A (No Data)</t>
        </is>
      </c>
      <c r="H93" s="277" t="inlineStr">
        <is>
          <t>N/A (No Data)</t>
        </is>
      </c>
      <c r="I93" s="277" t="inlineStr">
        <is>
          <t>N/A (No Data)</t>
        </is>
      </c>
      <c r="J93" s="277" t="inlineStr">
        <is>
          <t>N/A (No Data)</t>
        </is>
      </c>
      <c r="K93" s="277" t="inlineStr">
        <is>
          <t>N/A (No Data)</t>
        </is>
      </c>
      <c r="L93" s="277" t="inlineStr">
        <is>
          <t>N/A (No Data)</t>
        </is>
      </c>
      <c r="M93" s="277" t="inlineStr">
        <is>
          <t>N/A (No Data)</t>
        </is>
      </c>
      <c r="N93" s="277" t="inlineStr">
        <is>
          <t>N/A (No Data)</t>
        </is>
      </c>
      <c r="O93" s="277" t="inlineStr">
        <is>
          <t>N/A (No Data)</t>
        </is>
      </c>
      <c r="P93" s="277" t="inlineStr">
        <is>
          <t>N/A (No Data)</t>
        </is>
      </c>
      <c r="Q93" s="277" t="inlineStr">
        <is>
          <t>N/A (No Data)</t>
        </is>
      </c>
      <c r="R93" s="103">
        <f>IFERROR((Q93/G93)^(1/COUNT($G$4:$Q$4))-1,"")</f>
        <v/>
      </c>
    </row>
    <row r="94" ht="15.75" customFormat="1" customHeight="1" s="1" thickBot="1">
      <c r="B94" s="278" t="inlineStr">
        <is>
          <t>Effect of Foreign Exchange</t>
        </is>
      </c>
      <c r="C94" s="276" t="n"/>
      <c r="D94" s="276" t="n"/>
      <c r="E94" s="276" t="n"/>
      <c r="F94" s="647" t="n"/>
      <c r="G94" s="279" t="inlineStr">
        <is>
          <t>N/A (No Data)</t>
        </is>
      </c>
      <c r="H94" s="279" t="inlineStr">
        <is>
          <t>N/A (No Data)</t>
        </is>
      </c>
      <c r="I94" s="279" t="inlineStr">
        <is>
          <t>N/A (No Data)</t>
        </is>
      </c>
      <c r="J94" s="279" t="inlineStr">
        <is>
          <t>N/A (No Data)</t>
        </is>
      </c>
      <c r="K94" s="279" t="inlineStr">
        <is>
          <t>N/A (No Data)</t>
        </is>
      </c>
      <c r="L94" s="279" t="inlineStr">
        <is>
          <t>N/A (No Data)</t>
        </is>
      </c>
      <c r="M94" s="279" t="inlineStr">
        <is>
          <t>N/A (No Data)</t>
        </is>
      </c>
      <c r="N94" s="279" t="inlineStr">
        <is>
          <t>N/A (No Data)</t>
        </is>
      </c>
      <c r="O94" s="279" t="inlineStr">
        <is>
          <t>N/A (No Data)</t>
        </is>
      </c>
      <c r="P94" s="279" t="inlineStr">
        <is>
          <t>N/A (No Data)</t>
        </is>
      </c>
      <c r="Q94" s="279" t="inlineStr">
        <is>
          <t>N/A (No Data)</t>
        </is>
      </c>
      <c r="R94" s="103">
        <f>IFERROR((Q94/G94)^(1/COUNT($G$4:$Q$4))-1,"")</f>
        <v/>
      </c>
    </row>
    <row r="95" ht="15" customFormat="1" customHeight="1" s="1">
      <c r="B95" s="1" t="inlineStr">
        <is>
          <t>Net Changes in Cash</t>
        </is>
      </c>
      <c r="G95" s="780">
        <f>+G94+G93+G86+G76</f>
        <v/>
      </c>
      <c r="H95" s="780">
        <f>+H94+H93+H86+H76</f>
        <v/>
      </c>
      <c r="I95" s="780">
        <f>+I94+I93+I86+I76</f>
        <v/>
      </c>
      <c r="J95" s="780">
        <f>+J94+J93+J86+J76</f>
        <v/>
      </c>
      <c r="K95" s="780">
        <f>+K94+K93+K86+K76</f>
        <v/>
      </c>
      <c r="L95" s="780">
        <f>+L94+L93+L86+L76</f>
        <v/>
      </c>
      <c r="M95" s="780">
        <f>+M94+M93+M86+M76</f>
        <v/>
      </c>
      <c r="N95" s="780">
        <f>+N94+N93+N86+N76</f>
        <v/>
      </c>
      <c r="O95" s="780">
        <f>+O94+O93+O86+O76</f>
        <v/>
      </c>
      <c r="P95" s="780">
        <f>+P94+P93+P86+P76</f>
        <v/>
      </c>
      <c r="Q95" s="780">
        <f>+Q94+Q93+Q86+Q76</f>
        <v/>
      </c>
      <c r="R95" s="103">
        <f>IFERROR((Q95/G95)^(1/COUNT($G$4:$Q$4))-1,"")</f>
        <v/>
      </c>
    </row>
    <row r="96">
      <c r="B96" s="89" t="inlineStr">
        <is>
          <t>in billionsof USD</t>
        </is>
      </c>
    </row>
    <row r="97" ht="15.75" customHeight="1" s="783">
      <c r="A97" t="inlineStr">
        <is>
          <t>x</t>
        </is>
      </c>
      <c r="B97" s="234" t="inlineStr">
        <is>
          <t>Capital Structure</t>
        </is>
      </c>
      <c r="C97" s="56" t="n"/>
      <c r="D97" s="56" t="n"/>
      <c r="E97" s="56" t="n"/>
      <c r="F97" s="56" t="n"/>
      <c r="G97" s="503" t="n">
        <v>42004</v>
      </c>
      <c r="H97" s="503" t="n">
        <v>42369</v>
      </c>
      <c r="I97" s="503" t="n">
        <v>42735</v>
      </c>
      <c r="J97" s="503" t="n">
        <v>43100</v>
      </c>
      <c r="K97" s="503" t="n">
        <v>43465</v>
      </c>
      <c r="L97" s="503" t="n">
        <v>43830</v>
      </c>
      <c r="M97" s="503" t="n">
        <v>44196</v>
      </c>
      <c r="N97" s="503" t="n">
        <v>44561</v>
      </c>
      <c r="O97" s="503" t="n">
        <v>44926</v>
      </c>
      <c r="P97" s="503" t="n">
        <v>45291</v>
      </c>
      <c r="Q97" s="503" t="n">
        <v>45657</v>
      </c>
      <c r="R97" s="26" t="n"/>
    </row>
    <row r="98" ht="3.95" customHeight="1" s="783">
      <c r="B98" s="241" t="n"/>
      <c r="C98" s="241" t="n"/>
      <c r="D98" s="241" t="n"/>
      <c r="E98" s="241" t="n"/>
      <c r="F98" s="241" t="n"/>
      <c r="G98" s="242" t="n"/>
      <c r="H98" s="242" t="n"/>
      <c r="I98" s="242" t="n"/>
      <c r="J98" s="242" t="n"/>
      <c r="K98" s="242" t="n"/>
      <c r="L98" s="242" t="n"/>
      <c r="M98" s="242" t="n"/>
      <c r="N98" s="242" t="n"/>
      <c r="O98" s="242" t="n"/>
      <c r="P98" s="242" t="n"/>
      <c r="Q98" s="242" t="n"/>
      <c r="R98" s="26" t="n"/>
    </row>
    <row r="99">
      <c r="B99" t="inlineStr">
        <is>
          <t>Market Capitalization</t>
        </is>
      </c>
      <c r="G99" s="270" t="inlineStr">
        <is>
          <t>N/A (No Data)</t>
        </is>
      </c>
      <c r="H99" s="270" t="inlineStr">
        <is>
          <t>N/A (No Data)</t>
        </is>
      </c>
      <c r="I99" s="270" t="inlineStr">
        <is>
          <t>N/A (No Data)</t>
        </is>
      </c>
      <c r="J99" s="270" t="inlineStr">
        <is>
          <t>N/A (No Data)</t>
        </is>
      </c>
      <c r="K99" s="270" t="inlineStr">
        <is>
          <t>N/A (No Data)</t>
        </is>
      </c>
      <c r="L99" s="270" t="inlineStr">
        <is>
          <t>N/A (No Data)</t>
        </is>
      </c>
      <c r="M99" s="270" t="inlineStr">
        <is>
          <t>N/A (No Data)</t>
        </is>
      </c>
      <c r="N99" s="270" t="inlineStr">
        <is>
          <t>N/A (No Data)</t>
        </is>
      </c>
      <c r="O99" s="270" t="inlineStr">
        <is>
          <t>N/A (No Data)</t>
        </is>
      </c>
      <c r="P99" s="270" t="inlineStr">
        <is>
          <t>N/A (No Data)</t>
        </is>
      </c>
      <c r="Q99" s="270" t="inlineStr">
        <is>
          <t>N/A (No Data)</t>
        </is>
      </c>
    </row>
    <row r="100">
      <c r="B100" t="inlineStr">
        <is>
          <t>Cash &amp; Cash Equivalents</t>
        </is>
      </c>
      <c r="G100" s="251" t="inlineStr">
        <is>
          <t>N/A (No Data)</t>
        </is>
      </c>
      <c r="H100" s="251" t="inlineStr">
        <is>
          <t>N/A (No Data)</t>
        </is>
      </c>
      <c r="I100" s="251" t="inlineStr">
        <is>
          <t>N/A (No Data)</t>
        </is>
      </c>
      <c r="J100" s="251" t="inlineStr">
        <is>
          <t>N/A (No Data)</t>
        </is>
      </c>
      <c r="K100" s="251" t="inlineStr">
        <is>
          <t>N/A (No Data)</t>
        </is>
      </c>
      <c r="L100" s="251" t="inlineStr">
        <is>
          <t>N/A (No Data)</t>
        </is>
      </c>
      <c r="M100" s="251" t="inlineStr">
        <is>
          <t>N/A (No Data)</t>
        </is>
      </c>
      <c r="N100" s="251" t="inlineStr">
        <is>
          <t>N/A (No Data)</t>
        </is>
      </c>
      <c r="O100" s="251" t="inlineStr">
        <is>
          <t>N/A (No Data)</t>
        </is>
      </c>
      <c r="P100" s="251" t="inlineStr">
        <is>
          <t>N/A (No Data)</t>
        </is>
      </c>
      <c r="Q100" s="251" t="inlineStr">
        <is>
          <t>N/A (No Data)</t>
        </is>
      </c>
    </row>
    <row r="101">
      <c r="B101" t="inlineStr">
        <is>
          <t>Total Debt</t>
        </is>
      </c>
      <c r="G101" s="996" t="n">
        <v>0</v>
      </c>
      <c r="H101" s="996" t="n">
        <v>0</v>
      </c>
      <c r="I101" s="996" t="n">
        <v>0</v>
      </c>
      <c r="J101" s="996" t="n">
        <v>0</v>
      </c>
      <c r="K101" s="996" t="n">
        <v>0</v>
      </c>
      <c r="L101" s="996" t="n">
        <v>0</v>
      </c>
      <c r="M101" s="996" t="n">
        <v>0</v>
      </c>
      <c r="N101" s="996" t="n">
        <v>0</v>
      </c>
      <c r="O101" s="996" t="n">
        <v>0</v>
      </c>
      <c r="P101" s="996" t="n">
        <v>0</v>
      </c>
      <c r="Q101" s="996" t="n">
        <v>0</v>
      </c>
    </row>
    <row r="102">
      <c r="B102" t="inlineStr">
        <is>
          <t>Preferred Stock</t>
        </is>
      </c>
      <c r="G102" s="252" t="inlineStr">
        <is>
          <t>N/A (No Data)</t>
        </is>
      </c>
      <c r="H102" s="252" t="inlineStr">
        <is>
          <t>N/A (No Data)</t>
        </is>
      </c>
      <c r="I102" s="252" t="inlineStr">
        <is>
          <t>N/A (No Data)</t>
        </is>
      </c>
      <c r="J102" s="252" t="inlineStr">
        <is>
          <t>N/A (No Data)</t>
        </is>
      </c>
      <c r="K102" s="252" t="inlineStr">
        <is>
          <t>N/A (No Data)</t>
        </is>
      </c>
      <c r="L102" s="252" t="inlineStr">
        <is>
          <t>N/A (No Data)</t>
        </is>
      </c>
      <c r="M102" s="252" t="inlineStr">
        <is>
          <t>N/A (No Data)</t>
        </is>
      </c>
      <c r="N102" s="252" t="inlineStr">
        <is>
          <t>N/A (No Data)</t>
        </is>
      </c>
      <c r="O102" s="252" t="inlineStr">
        <is>
          <t>N/A (No Data)</t>
        </is>
      </c>
      <c r="P102" s="252" t="inlineStr">
        <is>
          <t>N/A (No Data)</t>
        </is>
      </c>
      <c r="Q102" s="252" t="inlineStr">
        <is>
          <t>N/A (No Data)</t>
        </is>
      </c>
    </row>
    <row r="103">
      <c r="B103" t="inlineStr">
        <is>
          <t>Non-Controlling Interest</t>
        </is>
      </c>
      <c r="G103" s="26">
        <f>_xlfn.XLOOKUP("Non-Controlling Interest",$B$30:$B$62,G$30:G$62)/1000</f>
        <v/>
      </c>
      <c r="H103" s="26">
        <f>_xlfn.XLOOKUP("Non-Controlling Interest",$B$30:$B$62,H$30:H$62)/1000</f>
        <v/>
      </c>
      <c r="I103" s="26">
        <f>_xlfn.XLOOKUP("Non-Controlling Interest",$B$30:$B$62,I$30:I$62)/1000</f>
        <v/>
      </c>
      <c r="J103" s="26">
        <f>_xlfn.XLOOKUP("Non-Controlling Interest",$B$30:$B$62,J$30:J$62)/1000</f>
        <v/>
      </c>
      <c r="K103" s="26">
        <f>_xlfn.XLOOKUP("Non-Controlling Interest",$B$30:$B$62,K$30:K$62)/1000</f>
        <v/>
      </c>
      <c r="L103" s="26">
        <f>_xlfn.XLOOKUP("Non-Controlling Interest",$B$30:$B$62,L$30:L$62)/1000</f>
        <v/>
      </c>
      <c r="M103" s="26">
        <f>_xlfn.XLOOKUP("Non-Controlling Interest",$B$30:$B$62,M$30:M$62)/1000</f>
        <v/>
      </c>
      <c r="N103" s="26">
        <f>_xlfn.XLOOKUP("Non-Controlling Interest",$B$30:$B$62,N$30:N$62)/1000</f>
        <v/>
      </c>
      <c r="O103" s="26">
        <f>_xlfn.XLOOKUP("Non-Controlling Interest",$B$30:$B$62,O$30:O$62)/1000</f>
        <v/>
      </c>
      <c r="P103" s="26">
        <f>_xlfn.XLOOKUP("Non-Controlling Interest",$B$30:$B$62,P$30:P$62)/1000</f>
        <v/>
      </c>
      <c r="Q103" s="26">
        <f>_xlfn.XLOOKUP("Non-Controlling Interest",$B$30:$B$62,Q$30:Q$62)/1000</f>
        <v/>
      </c>
    </row>
    <row r="104">
      <c r="B104" t="inlineStr">
        <is>
          <t>Enterprise Value</t>
        </is>
      </c>
      <c r="G104" s="997" t="inlineStr">
        <is>
          <t>N/A (No Data)</t>
        </is>
      </c>
      <c r="H104" s="997" t="inlineStr">
        <is>
          <t>N/A (No Data)</t>
        </is>
      </c>
      <c r="I104" s="997" t="inlineStr">
        <is>
          <t>N/A (No Data)</t>
        </is>
      </c>
      <c r="J104" s="997" t="inlineStr">
        <is>
          <t>N/A (No Data)</t>
        </is>
      </c>
      <c r="K104" s="997" t="inlineStr">
        <is>
          <t>N/A (No Data)</t>
        </is>
      </c>
      <c r="L104" s="997" t="inlineStr">
        <is>
          <t>N/A (No Data)</t>
        </is>
      </c>
      <c r="M104" s="997" t="inlineStr">
        <is>
          <t>N/A (No Data)</t>
        </is>
      </c>
      <c r="N104" s="997" t="inlineStr">
        <is>
          <t>N/A (No Data)</t>
        </is>
      </c>
      <c r="O104" s="997" t="inlineStr">
        <is>
          <t>N/A (No Data)</t>
        </is>
      </c>
      <c r="P104" s="997" t="inlineStr">
        <is>
          <t>N/A (No Data)</t>
        </is>
      </c>
      <c r="Q104" s="997" t="inlineStr">
        <is>
          <t>N/A (No Data)</t>
        </is>
      </c>
    </row>
    <row r="105" ht="5.25" customHeight="1" s="783">
      <c r="G105" t="inlineStr">
        <is>
          <t>N/A (No Data)</t>
        </is>
      </c>
      <c r="H105" t="inlineStr">
        <is>
          <t>N/A (No Data)</t>
        </is>
      </c>
      <c r="I105" t="inlineStr">
        <is>
          <t>N/A (No Data)</t>
        </is>
      </c>
      <c r="J105" t="inlineStr">
        <is>
          <t>N/A (No Data)</t>
        </is>
      </c>
      <c r="K105" t="inlineStr">
        <is>
          <t>N/A (No Data)</t>
        </is>
      </c>
      <c r="L105" t="inlineStr">
        <is>
          <t>N/A (No Data)</t>
        </is>
      </c>
      <c r="M105" t="inlineStr">
        <is>
          <t>N/A (No Data)</t>
        </is>
      </c>
      <c r="N105" t="inlineStr">
        <is>
          <t>N/A (No Data)</t>
        </is>
      </c>
      <c r="O105" t="inlineStr">
        <is>
          <t>N/A (No Data)</t>
        </is>
      </c>
      <c r="P105" t="inlineStr">
        <is>
          <t>N/A (No Data)</t>
        </is>
      </c>
      <c r="Q105" t="inlineStr">
        <is>
          <t>N/A (No Data)</t>
        </is>
      </c>
    </row>
    <row r="106" ht="15.75" customHeight="1" s="783">
      <c r="A106" t="inlineStr">
        <is>
          <t>x</t>
        </is>
      </c>
      <c r="B106" s="52" t="inlineStr">
        <is>
          <t>Debt Schedule</t>
        </is>
      </c>
      <c r="C106" s="56" t="n"/>
      <c r="D106" s="56" t="n"/>
      <c r="E106" s="56" t="n"/>
      <c r="F106" s="56" t="n"/>
      <c r="G106" s="254" t="inlineStr">
        <is>
          <t>N/A (No Data)</t>
        </is>
      </c>
      <c r="H106" s="235" t="inlineStr">
        <is>
          <t>N/A (No Data)</t>
        </is>
      </c>
      <c r="I106" s="235" t="inlineStr">
        <is>
          <t>N/A (No Data)</t>
        </is>
      </c>
      <c r="J106" s="235" t="inlineStr">
        <is>
          <t>N/A (No Data)</t>
        </is>
      </c>
      <c r="K106" s="235" t="inlineStr">
        <is>
          <t>N/A (No Data)</t>
        </is>
      </c>
      <c r="L106" s="235" t="inlineStr">
        <is>
          <t>N/A (No Data)</t>
        </is>
      </c>
      <c r="M106" s="235" t="inlineStr">
        <is>
          <t>N/A (No Data)</t>
        </is>
      </c>
      <c r="N106" s="235" t="inlineStr">
        <is>
          <t>N/A (No Data)</t>
        </is>
      </c>
      <c r="O106" s="235" t="inlineStr">
        <is>
          <t>N/A (No Data)</t>
        </is>
      </c>
      <c r="P106" s="235" t="inlineStr">
        <is>
          <t>N/A (No Data)</t>
        </is>
      </c>
      <c r="Q106" s="998" t="inlineStr">
        <is>
          <t>N/A (No Data)</t>
        </is>
      </c>
    </row>
    <row r="107" ht="3.95" customHeight="1" s="783">
      <c r="B107" s="241" t="n"/>
      <c r="C107" s="241" t="n"/>
      <c r="D107" s="241" t="n"/>
      <c r="E107" s="241" t="n"/>
      <c r="F107" s="241" t="n"/>
      <c r="G107" s="242" t="inlineStr">
        <is>
          <t>N/A (No Data)</t>
        </is>
      </c>
      <c r="H107" s="242" t="inlineStr">
        <is>
          <t>N/A (No Data)</t>
        </is>
      </c>
      <c r="I107" s="242" t="inlineStr">
        <is>
          <t>N/A (No Data)</t>
        </is>
      </c>
      <c r="J107" s="242" t="inlineStr">
        <is>
          <t>N/A (No Data)</t>
        </is>
      </c>
      <c r="K107" s="242" t="inlineStr">
        <is>
          <t>N/A (No Data)</t>
        </is>
      </c>
      <c r="L107" s="242" t="inlineStr">
        <is>
          <t>N/A (No Data)</t>
        </is>
      </c>
      <c r="M107" s="242" t="inlineStr">
        <is>
          <t>N/A (No Data)</t>
        </is>
      </c>
      <c r="N107" s="242" t="inlineStr">
        <is>
          <t>N/A (No Data)</t>
        </is>
      </c>
      <c r="O107" s="242" t="inlineStr">
        <is>
          <t>N/A (No Data)</t>
        </is>
      </c>
      <c r="P107" s="242" t="inlineStr">
        <is>
          <t>N/A (No Data)</t>
        </is>
      </c>
      <c r="Q107" s="242" t="inlineStr">
        <is>
          <t>N/A (No Data)</t>
        </is>
      </c>
    </row>
    <row r="108">
      <c r="B108" t="inlineStr">
        <is>
          <t>Cash</t>
        </is>
      </c>
      <c r="G108" s="757" t="n"/>
      <c r="H108" s="252" t="n"/>
      <c r="I108" s="252" t="n"/>
      <c r="J108" s="252" t="n"/>
      <c r="K108" s="252" t="n"/>
      <c r="L108" s="252" t="n"/>
      <c r="M108" s="252" t="n"/>
      <c r="N108" s="252" t="n"/>
      <c r="O108" s="252" t="n"/>
      <c r="P108" s="252" t="n"/>
      <c r="Q108" s="252" t="n"/>
    </row>
    <row r="109">
      <c r="B109" t="inlineStr">
        <is>
          <t>Fixed</t>
        </is>
      </c>
      <c r="H109" s="252" t="n"/>
      <c r="I109" s="252" t="n"/>
      <c r="J109" s="252" t="n"/>
      <c r="K109" s="252" t="n"/>
      <c r="L109" s="252" t="n"/>
      <c r="M109" s="252" t="n"/>
      <c r="N109" s="252" t="n"/>
      <c r="O109" s="252" t="n"/>
      <c r="P109" s="252" t="n"/>
      <c r="Q109" s="252">
        <f>+_xll.BDP(Summary!$D$6, "ARDR_DEBT_SCHEDULE_TOTAL_DEBT")-SUM(Inputs!H109:P109)</f>
        <v/>
      </c>
    </row>
    <row r="110">
      <c r="B110" t="inlineStr">
        <is>
          <t>Floating</t>
        </is>
      </c>
      <c r="H110" s="252" t="n"/>
      <c r="I110" s="252" t="n"/>
      <c r="J110" s="252" t="n"/>
      <c r="K110" s="252" t="n"/>
      <c r="L110" s="252" t="n"/>
      <c r="M110" s="252" t="n"/>
      <c r="N110" s="252" t="n"/>
      <c r="O110" s="252" t="n"/>
      <c r="P110" s="252" t="n"/>
      <c r="Q110" s="252" t="n"/>
    </row>
    <row r="111" ht="3.75" customHeight="1" s="783"/>
    <row r="112" ht="15.75" customHeight="1" s="783">
      <c r="A112" t="inlineStr">
        <is>
          <t>x</t>
        </is>
      </c>
      <c r="B112" s="52" t="inlineStr">
        <is>
          <t>Additional</t>
        </is>
      </c>
      <c r="C112" s="56" t="n"/>
      <c r="D112" s="56" t="n"/>
      <c r="E112" s="56" t="n"/>
      <c r="F112" s="56" t="n"/>
      <c r="G112" s="235" t="n">
        <v>2014</v>
      </c>
      <c r="H112" s="235">
        <f>+G112+1</f>
        <v/>
      </c>
      <c r="I112" s="235">
        <f>+H112+1</f>
        <v/>
      </c>
      <c r="J112" s="235">
        <f>+I112+1</f>
        <v/>
      </c>
      <c r="K112" s="235">
        <f>+J112+1</f>
        <v/>
      </c>
      <c r="L112" s="235">
        <f>+K112+1</f>
        <v/>
      </c>
      <c r="M112" s="235">
        <f>+L112+1</f>
        <v/>
      </c>
      <c r="N112" s="235">
        <f>+M112+1</f>
        <v/>
      </c>
      <c r="O112" s="235">
        <f>+N112+1</f>
        <v/>
      </c>
      <c r="P112" s="235">
        <f>+O112+1</f>
        <v/>
      </c>
      <c r="Q112" s="235">
        <f>+P112+1</f>
        <v/>
      </c>
      <c r="R112" s="58">
        <f>"CAGR "&amp;$G$4&amp;" - "&amp;$Q$4</f>
        <v/>
      </c>
    </row>
    <row r="113" ht="5.25" customHeight="1" s="783">
      <c r="B113" s="241" t="n"/>
      <c r="C113" s="241" t="n"/>
      <c r="D113" s="241" t="n"/>
      <c r="E113" s="241" t="n"/>
      <c r="F113" s="241" t="n"/>
      <c r="G113" s="242" t="n"/>
      <c r="H113" s="242" t="n"/>
      <c r="I113" s="242" t="n"/>
      <c r="J113" s="242" t="n"/>
      <c r="K113" s="242" t="n"/>
      <c r="L113" s="242" t="n"/>
      <c r="M113" s="242" t="n"/>
      <c r="N113" s="242" t="n"/>
      <c r="O113" s="242" t="n"/>
      <c r="P113" s="242" t="n"/>
      <c r="Q113" s="242" t="n"/>
      <c r="R113" s="60" t="n"/>
    </row>
    <row r="114">
      <c r="B114" t="inlineStr">
        <is>
          <t>Total Debt</t>
        </is>
      </c>
      <c r="G114" s="250">
        <f>IFERROR(SUM(G55+G50),"")</f>
        <v/>
      </c>
      <c r="H114" s="250">
        <f>IFERROR(SUM(H55+H50),"")</f>
        <v/>
      </c>
      <c r="I114" s="250">
        <f>IFERROR(SUM(I55+I50),"")</f>
        <v/>
      </c>
      <c r="J114" s="250">
        <f>IFERROR(SUM(J55+J50),"")</f>
        <v/>
      </c>
      <c r="K114" s="250">
        <f>IFERROR(SUM(K55+K50),"")</f>
        <v/>
      </c>
      <c r="L114" s="250">
        <f>IFERROR(SUM(L55+L50),"")</f>
        <v/>
      </c>
      <c r="M114" s="250">
        <f>IFERROR(SUM(M55+M50),"")</f>
        <v/>
      </c>
      <c r="N114" s="250">
        <f>IFERROR(SUM(N55+N50),"")</f>
        <v/>
      </c>
      <c r="O114" s="250">
        <f>IFERROR(SUM(O55+O50),"")</f>
        <v/>
      </c>
      <c r="P114" s="250">
        <f>IFERROR(SUM(P55+P50),"")</f>
        <v/>
      </c>
      <c r="Q114" s="250">
        <f>IFERROR(SUM(Q55+Q50),"")</f>
        <v/>
      </c>
      <c r="R114" s="103">
        <f>IFERROR((Q114/G114)^(1/COUNT($G$4:$Q$4))-1,"")</f>
        <v/>
      </c>
    </row>
    <row r="115">
      <c r="B115" t="inlineStr">
        <is>
          <t>Total Borrowings</t>
        </is>
      </c>
      <c r="G115" s="250">
        <f>IFERROR(SUM(G51,G56),"")</f>
        <v/>
      </c>
      <c r="H115" s="250">
        <f>IFERROR(SUM(H51,H56),"")</f>
        <v/>
      </c>
      <c r="I115" s="250">
        <f>IFERROR(SUM(I51,I56),"")</f>
        <v/>
      </c>
      <c r="J115" s="250">
        <f>IFERROR(SUM(J51,J56),"")</f>
        <v/>
      </c>
      <c r="K115" s="250">
        <f>IFERROR(SUM(K51,K56),"")</f>
        <v/>
      </c>
      <c r="L115" s="250">
        <f>IFERROR(SUM(L51,L56),"")</f>
        <v/>
      </c>
      <c r="M115" s="250">
        <f>IFERROR(SUM(M51,M56),"")</f>
        <v/>
      </c>
      <c r="N115" s="250">
        <f>IFERROR(SUM(N51,N56),"")</f>
        <v/>
      </c>
      <c r="O115" s="250">
        <f>IFERROR(SUM(O51,O56),"")</f>
        <v/>
      </c>
      <c r="P115" s="250">
        <f>IFERROR(SUM(P51,P56),"")</f>
        <v/>
      </c>
      <c r="Q115" s="250">
        <f>IFERROR(SUM(Q51,Q56),"")</f>
        <v/>
      </c>
      <c r="R115" s="103">
        <f>IFERROR((Q115/G115)^(1/COUNT($G$4:$Q$4))-1,"")</f>
        <v/>
      </c>
    </row>
    <row r="116">
      <c r="B116" t="inlineStr">
        <is>
          <t>Total Leases</t>
        </is>
      </c>
      <c r="G116" s="250">
        <f>IFERROR(SUM(G52,G57),"")</f>
        <v/>
      </c>
      <c r="H116" s="250">
        <f>IFERROR(SUM(H52,H57),"")</f>
        <v/>
      </c>
      <c r="I116" s="250">
        <f>IFERROR(SUM(I52,I57),"")</f>
        <v/>
      </c>
      <c r="J116" s="250">
        <f>IFERROR(SUM(J52,J57),"")</f>
        <v/>
      </c>
      <c r="K116" s="250">
        <f>IFERROR(SUM(K52,K57),"")</f>
        <v/>
      </c>
      <c r="L116" s="250">
        <f>IFERROR(SUM(L52,L57),"")</f>
        <v/>
      </c>
      <c r="M116" s="250">
        <f>IFERROR(SUM(M52,M57),"")</f>
        <v/>
      </c>
      <c r="N116" s="250">
        <f>IFERROR(SUM(N52,N57),"")</f>
        <v/>
      </c>
      <c r="O116" s="250">
        <f>IFERROR(SUM(O52,O57),"")</f>
        <v/>
      </c>
      <c r="P116" s="250">
        <f>IFERROR(SUM(P52,P57),"")</f>
        <v/>
      </c>
      <c r="Q116" s="250">
        <f>IFERROR(SUM(Q52,Q57),"")</f>
        <v/>
      </c>
      <c r="R116" s="103">
        <f>IFERROR((Q116/G116)^(1/COUNT($G$4:$Q$4))-1,"")</f>
        <v/>
      </c>
    </row>
    <row r="117">
      <c r="B117" t="inlineStr">
        <is>
          <t>Net Debt</t>
        </is>
      </c>
      <c r="G117" s="250">
        <f>+G114-G32</f>
        <v/>
      </c>
      <c r="H117" s="250">
        <f>+H114-H32</f>
        <v/>
      </c>
      <c r="I117" s="250">
        <f>+I114-I32</f>
        <v/>
      </c>
      <c r="J117" s="250">
        <f>+J114-J32</f>
        <v/>
      </c>
      <c r="K117" s="250">
        <f>+K114-K32</f>
        <v/>
      </c>
      <c r="L117" s="250">
        <f>+L114-L32</f>
        <v/>
      </c>
      <c r="M117" s="250">
        <f>+M114-M32</f>
        <v/>
      </c>
      <c r="N117" s="250">
        <f>+N114-N32</f>
        <v/>
      </c>
      <c r="O117" s="250">
        <f>+O114-O32</f>
        <v/>
      </c>
      <c r="P117" s="250">
        <f>+P114-P32</f>
        <v/>
      </c>
      <c r="Q117" s="250">
        <f>+Q114-Q32</f>
        <v/>
      </c>
      <c r="R117" s="103">
        <f>IFERROR((Q117/G117)^(1/COUNT($G$4:$Q$4))-1,"")</f>
        <v/>
      </c>
    </row>
    <row r="118">
      <c r="B118" t="inlineStr">
        <is>
          <t>Effective Tax Rate</t>
        </is>
      </c>
      <c r="G118" s="265">
        <f>IFERROR(G23/G22,"")</f>
        <v/>
      </c>
      <c r="H118" s="265">
        <f>IFERROR(H23/H22,"")</f>
        <v/>
      </c>
      <c r="I118" s="265">
        <f>IFERROR(I23/I22,"")</f>
        <v/>
      </c>
      <c r="J118" s="265">
        <f>IFERROR(J23/J22,"")</f>
        <v/>
      </c>
      <c r="K118" s="265">
        <f>IFERROR(K23/K22,"")</f>
        <v/>
      </c>
      <c r="L118" s="265">
        <f>IFERROR(L23/L22,"")</f>
        <v/>
      </c>
      <c r="M118" s="265">
        <f>IFERROR(M23/M22,"")</f>
        <v/>
      </c>
      <c r="N118" s="265">
        <f>IFERROR(N23/N22,"")</f>
        <v/>
      </c>
      <c r="O118" s="265">
        <f>IFERROR(O23/O22,"")</f>
        <v/>
      </c>
      <c r="P118" s="265">
        <f>IFERROR(P23/P22,"")</f>
        <v/>
      </c>
      <c r="Q118" s="265">
        <f>IFERROR(Q23/Q22,"")</f>
        <v/>
      </c>
      <c r="R118" s="103">
        <f>IFERROR((Q118/G118)^(1/COUNT($G$4:$Q$4))-1,"")</f>
        <v/>
      </c>
    </row>
    <row r="119">
      <c r="B119" t="inlineStr">
        <is>
          <t>NOPAT</t>
        </is>
      </c>
      <c r="G119" s="270">
        <f>IFERROR(G16*(1-G118),"")</f>
        <v/>
      </c>
      <c r="H119" s="270">
        <f>IFERROR(H16*(1-H118),"")</f>
        <v/>
      </c>
      <c r="I119" s="270">
        <f>IFERROR(I16*(1-I118),"")</f>
        <v/>
      </c>
      <c r="J119" s="270">
        <f>IFERROR(J16*(1-J118),"")</f>
        <v/>
      </c>
      <c r="K119" s="270">
        <f>IFERROR(K16*(1-K118),"")</f>
        <v/>
      </c>
      <c r="L119" s="270">
        <f>IFERROR(L16*(1-L118),"")</f>
        <v/>
      </c>
      <c r="M119" s="270">
        <f>IFERROR(M16*(1-M118),"")</f>
        <v/>
      </c>
      <c r="N119" s="270">
        <f>IFERROR(N16*(1-N118),"")</f>
        <v/>
      </c>
      <c r="O119" s="270">
        <f>IFERROR(O16*(1-O118),"")</f>
        <v/>
      </c>
      <c r="P119" s="270">
        <f>IFERROR(P16*(1-P118),"")</f>
        <v/>
      </c>
      <c r="Q119" s="270">
        <f>IFERROR(Q16*(1-Q118),"")</f>
        <v/>
      </c>
      <c r="R119" s="103">
        <f>IFERROR((Q119/G119)^(1/COUNT($G$4:$Q$4))-1,"")</f>
        <v/>
      </c>
    </row>
    <row r="120">
      <c r="B120" t="inlineStr">
        <is>
          <t>DSO</t>
        </is>
      </c>
      <c r="G120" s="504">
        <f>IFERROR(G35/G6*365,"")</f>
        <v/>
      </c>
      <c r="H120" s="504">
        <f>IFERROR(H35/H6*365,"")</f>
        <v/>
      </c>
      <c r="I120" s="504">
        <f>IFERROR(I35/I6*365,"")</f>
        <v/>
      </c>
      <c r="J120" s="504">
        <f>IFERROR(J35/J6*365,"")</f>
        <v/>
      </c>
      <c r="K120" s="504">
        <f>IFERROR(K35/K6*365,"")</f>
        <v/>
      </c>
      <c r="L120" s="504">
        <f>IFERROR(L35/L6*365,"")</f>
        <v/>
      </c>
      <c r="M120" s="504">
        <f>IFERROR(M35/M6*365,"")</f>
        <v/>
      </c>
      <c r="N120" s="504">
        <f>IFERROR(N35/N6*365,"")</f>
        <v/>
      </c>
      <c r="O120" s="504">
        <f>IFERROR(O35/O6*365,"")</f>
        <v/>
      </c>
      <c r="P120" s="504">
        <f>IFERROR(P35/P6*365,"")</f>
        <v/>
      </c>
      <c r="Q120" s="504">
        <f>IFERROR(Q35/Q6*365,"")</f>
        <v/>
      </c>
      <c r="R120" s="103">
        <f>IFERROR((Q120/G120)^(1/COUNT($G$4:$Q$4))-1,"")</f>
        <v/>
      </c>
    </row>
    <row r="121">
      <c r="B121" t="inlineStr">
        <is>
          <t>DIH</t>
        </is>
      </c>
      <c r="G121" s="504">
        <f>IFERROR(G36/G7*365,"")</f>
        <v/>
      </c>
      <c r="H121" s="504">
        <f>IFERROR(H36/H7*365,"")</f>
        <v/>
      </c>
      <c r="I121" s="504">
        <f>IFERROR(I36/I7*365,"")</f>
        <v/>
      </c>
      <c r="J121" s="504">
        <f>IFERROR(J36/J7*365,"")</f>
        <v/>
      </c>
      <c r="K121" s="504">
        <f>IFERROR(K36/K7*365,"")</f>
        <v/>
      </c>
      <c r="L121" s="504">
        <f>IFERROR(L36/L7*365,"")</f>
        <v/>
      </c>
      <c r="M121" s="504">
        <f>IFERROR(M36/M7*365,"")</f>
        <v/>
      </c>
      <c r="N121" s="504">
        <f>IFERROR(N36/N7*365,"")</f>
        <v/>
      </c>
      <c r="O121" s="504">
        <f>IFERROR(O36/O7*365,"")</f>
        <v/>
      </c>
      <c r="P121" s="504">
        <f>IFERROR(P36/P7*365,"")</f>
        <v/>
      </c>
      <c r="Q121" s="504">
        <f>IFERROR(Q36/Q7*365,"")</f>
        <v/>
      </c>
      <c r="R121" s="103">
        <f>IFERROR((Q121/G121)^(1/COUNT($G$4:$Q$4))-1,"")</f>
        <v/>
      </c>
    </row>
    <row r="122">
      <c r="B122" t="inlineStr">
        <is>
          <t>DPO</t>
        </is>
      </c>
      <c r="G122" s="504">
        <f>IFERROR(G49/G6*365,"")</f>
        <v/>
      </c>
      <c r="H122" s="504">
        <f>IFERROR(H49/H6*365,"")</f>
        <v/>
      </c>
      <c r="I122" s="504">
        <f>IFERROR(I49/I6*365,"")</f>
        <v/>
      </c>
      <c r="J122" s="504">
        <f>IFERROR(J49/J6*365,"")</f>
        <v/>
      </c>
      <c r="K122" s="504">
        <f>IFERROR(K49/K6*365,"")</f>
        <v/>
      </c>
      <c r="L122" s="504">
        <f>IFERROR(L49/L6*365,"")</f>
        <v/>
      </c>
      <c r="M122" s="504">
        <f>IFERROR(M49/M6*365,"")</f>
        <v/>
      </c>
      <c r="N122" s="504">
        <f>IFERROR(N49/N6*365,"")</f>
        <v/>
      </c>
      <c r="O122" s="504">
        <f>IFERROR(O49/O6*365,"")</f>
        <v/>
      </c>
      <c r="P122" s="504">
        <f>IFERROR(P49/P6*365,"")</f>
        <v/>
      </c>
      <c r="Q122" s="504">
        <f>IFERROR(Q49/Q6*365,"")</f>
        <v/>
      </c>
      <c r="R122" s="103">
        <f>IFERROR((Q122/G122)^(1/COUNT($G$4:$Q$4))-1,"")</f>
        <v/>
      </c>
    </row>
    <row r="125"/>
    <row r="126">
      <c r="C126" s="999" t="n"/>
    </row>
    <row r="127">
      <c r="C127" s="999" t="n"/>
    </row>
    <row r="128">
      <c r="C128" s="999" t="n"/>
    </row>
    <row r="129">
      <c r="C129" s="999" t="n"/>
    </row>
    <row r="130">
      <c r="C130" s="999" t="n"/>
    </row>
    <row r="131">
      <c r="C131" s="999" t="n"/>
    </row>
    <row r="132">
      <c r="C132" s="999" t="n"/>
    </row>
    <row r="133">
      <c r="C133" s="999" t="n"/>
    </row>
    <row r="134">
      <c r="C134" s="999" t="n"/>
    </row>
    <row r="135">
      <c r="C135" s="999" t="n"/>
    </row>
    <row r="136">
      <c r="C136" s="999" t="n"/>
    </row>
    <row r="137">
      <c r="C137" s="999" t="n"/>
    </row>
    <row r="138">
      <c r="C138" s="999" t="n"/>
    </row>
    <row r="139">
      <c r="C139" s="999" t="n"/>
    </row>
    <row r="140">
      <c r="C140" s="999" t="n"/>
    </row>
    <row r="141">
      <c r="C141" s="999" t="n"/>
    </row>
    <row r="142">
      <c r="C142" s="999" t="n"/>
    </row>
    <row r="143">
      <c r="C143" s="999" t="n"/>
    </row>
    <row r="144">
      <c r="C144" s="999" t="n"/>
    </row>
    <row r="145">
      <c r="C145" s="999" t="n"/>
    </row>
    <row r="146">
      <c r="C146" s="999" t="n"/>
    </row>
    <row r="147">
      <c r="C147" s="999" t="n"/>
    </row>
    <row r="148">
      <c r="C148" s="999" t="n"/>
    </row>
    <row r="149">
      <c r="C149" s="999" t="n"/>
    </row>
    <row r="150">
      <c r="C150" s="999" t="n"/>
    </row>
    <row r="151">
      <c r="C151" s="999" t="n"/>
    </row>
    <row r="152">
      <c r="C152" s="999" t="n"/>
    </row>
    <row r="153">
      <c r="C153" s="999" t="n"/>
    </row>
    <row r="154">
      <c r="C154" s="999" t="n"/>
    </row>
    <row r="155">
      <c r="C155" s="999" t="n"/>
    </row>
    <row r="156">
      <c r="C156" s="999" t="n"/>
    </row>
    <row r="157">
      <c r="C157" s="999" t="n"/>
    </row>
    <row r="158">
      <c r="C158" s="999" t="n"/>
    </row>
    <row r="159">
      <c r="C159" s="999" t="n"/>
    </row>
    <row r="160">
      <c r="C160" s="999" t="n"/>
    </row>
    <row r="161">
      <c r="C161" s="999" t="n"/>
    </row>
    <row r="162">
      <c r="C162" s="999" t="n"/>
    </row>
    <row r="163">
      <c r="C163" s="999" t="n"/>
    </row>
    <row r="164">
      <c r="C164" s="999" t="n"/>
    </row>
    <row r="165">
      <c r="C165" s="999" t="n"/>
    </row>
    <row r="166">
      <c r="C166" s="999" t="n"/>
    </row>
    <row r="167">
      <c r="C167" s="999" t="n"/>
    </row>
    <row r="168">
      <c r="C168" s="999" t="n"/>
    </row>
    <row r="169">
      <c r="C169" s="999" t="n"/>
    </row>
    <row r="170">
      <c r="C170" s="999" t="n"/>
    </row>
    <row r="171">
      <c r="C171" s="999" t="n"/>
    </row>
    <row r="172">
      <c r="C172" s="999" t="n"/>
    </row>
    <row r="173">
      <c r="C173" s="999" t="n"/>
    </row>
    <row r="174">
      <c r="C174" s="999" t="n"/>
    </row>
    <row r="175">
      <c r="C175" s="999" t="n"/>
    </row>
    <row r="176">
      <c r="C176" s="999" t="n"/>
    </row>
    <row r="177">
      <c r="C177" s="999" t="n"/>
    </row>
    <row r="178">
      <c r="C178" s="999" t="n"/>
    </row>
    <row r="179">
      <c r="C179" s="999" t="n"/>
    </row>
    <row r="180">
      <c r="C180" s="999" t="n"/>
    </row>
    <row r="181">
      <c r="C181" s="999" t="n"/>
    </row>
    <row r="182">
      <c r="C182" s="999" t="n"/>
    </row>
    <row r="183">
      <c r="C183" s="999" t="n"/>
    </row>
    <row r="184">
      <c r="C184" s="999" t="n"/>
    </row>
    <row r="185">
      <c r="C185" s="999" t="n"/>
    </row>
    <row r="186">
      <c r="C186" s="999" t="n"/>
    </row>
    <row r="187">
      <c r="C187" s="999" t="n"/>
    </row>
    <row r="188">
      <c r="C188" s="999" t="n"/>
    </row>
    <row r="189">
      <c r="C189" s="999" t="n"/>
    </row>
    <row r="190">
      <c r="C190" s="999" t="n"/>
    </row>
    <row r="191">
      <c r="C191" s="999" t="n"/>
    </row>
    <row r="192">
      <c r="C192" s="999" t="n"/>
    </row>
    <row r="193">
      <c r="C193" s="999" t="n"/>
    </row>
    <row r="194">
      <c r="C194" s="999" t="n"/>
    </row>
    <row r="195">
      <c r="C195" s="999" t="n"/>
    </row>
    <row r="196">
      <c r="C196" s="999" t="n"/>
    </row>
    <row r="197">
      <c r="C197" s="999" t="n"/>
    </row>
    <row r="198">
      <c r="C198" s="999" t="n"/>
    </row>
    <row r="199">
      <c r="C199" s="999" t="n"/>
    </row>
    <row r="200">
      <c r="C200" s="999" t="n"/>
    </row>
    <row r="201">
      <c r="C201" s="999" t="n"/>
    </row>
    <row r="202">
      <c r="C202" s="999" t="n"/>
    </row>
    <row r="203">
      <c r="C203" s="999" t="n"/>
    </row>
    <row r="204">
      <c r="C204" s="999" t="n"/>
    </row>
    <row r="205">
      <c r="C205" s="999" t="n"/>
    </row>
    <row r="206">
      <c r="C206" s="999" t="n"/>
    </row>
    <row r="207">
      <c r="C207" s="999" t="n"/>
    </row>
    <row r="208">
      <c r="C208" s="999" t="n"/>
    </row>
    <row r="209">
      <c r="C209" s="999" t="n"/>
    </row>
    <row r="210">
      <c r="C210" s="999" t="n"/>
    </row>
    <row r="211">
      <c r="C211" s="999" t="n"/>
    </row>
    <row r="212">
      <c r="C212" s="999" t="n"/>
    </row>
    <row r="213">
      <c r="C213" s="999" t="n"/>
    </row>
    <row r="214">
      <c r="C214" s="999" t="n"/>
    </row>
    <row r="215">
      <c r="C215" s="999" t="n"/>
    </row>
    <row r="216">
      <c r="C216" s="999" t="n"/>
    </row>
    <row r="217">
      <c r="C217" s="999" t="n"/>
    </row>
    <row r="218">
      <c r="C218" s="999" t="n"/>
    </row>
    <row r="219">
      <c r="C219" s="999" t="n"/>
    </row>
    <row r="220">
      <c r="C220" s="999" t="n"/>
    </row>
    <row r="221">
      <c r="C221" s="999" t="n"/>
    </row>
    <row r="222">
      <c r="C222" s="999" t="n"/>
    </row>
    <row r="223">
      <c r="C223" s="999" t="n"/>
    </row>
    <row r="224">
      <c r="C224" s="999" t="n"/>
    </row>
    <row r="225">
      <c r="C225" s="999" t="n"/>
    </row>
    <row r="226">
      <c r="C226" s="999" t="n"/>
    </row>
    <row r="227">
      <c r="C227" s="999" t="n"/>
    </row>
    <row r="228">
      <c r="C228" s="999" t="n"/>
    </row>
    <row r="229">
      <c r="C229" s="999" t="n"/>
    </row>
    <row r="230">
      <c r="C230" s="999" t="n"/>
    </row>
    <row r="231">
      <c r="C231" s="999" t="n"/>
    </row>
    <row r="232">
      <c r="C232" s="999" t="n"/>
    </row>
    <row r="233">
      <c r="C233" s="999" t="n"/>
    </row>
    <row r="234">
      <c r="C234" s="999" t="n"/>
    </row>
    <row r="235">
      <c r="C235" s="999" t="n"/>
    </row>
    <row r="236">
      <c r="C236" s="999" t="n"/>
    </row>
    <row r="237">
      <c r="C237" s="999" t="n"/>
    </row>
    <row r="238">
      <c r="C238" s="999" t="n"/>
    </row>
    <row r="239">
      <c r="C239" s="999" t="n"/>
    </row>
    <row r="240">
      <c r="C240" s="999" t="n"/>
    </row>
    <row r="241">
      <c r="C241" s="999" t="n"/>
    </row>
    <row r="242">
      <c r="C242" s="999" t="n"/>
    </row>
    <row r="243">
      <c r="C243" s="999" t="n"/>
    </row>
    <row r="244">
      <c r="C244" s="999" t="n"/>
    </row>
    <row r="245">
      <c r="C245" s="999" t="n"/>
    </row>
    <row r="246">
      <c r="C246" s="999" t="n"/>
    </row>
    <row r="247">
      <c r="C247" s="999" t="n"/>
    </row>
    <row r="248">
      <c r="C248" s="999" t="n"/>
    </row>
    <row r="249">
      <c r="C249" s="999" t="n"/>
    </row>
    <row r="250">
      <c r="C250" s="999" t="n"/>
    </row>
    <row r="251">
      <c r="C251" s="999" t="n"/>
    </row>
    <row r="252">
      <c r="C252" s="999" t="n"/>
    </row>
    <row r="253">
      <c r="C253" s="999" t="n"/>
    </row>
    <row r="254">
      <c r="C254" s="999" t="n"/>
    </row>
    <row r="255">
      <c r="C255" s="999" t="n"/>
    </row>
    <row r="256">
      <c r="C256" s="999" t="n"/>
    </row>
    <row r="257">
      <c r="C257" s="999" t="n"/>
    </row>
    <row r="258">
      <c r="C258" s="999" t="n"/>
    </row>
    <row r="259">
      <c r="C259" s="999" t="n"/>
    </row>
    <row r="260">
      <c r="C260" s="999" t="n"/>
    </row>
    <row r="261">
      <c r="C261" s="999" t="n"/>
    </row>
    <row r="262">
      <c r="C262" s="999" t="n"/>
    </row>
    <row r="263">
      <c r="C263" s="999" t="n"/>
    </row>
    <row r="264">
      <c r="C264" s="999" t="n"/>
    </row>
    <row r="265">
      <c r="C265" s="999" t="n"/>
    </row>
    <row r="266">
      <c r="C266" s="999" t="n"/>
    </row>
    <row r="267">
      <c r="C267" s="999" t="n"/>
    </row>
    <row r="268">
      <c r="C268" s="999" t="n"/>
    </row>
    <row r="269">
      <c r="C269" s="999" t="n"/>
    </row>
    <row r="270">
      <c r="C270" s="999" t="n"/>
    </row>
    <row r="271">
      <c r="C271" s="999" t="n"/>
    </row>
    <row r="272">
      <c r="C272" s="999" t="n"/>
    </row>
    <row r="273">
      <c r="C273" s="999" t="n"/>
    </row>
    <row r="274">
      <c r="C274" s="999" t="n"/>
    </row>
    <row r="275">
      <c r="C275" s="999" t="n"/>
    </row>
    <row r="276">
      <c r="C276" s="999" t="n"/>
    </row>
    <row r="277">
      <c r="C277" s="999" t="n"/>
    </row>
    <row r="278">
      <c r="C278" s="999" t="n"/>
    </row>
    <row r="279">
      <c r="C279" s="999" t="n"/>
    </row>
    <row r="280">
      <c r="C280" s="999" t="n"/>
    </row>
    <row r="281">
      <c r="C281" s="999" t="n"/>
    </row>
    <row r="282">
      <c r="C282" s="999" t="n"/>
    </row>
    <row r="283">
      <c r="C283" s="999" t="n"/>
    </row>
    <row r="284">
      <c r="C284" s="999" t="n"/>
    </row>
    <row r="285">
      <c r="C285" s="999" t="n"/>
    </row>
    <row r="286">
      <c r="C286" s="999" t="n"/>
    </row>
    <row r="287">
      <c r="C287" s="999" t="n"/>
    </row>
    <row r="288">
      <c r="C288" s="999" t="n"/>
    </row>
    <row r="289">
      <c r="C289" s="999" t="n"/>
    </row>
    <row r="290">
      <c r="C290" s="999" t="n"/>
    </row>
    <row r="291">
      <c r="C291" s="999" t="n"/>
    </row>
    <row r="292">
      <c r="C292" s="999" t="n"/>
    </row>
    <row r="293">
      <c r="C293" s="999" t="n"/>
    </row>
    <row r="294">
      <c r="C294" s="999" t="n"/>
    </row>
    <row r="295">
      <c r="C295" s="999" t="n"/>
    </row>
    <row r="296">
      <c r="C296" s="999" t="n"/>
    </row>
    <row r="297">
      <c r="C297" s="999" t="n"/>
    </row>
    <row r="298">
      <c r="C298" s="999" t="n"/>
    </row>
    <row r="299">
      <c r="C299" s="999" t="n"/>
    </row>
    <row r="300">
      <c r="C300" s="999" t="n"/>
    </row>
    <row r="301">
      <c r="C301" s="999" t="n"/>
    </row>
    <row r="302">
      <c r="C302" s="999" t="n"/>
    </row>
    <row r="303">
      <c r="C303" s="999" t="n"/>
    </row>
    <row r="304">
      <c r="C304" s="999" t="n"/>
    </row>
    <row r="305">
      <c r="C305" s="999" t="n"/>
    </row>
    <row r="306">
      <c r="C306" s="999" t="n"/>
    </row>
    <row r="307">
      <c r="C307" s="999" t="n"/>
    </row>
    <row r="308">
      <c r="C308" s="999" t="n"/>
    </row>
    <row r="309">
      <c r="C309" s="999" t="n"/>
    </row>
    <row r="310">
      <c r="C310" s="999" t="n"/>
    </row>
    <row r="311">
      <c r="C311" s="999" t="n"/>
    </row>
    <row r="312">
      <c r="C312" s="999" t="n"/>
    </row>
    <row r="313">
      <c r="C313" s="999" t="n"/>
    </row>
    <row r="314">
      <c r="C314" s="999" t="n"/>
    </row>
    <row r="315">
      <c r="C315" s="999" t="n"/>
    </row>
    <row r="316">
      <c r="C316" s="999" t="n"/>
    </row>
    <row r="317">
      <c r="C317" s="999" t="n"/>
    </row>
    <row r="318">
      <c r="C318" s="999" t="n"/>
    </row>
    <row r="319">
      <c r="C319" s="999" t="n"/>
    </row>
    <row r="320">
      <c r="C320" s="999" t="n"/>
    </row>
    <row r="321">
      <c r="C321" s="999" t="n"/>
    </row>
    <row r="322">
      <c r="C322" s="999" t="n"/>
    </row>
    <row r="323">
      <c r="C323" s="999" t="n"/>
    </row>
    <row r="324">
      <c r="C324" s="999" t="n"/>
    </row>
    <row r="325">
      <c r="C325" s="999" t="n"/>
    </row>
    <row r="326">
      <c r="C326" s="999" t="n"/>
    </row>
    <row r="327">
      <c r="C327" s="999" t="n"/>
    </row>
    <row r="328">
      <c r="C328" s="999" t="n"/>
    </row>
    <row r="329">
      <c r="C329" s="999" t="n"/>
    </row>
    <row r="330">
      <c r="C330" s="999" t="n"/>
    </row>
    <row r="331">
      <c r="C331" s="999" t="n"/>
    </row>
    <row r="332">
      <c r="C332" s="999" t="n"/>
    </row>
    <row r="333">
      <c r="C333" s="999" t="n"/>
    </row>
    <row r="334">
      <c r="C334" s="999" t="n"/>
    </row>
    <row r="335">
      <c r="C335" s="999" t="n"/>
    </row>
    <row r="336">
      <c r="C336" s="999" t="n"/>
    </row>
    <row r="337">
      <c r="C337" s="999" t="n"/>
    </row>
    <row r="338">
      <c r="C338" s="999" t="n"/>
    </row>
    <row r="339">
      <c r="C339" s="999" t="n"/>
    </row>
    <row r="340">
      <c r="C340" s="999" t="n"/>
    </row>
    <row r="341">
      <c r="C341" s="999" t="n"/>
    </row>
    <row r="342">
      <c r="C342" s="999" t="n"/>
    </row>
    <row r="343">
      <c r="C343" s="999" t="n"/>
    </row>
    <row r="344">
      <c r="C344" s="999" t="n"/>
    </row>
    <row r="345">
      <c r="C345" s="999" t="n"/>
    </row>
    <row r="346">
      <c r="C346" s="999" t="n"/>
    </row>
    <row r="347">
      <c r="C347" s="999" t="n"/>
    </row>
    <row r="348">
      <c r="C348" s="999" t="n"/>
    </row>
    <row r="349">
      <c r="C349" s="999" t="n"/>
    </row>
    <row r="350">
      <c r="C350" s="999" t="n"/>
    </row>
    <row r="351">
      <c r="C351" s="999" t="n"/>
    </row>
    <row r="352">
      <c r="C352" s="999" t="n"/>
    </row>
    <row r="353">
      <c r="C353" s="999" t="n"/>
    </row>
    <row r="354">
      <c r="C354" s="999" t="n"/>
    </row>
    <row r="355">
      <c r="C355" s="999" t="n"/>
    </row>
    <row r="356">
      <c r="C356" s="999" t="n"/>
    </row>
    <row r="357">
      <c r="C357" s="999" t="n"/>
    </row>
    <row r="358">
      <c r="C358" s="999" t="n"/>
    </row>
    <row r="359">
      <c r="C359" s="999" t="n"/>
    </row>
    <row r="360">
      <c r="C360" s="999" t="n"/>
    </row>
    <row r="361">
      <c r="C361" s="999" t="n"/>
    </row>
    <row r="362">
      <c r="C362" s="999" t="n"/>
    </row>
    <row r="363">
      <c r="C363" s="999" t="n"/>
    </row>
    <row r="364">
      <c r="C364" s="999" t="n"/>
    </row>
    <row r="365">
      <c r="C365" s="999" t="n"/>
    </row>
    <row r="366">
      <c r="C366" s="999" t="n"/>
    </row>
    <row r="367">
      <c r="C367" s="999" t="n"/>
    </row>
    <row r="368">
      <c r="C368" s="999" t="n"/>
    </row>
    <row r="369">
      <c r="C369" s="999" t="n"/>
    </row>
    <row r="370">
      <c r="C370" s="999" t="n"/>
    </row>
    <row r="371">
      <c r="C371" s="999" t="n"/>
    </row>
    <row r="372">
      <c r="C372" s="999" t="n"/>
    </row>
    <row r="373">
      <c r="C373" s="999" t="n"/>
    </row>
    <row r="374">
      <c r="C374" s="999" t="n"/>
    </row>
    <row r="375">
      <c r="C375" s="999" t="n"/>
    </row>
    <row r="376">
      <c r="C376" s="999" t="n"/>
    </row>
    <row r="377">
      <c r="C377" s="999" t="n"/>
    </row>
    <row r="378">
      <c r="C378" s="999" t="n"/>
    </row>
    <row r="379">
      <c r="C379" s="999" t="n"/>
    </row>
    <row r="380">
      <c r="C380" s="999" t="n"/>
    </row>
    <row r="381">
      <c r="C381" s="999" t="n"/>
    </row>
    <row r="382">
      <c r="C382" s="999" t="n"/>
    </row>
    <row r="383">
      <c r="C383" s="999" t="n"/>
    </row>
    <row r="384">
      <c r="C384" s="999" t="n"/>
    </row>
    <row r="385">
      <c r="C385" s="999" t="n"/>
    </row>
    <row r="386">
      <c r="C386" s="999" t="n"/>
    </row>
    <row r="387">
      <c r="C387" s="999" t="n"/>
    </row>
    <row r="388">
      <c r="C388" s="999" t="n"/>
    </row>
    <row r="389">
      <c r="C389" s="999" t="n"/>
    </row>
    <row r="390">
      <c r="C390" s="999" t="n"/>
    </row>
    <row r="391">
      <c r="C391" s="999" t="n"/>
    </row>
    <row r="392">
      <c r="C392" s="999" t="n"/>
    </row>
    <row r="393">
      <c r="C393" s="999" t="n"/>
    </row>
    <row r="394">
      <c r="C394" s="999" t="n"/>
    </row>
    <row r="395">
      <c r="C395" s="999" t="n"/>
    </row>
    <row r="396">
      <c r="C396" s="999" t="n"/>
    </row>
  </sheetData>
  <pageMargins left="0.7" right="0.7" top="0.75" bottom="0.75" header="0.3" footer="0.3"/>
  <pageSetup orientation="portrait" paperSize="9"/>
  <legacyDrawing xmlns:r="http://schemas.openxmlformats.org/officeDocument/2006/relationships" r:id="anysvml"/>
</worksheet>
</file>

<file path=xl/worksheets/sheet9.xml><?xml version="1.0" encoding="utf-8"?>
<worksheet xmlns="http://schemas.openxmlformats.org/spreadsheetml/2006/main">
  <sheetPr>
    <tabColor theme="8"/>
    <outlinePr summaryBelow="1" summaryRight="1"/>
    <pageSetUpPr autoPageBreaks="0"/>
  </sheetPr>
  <dimension ref="B2:N25"/>
  <sheetViews>
    <sheetView showGridLines="0" zoomScale="115" zoomScaleNormal="115" workbookViewId="0">
      <selection activeCell="P27" sqref="P27"/>
    </sheetView>
  </sheetViews>
  <sheetFormatPr baseColWidth="8" defaultRowHeight="14.25"/>
  <cols>
    <col width="2.375" customWidth="1" style="783" min="1" max="1"/>
    <col width="8.125" customWidth="1" style="783" min="6" max="6"/>
    <col width="12.5" bestFit="1" customWidth="1" style="783" min="7" max="7"/>
    <col width="15.375" customWidth="1" style="783" min="9" max="9"/>
    <col width="7.5" customWidth="1" style="783" min="10" max="10"/>
    <col width="33" customWidth="1" style="783" min="13" max="13"/>
    <col width="14" customWidth="1" style="783" min="14" max="14"/>
    <col width="26.75" bestFit="1" customWidth="1" style="783" min="16" max="16"/>
    <col width="10.375" bestFit="1" customWidth="1" style="783" min="17" max="17"/>
    <col width="12.125" bestFit="1" customWidth="1" style="783" min="18" max="18"/>
  </cols>
  <sheetData>
    <row r="2" ht="20.25" customFormat="1" customHeight="1" s="37">
      <c r="B2" s="40" t="inlineStr">
        <is>
          <t>WACC</t>
        </is>
      </c>
    </row>
    <row r="4">
      <c r="B4" t="inlineStr">
        <is>
          <t>WACC = % of Equity x Cost of Equity + % de Debt x Cost of Debt x (1 - Tax Rate)</t>
        </is>
      </c>
    </row>
    <row r="5">
      <c r="B5" t="inlineStr">
        <is>
          <t>Cost of Equity = Risk-Free Rate + Beta x Equity Risk Premium</t>
        </is>
      </c>
    </row>
    <row r="7" ht="15" customHeight="1" s="783">
      <c r="B7" s="2" t="inlineStr">
        <is>
          <t>WACC</t>
        </is>
      </c>
      <c r="C7" s="3" t="n"/>
      <c r="D7" s="3" t="n"/>
      <c r="E7" s="3" t="n"/>
      <c r="F7" s="3" t="n"/>
      <c r="G7" s="117" t="n"/>
      <c r="I7" s="2" t="inlineStr">
        <is>
          <t>Region</t>
        </is>
      </c>
      <c r="J7" s="118" t="inlineStr">
        <is>
          <t>Weight</t>
        </is>
      </c>
      <c r="K7" s="118" t="inlineStr">
        <is>
          <t>ERP</t>
        </is>
      </c>
      <c r="M7" s="707" t="inlineStr">
        <is>
          <t>Peers</t>
        </is>
      </c>
      <c r="N7" s="708" t="inlineStr">
        <is>
          <t>Beta (Unlevered)</t>
        </is>
      </c>
    </row>
    <row r="8" ht="3.95" customHeight="1" s="783">
      <c r="B8" s="119" t="n"/>
      <c r="C8" s="120" t="n"/>
      <c r="D8" s="120" t="n"/>
      <c r="E8" s="120" t="n"/>
      <c r="F8" s="120" t="n"/>
      <c r="G8" s="121" t="n"/>
      <c r="I8" s="120" t="n"/>
      <c r="J8" s="122" t="n"/>
      <c r="K8" s="123" t="n"/>
      <c r="M8" s="709" t="inlineStr">
        <is>
          <t> </t>
        </is>
      </c>
      <c r="N8" s="709" t="n"/>
    </row>
    <row r="9">
      <c r="B9" s="124" t="inlineStr">
        <is>
          <t>Market Cap (in millions)</t>
        </is>
      </c>
      <c r="G9" s="1000">
        <f t="array" ref="G9">+_FV(DCF!R4,"Market cap",TRUE)/1000000</f>
        <v/>
      </c>
      <c r="J9" s="126" t="n"/>
      <c r="K9" s="127" t="n"/>
      <c r="M9" s="124">
        <f>+Peers!B8</f>
        <v/>
      </c>
      <c r="N9" s="711">
        <f>+Peers!E75</f>
        <v/>
      </c>
    </row>
    <row r="10">
      <c r="B10" t="inlineStr">
        <is>
          <t>% of Equity</t>
        </is>
      </c>
      <c r="G10" s="763">
        <f>IFERROR(G9/G23,"")</f>
        <v/>
      </c>
      <c r="J10" s="126" t="n"/>
      <c r="K10" s="127" t="n"/>
      <c r="M10" s="124">
        <f>+Peers!B9</f>
        <v/>
      </c>
      <c r="N10" s="711">
        <f>+Peers!F75</f>
        <v/>
      </c>
    </row>
    <row r="11">
      <c r="B11" t="inlineStr">
        <is>
          <t>Cost of Equity</t>
        </is>
      </c>
      <c r="G11" s="32">
        <f>IFERROR(G12+G14*G15,"")</f>
        <v/>
      </c>
      <c r="J11" s="126" t="n"/>
      <c r="K11" s="127" t="n"/>
      <c r="M11" s="124">
        <f>+Peers!B10</f>
        <v/>
      </c>
      <c r="N11" s="711">
        <f>+Peers!G75</f>
        <v/>
      </c>
    </row>
    <row r="12">
      <c r="B12" t="inlineStr">
        <is>
          <t>Risk-Free Rate</t>
        </is>
      </c>
      <c r="G12" s="128" t="n"/>
      <c r="J12" s="126" t="n"/>
      <c r="K12" s="127" t="n"/>
      <c r="M12" s="124">
        <f>+Peers!B11</f>
        <v/>
      </c>
      <c r="N12" s="711">
        <f>+Peers!H75</f>
        <v/>
      </c>
    </row>
    <row r="13">
      <c r="B13" t="inlineStr">
        <is>
          <t>Unlevered Beta</t>
        </is>
      </c>
      <c r="G13" s="129">
        <f>+N19</f>
        <v/>
      </c>
      <c r="J13" s="126" t="n"/>
      <c r="K13" s="127" t="n"/>
      <c r="M13" s="124">
        <f>+Peers!B12</f>
        <v/>
      </c>
      <c r="N13" s="711">
        <f>+Peers!I75</f>
        <v/>
      </c>
    </row>
    <row r="14">
      <c r="B14" t="inlineStr">
        <is>
          <t>Beta</t>
        </is>
      </c>
      <c r="G14" s="770">
        <f>+IFERROR(G13*(1+(1-G21)*(G18/G9)),"")</f>
        <v/>
      </c>
      <c r="I14" t="inlineStr">
        <is>
          <t>Others</t>
        </is>
      </c>
      <c r="J14" s="32">
        <f>1-SUM(J9:J13)</f>
        <v/>
      </c>
      <c r="K14" s="32">
        <f>MAX(K9:K13)</f>
        <v/>
      </c>
      <c r="M14" s="124">
        <f>+Peers!B13</f>
        <v/>
      </c>
      <c r="N14" s="711">
        <f>+Peers!J75</f>
        <v/>
      </c>
    </row>
    <row r="15">
      <c r="B15" t="inlineStr">
        <is>
          <t>Equity Risk Premium</t>
        </is>
      </c>
      <c r="G15" s="412">
        <f>SUMPRODUCT(J9:J14,K9:K14)</f>
        <v/>
      </c>
      <c r="J15" s="32" t="n"/>
      <c r="K15" s="32" t="n"/>
      <c r="M15" s="124">
        <f>+Peers!B14</f>
        <v/>
      </c>
      <c r="N15" s="711">
        <f>+Peers!K75</f>
        <v/>
      </c>
    </row>
    <row r="16" ht="15" customHeight="1" s="783">
      <c r="B16" s="1" t="inlineStr">
        <is>
          <t>Unlevered Cost of Equity</t>
        </is>
      </c>
      <c r="G16" s="32">
        <f>IFERROR(+G12+G13*G15,"")</f>
        <v/>
      </c>
      <c r="J16" s="32" t="n"/>
      <c r="K16" s="32" t="n"/>
      <c r="M16" s="124">
        <f>+Peers!B15</f>
        <v/>
      </c>
      <c r="N16" s="711">
        <f>+Peers!L75</f>
        <v/>
      </c>
    </row>
    <row r="17">
      <c r="M17" s="124">
        <f>+Peers!B16</f>
        <v/>
      </c>
      <c r="N17" s="711">
        <f>+Peers!M75</f>
        <v/>
      </c>
    </row>
    <row r="18">
      <c r="B18" s="124" t="inlineStr">
        <is>
          <t>Debt (in millions)</t>
        </is>
      </c>
      <c r="G18" s="130" t="n">
        <v>0</v>
      </c>
      <c r="M18" s="124">
        <f>+Peers!B17</f>
        <v/>
      </c>
      <c r="N18" s="711">
        <f>+Peers!N75</f>
        <v/>
      </c>
    </row>
    <row r="19" ht="15" customHeight="1" s="783">
      <c r="B19" t="inlineStr">
        <is>
          <t>% of Debt</t>
        </is>
      </c>
      <c r="G19" s="763">
        <f>IFERROR(G18/G23,"")</f>
        <v/>
      </c>
      <c r="M19" s="710" t="inlineStr">
        <is>
          <t>Average</t>
        </is>
      </c>
      <c r="N19" s="712">
        <f>IFERROR(+AVERAGEIF(N9:N18,"&gt;0"),"")</f>
        <v/>
      </c>
    </row>
    <row r="20">
      <c r="B20" t="inlineStr">
        <is>
          <t>Cost of debt</t>
        </is>
      </c>
      <c r="G20" s="128" t="n">
        <v>0</v>
      </c>
    </row>
    <row r="21">
      <c r="B21" t="inlineStr">
        <is>
          <t>Tax Rate</t>
        </is>
      </c>
      <c r="G21" s="128">
        <f>+DCF!H79</f>
        <v/>
      </c>
    </row>
    <row r="23">
      <c r="B23" t="inlineStr">
        <is>
          <t>Total</t>
        </is>
      </c>
      <c r="G23" s="27">
        <f>+G9+G18</f>
        <v/>
      </c>
    </row>
    <row r="25" ht="15" customHeight="1" s="783">
      <c r="B25" s="1" t="inlineStr">
        <is>
          <t>WACC</t>
        </is>
      </c>
      <c r="G25" s="131">
        <f>IFERROR(G10*G11+G19*G20*(1-G21),"")</f>
        <v/>
      </c>
    </row>
  </sheetData>
  <pageMargins left="0.7" right="0.7" top="0.75" bottom="0.75" header="0.3" footer="0.3"/>
  <pageSetup orientation="portrait" paperSize="9"/>
</worksheet>
</file>

<file path=xl/worksheets/sheet10.xml><?xml version="1.0" encoding="utf-8"?>
<worksheet xmlns="http://schemas.openxmlformats.org/spreadsheetml/2006/main">
  <sheetPr>
    <tabColor theme="8" tint="0.3999755851924192"/>
    <outlinePr summaryBelow="1" summaryRight="1"/>
    <pageSetUpPr/>
  </sheetPr>
  <dimension ref="B1:T76"/>
  <sheetViews>
    <sheetView showGridLines="0" topLeftCell="A9" zoomScale="61" zoomScaleNormal="100" workbookViewId="0">
      <selection activeCell="F36" sqref="F36"/>
    </sheetView>
  </sheetViews>
  <sheetFormatPr baseColWidth="8" defaultRowHeight="14.25"/>
  <cols>
    <col width="1.625" customWidth="1" style="783" min="1" max="1"/>
    <col width="15.625" customWidth="1" style="8" min="2" max="2"/>
    <col width="16.125" customWidth="1" style="783" min="4" max="4"/>
    <col width="13.375" customWidth="1" style="783" min="5" max="13"/>
    <col width="12.75" customWidth="1" style="26" min="14" max="17"/>
    <col width="12.75" customWidth="1" style="783" min="18" max="18"/>
  </cols>
  <sheetData>
    <row r="1">
      <c r="R1" s="26" t="n"/>
    </row>
    <row r="2" ht="20.1" customFormat="1" customHeight="1" s="258">
      <c r="B2" s="257" t="inlineStr">
        <is>
          <t>Multiples</t>
        </is>
      </c>
      <c r="C2" s="501" t="n"/>
      <c r="D2" s="501" t="n"/>
      <c r="E2" s="501" t="n"/>
      <c r="F2" s="501" t="n"/>
      <c r="G2" s="501" t="n"/>
      <c r="H2" s="501" t="n"/>
      <c r="I2" s="501" t="n"/>
      <c r="J2" s="501" t="n"/>
      <c r="K2" s="501" t="n"/>
      <c r="L2" s="501" t="n"/>
      <c r="M2" s="501" t="n"/>
      <c r="N2" s="502" t="n"/>
      <c r="O2" s="502" t="n"/>
      <c r="P2" s="502" t="n"/>
      <c r="Q2" s="259" t="n"/>
      <c r="R2" s="259" t="n"/>
      <c r="S2" s="501" t="n"/>
    </row>
    <row r="3">
      <c r="R3" s="26" t="n"/>
    </row>
    <row r="4" ht="15.75" customHeight="1" s="783">
      <c r="B4" s="7" t="inlineStr">
        <is>
          <t>Valuation</t>
        </is>
      </c>
      <c r="C4" s="56" t="n"/>
      <c r="D4" s="58" t="n"/>
      <c r="E4" s="58" t="n"/>
      <c r="F4" s="1001" t="n">
        <v>2014</v>
      </c>
      <c r="G4" s="1001">
        <f>+F4+1</f>
        <v/>
      </c>
      <c r="H4" s="1001">
        <f>+G4+1</f>
        <v/>
      </c>
      <c r="I4" s="1001">
        <f>+H4+1</f>
        <v/>
      </c>
      <c r="J4" s="1001">
        <f>+I4+1</f>
        <v/>
      </c>
      <c r="K4" s="1001">
        <f>+J4+1</f>
        <v/>
      </c>
      <c r="L4" s="1001">
        <f>+K4+1</f>
        <v/>
      </c>
      <c r="M4" s="1001">
        <f>+L4+1</f>
        <v/>
      </c>
      <c r="N4" s="1001" t="n">
        <v>2022</v>
      </c>
      <c r="O4" s="1001">
        <f>+N4+1</f>
        <v/>
      </c>
      <c r="P4" s="1002">
        <f>+O4+1</f>
        <v/>
      </c>
      <c r="Q4" s="1003">
        <f>+P4+1</f>
        <v/>
      </c>
      <c r="R4" s="1003">
        <f>+Q4+1</f>
        <v/>
      </c>
    </row>
    <row r="5" ht="3.95" customHeight="1" s="783">
      <c r="B5" s="260" t="n"/>
      <c r="C5" s="53" t="n"/>
      <c r="D5" s="60" t="n"/>
      <c r="E5" s="60" t="n"/>
      <c r="F5" s="60" t="n"/>
      <c r="G5" s="60" t="n"/>
      <c r="H5" s="60" t="n"/>
      <c r="I5" s="60" t="n"/>
      <c r="J5" s="60" t="n"/>
      <c r="K5" s="60" t="n"/>
      <c r="L5" s="60" t="n"/>
      <c r="M5" s="60" t="n"/>
      <c r="N5" s="236" t="n"/>
      <c r="O5" s="236" t="n"/>
      <c r="P5" s="369" t="n"/>
      <c r="Q5" s="236" t="n"/>
      <c r="R5" s="236" t="n"/>
    </row>
    <row r="6" ht="15" customHeight="1" s="783">
      <c r="B6" s="15" t="inlineStr">
        <is>
          <t>EV / Sales</t>
        </is>
      </c>
      <c r="F6" s="824">
        <f>IFERROR(_xlfn.XLOOKUP("Enterprise Value",Inputs!$B:$B,Inputs!G:G)/_xlfn.XLOOKUP("Revenue (Sales)",Inputs!$B:$B,Inputs!G:G),"")</f>
        <v/>
      </c>
      <c r="G6" s="824">
        <f>IFERROR(_xlfn.XLOOKUP("Enterprise Value",Inputs!$B:$B,Inputs!H:H)/_xlfn.XLOOKUP("Revenue (Sales)",Inputs!$B:$B,Inputs!H:H),"")</f>
        <v/>
      </c>
      <c r="H6" s="824">
        <f>IFERROR(_xlfn.XLOOKUP("Enterprise Value",Inputs!$B:$B,Inputs!I:I)/_xlfn.XLOOKUP("Revenue (Sales)",Inputs!$B:$B,Inputs!I:I),"")</f>
        <v/>
      </c>
      <c r="I6" s="824">
        <f>IFERROR(_xlfn.XLOOKUP("Enterprise Value",Inputs!$B:$B,Inputs!J:J)/_xlfn.XLOOKUP("Revenue (Sales)",Inputs!$B:$B,Inputs!J:J),"")</f>
        <v/>
      </c>
      <c r="J6" s="824">
        <f>IFERROR(_xlfn.XLOOKUP("Enterprise Value",Inputs!$B:$B,Inputs!K:K)/_xlfn.XLOOKUP("Revenue (Sales)",Inputs!$B:$B,Inputs!K:K),"")</f>
        <v/>
      </c>
      <c r="K6" s="824">
        <f>IFERROR(_xlfn.XLOOKUP("Enterprise Value",Inputs!$B:$B,Inputs!L:L)/_xlfn.XLOOKUP("Revenue (Sales)",Inputs!$B:$B,Inputs!L:L),"")</f>
        <v/>
      </c>
      <c r="L6" s="824">
        <f>IFERROR(_xlfn.XLOOKUP("Enterprise Value",Inputs!$B:$B,Inputs!M:M)/_xlfn.XLOOKUP("Revenue (Sales)",Inputs!$B:$B,Inputs!M:M),"")</f>
        <v/>
      </c>
      <c r="M6" s="824">
        <f>IFERROR(_xlfn.XLOOKUP("Enterprise Value",Inputs!$B:$B,Inputs!N:N)/_xlfn.XLOOKUP("Revenue (Sales)",Inputs!$B:$B,Inputs!N:N),"")</f>
        <v/>
      </c>
      <c r="N6" s="824">
        <f>IFERROR(_xlfn.XLOOKUP("Enterprise Value",Inputs!$B:$B,Inputs!O:O)/_xlfn.XLOOKUP("Revenue (Sales)",Inputs!$B:$B,Inputs!O:O),"")</f>
        <v/>
      </c>
      <c r="O6" s="824">
        <f>IFERROR(_xlfn.XLOOKUP("Enterprise Value",Inputs!$B:$B,Inputs!P:P)/_xlfn.XLOOKUP("Revenue (Sales)",Inputs!$B:$B,Inputs!P:P),"")</f>
        <v/>
      </c>
      <c r="P6" s="825">
        <f>IFERROR(_xlfn.XLOOKUP("Enterprise Value",Inputs!$B:$B,Inputs!Q:Q)/_xlfn.XLOOKUP("Revenue (Sales)",Inputs!$B:$B,Inputs!Q:Q),"")</f>
        <v/>
      </c>
      <c r="Q6" s="826">
        <f>IFERROR(_xlfn.XLOOKUP("Enterprise Value",DCF!$B:$B,DCF!R:R)/_xlfn.XLOOKUP("Revenue (Sales)",DCF!$B:$B,DCF!H:H),"")</f>
        <v/>
      </c>
      <c r="R6" s="826">
        <f>IFERROR(_xlfn.XLOOKUP("Enterprise Value",DCF!$B:$B,DCF!S:S)/_xlfn.XLOOKUP("Revenue (Sales)",DCF!$B:$B,DCF!I:I),"")</f>
        <v/>
      </c>
    </row>
    <row r="7" ht="15" customHeight="1" s="783">
      <c r="B7" s="18" t="inlineStr">
        <is>
          <t>Price / Sales</t>
        </is>
      </c>
      <c r="F7" s="824">
        <f>IFERROR(_xlfn.XLOOKUP("Market Capitalization",Inputs!$B:$B,Inputs!G:G)/_xlfn.XLOOKUP("Revenue (Sales)",Inputs!$B:$B,Inputs!G:G),"")</f>
        <v/>
      </c>
      <c r="G7" s="824">
        <f>IFERROR(_xlfn.XLOOKUP("Market Capitalization",Inputs!$B:$B,Inputs!H:H)/_xlfn.XLOOKUP("Revenue (Sales)",Inputs!$B:$B,Inputs!H:H),"")</f>
        <v/>
      </c>
      <c r="H7" s="824">
        <f>IFERROR(_xlfn.XLOOKUP("Market Capitalization",Inputs!$B:$B,Inputs!I:I)/_xlfn.XLOOKUP("Revenue (Sales)",Inputs!$B:$B,Inputs!I:I),"")</f>
        <v/>
      </c>
      <c r="I7" s="824">
        <f>IFERROR(_xlfn.XLOOKUP("Market Capitalization",Inputs!$B:$B,Inputs!J:J)/_xlfn.XLOOKUP("Revenue (Sales)",Inputs!$B:$B,Inputs!J:J),"")</f>
        <v/>
      </c>
      <c r="J7" s="824">
        <f>IFERROR(_xlfn.XLOOKUP("Market Capitalization",Inputs!$B:$B,Inputs!K:K)/_xlfn.XLOOKUP("Revenue (Sales)",Inputs!$B:$B,Inputs!K:K),"")</f>
        <v/>
      </c>
      <c r="K7" s="824">
        <f>IFERROR(_xlfn.XLOOKUP("Market Capitalization",Inputs!$B:$B,Inputs!L:L)/_xlfn.XLOOKUP("Revenue (Sales)",Inputs!$B:$B,Inputs!L:L),"")</f>
        <v/>
      </c>
      <c r="L7" s="824">
        <f>IFERROR(_xlfn.XLOOKUP("Market Capitalization",Inputs!$B:$B,Inputs!M:M)/_xlfn.XLOOKUP("Revenue (Sales)",Inputs!$B:$B,Inputs!M:M),"")</f>
        <v/>
      </c>
      <c r="M7" s="824">
        <f>IFERROR(_xlfn.XLOOKUP("Market Capitalization",Inputs!$B:$B,Inputs!N:N)/_xlfn.XLOOKUP("Revenue (Sales)",Inputs!$B:$B,Inputs!N:N),"")</f>
        <v/>
      </c>
      <c r="N7" s="824">
        <f>IFERROR(_xlfn.XLOOKUP("Market Capitalization",Inputs!$B:$B,Inputs!O:O)/_xlfn.XLOOKUP("Revenue (Sales)",Inputs!$B:$B,Inputs!O:O),"")</f>
        <v/>
      </c>
      <c r="O7" s="824">
        <f>IFERROR(_xlfn.XLOOKUP("Market Capitalization",Inputs!$B:$B,Inputs!P:P)/_xlfn.XLOOKUP("Revenue (Sales)",Inputs!$B:$B,Inputs!P:P),"")</f>
        <v/>
      </c>
      <c r="P7" s="825">
        <f>IFERROR(_xlfn.XLOOKUP("Market Capitalization",Inputs!$B:$B,Inputs!Q:Q)/_xlfn.XLOOKUP("Revenue (Sales)",Inputs!$B:$B,Inputs!Q:Q),"")</f>
        <v/>
      </c>
      <c r="Q7" s="826">
        <f>IFERROR(_xlfn.XLOOKUP("Equity Value",DCF!$B:$B,DCF!R:R)/_xlfn.XLOOKUP("Revenue (Sales)",DCF!$B:$B,DCF!H:H),"")</f>
        <v/>
      </c>
      <c r="R7" s="826">
        <f>IFERROR(_xlfn.XLOOKUP("Equity Value",DCF!$B:$B,DCF!S:S)/_xlfn.XLOOKUP("Revenue (Sales)",DCF!$B:$B,DCF!I:I),"")</f>
        <v/>
      </c>
    </row>
    <row r="8" ht="15" customHeight="1" s="783">
      <c r="B8" s="828" t="inlineStr">
        <is>
          <t>EV / EBITDA</t>
        </is>
      </c>
      <c r="F8" s="824">
        <f>IFERROR(_xlfn.XLOOKUP("Enterprise Value",Inputs!$B:$B,Inputs!G:G)/_xlfn.XLOOKUP("EBITDA",Inputs!$B:$B,Inputs!G:G),"")</f>
        <v/>
      </c>
      <c r="G8" s="824">
        <f>IFERROR(_xlfn.XLOOKUP("Enterprise Value",Inputs!$B:$B,Inputs!H:H)/_xlfn.XLOOKUP("EBITDA",Inputs!$B:$B,Inputs!H:H),"")</f>
        <v/>
      </c>
      <c r="H8" s="824">
        <f>IFERROR(_xlfn.XLOOKUP("Enterprise Value",Inputs!$B:$B,Inputs!I:I)/_xlfn.XLOOKUP("EBITDA",Inputs!$B:$B,Inputs!I:I),"")</f>
        <v/>
      </c>
      <c r="I8" s="824">
        <f>IFERROR(_xlfn.XLOOKUP("Enterprise Value",Inputs!$B:$B,Inputs!J:J)/_xlfn.XLOOKUP("EBITDA",Inputs!$B:$B,Inputs!J:J),"")</f>
        <v/>
      </c>
      <c r="J8" s="824">
        <f>IFERROR(_xlfn.XLOOKUP("Enterprise Value",Inputs!$B:$B,Inputs!K:K)/_xlfn.XLOOKUP("EBITDA",Inputs!$B:$B,Inputs!K:K),"")</f>
        <v/>
      </c>
      <c r="K8" s="824">
        <f>IFERROR(_xlfn.XLOOKUP("Enterprise Value",Inputs!$B:$B,Inputs!L:L)/_xlfn.XLOOKUP("EBITDA",Inputs!$B:$B,Inputs!L:L),"")</f>
        <v/>
      </c>
      <c r="L8" s="824">
        <f>IFERROR(_xlfn.XLOOKUP("Enterprise Value",Inputs!$B:$B,Inputs!M:M)/_xlfn.XLOOKUP("EBITDA",Inputs!$B:$B,Inputs!M:M),"")</f>
        <v/>
      </c>
      <c r="M8" s="824">
        <f>IFERROR(_xlfn.XLOOKUP("Enterprise Value",Inputs!$B:$B,Inputs!N:N)/_xlfn.XLOOKUP("EBITDA",Inputs!$B:$B,Inputs!N:N),"")</f>
        <v/>
      </c>
      <c r="N8" s="824">
        <f>IFERROR(_xlfn.XLOOKUP("Enterprise Value",Inputs!$B:$B,Inputs!O:O)/_xlfn.XLOOKUP("EBITDA",Inputs!$B:$B,Inputs!O:O),"")</f>
        <v/>
      </c>
      <c r="O8" s="824">
        <f>IFERROR(_xlfn.XLOOKUP("Enterprise Value",Inputs!$B:$B,Inputs!P:P)/_xlfn.XLOOKUP("EBITDA",Inputs!$B:$B,Inputs!P:P),"")</f>
        <v/>
      </c>
      <c r="P8" s="825">
        <f>IFERROR(_xlfn.XLOOKUP("Enterprise Value",Inputs!$B:$B,Inputs!Q:Q)/_xlfn.XLOOKUP("EBITDA",Inputs!$B:$B,Inputs!Q:Q),"")</f>
        <v/>
      </c>
      <c r="Q8" s="826">
        <f>IFERROR(_xlfn.XLOOKUP("Enterprise Value",DCF!$B:$B,DCF!R:R)/_xlfn.XLOOKUP("EBITDA",DCF!$B:$B,DCF!H:H),"")</f>
        <v/>
      </c>
      <c r="R8" s="826">
        <f>IFERROR(_xlfn.XLOOKUP("Enterprise Value",DCF!$B:$B,DCF!S:S)/_xlfn.XLOOKUP("EBITDA",DCF!$B:$B,DCF!I:I),"")</f>
        <v/>
      </c>
    </row>
    <row r="9" ht="15" customHeight="1" s="783">
      <c r="B9" s="828" t="inlineStr">
        <is>
          <t>EV / EBIT</t>
        </is>
      </c>
      <c r="F9" s="824">
        <f>IFERROR(_xlfn.XLOOKUP("Enterprise Value",Inputs!$B:$B,Inputs!G:G)/_xlfn.XLOOKUP("Operating Income (EBIT)",Inputs!$B:$B,Inputs!G:G),"")</f>
        <v/>
      </c>
      <c r="G9" s="824">
        <f>IFERROR(_xlfn.XLOOKUP("Enterprise Value",Inputs!$B:$B,Inputs!H:H)/_xlfn.XLOOKUP("Operating Income (EBIT)",Inputs!$B:$B,Inputs!H:H),"")</f>
        <v/>
      </c>
      <c r="H9" s="824">
        <f>IFERROR(_xlfn.XLOOKUP("Enterprise Value",Inputs!$B:$B,Inputs!I:I)/_xlfn.XLOOKUP("Operating Income (EBIT)",Inputs!$B:$B,Inputs!I:I),"")</f>
        <v/>
      </c>
      <c r="I9" s="824">
        <f>IFERROR(_xlfn.XLOOKUP("Enterprise Value",Inputs!$B:$B,Inputs!J:J)/_xlfn.XLOOKUP("Operating Income (EBIT)",Inputs!$B:$B,Inputs!J:J),"")</f>
        <v/>
      </c>
      <c r="J9" s="824">
        <f>IFERROR(_xlfn.XLOOKUP("Enterprise Value",Inputs!$B:$B,Inputs!K:K)/_xlfn.XLOOKUP("Operating Income (EBIT)",Inputs!$B:$B,Inputs!K:K),"")</f>
        <v/>
      </c>
      <c r="K9" s="824">
        <f>IFERROR(_xlfn.XLOOKUP("Enterprise Value",Inputs!$B:$B,Inputs!L:L)/_xlfn.XLOOKUP("Operating Income (EBIT)",Inputs!$B:$B,Inputs!L:L),"")</f>
        <v/>
      </c>
      <c r="L9" s="824">
        <f>IFERROR(_xlfn.XLOOKUP("Enterprise Value",Inputs!$B:$B,Inputs!M:M)/_xlfn.XLOOKUP("Operating Income (EBIT)",Inputs!$B:$B,Inputs!M:M),"")</f>
        <v/>
      </c>
      <c r="M9" s="824">
        <f>IFERROR(_xlfn.XLOOKUP("Enterprise Value",Inputs!$B:$B,Inputs!N:N)/_xlfn.XLOOKUP("Operating Income (EBIT)",Inputs!$B:$B,Inputs!N:N),"")</f>
        <v/>
      </c>
      <c r="N9" s="824">
        <f>IFERROR(_xlfn.XLOOKUP("Enterprise Value",Inputs!$B:$B,Inputs!O:O)/_xlfn.XLOOKUP("Operating Income (EBIT)",Inputs!$B:$B,Inputs!O:O),"")</f>
        <v/>
      </c>
      <c r="O9" s="824">
        <f>IFERROR(_xlfn.XLOOKUP("Enterprise Value",Inputs!$B:$B,Inputs!P:P)/_xlfn.XLOOKUP("Operating Income (EBIT)",Inputs!$B:$B,Inputs!P:P),"")</f>
        <v/>
      </c>
      <c r="P9" s="825">
        <f>IFERROR(_xlfn.XLOOKUP("Enterprise Value",Inputs!$B:$B,Inputs!Q:Q)/_xlfn.XLOOKUP("Operating Income (EBIT)",Inputs!$B:$B,Inputs!Q:Q),"")</f>
        <v/>
      </c>
      <c r="Q9" s="826">
        <f>IFERROR(_xlfn.XLOOKUP("Enterprise Value",DCF!$B:$B,DCF!R:R)/_xlfn.XLOOKUP("Operating Income (EBIT)",DCF!$B:$B,DCF!H:H),"")</f>
        <v/>
      </c>
      <c r="R9" s="826">
        <f>IFERROR(_xlfn.XLOOKUP("Enterprise Value",DCF!$B:$B,DCF!S:S)/_xlfn.XLOOKUP("Operating Income (EBIT)",DCF!$B:$B,DCF!I:I),"")</f>
        <v/>
      </c>
    </row>
    <row r="10" ht="15" customHeight="1" s="783">
      <c r="B10" s="18" t="inlineStr">
        <is>
          <t>Price / Earnings</t>
        </is>
      </c>
      <c r="F10" s="824">
        <f>IFERROR(_xlfn.XLOOKUP("Market Capitalization",Inputs!$B:$B,Inputs!G:G)/_xlfn.XLOOKUP("Net Income",Inputs!$B:$B,Inputs!G:G),"")</f>
        <v/>
      </c>
      <c r="G10" s="824">
        <f>IFERROR(_xlfn.XLOOKUP("Market Capitalization",Inputs!$B:$B,Inputs!H:H)/_xlfn.XLOOKUP("Net Income",Inputs!$B:$B,Inputs!H:H),"")</f>
        <v/>
      </c>
      <c r="H10" s="824">
        <f>IFERROR(_xlfn.XLOOKUP("Market Capitalization",Inputs!$B:$B,Inputs!I:I)/_xlfn.XLOOKUP("Net Income",Inputs!$B:$B,Inputs!I:I),"")</f>
        <v/>
      </c>
      <c r="I10" s="824">
        <f>IFERROR(_xlfn.XLOOKUP("Market Capitalization",Inputs!$B:$B,Inputs!J:J)/_xlfn.XLOOKUP("Net Income",Inputs!$B:$B,Inputs!J:J),"")</f>
        <v/>
      </c>
      <c r="J10" s="824">
        <f>IFERROR(_xlfn.XLOOKUP("Market Capitalization",Inputs!$B:$B,Inputs!K:K)/_xlfn.XLOOKUP("Net Income",Inputs!$B:$B,Inputs!K:K),"")</f>
        <v/>
      </c>
      <c r="K10" s="824">
        <f>IFERROR(_xlfn.XLOOKUP("Market Capitalization",Inputs!$B:$B,Inputs!L:L)/_xlfn.XLOOKUP("Net Income",Inputs!$B:$B,Inputs!L:L),"")</f>
        <v/>
      </c>
      <c r="L10" s="824">
        <f>IFERROR(_xlfn.XLOOKUP("Market Capitalization",Inputs!$B:$B,Inputs!M:M)/_xlfn.XLOOKUP("Net Income",Inputs!$B:$B,Inputs!M:M),"")</f>
        <v/>
      </c>
      <c r="M10" s="824">
        <f>IFERROR(_xlfn.XLOOKUP("Market Capitalization",Inputs!$B:$B,Inputs!N:N)/_xlfn.XLOOKUP("Net Income",Inputs!$B:$B,Inputs!N:N),"")</f>
        <v/>
      </c>
      <c r="N10" s="824">
        <f>IFERROR(_xlfn.XLOOKUP("Market Capitalization",Inputs!$B:$B,Inputs!O:O)/_xlfn.XLOOKUP("Net Income",Inputs!$B:$B,Inputs!O:O),"")</f>
        <v/>
      </c>
      <c r="O10" s="824">
        <f>IFERROR(_xlfn.XLOOKUP("Market Capitalization",Inputs!$B:$B,Inputs!P:P)/_xlfn.XLOOKUP("Net Income",Inputs!$B:$B,Inputs!P:P),"")</f>
        <v/>
      </c>
      <c r="P10" s="825">
        <f>IFERROR(_xlfn.XLOOKUP("Market Capitalization",Inputs!$B:$B,Inputs!Q:Q)/_xlfn.XLOOKUP("Net Income",Inputs!$B:$B,Inputs!Q:Q),"")</f>
        <v/>
      </c>
      <c r="Q10" s="826">
        <f>IFERROR(_xlfn.XLOOKUP("Equity Value",DCF!$B:$B,DCF!R:R)/_xlfn.XLOOKUP("Net Income",DCF!$B:$B,DCF!H:H),"")</f>
        <v/>
      </c>
      <c r="R10" s="826">
        <f>IFERROR(_xlfn.XLOOKUP("Equity Value",DCF!$B:$B,DCF!S:S)/_xlfn.XLOOKUP("Net Income",DCF!$B:$B,DCF!I:I),"")</f>
        <v/>
      </c>
    </row>
    <row r="11" ht="15" customHeight="1" s="783">
      <c r="B11" s="828" t="inlineStr">
        <is>
          <t>Price / Book</t>
        </is>
      </c>
      <c r="F11" s="824">
        <f>IFERROR(_xlfn.XLOOKUP("Market Capitalization",Inputs!$B:$B,Inputs!G:G)/_xlfn.XLOOKUP("Shareholder's Equity",Inputs!$B:$B,Inputs!G:G),"")</f>
        <v/>
      </c>
      <c r="G11" s="824">
        <f>IFERROR(_xlfn.XLOOKUP("Market Capitalization",Inputs!$B:$B,Inputs!H:H)/_xlfn.XLOOKUP("Shareholder's Equity",Inputs!$B:$B,Inputs!H:H),"")</f>
        <v/>
      </c>
      <c r="H11" s="824">
        <f>IFERROR(_xlfn.XLOOKUP("Market Capitalization",Inputs!$B:$B,Inputs!I:I)/_xlfn.XLOOKUP("Shareholder's Equity",Inputs!$B:$B,Inputs!I:I),"")</f>
        <v/>
      </c>
      <c r="I11" s="824">
        <f>IFERROR(_xlfn.XLOOKUP("Market Capitalization",Inputs!$B:$B,Inputs!J:J)/_xlfn.XLOOKUP("Shareholder's Equity",Inputs!$B:$B,Inputs!J:J),"")</f>
        <v/>
      </c>
      <c r="J11" s="824">
        <f>IFERROR(_xlfn.XLOOKUP("Market Capitalization",Inputs!$B:$B,Inputs!K:K)/_xlfn.XLOOKUP("Shareholder's Equity",Inputs!$B:$B,Inputs!K:K),"")</f>
        <v/>
      </c>
      <c r="K11" s="824">
        <f>IFERROR(_xlfn.XLOOKUP("Market Capitalization",Inputs!$B:$B,Inputs!L:L)/_xlfn.XLOOKUP("Shareholder's Equity",Inputs!$B:$B,Inputs!L:L),"")</f>
        <v/>
      </c>
      <c r="L11" s="824">
        <f>IFERROR(_xlfn.XLOOKUP("Market Capitalization",Inputs!$B:$B,Inputs!M:M)/_xlfn.XLOOKUP("Shareholder's Equity",Inputs!$B:$B,Inputs!M:M),"")</f>
        <v/>
      </c>
      <c r="M11" s="824">
        <f>IFERROR(_xlfn.XLOOKUP("Market Capitalization",Inputs!$B:$B,Inputs!N:N)/_xlfn.XLOOKUP("Shareholder's Equity",Inputs!$B:$B,Inputs!N:N),"")</f>
        <v/>
      </c>
      <c r="N11" s="824">
        <f>IFERROR(_xlfn.XLOOKUP("Market Capitalization",Inputs!$B:$B,Inputs!O:O)/_xlfn.XLOOKUP("Shareholder's Equity",Inputs!$B:$B,Inputs!O:O),"")</f>
        <v/>
      </c>
      <c r="O11" s="824">
        <f>IFERROR(_xlfn.XLOOKUP("Market Capitalization",Inputs!$B:$B,Inputs!P:P)/_xlfn.XLOOKUP("Shareholder's Equity",Inputs!$B:$B,Inputs!P:P),"")</f>
        <v/>
      </c>
      <c r="P11" s="825">
        <f>IFERROR(_xlfn.XLOOKUP("Market Capitalization",Inputs!$B:$B,Inputs!Q:Q)/_xlfn.XLOOKUP("Shareholder's Equity",Inputs!$B:$B,Inputs!Q:Q),"")</f>
        <v/>
      </c>
      <c r="Q11" s="826">
        <f>IFERROR(+_xlfn.XLOOKUP("Equity Value",DCF!$B:$B,DCF!R:R)/(_xlfn.XLOOKUP("Shareholder's Equity",Inputs!$B:$B,Inputs!$Q:$Q)+_xlfn.XLOOKUP("Net Income",DCF!$B:$B,DCF!H:H)+_xlfn.XLOOKUP("Total Payout",DCF!$B:$B,DCF!H:H)),"")</f>
        <v/>
      </c>
      <c r="R11" s="826">
        <f>IFERROR(+_xlfn.XLOOKUP("Equity Value",DCF!$B:$B,DCF!S:S)/(_xlfn.XLOOKUP("Shareholder's Equity",Inputs!$B:$B,Inputs!$Q:$Q)+_xlfn.XLOOKUP("Net Income",DCF!$B:$B,DCF!I:I)+_xlfn.XLOOKUP("Total Payout",DCF!$B:$B,DCF!I:I)),"")</f>
        <v/>
      </c>
    </row>
    <row r="12" ht="8.1" customHeight="1" s="783">
      <c r="B12" s="1004" t="n"/>
      <c r="N12" s="263" t="n"/>
      <c r="O12" s="263" t="n"/>
      <c r="P12" s="370" t="n"/>
      <c r="Q12" s="375" t="n"/>
      <c r="R12" s="375" t="n"/>
    </row>
    <row r="13" ht="15.75" customHeight="1" s="783">
      <c r="B13" s="7" t="inlineStr">
        <is>
          <t>Profitability</t>
        </is>
      </c>
      <c r="C13" s="56" t="n"/>
      <c r="D13" s="58" t="n"/>
      <c r="E13" s="58" t="n"/>
      <c r="F13" s="1001" t="n">
        <v>2014</v>
      </c>
      <c r="G13" s="1001">
        <f>+F13+1</f>
        <v/>
      </c>
      <c r="H13" s="1001">
        <f>+G13+1</f>
        <v/>
      </c>
      <c r="I13" s="1001">
        <f>+H13+1</f>
        <v/>
      </c>
      <c r="J13" s="1001">
        <f>+I13+1</f>
        <v/>
      </c>
      <c r="K13" s="1001">
        <f>+J13+1</f>
        <v/>
      </c>
      <c r="L13" s="1001">
        <f>+K13+1</f>
        <v/>
      </c>
      <c r="M13" s="1001">
        <f>+L13+1</f>
        <v/>
      </c>
      <c r="N13" s="1001" t="n">
        <v>2022</v>
      </c>
      <c r="O13" s="1001">
        <f>+N13+1</f>
        <v/>
      </c>
      <c r="P13" s="1002">
        <f>+O13+1</f>
        <v/>
      </c>
      <c r="Q13" s="1003">
        <f>+P13+1</f>
        <v/>
      </c>
      <c r="R13" s="1003">
        <f>+Q13+1</f>
        <v/>
      </c>
    </row>
    <row r="14" ht="3.95" customHeight="1" s="783">
      <c r="B14" s="260" t="n"/>
      <c r="C14" s="53" t="n"/>
      <c r="D14" s="60" t="n"/>
      <c r="E14" s="60" t="n"/>
      <c r="F14" s="60" t="n"/>
      <c r="G14" s="60" t="n"/>
      <c r="H14" s="60" t="n"/>
      <c r="I14" s="60" t="n"/>
      <c r="J14" s="60" t="n"/>
      <c r="K14" s="60" t="n"/>
      <c r="L14" s="60" t="n"/>
      <c r="M14" s="60" t="n"/>
      <c r="N14" s="236" t="n"/>
      <c r="O14" s="236" t="n"/>
      <c r="P14" s="369" t="n"/>
      <c r="Q14" s="236" t="n"/>
      <c r="R14" s="236" t="n"/>
    </row>
    <row r="15" ht="15" customHeight="1" s="783">
      <c r="B15" s="828" t="inlineStr">
        <is>
          <t>Return on Assets</t>
        </is>
      </c>
      <c r="F15" s="265">
        <f>+IFERROR(_xlfn.XLOOKUP("Net Income",Inputs!$B:$B,Inputs!G:G)/_xlfn.XLOOKUP("Total Assets",Inputs!$B:$B,Inputs!G:G),"")</f>
        <v/>
      </c>
      <c r="G15" s="265">
        <f>+IFERROR(_xlfn.XLOOKUP("Net Income",Inputs!$B:$B,Inputs!H:H)/_xlfn.XLOOKUP("Total Assets",Inputs!$B:$B,Inputs!H:H),"")</f>
        <v/>
      </c>
      <c r="H15" s="265">
        <f>+IFERROR(_xlfn.XLOOKUP("Net Income",Inputs!$B:$B,Inputs!I:I)/_xlfn.XLOOKUP("Total Assets",Inputs!$B:$B,Inputs!I:I),"")</f>
        <v/>
      </c>
      <c r="I15" s="265">
        <f>+IFERROR(_xlfn.XLOOKUP("Net Income",Inputs!$B:$B,Inputs!J:J)/_xlfn.XLOOKUP("Total Assets",Inputs!$B:$B,Inputs!J:J),"")</f>
        <v/>
      </c>
      <c r="J15" s="265">
        <f>+IFERROR(_xlfn.XLOOKUP("Net Income",Inputs!$B:$B,Inputs!K:K)/_xlfn.XLOOKUP("Total Assets",Inputs!$B:$B,Inputs!K:K),"")</f>
        <v/>
      </c>
      <c r="K15" s="265">
        <f>+IFERROR(_xlfn.XLOOKUP("Net Income",Inputs!$B:$B,Inputs!L:L)/_xlfn.XLOOKUP("Total Assets",Inputs!$B:$B,Inputs!L:L),"")</f>
        <v/>
      </c>
      <c r="L15" s="265">
        <f>+IFERROR(_xlfn.XLOOKUP("Net Income",Inputs!$B:$B,Inputs!M:M)/_xlfn.XLOOKUP("Total Assets",Inputs!$B:$B,Inputs!M:M),"")</f>
        <v/>
      </c>
      <c r="M15" s="265">
        <f>+IFERROR(_xlfn.XLOOKUP("Net Income",Inputs!$B:$B,Inputs!N:N)/_xlfn.XLOOKUP("Total Assets",Inputs!$B:$B,Inputs!N:N),"")</f>
        <v/>
      </c>
      <c r="N15" s="265">
        <f>+IFERROR(_xlfn.XLOOKUP("Net Income",Inputs!$B:$B,Inputs!O:O)/_xlfn.XLOOKUP("Total Assets",Inputs!$B:$B,Inputs!O:O),"")</f>
        <v/>
      </c>
      <c r="O15" s="265">
        <f>+IFERROR(_xlfn.XLOOKUP("Net Income",Inputs!$B:$B,Inputs!P:P)/_xlfn.XLOOKUP("Total Assets",Inputs!$B:$B,Inputs!P:P),"")</f>
        <v/>
      </c>
      <c r="P15" s="371">
        <f>+IFERROR(_xlfn.XLOOKUP("Net Income",Inputs!$B:$B,Inputs!Q:Q)/_xlfn.XLOOKUP("Total Assets",Inputs!$B:$B,Inputs!Q:Q),"")</f>
        <v/>
      </c>
      <c r="Q15" s="376">
        <f>IFERROR(_xlfn.XLOOKUP("Net Income",DCF!$B:$B,DCF!H:H)/_xlfn.XLOOKUP("Total assets",DCF!$6:$6,DCF!10:10),"")</f>
        <v/>
      </c>
      <c r="R15" s="376">
        <f>IFERROR(_xlfn.XLOOKUP("Net Income",DCF!$B:$B,DCF!I:I)/_xlfn.XLOOKUP("Total assets",DCF!$6:$6,DCF!10:10),"")</f>
        <v/>
      </c>
      <c r="S15" s="828" t="n"/>
    </row>
    <row r="16" ht="15" customHeight="1" s="783">
      <c r="B16" s="828" t="inlineStr">
        <is>
          <t>Return on Equity</t>
        </is>
      </c>
      <c r="F16" s="265">
        <f>IFERROR(_xlfn.XLOOKUP("Net Income",Inputs!$B:$B,Inputs!G:G)/_xlfn.XLOOKUP("Shareholder's Equity",Inputs!$B:$B,Inputs!G:G),"")</f>
        <v/>
      </c>
      <c r="G16" s="265">
        <f>IFERROR(_xlfn.XLOOKUP("Net Income",Inputs!$B:$B,Inputs!H:H)/_xlfn.XLOOKUP("Shareholder's Equity",Inputs!$B:$B,Inputs!H:H),"")</f>
        <v/>
      </c>
      <c r="H16" s="265">
        <f>IFERROR(_xlfn.XLOOKUP("Net Income",Inputs!$B:$B,Inputs!I:I)/_xlfn.XLOOKUP("Shareholder's Equity",Inputs!$B:$B,Inputs!I:I),"")</f>
        <v/>
      </c>
      <c r="I16" s="265">
        <f>IFERROR(_xlfn.XLOOKUP("Net Income",Inputs!$B:$B,Inputs!J:J)/_xlfn.XLOOKUP("Shareholder's Equity",Inputs!$B:$B,Inputs!J:J),"")</f>
        <v/>
      </c>
      <c r="J16" s="265">
        <f>IFERROR(_xlfn.XLOOKUP("Net Income",Inputs!$B:$B,Inputs!K:K)/_xlfn.XLOOKUP("Shareholder's Equity",Inputs!$B:$B,Inputs!K:K),"")</f>
        <v/>
      </c>
      <c r="K16" s="265">
        <f>IFERROR(_xlfn.XLOOKUP("Net Income",Inputs!$B:$B,Inputs!L:L)/_xlfn.XLOOKUP("Shareholder's Equity",Inputs!$B:$B,Inputs!L:L),"")</f>
        <v/>
      </c>
      <c r="L16" s="265">
        <f>IFERROR(_xlfn.XLOOKUP("Net Income",Inputs!$B:$B,Inputs!M:M)/_xlfn.XLOOKUP("Shareholder's Equity",Inputs!$B:$B,Inputs!M:M),"")</f>
        <v/>
      </c>
      <c r="M16" s="265">
        <f>IFERROR(_xlfn.XLOOKUP("Net Income",Inputs!$B:$B,Inputs!N:N)/_xlfn.XLOOKUP("Shareholder's Equity",Inputs!$B:$B,Inputs!N:N),"")</f>
        <v/>
      </c>
      <c r="N16" s="265">
        <f>IFERROR(_xlfn.XLOOKUP("Net Income",Inputs!$B:$B,Inputs!O:O)/_xlfn.XLOOKUP("Shareholder's Equity",Inputs!$B:$B,Inputs!O:O),"")</f>
        <v/>
      </c>
      <c r="O16" s="265">
        <f>IFERROR(_xlfn.XLOOKUP("Net Income",Inputs!$B:$B,Inputs!P:P)/_xlfn.XLOOKUP("Shareholder's Equity",Inputs!$B:$B,Inputs!P:P),"")</f>
        <v/>
      </c>
      <c r="P16" s="371">
        <f>IFERROR(_xlfn.XLOOKUP("Net Income",Inputs!$B:$B,Inputs!Q:Q)/_xlfn.XLOOKUP("Shareholder's Equity",Inputs!$B:$B,Inputs!Q:Q),"")</f>
        <v/>
      </c>
      <c r="Q16" s="376">
        <f>IFERROR(_xlfn.XLOOKUP("Net Income",DCF!$B:$B,DCF!H:H)/_xlfn.XLOOKUP("Shareholder's Equity",DCF!$6:$6,DCF!10:10),"")</f>
        <v/>
      </c>
      <c r="R16" s="376">
        <f>IFERROR(_xlfn.XLOOKUP("Net Income",DCF!$B:$B,DCF!I:I)/_xlfn.XLOOKUP("Shareholder's Equity",DCF!$6:$6,DCF!10:10),"")</f>
        <v/>
      </c>
      <c r="S16" s="828" t="n"/>
    </row>
    <row r="17" ht="15" customHeight="1" s="783">
      <c r="B17" s="828" t="inlineStr">
        <is>
          <t>Return on Total Capital</t>
        </is>
      </c>
      <c r="F17" s="265">
        <f>IFERROR(_xlfn.XLOOKUP("NOPAT",Inputs!$B:$B,Inputs!G:G)/(_xlfn.XLOOKUP("Shareholder's Equity",Inputs!$B:$B,Inputs!G:G)+_xlfn.XLOOKUP("Total Debt",Inputs!$B:$B,Inputs!G:G,,,-1)),"")</f>
        <v/>
      </c>
      <c r="G17" s="265">
        <f>IFERROR(_xlfn.XLOOKUP("NOPAT",Inputs!$B:$B,Inputs!H:H)/(_xlfn.XLOOKUP("Shareholder's Equity",Inputs!$B:$B,Inputs!H:H)+_xlfn.XLOOKUP("Total Debt",Inputs!$B:$B,Inputs!H:H,,,-1)),"")</f>
        <v/>
      </c>
      <c r="H17" s="265">
        <f>IFERROR(_xlfn.XLOOKUP("NOPAT",Inputs!$B:$B,Inputs!I:I)/(_xlfn.XLOOKUP("Shareholder's Equity",Inputs!$B:$B,Inputs!I:I)+_xlfn.XLOOKUP("Total Debt",Inputs!$B:$B,Inputs!I:I,,,-1)),"")</f>
        <v/>
      </c>
      <c r="I17" s="265">
        <f>IFERROR(_xlfn.XLOOKUP("NOPAT",Inputs!$B:$B,Inputs!J:J)/(_xlfn.XLOOKUP("Shareholder's Equity",Inputs!$B:$B,Inputs!J:J)+_xlfn.XLOOKUP("Total Debt",Inputs!$B:$B,Inputs!J:J,,,-1)),"")</f>
        <v/>
      </c>
      <c r="J17" s="265">
        <f>IFERROR(_xlfn.XLOOKUP("NOPAT",Inputs!$B:$B,Inputs!K:K)/(_xlfn.XLOOKUP("Shareholder's Equity",Inputs!$B:$B,Inputs!K:K)+_xlfn.XLOOKUP("Total Debt",Inputs!$B:$B,Inputs!K:K,,,-1)),"")</f>
        <v/>
      </c>
      <c r="K17" s="265">
        <f>IFERROR(_xlfn.XLOOKUP("NOPAT",Inputs!$B:$B,Inputs!L:L)/(_xlfn.XLOOKUP("Shareholder's Equity",Inputs!$B:$B,Inputs!L:L)+_xlfn.XLOOKUP("Total Debt",Inputs!$B:$B,Inputs!L:L,,,-1)),"")</f>
        <v/>
      </c>
      <c r="L17" s="265">
        <f>IFERROR(_xlfn.XLOOKUP("NOPAT",Inputs!$B:$B,Inputs!M:M)/(_xlfn.XLOOKUP("Shareholder's Equity",Inputs!$B:$B,Inputs!M:M)+_xlfn.XLOOKUP("Total Debt",Inputs!$B:$B,Inputs!M:M,,,-1)),"")</f>
        <v/>
      </c>
      <c r="M17" s="265">
        <f>IFERROR(_xlfn.XLOOKUP("NOPAT",Inputs!$B:$B,Inputs!N:N)/(_xlfn.XLOOKUP("Shareholder's Equity",Inputs!$B:$B,Inputs!N:N)+_xlfn.XLOOKUP("Total Debt",Inputs!$B:$B,Inputs!N:N,,,-1)),"")</f>
        <v/>
      </c>
      <c r="N17" s="265">
        <f>IFERROR(_xlfn.XLOOKUP("NOPAT",Inputs!$B:$B,Inputs!O:O)/(_xlfn.XLOOKUP("Shareholder's Equity",Inputs!$B:$B,Inputs!O:O)+_xlfn.XLOOKUP("Total Debt",Inputs!$B:$B,Inputs!O:O,,,-1)),"")</f>
        <v/>
      </c>
      <c r="O17" s="265">
        <f>IFERROR(_xlfn.XLOOKUP("NOPAT",Inputs!$B:$B,Inputs!P:P)/(_xlfn.XLOOKUP("Shareholder's Equity",Inputs!$B:$B,Inputs!P:P)+_xlfn.XLOOKUP("Total Debt",Inputs!$B:$B,Inputs!P:P,,,-1)),"")</f>
        <v/>
      </c>
      <c r="P17" s="371">
        <f>IFERROR(_xlfn.XLOOKUP("NOPAT",Inputs!$B:$B,Inputs!Q:Q)/(_xlfn.XLOOKUP("Shareholder's Equity",Inputs!$B:$B,Inputs!Q:Q)+_xlfn.XLOOKUP("Total Debt",Inputs!$B:$B,Inputs!Q:Q,,,-1)),"")</f>
        <v/>
      </c>
      <c r="Q17" s="376">
        <f>+IFERROR(_xlfn.XLOOKUP("NOPAT",DCF!$B:$B,DCF!H:H)/(_xlfn.XLOOKUP("Shareholder's Equity",DCF!$6:$6,DCF!10:10)+_xlfn.XLOOKUP("Total Borrowings",DCF!$B:$B,DCF!H:H)+_xlfn.XLOOKUP("Total Leases",DCF!$B:$B,DCF!H:H)),"")</f>
        <v/>
      </c>
      <c r="R17" s="376">
        <f>+IFERROR(_xlfn.XLOOKUP("NOPAT",DCF!$B:$B,DCF!I:I)/(_xlfn.XLOOKUP("Shareholder's Equity",DCF!$6:$6,DCF!10:10)+_xlfn.XLOOKUP("Total Borrowings",DCF!$B:$B,DCF!I:I)+_xlfn.XLOOKUP("Total Leases",DCF!$B:$B,DCF!I:I)),"")</f>
        <v/>
      </c>
      <c r="S17" s="132" t="n"/>
    </row>
    <row r="18" ht="15" customHeight="1" s="783">
      <c r="B18" s="842" t="inlineStr">
        <is>
          <t>EBITDA Margin</t>
        </is>
      </c>
      <c r="F18" s="265">
        <f>+IFERROR(_xlfn.XLOOKUP("EBITDA",Inputs!$B:$B,Inputs!G:G)/_xlfn.XLOOKUP("Revenue (Sales)",Inputs!$B:$B,Inputs!G:G),"")</f>
        <v/>
      </c>
      <c r="G18" s="265">
        <f>+IFERROR(_xlfn.XLOOKUP("EBITDA",Inputs!$B:$B,Inputs!H:H)/_xlfn.XLOOKUP("Revenue (Sales)",Inputs!$B:$B,Inputs!H:H),"")</f>
        <v/>
      </c>
      <c r="H18" s="265">
        <f>+IFERROR(_xlfn.XLOOKUP("EBITDA",Inputs!$B:$B,Inputs!I:I)/_xlfn.XLOOKUP("Revenue (Sales)",Inputs!$B:$B,Inputs!I:I),"")</f>
        <v/>
      </c>
      <c r="I18" s="265">
        <f>+IFERROR(_xlfn.XLOOKUP("EBITDA",Inputs!$B:$B,Inputs!J:J)/_xlfn.XLOOKUP("Revenue (Sales)",Inputs!$B:$B,Inputs!J:J),"")</f>
        <v/>
      </c>
      <c r="J18" s="265">
        <f>+IFERROR(_xlfn.XLOOKUP("EBITDA",Inputs!$B:$B,Inputs!K:K)/_xlfn.XLOOKUP("Revenue (Sales)",Inputs!$B:$B,Inputs!K:K),"")</f>
        <v/>
      </c>
      <c r="K18" s="265">
        <f>+IFERROR(_xlfn.XLOOKUP("EBITDA",Inputs!$B:$B,Inputs!L:L)/_xlfn.XLOOKUP("Revenue (Sales)",Inputs!$B:$B,Inputs!L:L),"")</f>
        <v/>
      </c>
      <c r="L18" s="265">
        <f>+IFERROR(_xlfn.XLOOKUP("EBITDA",Inputs!$B:$B,Inputs!M:M)/_xlfn.XLOOKUP("Revenue (Sales)",Inputs!$B:$B,Inputs!M:M),"")</f>
        <v/>
      </c>
      <c r="M18" s="265">
        <f>+IFERROR(_xlfn.XLOOKUP("EBITDA",Inputs!$B:$B,Inputs!N:N)/_xlfn.XLOOKUP("Revenue (Sales)",Inputs!$B:$B,Inputs!N:N),"")</f>
        <v/>
      </c>
      <c r="N18" s="265">
        <f>+IFERROR(_xlfn.XLOOKUP("EBITDA",Inputs!$B:$B,Inputs!O:O)/_xlfn.XLOOKUP("Revenue (Sales)",Inputs!$B:$B,Inputs!O:O),"")</f>
        <v/>
      </c>
      <c r="O18" s="265">
        <f>+IFERROR(_xlfn.XLOOKUP("EBITDA",Inputs!$B:$B,Inputs!P:P)/_xlfn.XLOOKUP("Revenue (Sales)",Inputs!$B:$B,Inputs!P:P),"")</f>
        <v/>
      </c>
      <c r="P18" s="371">
        <f>+IFERROR(_xlfn.XLOOKUP("EBITDA",Inputs!$B:$B,Inputs!Q:Q)/_xlfn.XLOOKUP("Revenue (Sales)",Inputs!$B:$B,Inputs!Q:Q),"")</f>
        <v/>
      </c>
      <c r="Q18" s="376">
        <f>+_xlfn.XLOOKUP("EBITDA Margin",DCF!$B:$B,DCF!H:H)</f>
        <v/>
      </c>
      <c r="R18" s="376">
        <f>+_xlfn.XLOOKUP("EBITDA Margin",DCF!$B:$B,DCF!I:I)</f>
        <v/>
      </c>
      <c r="S18" s="842" t="n"/>
    </row>
    <row r="19" ht="15" customHeight="1" s="783">
      <c r="B19" s="18" t="inlineStr">
        <is>
          <t>EBIT Margin</t>
        </is>
      </c>
      <c r="F19" s="265">
        <f>IFERROR(_xlfn.XLOOKUP("Operating Income (EBIT)",Inputs!$B:$B,Inputs!G:G)/_xlfn.XLOOKUP("Revenue (Sales)",Inputs!$B:$B,Inputs!G:G),"")</f>
        <v/>
      </c>
      <c r="G19" s="265">
        <f>IFERROR(_xlfn.XLOOKUP("Operating Income (EBIT)",Inputs!$B:$B,Inputs!H:H)/_xlfn.XLOOKUP("Revenue (Sales)",Inputs!$B:$B,Inputs!H:H),"")</f>
        <v/>
      </c>
      <c r="H19" s="265">
        <f>IFERROR(_xlfn.XLOOKUP("Operating Income (EBIT)",Inputs!$B:$B,Inputs!I:I)/_xlfn.XLOOKUP("Revenue (Sales)",Inputs!$B:$B,Inputs!I:I),"")</f>
        <v/>
      </c>
      <c r="I19" s="265">
        <f>IFERROR(_xlfn.XLOOKUP("Operating Income (EBIT)",Inputs!$B:$B,Inputs!J:J)/_xlfn.XLOOKUP("Revenue (Sales)",Inputs!$B:$B,Inputs!J:J),"")</f>
        <v/>
      </c>
      <c r="J19" s="265">
        <f>IFERROR(_xlfn.XLOOKUP("Operating Income (EBIT)",Inputs!$B:$B,Inputs!K:K)/_xlfn.XLOOKUP("Revenue (Sales)",Inputs!$B:$B,Inputs!K:K),"")</f>
        <v/>
      </c>
      <c r="K19" s="265">
        <f>IFERROR(_xlfn.XLOOKUP("Operating Income (EBIT)",Inputs!$B:$B,Inputs!L:L)/_xlfn.XLOOKUP("Revenue (Sales)",Inputs!$B:$B,Inputs!L:L),"")</f>
        <v/>
      </c>
      <c r="L19" s="265">
        <f>IFERROR(_xlfn.XLOOKUP("Operating Income (EBIT)",Inputs!$B:$B,Inputs!M:M)/_xlfn.XLOOKUP("Revenue (Sales)",Inputs!$B:$B,Inputs!M:M),"")</f>
        <v/>
      </c>
      <c r="M19" s="265">
        <f>IFERROR(_xlfn.XLOOKUP("Operating Income (EBIT)",Inputs!$B:$B,Inputs!N:N)/_xlfn.XLOOKUP("Revenue (Sales)",Inputs!$B:$B,Inputs!N:N),"")</f>
        <v/>
      </c>
      <c r="N19" s="265">
        <f>IFERROR(_xlfn.XLOOKUP("Operating Income (EBIT)",Inputs!$B:$B,Inputs!O:O)/_xlfn.XLOOKUP("Revenue (Sales)",Inputs!$B:$B,Inputs!O:O),"")</f>
        <v/>
      </c>
      <c r="O19" s="265">
        <f>IFERROR(_xlfn.XLOOKUP("Operating Income (EBIT)",Inputs!$B:$B,Inputs!P:P)/_xlfn.XLOOKUP("Revenue (Sales)",Inputs!$B:$B,Inputs!P:P),"")</f>
        <v/>
      </c>
      <c r="P19" s="371">
        <f>IFERROR(_xlfn.XLOOKUP("Operating Income (EBIT)",Inputs!$B:$B,Inputs!Q:Q)/_xlfn.XLOOKUP("Revenue (Sales)",Inputs!$B:$B,Inputs!Q:Q),"")</f>
        <v/>
      </c>
      <c r="Q19" s="376">
        <f>+_xlfn.XLOOKUP("Operating Margin",DCF!$B:$B,DCF!H:H)</f>
        <v/>
      </c>
      <c r="R19" s="376">
        <f>+_xlfn.XLOOKUP("Operating Margin",DCF!$B:$B,DCF!I:I)</f>
        <v/>
      </c>
      <c r="S19" s="18" t="n"/>
    </row>
    <row r="20" ht="15" customHeight="1" s="783">
      <c r="B20" s="18" t="inlineStr">
        <is>
          <t>EBT Margin</t>
        </is>
      </c>
      <c r="F20" s="265">
        <f>IFERROR(_xlfn.XLOOKUP("Pre-Tax Income (EBT)",Inputs!$B:$B,Inputs!G:G)/_xlfn.XLOOKUP("Revenue (Sales)",Inputs!$B:$B,Inputs!G:G),"")</f>
        <v/>
      </c>
      <c r="G20" s="265">
        <f>IFERROR(_xlfn.XLOOKUP("Pre-Tax Income (EBT)",Inputs!$B:$B,Inputs!H:H)/_xlfn.XLOOKUP("Revenue (Sales)",Inputs!$B:$B,Inputs!H:H),"")</f>
        <v/>
      </c>
      <c r="H20" s="265">
        <f>IFERROR(_xlfn.XLOOKUP("Pre-Tax Income (EBT)",Inputs!$B:$B,Inputs!I:I)/_xlfn.XLOOKUP("Revenue (Sales)",Inputs!$B:$B,Inputs!I:I),"")</f>
        <v/>
      </c>
      <c r="I20" s="265">
        <f>IFERROR(_xlfn.XLOOKUP("Pre-Tax Income (EBT)",Inputs!$B:$B,Inputs!J:J)/_xlfn.XLOOKUP("Revenue (Sales)",Inputs!$B:$B,Inputs!J:J),"")</f>
        <v/>
      </c>
      <c r="J20" s="265">
        <f>IFERROR(_xlfn.XLOOKUP("Pre-Tax Income (EBT)",Inputs!$B:$B,Inputs!K:K)/_xlfn.XLOOKUP("Revenue (Sales)",Inputs!$B:$B,Inputs!K:K),"")</f>
        <v/>
      </c>
      <c r="K20" s="265">
        <f>IFERROR(_xlfn.XLOOKUP("Pre-Tax Income (EBT)",Inputs!$B:$B,Inputs!L:L)/_xlfn.XLOOKUP("Revenue (Sales)",Inputs!$B:$B,Inputs!L:L),"")</f>
        <v/>
      </c>
      <c r="L20" s="265">
        <f>IFERROR(_xlfn.XLOOKUP("Pre-Tax Income (EBT)",Inputs!$B:$B,Inputs!M:M)/_xlfn.XLOOKUP("Revenue (Sales)",Inputs!$B:$B,Inputs!M:M),"")</f>
        <v/>
      </c>
      <c r="M20" s="265">
        <f>IFERROR(_xlfn.XLOOKUP("Pre-Tax Income (EBT)",Inputs!$B:$B,Inputs!N:N)/_xlfn.XLOOKUP("Revenue (Sales)",Inputs!$B:$B,Inputs!N:N),"")</f>
        <v/>
      </c>
      <c r="N20" s="265">
        <f>IFERROR(_xlfn.XLOOKUP("Pre-Tax Income (EBT)",Inputs!$B:$B,Inputs!O:O)/_xlfn.XLOOKUP("Revenue (Sales)",Inputs!$B:$B,Inputs!O:O),"")</f>
        <v/>
      </c>
      <c r="O20" s="265">
        <f>IFERROR(_xlfn.XLOOKUP("Pre-Tax Income (EBT)",Inputs!$B:$B,Inputs!P:P)/_xlfn.XLOOKUP("Revenue (Sales)",Inputs!$B:$B,Inputs!P:P),"")</f>
        <v/>
      </c>
      <c r="P20" s="371">
        <f>IFERROR(_xlfn.XLOOKUP("Pre-Tax Income (EBT)",Inputs!$B:$B,Inputs!Q:Q)/_xlfn.XLOOKUP("Revenue (Sales)",Inputs!$B:$B,Inputs!Q:Q),"")</f>
        <v/>
      </c>
      <c r="Q20" s="376">
        <f>IFERROR(_xlfn.XLOOKUP("Pre-Tax Income (EBT)",DCF!$B:$B,DCF!H:H)/_xlfn.XLOOKUP("Revenue (Sales)",DCF!$B:$B,DCF!H:H),"")</f>
        <v/>
      </c>
      <c r="R20" s="376">
        <f>IFERROR(_xlfn.XLOOKUP("Pre-Tax Income (EBT)",DCF!$B:$B,DCF!I:I)/_xlfn.XLOOKUP("Revenue (Sales)",DCF!$B:$B,DCF!I:I),"")</f>
        <v/>
      </c>
      <c r="S20" s="18" t="n"/>
    </row>
    <row r="21" ht="15" customHeight="1" s="783">
      <c r="B21" s="18" t="inlineStr">
        <is>
          <t>Gross Profit Margin</t>
        </is>
      </c>
      <c r="F21" s="265">
        <f>IFERROR(_xlfn.XLOOKUP("Gross Profit",Inputs!$B:$B,Inputs!G:G)/_xlfn.XLOOKUP("Revenue (Sales)",Inputs!$B:$B,Inputs!G:G),"")</f>
        <v/>
      </c>
      <c r="G21" s="265">
        <f>IFERROR(_xlfn.XLOOKUP("Gross Profit",Inputs!$B:$B,Inputs!H:H)/_xlfn.XLOOKUP("Revenue (Sales)",Inputs!$B:$B,Inputs!H:H),"")</f>
        <v/>
      </c>
      <c r="H21" s="265">
        <f>IFERROR(_xlfn.XLOOKUP("Gross Profit",Inputs!$B:$B,Inputs!I:I)/_xlfn.XLOOKUP("Revenue (Sales)",Inputs!$B:$B,Inputs!I:I),"")</f>
        <v/>
      </c>
      <c r="I21" s="265">
        <f>IFERROR(_xlfn.XLOOKUP("Gross Profit",Inputs!$B:$B,Inputs!J:J)/_xlfn.XLOOKUP("Revenue (Sales)",Inputs!$B:$B,Inputs!J:J),"")</f>
        <v/>
      </c>
      <c r="J21" s="265">
        <f>IFERROR(_xlfn.XLOOKUP("Gross Profit",Inputs!$B:$B,Inputs!K:K)/_xlfn.XLOOKUP("Revenue (Sales)",Inputs!$B:$B,Inputs!K:K),"")</f>
        <v/>
      </c>
      <c r="K21" s="265">
        <f>IFERROR(_xlfn.XLOOKUP("Gross Profit",Inputs!$B:$B,Inputs!L:L)/_xlfn.XLOOKUP("Revenue (Sales)",Inputs!$B:$B,Inputs!L:L),"")</f>
        <v/>
      </c>
      <c r="L21" s="265">
        <f>IFERROR(_xlfn.XLOOKUP("Gross Profit",Inputs!$B:$B,Inputs!M:M)/_xlfn.XLOOKUP("Revenue (Sales)",Inputs!$B:$B,Inputs!M:M),"")</f>
        <v/>
      </c>
      <c r="M21" s="265">
        <f>IFERROR(_xlfn.XLOOKUP("Gross Profit",Inputs!$B:$B,Inputs!N:N)/_xlfn.XLOOKUP("Revenue (Sales)",Inputs!$B:$B,Inputs!N:N),"")</f>
        <v/>
      </c>
      <c r="N21" s="265">
        <f>IFERROR(_xlfn.XLOOKUP("Gross Profit",Inputs!$B:$B,Inputs!O:O)/_xlfn.XLOOKUP("Revenue (Sales)",Inputs!$B:$B,Inputs!O:O),"")</f>
        <v/>
      </c>
      <c r="O21" s="265">
        <f>IFERROR(_xlfn.XLOOKUP("Gross Profit",Inputs!$B:$B,Inputs!P:P)/_xlfn.XLOOKUP("Revenue (Sales)",Inputs!$B:$B,Inputs!P:P),"")</f>
        <v/>
      </c>
      <c r="P21" s="371">
        <f>IFERROR(_xlfn.XLOOKUP("Gross Profit",Inputs!$B:$B,Inputs!Q:Q)/_xlfn.XLOOKUP("Revenue (Sales)",Inputs!$B:$B,Inputs!Q:Q),"")</f>
        <v/>
      </c>
      <c r="Q21" s="376">
        <f>+_xlfn.XLOOKUP("Gross Profit Margin",DCF!$B:$B,DCF!H:H)</f>
        <v/>
      </c>
      <c r="R21" s="376">
        <f>+_xlfn.XLOOKUP("Gross Profit Margin",DCF!$B:$B,DCF!I:I)</f>
        <v/>
      </c>
      <c r="S21" s="18" t="n"/>
    </row>
    <row r="22" ht="15" customHeight="1" s="783">
      <c r="B22" s="18" t="inlineStr">
        <is>
          <t>SG&amp;A Margin</t>
        </is>
      </c>
      <c r="F22" s="265">
        <f>IFERROR(+_xlfn.XLOOKUP("SG&amp;A (Selling, General &amp; Administrative)",Inputs!$B:$B,Inputs!G:G)/_xlfn.XLOOKUP("Revenue (Sales)",Inputs!$B:$B,Inputs!G:G),"")</f>
        <v/>
      </c>
      <c r="G22" s="265">
        <f>IFERROR(+_xlfn.XLOOKUP("SG&amp;A (Selling, General &amp; Administrative)",Inputs!$B:$B,Inputs!H:H)/_xlfn.XLOOKUP("Revenue (Sales)",Inputs!$B:$B,Inputs!H:H),"")</f>
        <v/>
      </c>
      <c r="H22" s="265">
        <f>IFERROR(+_xlfn.XLOOKUP("SG&amp;A (Selling, General &amp; Administrative)",Inputs!$B:$B,Inputs!I:I)/_xlfn.XLOOKUP("Revenue (Sales)",Inputs!$B:$B,Inputs!I:I),"")</f>
        <v/>
      </c>
      <c r="I22" s="265">
        <f>IFERROR(+_xlfn.XLOOKUP("SG&amp;A (Selling, General &amp; Administrative)",Inputs!$B:$B,Inputs!J:J)/_xlfn.XLOOKUP("Revenue (Sales)",Inputs!$B:$B,Inputs!J:J),"")</f>
        <v/>
      </c>
      <c r="J22" s="265">
        <f>IFERROR(+_xlfn.XLOOKUP("SG&amp;A (Selling, General &amp; Administrative)",Inputs!$B:$B,Inputs!K:K)/_xlfn.XLOOKUP("Revenue (Sales)",Inputs!$B:$B,Inputs!K:K),"")</f>
        <v/>
      </c>
      <c r="K22" s="265">
        <f>IFERROR(+_xlfn.XLOOKUP("SG&amp;A (Selling, General &amp; Administrative)",Inputs!$B:$B,Inputs!L:L)/_xlfn.XLOOKUP("Revenue (Sales)",Inputs!$B:$B,Inputs!L:L),"")</f>
        <v/>
      </c>
      <c r="L22" s="265">
        <f>IFERROR(+_xlfn.XLOOKUP("SG&amp;A (Selling, General &amp; Administrative)",Inputs!$B:$B,Inputs!M:M)/_xlfn.XLOOKUP("Revenue (Sales)",Inputs!$B:$B,Inputs!M:M),"")</f>
        <v/>
      </c>
      <c r="M22" s="265">
        <f>IFERROR(+_xlfn.XLOOKUP("SG&amp;A (Selling, General &amp; Administrative)",Inputs!$B:$B,Inputs!N:N)/_xlfn.XLOOKUP("Revenue (Sales)",Inputs!$B:$B,Inputs!N:N),"")</f>
        <v/>
      </c>
      <c r="N22" s="265">
        <f>IFERROR(+_xlfn.XLOOKUP("SG&amp;A (Selling, General &amp; Administrative)",Inputs!$B:$B,Inputs!O:O)/_xlfn.XLOOKUP("Revenue (Sales)",Inputs!$B:$B,Inputs!O:O),"")</f>
        <v/>
      </c>
      <c r="O22" s="265">
        <f>IFERROR(+_xlfn.XLOOKUP("SG&amp;A (Selling, General &amp; Administrative)",Inputs!$B:$B,Inputs!P:P)/_xlfn.XLOOKUP("Revenue (Sales)",Inputs!$B:$B,Inputs!P:P),"")</f>
        <v/>
      </c>
      <c r="P22" s="371">
        <f>IFERROR(+_xlfn.XLOOKUP("SG&amp;A (Selling, General &amp; Administrative)",Inputs!$B:$B,Inputs!Q:Q)/_xlfn.XLOOKUP("Revenue (Sales)",Inputs!$B:$B,Inputs!Q:Q),"")</f>
        <v/>
      </c>
      <c r="Q22" s="376">
        <f>+_xlfn.XLOOKUP("SG&amp;A Margin",DCF!$B:$B,DCF!H:H)</f>
        <v/>
      </c>
      <c r="R22" s="376">
        <f>+_xlfn.XLOOKUP("SG&amp;A Margin",DCF!$B:$B,DCF!I:I)</f>
        <v/>
      </c>
    </row>
    <row r="23" ht="15" customHeight="1" s="783">
      <c r="B23" s="18" t="inlineStr">
        <is>
          <t>Net Income Margin</t>
        </is>
      </c>
      <c r="F23" s="265">
        <f>IFERROR(_xlfn.XLOOKUP("Net Income",Inputs!$B:$B,Inputs!G:G)/_xlfn.XLOOKUP("Revenue (Sales)",Inputs!$B:$B,Inputs!G:G),"")</f>
        <v/>
      </c>
      <c r="G23" s="265">
        <f>IFERROR(_xlfn.XLOOKUP("Net Income",Inputs!$B:$B,Inputs!H:H)/_xlfn.XLOOKUP("Revenue (Sales)",Inputs!$B:$B,Inputs!H:H),"")</f>
        <v/>
      </c>
      <c r="H23" s="265">
        <f>IFERROR(_xlfn.XLOOKUP("Net Income",Inputs!$B:$B,Inputs!I:I)/_xlfn.XLOOKUP("Revenue (Sales)",Inputs!$B:$B,Inputs!I:I),"")</f>
        <v/>
      </c>
      <c r="I23" s="265">
        <f>IFERROR(_xlfn.XLOOKUP("Net Income",Inputs!$B:$B,Inputs!J:J)/_xlfn.XLOOKUP("Revenue (Sales)",Inputs!$B:$B,Inputs!J:J),"")</f>
        <v/>
      </c>
      <c r="J23" s="265">
        <f>IFERROR(_xlfn.XLOOKUP("Net Income",Inputs!$B:$B,Inputs!K:K)/_xlfn.XLOOKUP("Revenue (Sales)",Inputs!$B:$B,Inputs!K:K),"")</f>
        <v/>
      </c>
      <c r="K23" s="265">
        <f>IFERROR(_xlfn.XLOOKUP("Net Income",Inputs!$B:$B,Inputs!L:L)/_xlfn.XLOOKUP("Revenue (Sales)",Inputs!$B:$B,Inputs!L:L),"")</f>
        <v/>
      </c>
      <c r="L23" s="265">
        <f>IFERROR(_xlfn.XLOOKUP("Net Income",Inputs!$B:$B,Inputs!M:M)/_xlfn.XLOOKUP("Revenue (Sales)",Inputs!$B:$B,Inputs!M:M),"")</f>
        <v/>
      </c>
      <c r="M23" s="265">
        <f>IFERROR(_xlfn.XLOOKUP("Net Income",Inputs!$B:$B,Inputs!N:N)/_xlfn.XLOOKUP("Revenue (Sales)",Inputs!$B:$B,Inputs!N:N),"")</f>
        <v/>
      </c>
      <c r="N23" s="265">
        <f>IFERROR(_xlfn.XLOOKUP("Net Income",Inputs!$B:$B,Inputs!O:O)/_xlfn.XLOOKUP("Revenue (Sales)",Inputs!$B:$B,Inputs!O:O),"")</f>
        <v/>
      </c>
      <c r="O23" s="265">
        <f>IFERROR(_xlfn.XLOOKUP("Net Income",Inputs!$B:$B,Inputs!P:P)/_xlfn.XLOOKUP("Revenue (Sales)",Inputs!$B:$B,Inputs!P:P),"")</f>
        <v/>
      </c>
      <c r="P23" s="371">
        <f>IFERROR(_xlfn.XLOOKUP("Net Income",Inputs!$B:$B,Inputs!Q:Q)/_xlfn.XLOOKUP("Revenue (Sales)",Inputs!$B:$B,Inputs!Q:Q),"")</f>
        <v/>
      </c>
      <c r="Q23" s="376">
        <f>+_xlfn.XLOOKUP("Net Income Margin",DCF!$B:$B,DCF!H:H)</f>
        <v/>
      </c>
      <c r="R23" s="376">
        <f>+_xlfn.XLOOKUP("Net Income Margin",DCF!$B:$B,DCF!I:I)</f>
        <v/>
      </c>
    </row>
    <row r="24" ht="8.1" customHeight="1" s="783">
      <c r="N24" s="266" t="n"/>
      <c r="O24" s="266" t="n"/>
      <c r="P24" s="372" t="n"/>
      <c r="Q24" s="377" t="n"/>
      <c r="R24" s="377" t="n"/>
    </row>
    <row r="25" ht="15.75" customHeight="1" s="783">
      <c r="B25" s="7" t="inlineStr">
        <is>
          <t>Liquidity</t>
        </is>
      </c>
      <c r="C25" s="56" t="n"/>
      <c r="D25" s="58" t="n"/>
      <c r="E25" s="58" t="n"/>
      <c r="F25" s="1001" t="n">
        <v>2014</v>
      </c>
      <c r="G25" s="1001">
        <f>+F25+1</f>
        <v/>
      </c>
      <c r="H25" s="1001">
        <f>+G25+1</f>
        <v/>
      </c>
      <c r="I25" s="1001">
        <f>+H25+1</f>
        <v/>
      </c>
      <c r="J25" s="1001">
        <f>+I25+1</f>
        <v/>
      </c>
      <c r="K25" s="1001">
        <f>+J25+1</f>
        <v/>
      </c>
      <c r="L25" s="1001">
        <f>+K25+1</f>
        <v/>
      </c>
      <c r="M25" s="1001">
        <f>+L25+1</f>
        <v/>
      </c>
      <c r="N25" s="1001" t="n">
        <v>2022</v>
      </c>
      <c r="O25" s="1001">
        <f>+N25+1</f>
        <v/>
      </c>
      <c r="P25" s="1002">
        <f>+O25+1</f>
        <v/>
      </c>
      <c r="Q25" s="1003">
        <f>+P25+1</f>
        <v/>
      </c>
      <c r="R25" s="1003">
        <f>+Q25+1</f>
        <v/>
      </c>
    </row>
    <row r="26" ht="3.95" customHeight="1" s="783">
      <c r="B26" s="260" t="n"/>
      <c r="C26" s="53" t="n"/>
      <c r="D26" s="60" t="n"/>
      <c r="E26" s="60" t="n"/>
      <c r="F26" s="60" t="n"/>
      <c r="G26" s="60" t="n"/>
      <c r="H26" s="60" t="n"/>
      <c r="I26" s="60" t="n"/>
      <c r="J26" s="60" t="n"/>
      <c r="K26" s="60" t="n"/>
      <c r="L26" s="60" t="n"/>
      <c r="M26" s="60" t="n"/>
      <c r="N26" s="236" t="n"/>
      <c r="O26" s="236" t="n"/>
      <c r="P26" s="369" t="n"/>
      <c r="Q26" s="236" t="n"/>
      <c r="R26" s="236" t="n"/>
    </row>
    <row r="27" ht="15" customHeight="1" s="783">
      <c r="B27" s="33" t="inlineStr">
        <is>
          <t>Cash Ratio</t>
        </is>
      </c>
      <c r="C27" s="132" t="n"/>
      <c r="D27" s="255" t="n"/>
      <c r="F27" s="824">
        <f>+IFERROR(_xlfn.XLOOKUP("Cash &amp; Cash Equivalents",Inputs!$B:$B,Inputs!G:G)/_xlfn.XLOOKUP("Current Liabilities",Inputs!$B:$B,Inputs!G:G),"")</f>
        <v/>
      </c>
      <c r="G27" s="824">
        <f>+IFERROR(_xlfn.XLOOKUP("Cash &amp; Cash Equivalents",Inputs!$B:$B,Inputs!H:H)/_xlfn.XLOOKUP("Current Liabilities",Inputs!$B:$B,Inputs!H:H),"")</f>
        <v/>
      </c>
      <c r="H27" s="824">
        <f>+IFERROR(_xlfn.XLOOKUP("Cash &amp; Cash Equivalents",Inputs!$B:$B,Inputs!I:I)/_xlfn.XLOOKUP("Current Liabilities",Inputs!$B:$B,Inputs!I:I),"")</f>
        <v/>
      </c>
      <c r="I27" s="824">
        <f>+IFERROR(_xlfn.XLOOKUP("Cash &amp; Cash Equivalents",Inputs!$B:$B,Inputs!J:J)/_xlfn.XLOOKUP("Current Liabilities",Inputs!$B:$B,Inputs!J:J),"")</f>
        <v/>
      </c>
      <c r="J27" s="824">
        <f>+IFERROR(_xlfn.XLOOKUP("Cash &amp; Cash Equivalents",Inputs!$B:$B,Inputs!K:K)/_xlfn.XLOOKUP("Current Liabilities",Inputs!$B:$B,Inputs!K:K),"")</f>
        <v/>
      </c>
      <c r="K27" s="824">
        <f>+IFERROR(_xlfn.XLOOKUP("Cash &amp; Cash Equivalents",Inputs!$B:$B,Inputs!L:L)/_xlfn.XLOOKUP("Current Liabilities",Inputs!$B:$B,Inputs!L:L),"")</f>
        <v/>
      </c>
      <c r="L27" s="824">
        <f>+IFERROR(_xlfn.XLOOKUP("Cash &amp; Cash Equivalents",Inputs!$B:$B,Inputs!M:M)/_xlfn.XLOOKUP("Current Liabilities",Inputs!$B:$B,Inputs!M:M),"")</f>
        <v/>
      </c>
      <c r="M27" s="824">
        <f>+IFERROR(_xlfn.XLOOKUP("Cash &amp; Cash Equivalents",Inputs!$B:$B,Inputs!N:N)/_xlfn.XLOOKUP("Current Liabilities",Inputs!$B:$B,Inputs!N:N),"")</f>
        <v/>
      </c>
      <c r="N27" s="824">
        <f>+IFERROR(_xlfn.XLOOKUP("Cash &amp; Cash Equivalents",Inputs!$B:$B,Inputs!O:O)/_xlfn.XLOOKUP("Current Liabilities",Inputs!$B:$B,Inputs!O:O),"")</f>
        <v/>
      </c>
      <c r="O27" s="824">
        <f>+IFERROR(_xlfn.XLOOKUP("Cash &amp; Cash Equivalents",Inputs!$B:$B,Inputs!P:P)/_xlfn.XLOOKUP("Current Liabilities",Inputs!$B:$B,Inputs!P:P),"")</f>
        <v/>
      </c>
      <c r="P27" s="825">
        <f>+IFERROR(_xlfn.XLOOKUP("Cash &amp; Cash Equivalents",Inputs!$B:$B,Inputs!Q:Q)/_xlfn.XLOOKUP("Current Liabilities",Inputs!$B:$B,Inputs!Q:Q),"")</f>
        <v/>
      </c>
      <c r="Q27" s="826">
        <f>+IFERROR((_xlfn.XLOOKUP("Cash &amp; Cash Equivalents &amp; ST Investments",DCF!$B:$B,DCF!H:H)-_xlfn.XLOOKUP("Short-Term Investments",Inputs!$B:$B,Inputs!$Q:$Q))/_xlfn.XLOOKUP("Current Liabilities",DCF!$6:$6,DCF!10:10),"")</f>
        <v/>
      </c>
      <c r="R27" s="826">
        <f>+IFERROR((_xlfn.XLOOKUP("Cash &amp; Cash Equivalents &amp; ST Investments",DCF!$B:$B,DCF!I:I)-_xlfn.XLOOKUP("Short-Term Investments",Inputs!$B:$B,Inputs!$Q:$Q))/_xlfn.XLOOKUP("Current Liabilities",DCF!$6:$6,DCF!10:10),"")</f>
        <v/>
      </c>
    </row>
    <row r="28" ht="15" customHeight="1" s="783">
      <c r="B28" s="18" t="inlineStr">
        <is>
          <t>Quick Ratio</t>
        </is>
      </c>
      <c r="F28" s="824">
        <f>IFERROR((_xlfn.XLOOKUP("Cash &amp; Cash Equivalents &amp; ST Investments",Inputs!$B:$B,Inputs!G:G)+_xlfn.XLOOKUP("Accounts Receivable",Inputs!$B:$B,Inputs!G:G))/_xlfn.XLOOKUP("Current Liabilities",Inputs!$B:$B,Inputs!G:G),"")</f>
        <v/>
      </c>
      <c r="G28" s="824">
        <f>IFERROR((_xlfn.XLOOKUP("Cash &amp; Cash Equivalents &amp; ST Investments",Inputs!$B:$B,Inputs!H:H)+_xlfn.XLOOKUP("Accounts Receivable",Inputs!$B:$B,Inputs!H:H))/_xlfn.XLOOKUP("Current Liabilities",Inputs!$B:$B,Inputs!H:H),"")</f>
        <v/>
      </c>
      <c r="H28" s="824">
        <f>IFERROR((_xlfn.XLOOKUP("Cash &amp; Cash Equivalents &amp; ST Investments",Inputs!$B:$B,Inputs!I:I)+_xlfn.XLOOKUP("Accounts Receivable",Inputs!$B:$B,Inputs!I:I))/_xlfn.XLOOKUP("Current Liabilities",Inputs!$B:$B,Inputs!I:I),"")</f>
        <v/>
      </c>
      <c r="I28" s="824">
        <f>IFERROR((_xlfn.XLOOKUP("Cash &amp; Cash Equivalents &amp; ST Investments",Inputs!$B:$B,Inputs!J:J)+_xlfn.XLOOKUP("Accounts Receivable",Inputs!$B:$B,Inputs!J:J))/_xlfn.XLOOKUP("Current Liabilities",Inputs!$B:$B,Inputs!J:J),"")</f>
        <v/>
      </c>
      <c r="J28" s="824">
        <f>IFERROR((_xlfn.XLOOKUP("Cash &amp; Cash Equivalents &amp; ST Investments",Inputs!$B:$B,Inputs!K:K)+_xlfn.XLOOKUP("Accounts Receivable",Inputs!$B:$B,Inputs!K:K))/_xlfn.XLOOKUP("Current Liabilities",Inputs!$B:$B,Inputs!K:K),"")</f>
        <v/>
      </c>
      <c r="K28" s="824">
        <f>IFERROR((_xlfn.XLOOKUP("Cash &amp; Cash Equivalents &amp; ST Investments",Inputs!$B:$B,Inputs!L:L)+_xlfn.XLOOKUP("Accounts Receivable",Inputs!$B:$B,Inputs!L:L))/_xlfn.XLOOKUP("Current Liabilities",Inputs!$B:$B,Inputs!L:L),"")</f>
        <v/>
      </c>
      <c r="L28" s="824">
        <f>IFERROR((_xlfn.XLOOKUP("Cash &amp; Cash Equivalents &amp; ST Investments",Inputs!$B:$B,Inputs!M:M)+_xlfn.XLOOKUP("Accounts Receivable",Inputs!$B:$B,Inputs!M:M))/_xlfn.XLOOKUP("Current Liabilities",Inputs!$B:$B,Inputs!M:M),"")</f>
        <v/>
      </c>
      <c r="M28" s="824">
        <f>IFERROR((_xlfn.XLOOKUP("Cash &amp; Cash Equivalents &amp; ST Investments",Inputs!$B:$B,Inputs!N:N)+_xlfn.XLOOKUP("Accounts Receivable",Inputs!$B:$B,Inputs!N:N))/_xlfn.XLOOKUP("Current Liabilities",Inputs!$B:$B,Inputs!N:N),"")</f>
        <v/>
      </c>
      <c r="N28" s="824">
        <f>IFERROR((_xlfn.XLOOKUP("Cash &amp; Cash Equivalents &amp; ST Investments",Inputs!$B:$B,Inputs!O:O)+_xlfn.XLOOKUP("Accounts Receivable",Inputs!$B:$B,Inputs!O:O))/_xlfn.XLOOKUP("Current Liabilities",Inputs!$B:$B,Inputs!O:O),"")</f>
        <v/>
      </c>
      <c r="O28" s="824">
        <f>IFERROR((_xlfn.XLOOKUP("Cash &amp; Cash Equivalents &amp; ST Investments",Inputs!$B:$B,Inputs!P:P)+_xlfn.XLOOKUP("Accounts Receivable",Inputs!$B:$B,Inputs!P:P))/_xlfn.XLOOKUP("Current Liabilities",Inputs!$B:$B,Inputs!P:P),"")</f>
        <v/>
      </c>
      <c r="P28" s="825">
        <f>IFERROR((_xlfn.XLOOKUP("Cash &amp; Cash Equivalents &amp; ST Investments",Inputs!$B:$B,Inputs!Q:Q)+_xlfn.XLOOKUP("Accounts Receivable",Inputs!$B:$B,Inputs!Q:Q))/_xlfn.XLOOKUP("Current Liabilities",Inputs!$B:$B,Inputs!Q:Q),"")</f>
        <v/>
      </c>
      <c r="Q28" s="826">
        <f>+IFERROR((_xlfn.XLOOKUP("Cash &amp; Cash Equivalents &amp; ST Investments",DCF!$B:$B,DCF!H:H)+_xlfn.XLOOKUP("Accounts Receivable",DCF!$B:$B,DCF!H:H))/_xlfn.XLOOKUP("Current Liabilities",DCF!$6:$6,DCF!10:10),"")</f>
        <v/>
      </c>
      <c r="R28" s="826">
        <f>+IFERROR((_xlfn.XLOOKUP("Cash &amp; Cash Equivalents &amp; ST Investments",DCF!$B:$B,DCF!I:I)+_xlfn.XLOOKUP("Accounts Receivable",DCF!$B:$B,DCF!I:I))/_xlfn.XLOOKUP("Current Liabilities",DCF!$6:$6,DCF!10:10),"")</f>
        <v/>
      </c>
    </row>
    <row r="29" ht="15" customHeight="1" s="783">
      <c r="B29" s="18" t="inlineStr">
        <is>
          <t>Current Ratio</t>
        </is>
      </c>
      <c r="F29" s="824">
        <f>IFERROR(_xlfn.XLOOKUP("Current Assets",Inputs!$B:$B,Inputs!G:G)/+_xlfn.XLOOKUP("Current Liabilities",Inputs!$B:$B,Inputs!G:G),"")</f>
        <v/>
      </c>
      <c r="G29" s="824">
        <f>IFERROR(_xlfn.XLOOKUP("Current Assets",Inputs!$B:$B,Inputs!H:H)/+_xlfn.XLOOKUP("Current Liabilities",Inputs!$B:$B,Inputs!H:H),"")</f>
        <v/>
      </c>
      <c r="H29" s="824">
        <f>IFERROR(_xlfn.XLOOKUP("Current Assets",Inputs!$B:$B,Inputs!I:I)/+_xlfn.XLOOKUP("Current Liabilities",Inputs!$B:$B,Inputs!I:I),"")</f>
        <v/>
      </c>
      <c r="I29" s="824">
        <f>IFERROR(_xlfn.XLOOKUP("Current Assets",Inputs!$B:$B,Inputs!J:J)/+_xlfn.XLOOKUP("Current Liabilities",Inputs!$B:$B,Inputs!J:J),"")</f>
        <v/>
      </c>
      <c r="J29" s="824">
        <f>IFERROR(_xlfn.XLOOKUP("Current Assets",Inputs!$B:$B,Inputs!K:K)/+_xlfn.XLOOKUP("Current Liabilities",Inputs!$B:$B,Inputs!K:K),"")</f>
        <v/>
      </c>
      <c r="K29" s="824">
        <f>IFERROR(_xlfn.XLOOKUP("Current Assets",Inputs!$B:$B,Inputs!L:L)/+_xlfn.XLOOKUP("Current Liabilities",Inputs!$B:$B,Inputs!L:L),"")</f>
        <v/>
      </c>
      <c r="L29" s="824">
        <f>IFERROR(_xlfn.XLOOKUP("Current Assets",Inputs!$B:$B,Inputs!M:M)/+_xlfn.XLOOKUP("Current Liabilities",Inputs!$B:$B,Inputs!M:M),"")</f>
        <v/>
      </c>
      <c r="M29" s="824">
        <f>IFERROR(_xlfn.XLOOKUP("Current Assets",Inputs!$B:$B,Inputs!N:N)/+_xlfn.XLOOKUP("Current Liabilities",Inputs!$B:$B,Inputs!N:N),"")</f>
        <v/>
      </c>
      <c r="N29" s="824">
        <f>IFERROR(_xlfn.XLOOKUP("Current Assets",Inputs!$B:$B,Inputs!O:O)/+_xlfn.XLOOKUP("Current Liabilities",Inputs!$B:$B,Inputs!O:O),"")</f>
        <v/>
      </c>
      <c r="O29" s="824">
        <f>IFERROR(_xlfn.XLOOKUP("Current Assets",Inputs!$B:$B,Inputs!P:P)/+_xlfn.XLOOKUP("Current Liabilities",Inputs!$B:$B,Inputs!P:P),"")</f>
        <v/>
      </c>
      <c r="P29" s="825">
        <f>IFERROR(_xlfn.XLOOKUP("Current Assets",Inputs!$B:$B,Inputs!Q:Q)/+_xlfn.XLOOKUP("Current Liabilities",Inputs!$B:$B,Inputs!Q:Q),"")</f>
        <v/>
      </c>
      <c r="Q29" s="826">
        <f>+IFERROR(_xlfn.XLOOKUP("Current Assets",DCF!$6:$6,DCF!10:10)/_xlfn.XLOOKUP("Current Liabilities",DCF!$6:$6,DCF!10:10),"")</f>
        <v/>
      </c>
      <c r="R29" s="826">
        <f>+IFERROR(_xlfn.XLOOKUP("Current Assets",DCF!$6:$6,DCF!10:10)/_xlfn.XLOOKUP("Current Liabilities",DCF!$6:$6,DCF!10:10),"")</f>
        <v/>
      </c>
    </row>
    <row r="30" ht="8.1" customHeight="1" s="783">
      <c r="N30" s="824" t="n"/>
      <c r="O30" s="824" t="n"/>
      <c r="P30" s="825" t="n"/>
      <c r="Q30" s="826" t="n"/>
      <c r="R30" s="826" t="n"/>
    </row>
    <row r="31" ht="15.75" customHeight="1" s="783">
      <c r="B31" s="7" t="inlineStr">
        <is>
          <t>Efficiency</t>
        </is>
      </c>
      <c r="C31" s="56" t="n"/>
      <c r="D31" s="58" t="n"/>
      <c r="E31" s="58" t="n"/>
      <c r="F31" s="1001" t="n">
        <v>2014</v>
      </c>
      <c r="G31" s="1001">
        <f>+F31+1</f>
        <v/>
      </c>
      <c r="H31" s="1001">
        <f>+G31+1</f>
        <v/>
      </c>
      <c r="I31" s="1001">
        <f>+H31+1</f>
        <v/>
      </c>
      <c r="J31" s="1001">
        <f>+I31+1</f>
        <v/>
      </c>
      <c r="K31" s="1001">
        <f>+J31+1</f>
        <v/>
      </c>
      <c r="L31" s="1001">
        <f>+K31+1</f>
        <v/>
      </c>
      <c r="M31" s="1001">
        <f>+L31+1</f>
        <v/>
      </c>
      <c r="N31" s="1001" t="n">
        <v>2022</v>
      </c>
      <c r="O31" s="1001">
        <f>+N31+1</f>
        <v/>
      </c>
      <c r="P31" s="1002">
        <f>+O31+1</f>
        <v/>
      </c>
      <c r="Q31" s="1003">
        <f>+P31+1</f>
        <v/>
      </c>
      <c r="R31" s="1003">
        <f>+Q31+1</f>
        <v/>
      </c>
    </row>
    <row r="32" ht="3.95" customHeight="1" s="783">
      <c r="B32" s="260" t="n"/>
      <c r="C32" s="53" t="n"/>
      <c r="D32" s="60" t="n"/>
      <c r="E32" s="60" t="n"/>
      <c r="F32" s="60" t="n"/>
      <c r="G32" s="60" t="n"/>
      <c r="H32" s="60" t="n"/>
      <c r="I32" s="60" t="n"/>
      <c r="J32" s="60" t="n"/>
      <c r="K32" s="60" t="n"/>
      <c r="L32" s="60" t="n"/>
      <c r="M32" s="60" t="n"/>
      <c r="N32" s="236" t="n"/>
      <c r="O32" s="236" t="n"/>
      <c r="P32" s="369" t="n"/>
      <c r="Q32" s="236" t="n"/>
      <c r="R32" s="236" t="n"/>
    </row>
    <row r="33" ht="15" customHeight="1" s="783">
      <c r="B33" s="18" t="inlineStr">
        <is>
          <t>Days Sales Outstanding</t>
        </is>
      </c>
      <c r="F33" s="267">
        <f>+_xlfn.XLOOKUP("DSO",Inputs!$B:$B,Inputs!G:G)</f>
        <v/>
      </c>
      <c r="G33" s="267">
        <f>+_xlfn.XLOOKUP("DSO",Inputs!$B:$B,Inputs!H:H)</f>
        <v/>
      </c>
      <c r="H33" s="267">
        <f>+_xlfn.XLOOKUP("DSO",Inputs!$B:$B,Inputs!I:I)</f>
        <v/>
      </c>
      <c r="I33" s="267">
        <f>+_xlfn.XLOOKUP("DSO",Inputs!$B:$B,Inputs!J:J)</f>
        <v/>
      </c>
      <c r="J33" s="267">
        <f>+_xlfn.XLOOKUP("DSO",Inputs!$B:$B,Inputs!K:K)</f>
        <v/>
      </c>
      <c r="K33" s="267">
        <f>+_xlfn.XLOOKUP("DSO",Inputs!$B:$B,Inputs!L:L)</f>
        <v/>
      </c>
      <c r="L33" s="267">
        <f>+_xlfn.XLOOKUP("DSO",Inputs!$B:$B,Inputs!M:M)</f>
        <v/>
      </c>
      <c r="M33" s="267">
        <f>+_xlfn.XLOOKUP("DSO",Inputs!$B:$B,Inputs!N:N)</f>
        <v/>
      </c>
      <c r="N33" s="267">
        <f>+_xlfn.XLOOKUP("DSO",Inputs!$B:$B,Inputs!O:O)</f>
        <v/>
      </c>
      <c r="O33" s="267">
        <f>+_xlfn.XLOOKUP("DSO",Inputs!$B:$B,Inputs!P:P)</f>
        <v/>
      </c>
      <c r="P33" s="373">
        <f>+_xlfn.XLOOKUP("DSO",Inputs!$B:$B,Inputs!Q:Q)</f>
        <v/>
      </c>
      <c r="Q33" s="378">
        <f>+_xlfn.XLOOKUP("DSO",DCF!$B:$B,DCF!H:H)</f>
        <v/>
      </c>
      <c r="R33" s="378">
        <f>+_xlfn.XLOOKUP("DSO",DCF!$B:$B,DCF!I:I)</f>
        <v/>
      </c>
    </row>
    <row r="34" ht="15" customHeight="1" s="783">
      <c r="B34" s="828" t="inlineStr">
        <is>
          <t>Days Payable Outstanding</t>
        </is>
      </c>
      <c r="F34" s="267">
        <f>+_xlfn.XLOOKUP("DPO",Inputs!$B:$B,Inputs!G:G)</f>
        <v/>
      </c>
      <c r="G34" s="267">
        <f>+_xlfn.XLOOKUP("DPO",Inputs!$B:$B,Inputs!H:H)</f>
        <v/>
      </c>
      <c r="H34" s="267">
        <f>+_xlfn.XLOOKUP("DPO",Inputs!$B:$B,Inputs!I:I)</f>
        <v/>
      </c>
      <c r="I34" s="267">
        <f>+_xlfn.XLOOKUP("DPO",Inputs!$B:$B,Inputs!J:J)</f>
        <v/>
      </c>
      <c r="J34" s="267">
        <f>+_xlfn.XLOOKUP("DPO",Inputs!$B:$B,Inputs!K:K)</f>
        <v/>
      </c>
      <c r="K34" s="267">
        <f>+_xlfn.XLOOKUP("DPO",Inputs!$B:$B,Inputs!L:L)</f>
        <v/>
      </c>
      <c r="L34" s="267">
        <f>+_xlfn.XLOOKUP("DPO",Inputs!$B:$B,Inputs!M:M)</f>
        <v/>
      </c>
      <c r="M34" s="267">
        <f>+_xlfn.XLOOKUP("DPO",Inputs!$B:$B,Inputs!N:N)</f>
        <v/>
      </c>
      <c r="N34" s="267">
        <f>+_xlfn.XLOOKUP("DPO",Inputs!$B:$B,Inputs!O:O)</f>
        <v/>
      </c>
      <c r="O34" s="267">
        <f>+_xlfn.XLOOKUP("DPO",Inputs!$B:$B,Inputs!P:P)</f>
        <v/>
      </c>
      <c r="P34" s="373">
        <f>+_xlfn.XLOOKUP("DPO",Inputs!$B:$B,Inputs!Q:Q)</f>
        <v/>
      </c>
      <c r="Q34" s="378">
        <f>+_xlfn.XLOOKUP("DPO",DCF!$B:$B,DCF!H:H)</f>
        <v/>
      </c>
      <c r="R34" s="378">
        <f>+_xlfn.XLOOKUP("DPO",DCF!$B:$B,DCF!I:I)</f>
        <v/>
      </c>
    </row>
    <row r="35" ht="15" customHeight="1" s="783">
      <c r="B35" s="828" t="inlineStr">
        <is>
          <t>Days Inventory Outstanding</t>
        </is>
      </c>
      <c r="F35" s="267">
        <f>+_xlfn.XLOOKUP("DIH",Inputs!$B:$B,Inputs!G:G)</f>
        <v/>
      </c>
      <c r="G35" s="267">
        <f>+_xlfn.XLOOKUP("DIH",Inputs!$B:$B,Inputs!H:H)</f>
        <v/>
      </c>
      <c r="H35" s="267">
        <f>+_xlfn.XLOOKUP("DIH",Inputs!$B:$B,Inputs!I:I)</f>
        <v/>
      </c>
      <c r="I35" s="267">
        <f>+_xlfn.XLOOKUP("DIH",Inputs!$B:$B,Inputs!J:J)</f>
        <v/>
      </c>
      <c r="J35" s="267">
        <f>+_xlfn.XLOOKUP("DIH",Inputs!$B:$B,Inputs!K:K)</f>
        <v/>
      </c>
      <c r="K35" s="267">
        <f>+_xlfn.XLOOKUP("DIH",Inputs!$B:$B,Inputs!L:L)</f>
        <v/>
      </c>
      <c r="L35" s="267">
        <f>+_xlfn.XLOOKUP("DIH",Inputs!$B:$B,Inputs!M:M)</f>
        <v/>
      </c>
      <c r="M35" s="267">
        <f>+_xlfn.XLOOKUP("DIH",Inputs!$B:$B,Inputs!N:N)</f>
        <v/>
      </c>
      <c r="N35" s="267">
        <f>+_xlfn.XLOOKUP("DIH",Inputs!$B:$B,Inputs!O:O)</f>
        <v/>
      </c>
      <c r="O35" s="267">
        <f>+_xlfn.XLOOKUP("DIH",Inputs!$B:$B,Inputs!P:P)</f>
        <v/>
      </c>
      <c r="P35" s="373">
        <f>+_xlfn.XLOOKUP("DIH",Inputs!$B:$B,Inputs!Q:Q)</f>
        <v/>
      </c>
      <c r="Q35" s="378">
        <f>+_xlfn.XLOOKUP("DIH",DCF!$B:$B,DCF!H:H)</f>
        <v/>
      </c>
      <c r="R35" s="378">
        <f>+_xlfn.XLOOKUP("DIH",DCF!$B:$B,DCF!I:I)</f>
        <v/>
      </c>
    </row>
    <row r="36" ht="15" customHeight="1" s="783">
      <c r="B36" s="828" t="inlineStr">
        <is>
          <t>Cash Conversion Cycle</t>
        </is>
      </c>
      <c r="F36" s="267">
        <f>IFERROR(F35+F33-F34,"")</f>
        <v/>
      </c>
      <c r="G36" s="267">
        <f>IFERROR(G35+G33-G34,"")</f>
        <v/>
      </c>
      <c r="H36" s="267">
        <f>IFERROR(H35+H33-H34,"")</f>
        <v/>
      </c>
      <c r="I36" s="267">
        <f>IFERROR(I35+I33-I34,"")</f>
        <v/>
      </c>
      <c r="J36" s="267">
        <f>IFERROR(J35+J33-J34,"")</f>
        <v/>
      </c>
      <c r="K36" s="267">
        <f>IFERROR(K35+K33-K34,"")</f>
        <v/>
      </c>
      <c r="L36" s="267">
        <f>IFERROR(L35+L33-L34,"")</f>
        <v/>
      </c>
      <c r="M36" s="267">
        <f>IFERROR(M35+M33-M34,"")</f>
        <v/>
      </c>
      <c r="N36" s="267">
        <f>IFERROR(N35+N33-N34,"")</f>
        <v/>
      </c>
      <c r="O36" s="267">
        <f>IFERROR(O35+O33-O34,"")</f>
        <v/>
      </c>
      <c r="P36" s="373">
        <f>IFERROR(P35+P33-P34,"")</f>
        <v/>
      </c>
      <c r="Q36" s="378">
        <f>IFERROR(Q35+Q33-Q34,"")</f>
        <v/>
      </c>
      <c r="R36" s="378">
        <f>IFERROR(R35+R33-R34,"")</f>
        <v/>
      </c>
    </row>
    <row r="37" ht="8.1" customHeight="1" s="783">
      <c r="N37" s="263" t="n"/>
      <c r="O37" s="263" t="n"/>
      <c r="P37" s="370" t="n"/>
      <c r="Q37" s="375" t="n"/>
      <c r="R37" s="375" t="n"/>
    </row>
    <row r="38" ht="15.75" customHeight="1" s="783">
      <c r="B38" s="7" t="inlineStr">
        <is>
          <t>Leverage</t>
        </is>
      </c>
      <c r="C38" s="56" t="n"/>
      <c r="D38" s="58" t="n"/>
      <c r="E38" s="58" t="n"/>
      <c r="F38" s="1001" t="n">
        <v>2014</v>
      </c>
      <c r="G38" s="1001">
        <f>+F38+1</f>
        <v/>
      </c>
      <c r="H38" s="1001">
        <f>+G38+1</f>
        <v/>
      </c>
      <c r="I38" s="1001">
        <f>+H38+1</f>
        <v/>
      </c>
      <c r="J38" s="1001">
        <f>+I38+1</f>
        <v/>
      </c>
      <c r="K38" s="1001">
        <f>+J38+1</f>
        <v/>
      </c>
      <c r="L38" s="1001">
        <f>+K38+1</f>
        <v/>
      </c>
      <c r="M38" s="1001">
        <f>+L38+1</f>
        <v/>
      </c>
      <c r="N38" s="1001" t="n">
        <v>2022</v>
      </c>
      <c r="O38" s="1001">
        <f>+N38+1</f>
        <v/>
      </c>
      <c r="P38" s="1002">
        <f>+O38+1</f>
        <v/>
      </c>
      <c r="Q38" s="1003">
        <f>+P38+1</f>
        <v/>
      </c>
      <c r="R38" s="1003">
        <f>+Q38+1</f>
        <v/>
      </c>
    </row>
    <row r="39" ht="3.95" customHeight="1" s="783">
      <c r="B39" s="260" t="n"/>
      <c r="C39" s="53" t="n"/>
      <c r="D39" s="60" t="n"/>
      <c r="E39" s="60" t="n"/>
      <c r="F39" s="60" t="n"/>
      <c r="G39" s="60" t="n"/>
      <c r="H39" s="60" t="n"/>
      <c r="I39" s="60" t="n"/>
      <c r="J39" s="60" t="n"/>
      <c r="K39" s="60" t="n"/>
      <c r="L39" s="60" t="n"/>
      <c r="M39" s="60" t="n"/>
      <c r="N39" s="236" t="n"/>
      <c r="O39" s="236" t="n"/>
      <c r="P39" s="369" t="n"/>
      <c r="Q39" s="236" t="n"/>
      <c r="R39" s="236" t="n"/>
    </row>
    <row r="40" ht="15" customHeight="1" s="783">
      <c r="B40" s="18" t="inlineStr">
        <is>
          <t>Total Debt / Equity</t>
        </is>
      </c>
      <c r="F40" s="824">
        <f>+IFERROR(_xlfn.XLOOKUP("Total Debt",Inputs!$B:$B,Inputs!G:G)*1000/+_xlfn.XLOOKUP("Shareholder's Equity",Inputs!$B:$B,Inputs!G:G),"")</f>
        <v/>
      </c>
      <c r="G40" s="824">
        <f>+IFERROR(_xlfn.XLOOKUP("Total Debt",Inputs!$B:$B,Inputs!H:H)*1000/+_xlfn.XLOOKUP("Shareholder's Equity",Inputs!$B:$B,Inputs!H:H),"")</f>
        <v/>
      </c>
      <c r="H40" s="824">
        <f>+IFERROR(_xlfn.XLOOKUP("Total Debt",Inputs!$B:$B,Inputs!I:I)*1000/+_xlfn.XLOOKUP("Shareholder's Equity",Inputs!$B:$B,Inputs!I:I),"")</f>
        <v/>
      </c>
      <c r="I40" s="824">
        <f>+IFERROR(_xlfn.XLOOKUP("Total Debt",Inputs!$B:$B,Inputs!J:J)*1000/+_xlfn.XLOOKUP("Shareholder's Equity",Inputs!$B:$B,Inputs!J:J),"")</f>
        <v/>
      </c>
      <c r="J40" s="824">
        <f>+IFERROR(_xlfn.XLOOKUP("Total Debt",Inputs!$B:$B,Inputs!K:K)*1000/+_xlfn.XLOOKUP("Shareholder's Equity",Inputs!$B:$B,Inputs!K:K),"")</f>
        <v/>
      </c>
      <c r="K40" s="824">
        <f>+IFERROR(_xlfn.XLOOKUP("Total Debt",Inputs!$B:$B,Inputs!L:L)*1000/+_xlfn.XLOOKUP("Shareholder's Equity",Inputs!$B:$B,Inputs!L:L),"")</f>
        <v/>
      </c>
      <c r="L40" s="824">
        <f>+IFERROR(_xlfn.XLOOKUP("Total Debt",Inputs!$B:$B,Inputs!M:M)*1000/+_xlfn.XLOOKUP("Shareholder's Equity",Inputs!$B:$B,Inputs!M:M),"")</f>
        <v/>
      </c>
      <c r="M40" s="824">
        <f>+IFERROR(_xlfn.XLOOKUP("Total Debt",Inputs!$B:$B,Inputs!N:N)*1000/+_xlfn.XLOOKUP("Shareholder's Equity",Inputs!$B:$B,Inputs!N:N),"")</f>
        <v/>
      </c>
      <c r="N40" s="824">
        <f>+IFERROR(_xlfn.XLOOKUP("Total Debt",Inputs!$B:$B,Inputs!O:O)*1000/+_xlfn.XLOOKUP("Shareholder's Equity",Inputs!$B:$B,Inputs!O:O),"")</f>
        <v/>
      </c>
      <c r="O40" s="824">
        <f>+IFERROR(_xlfn.XLOOKUP("Total Debt",Inputs!$B:$B,Inputs!P:P)*1000/+_xlfn.XLOOKUP("Shareholder's Equity",Inputs!$B:$B,Inputs!P:P),"")</f>
        <v/>
      </c>
      <c r="P40" s="825">
        <f>+IFERROR(_xlfn.XLOOKUP("Total Debt",Inputs!$B:$B,Inputs!Q:Q)*1000/+_xlfn.XLOOKUP("Shareholder's Equity",Inputs!$B:$B,Inputs!Q:Q),"")</f>
        <v/>
      </c>
      <c r="Q40" s="826">
        <f>IFERROR((_xlfn.XLOOKUP("Total Borrowings",DCF!$B:$B,DCF!G:G)+_xlfn.XLOOKUP("Total Leases",DCF!$B:$B,DCF!G:G))/_xlfn.XLOOKUP("Shareholder's Equity",DCF!$6:$6,DCF!10:10),"")</f>
        <v/>
      </c>
      <c r="R40" s="826">
        <f>IFERROR((_xlfn.XLOOKUP("Total Borrowings",DCF!$B:$B,DCF!H:H)+_xlfn.XLOOKUP("Total Leases",DCF!$B:$B,DCF!H:H))/_xlfn.XLOOKUP("Shareholder's Equity",DCF!$6:$6,DCF!10:10),"")</f>
        <v/>
      </c>
    </row>
    <row r="41" ht="15" customHeight="1" s="783">
      <c r="B41" s="828" t="inlineStr">
        <is>
          <t>Total Debt / Capital</t>
        </is>
      </c>
      <c r="F41" s="824">
        <f>+IFERROR(_xlfn.XLOOKUP("Total Debt",Inputs!$B:$B,Inputs!G:G)*1000/(+_xlfn.XLOOKUP("Shareholder's Equity",Inputs!$B:$B,Inputs!G:G)+_xlfn.XLOOKUP("Total Debt",Inputs!$B:$B,Inputs!G:G)*1000),"")</f>
        <v/>
      </c>
      <c r="G41" s="824">
        <f>+IFERROR(_xlfn.XLOOKUP("Total Debt",Inputs!$B:$B,Inputs!H:H)*1000/(+_xlfn.XLOOKUP("Shareholder's Equity",Inputs!$B:$B,Inputs!H:H)+_xlfn.XLOOKUP("Total Debt",Inputs!$B:$B,Inputs!H:H)*1000),"")</f>
        <v/>
      </c>
      <c r="H41" s="824">
        <f>+IFERROR(_xlfn.XLOOKUP("Total Debt",Inputs!$B:$B,Inputs!I:I)*1000/(+_xlfn.XLOOKUP("Shareholder's Equity",Inputs!$B:$B,Inputs!I:I)+_xlfn.XLOOKUP("Total Debt",Inputs!$B:$B,Inputs!I:I)*1000),"")</f>
        <v/>
      </c>
      <c r="I41" s="824">
        <f>+IFERROR(_xlfn.XLOOKUP("Total Debt",Inputs!$B:$B,Inputs!J:J)*1000/(+_xlfn.XLOOKUP("Shareholder's Equity",Inputs!$B:$B,Inputs!J:J)+_xlfn.XLOOKUP("Total Debt",Inputs!$B:$B,Inputs!J:J)*1000),"")</f>
        <v/>
      </c>
      <c r="J41" s="824">
        <f>+IFERROR(_xlfn.XLOOKUP("Total Debt",Inputs!$B:$B,Inputs!K:K)*1000/(+_xlfn.XLOOKUP("Shareholder's Equity",Inputs!$B:$B,Inputs!K:K)+_xlfn.XLOOKUP("Total Debt",Inputs!$B:$B,Inputs!K:K)*1000),"")</f>
        <v/>
      </c>
      <c r="K41" s="824">
        <f>+IFERROR(_xlfn.XLOOKUP("Total Debt",Inputs!$B:$B,Inputs!L:L)*1000/(+_xlfn.XLOOKUP("Shareholder's Equity",Inputs!$B:$B,Inputs!L:L)+_xlfn.XLOOKUP("Total Debt",Inputs!$B:$B,Inputs!L:L)*1000),"")</f>
        <v/>
      </c>
      <c r="L41" s="824">
        <f>+IFERROR(_xlfn.XLOOKUP("Total Debt",Inputs!$B:$B,Inputs!M:M)*1000/(+_xlfn.XLOOKUP("Shareholder's Equity",Inputs!$B:$B,Inputs!M:M)+_xlfn.XLOOKUP("Total Debt",Inputs!$B:$B,Inputs!M:M)*1000),"")</f>
        <v/>
      </c>
      <c r="M41" s="824">
        <f>+IFERROR(_xlfn.XLOOKUP("Total Debt",Inputs!$B:$B,Inputs!N:N)*1000/(+_xlfn.XLOOKUP("Shareholder's Equity",Inputs!$B:$B,Inputs!N:N)+_xlfn.XLOOKUP("Total Debt",Inputs!$B:$B,Inputs!N:N)*1000),"")</f>
        <v/>
      </c>
      <c r="N41" s="824">
        <f>+IFERROR(_xlfn.XLOOKUP("Total Debt",Inputs!$B:$B,Inputs!O:O)*1000/(+_xlfn.XLOOKUP("Shareholder's Equity",Inputs!$B:$B,Inputs!O:O)+_xlfn.XLOOKUP("Total Debt",Inputs!$B:$B,Inputs!O:O)*1000),"")</f>
        <v/>
      </c>
      <c r="O41" s="824">
        <f>+IFERROR(_xlfn.XLOOKUP("Total Debt",Inputs!$B:$B,Inputs!P:P)*1000/(+_xlfn.XLOOKUP("Shareholder's Equity",Inputs!$B:$B,Inputs!P:P)+_xlfn.XLOOKUP("Total Debt",Inputs!$B:$B,Inputs!P:P)*1000),"")</f>
        <v/>
      </c>
      <c r="P41" s="825">
        <f>+IFERROR(_xlfn.XLOOKUP("Total Debt",Inputs!$B:$B,Inputs!Q:Q)*1000/(+_xlfn.XLOOKUP("Shareholder's Equity",Inputs!$B:$B,Inputs!Q:Q)+_xlfn.XLOOKUP("Total Debt",Inputs!$B:$B,Inputs!Q:Q)*1000),"")</f>
        <v/>
      </c>
      <c r="Q41" s="826">
        <f>IFERROR((_xlfn.XLOOKUP("Total Borrowings",DCF!$B:$B,DCF!G:G)+_xlfn.XLOOKUP("Total Leases",DCF!$B:$B,DCF!G:G))/(_xlfn.XLOOKUP("Shareholder's Equity",DCF!$6:$6,DCF!10:10)+_xlfn.XLOOKUP("Total Borrowings",DCF!$B:$B,DCF!G:G)+_xlfn.XLOOKUP("Total Leases",DCF!$B:$B,DCF!G:G)),"")</f>
        <v/>
      </c>
      <c r="R41" s="826">
        <f>IFERROR((_xlfn.XLOOKUP("Total Borrowings",DCF!$B:$B,DCF!H:H)+_xlfn.XLOOKUP("Total Leases",DCF!$B:$B,DCF!H:H))/(_xlfn.XLOOKUP("Shareholder's Equity",DCF!$6:$6,DCF!10:10)+_xlfn.XLOOKUP("Total Borrowings",DCF!$B:$B,DCF!H:H)+_xlfn.XLOOKUP("Total Leases",DCF!$B:$B,DCF!H:H)),"")</f>
        <v/>
      </c>
    </row>
    <row r="42" ht="15" customHeight="1" s="783">
      <c r="B42" s="828" t="inlineStr">
        <is>
          <t>Total Liabilities / Total Assets</t>
        </is>
      </c>
      <c r="F42" s="824">
        <f>IFERROR(_xlfn.XLOOKUP("Total Liabilities",Inputs!$B:$B,Inputs!G:G)/_xlfn.XLOOKUP("Total Assets",Inputs!$B:$B,Inputs!G:G),"")</f>
        <v/>
      </c>
      <c r="G42" s="824">
        <f>IFERROR(_xlfn.XLOOKUP("Total Liabilities",Inputs!$B:$B,Inputs!H:H)/_xlfn.XLOOKUP("Total Assets",Inputs!$B:$B,Inputs!H:H),"")</f>
        <v/>
      </c>
      <c r="H42" s="824">
        <f>IFERROR(_xlfn.XLOOKUP("Total Liabilities",Inputs!$B:$B,Inputs!I:I)/_xlfn.XLOOKUP("Total Assets",Inputs!$B:$B,Inputs!I:I),"")</f>
        <v/>
      </c>
      <c r="I42" s="824">
        <f>IFERROR(_xlfn.XLOOKUP("Total Liabilities",Inputs!$B:$B,Inputs!J:J)/_xlfn.XLOOKUP("Total Assets",Inputs!$B:$B,Inputs!J:J),"")</f>
        <v/>
      </c>
      <c r="J42" s="824">
        <f>IFERROR(_xlfn.XLOOKUP("Total Liabilities",Inputs!$B:$B,Inputs!K:K)/_xlfn.XLOOKUP("Total Assets",Inputs!$B:$B,Inputs!K:K),"")</f>
        <v/>
      </c>
      <c r="K42" s="824">
        <f>IFERROR(_xlfn.XLOOKUP("Total Liabilities",Inputs!$B:$B,Inputs!L:L)/_xlfn.XLOOKUP("Total Assets",Inputs!$B:$B,Inputs!L:L),"")</f>
        <v/>
      </c>
      <c r="L42" s="824">
        <f>IFERROR(_xlfn.XLOOKUP("Total Liabilities",Inputs!$B:$B,Inputs!M:M)/_xlfn.XLOOKUP("Total Assets",Inputs!$B:$B,Inputs!M:M),"")</f>
        <v/>
      </c>
      <c r="M42" s="824">
        <f>IFERROR(_xlfn.XLOOKUP("Total Liabilities",Inputs!$B:$B,Inputs!N:N)/_xlfn.XLOOKUP("Total Assets",Inputs!$B:$B,Inputs!N:N),"")</f>
        <v/>
      </c>
      <c r="N42" s="824">
        <f>IFERROR(_xlfn.XLOOKUP("Total Liabilities",Inputs!$B:$B,Inputs!O:O)/_xlfn.XLOOKUP("Total Assets",Inputs!$B:$B,Inputs!O:O),"")</f>
        <v/>
      </c>
      <c r="O42" s="824">
        <f>IFERROR(_xlfn.XLOOKUP("Total Liabilities",Inputs!$B:$B,Inputs!P:P)/_xlfn.XLOOKUP("Total Assets",Inputs!$B:$B,Inputs!P:P),"")</f>
        <v/>
      </c>
      <c r="P42" s="825">
        <f>IFERROR(_xlfn.XLOOKUP("Total Liabilities",Inputs!$B:$B,Inputs!Q:Q)/_xlfn.XLOOKUP("Total Assets",Inputs!$B:$B,Inputs!Q:Q),"")</f>
        <v/>
      </c>
      <c r="Q42" s="826">
        <f>IFERROR(+_xlfn.XLOOKUP("Total Liabilities",DCF!$6:$6,DCF!10:10)/_xlfn.XLOOKUP("Total Assets",DCF!$6:$6,DCF!10:10),"")</f>
        <v/>
      </c>
      <c r="R42" s="826">
        <f>IFERROR(+_xlfn.XLOOKUP("Total Liabilities",DCF!$6:$6,DCF!10:10)/_xlfn.XLOOKUP("Total Assets",DCF!$6:$6,DCF!10:10),"")</f>
        <v/>
      </c>
    </row>
    <row r="43" ht="15" customHeight="1" s="783">
      <c r="B43" s="18" t="inlineStr">
        <is>
          <t>Total Debt / EBITDA</t>
        </is>
      </c>
      <c r="F43" s="824">
        <f>+IFERROR(_xlfn.XLOOKUP("Total Debt",Inputs!$B:$B,Inputs!G:G,,,-1)/_xlfn.XLOOKUP("EBITDA",Inputs!$B:$B,Inputs!G:G),"")</f>
        <v/>
      </c>
      <c r="G43" s="824">
        <f>+IFERROR(_xlfn.XLOOKUP("Total Debt",Inputs!$B:$B,Inputs!H:H,,,-1)/_xlfn.XLOOKUP("EBITDA",Inputs!$B:$B,Inputs!H:H),"")</f>
        <v/>
      </c>
      <c r="H43" s="824">
        <f>+IFERROR(_xlfn.XLOOKUP("Total Debt",Inputs!$B:$B,Inputs!I:I,,,-1)/_xlfn.XLOOKUP("EBITDA",Inputs!$B:$B,Inputs!I:I),"")</f>
        <v/>
      </c>
      <c r="I43" s="824">
        <f>+IFERROR(_xlfn.XLOOKUP("Total Debt",Inputs!$B:$B,Inputs!J:J,,,-1)/_xlfn.XLOOKUP("EBITDA",Inputs!$B:$B,Inputs!J:J),"")</f>
        <v/>
      </c>
      <c r="J43" s="824">
        <f>+IFERROR(_xlfn.XLOOKUP("Total Debt",Inputs!$B:$B,Inputs!K:K,,,-1)/_xlfn.XLOOKUP("EBITDA",Inputs!$B:$B,Inputs!K:K),"")</f>
        <v/>
      </c>
      <c r="K43" s="824">
        <f>+IFERROR(_xlfn.XLOOKUP("Total Debt",Inputs!$B:$B,Inputs!L:L,,,-1)/_xlfn.XLOOKUP("EBITDA",Inputs!$B:$B,Inputs!L:L),"")</f>
        <v/>
      </c>
      <c r="L43" s="824">
        <f>+IFERROR(_xlfn.XLOOKUP("Total Debt",Inputs!$B:$B,Inputs!M:M,,,-1)/_xlfn.XLOOKUP("EBITDA",Inputs!$B:$B,Inputs!M:M),"")</f>
        <v/>
      </c>
      <c r="M43" s="824">
        <f>+IFERROR(_xlfn.XLOOKUP("Total Debt",Inputs!$B:$B,Inputs!N:N,,,-1)/_xlfn.XLOOKUP("EBITDA",Inputs!$B:$B,Inputs!N:N),"")</f>
        <v/>
      </c>
      <c r="N43" s="824">
        <f>+IFERROR(_xlfn.XLOOKUP("Total Debt",Inputs!$B:$B,Inputs!O:O,,,-1)/_xlfn.XLOOKUP("EBITDA",Inputs!$B:$B,Inputs!O:O),"")</f>
        <v/>
      </c>
      <c r="O43" s="824">
        <f>+IFERROR(_xlfn.XLOOKUP("Total Debt",Inputs!$B:$B,Inputs!P:P,,,-1)/_xlfn.XLOOKUP("EBITDA",Inputs!$B:$B,Inputs!P:P),"")</f>
        <v/>
      </c>
      <c r="P43" s="825">
        <f>+IFERROR(_xlfn.XLOOKUP("Total Debt",Inputs!$B:$B,Inputs!Q:Q,,,-1)/_xlfn.XLOOKUP("EBITDA",Inputs!$B:$B,Inputs!Q:Q),"")</f>
        <v/>
      </c>
      <c r="Q43" s="826">
        <f>IFERROR((_xlfn.XLOOKUP("Total Borrowings",DCF!$B:$B,DCF!G:G)+_xlfn.XLOOKUP("Total Leases",DCF!$B:$B,DCF!G:G))/_xlfn.XLOOKUP("EBITDA",DCF!$B:$B,DCF!H:H),"")</f>
        <v/>
      </c>
      <c r="R43" s="826">
        <f>IFERROR((_xlfn.XLOOKUP("Total Borrowings",DCF!$B:$B,DCF!H:H)+_xlfn.XLOOKUP("Total Leases",DCF!$B:$B,DCF!H:H))/_xlfn.XLOOKUP("EBITDA",DCF!$B:$B,DCF!I:I),"")</f>
        <v/>
      </c>
    </row>
    <row r="44" ht="15" customHeight="1" s="783">
      <c r="B44" s="18" t="inlineStr">
        <is>
          <t>Total Debt / (EBITDA - Capex)</t>
        </is>
      </c>
      <c r="F44" s="824">
        <f>IFERROR(_xlfn.XLOOKUP("Total Debt",Inputs!$B:$B,Inputs!G:G,,,-1)/(_xlfn.XLOOKUP("EBITDA",Inputs!$B:$B,Inputs!G:G)+_xlfn.XLOOKUP("Net Capex",Inputs!$B:$B,Inputs!G:G)),"")</f>
        <v/>
      </c>
      <c r="G44" s="824">
        <f>IFERROR(_xlfn.XLOOKUP("Total Debt",Inputs!$B:$B,Inputs!H:H,,,-1)/(_xlfn.XLOOKUP("EBITDA",Inputs!$B:$B,Inputs!H:H)+_xlfn.XLOOKUP("Net Capex",Inputs!$B:$B,Inputs!H:H)),"")</f>
        <v/>
      </c>
      <c r="H44" s="824">
        <f>IFERROR(_xlfn.XLOOKUP("Total Debt",Inputs!$B:$B,Inputs!I:I,,,-1)/(_xlfn.XLOOKUP("EBITDA",Inputs!$B:$B,Inputs!I:I)+_xlfn.XLOOKUP("Net Capex",Inputs!$B:$B,Inputs!I:I)),"")</f>
        <v/>
      </c>
      <c r="I44" s="824">
        <f>IFERROR(_xlfn.XLOOKUP("Total Debt",Inputs!$B:$B,Inputs!J:J,,,-1)/(_xlfn.XLOOKUP("EBITDA",Inputs!$B:$B,Inputs!J:J)+_xlfn.XLOOKUP("Net Capex",Inputs!$B:$B,Inputs!J:J)),"")</f>
        <v/>
      </c>
      <c r="J44" s="824">
        <f>IFERROR(_xlfn.XLOOKUP("Total Debt",Inputs!$B:$B,Inputs!K:K,,,-1)/(_xlfn.XLOOKUP("EBITDA",Inputs!$B:$B,Inputs!K:K)+_xlfn.XLOOKUP("Net Capex",Inputs!$B:$B,Inputs!K:K)),"")</f>
        <v/>
      </c>
      <c r="K44" s="824">
        <f>IFERROR(_xlfn.XLOOKUP("Total Debt",Inputs!$B:$B,Inputs!L:L,,,-1)/(_xlfn.XLOOKUP("EBITDA",Inputs!$B:$B,Inputs!L:L)+_xlfn.XLOOKUP("Net Capex",Inputs!$B:$B,Inputs!L:L)),"")</f>
        <v/>
      </c>
      <c r="L44" s="824">
        <f>IFERROR(_xlfn.XLOOKUP("Total Debt",Inputs!$B:$B,Inputs!M:M,,,-1)/(_xlfn.XLOOKUP("EBITDA",Inputs!$B:$B,Inputs!M:M)+_xlfn.XLOOKUP("Net Capex",Inputs!$B:$B,Inputs!M:M)),"")</f>
        <v/>
      </c>
      <c r="M44" s="824">
        <f>IFERROR(_xlfn.XLOOKUP("Total Debt",Inputs!$B:$B,Inputs!N:N,,,-1)/(_xlfn.XLOOKUP("EBITDA",Inputs!$B:$B,Inputs!N:N)+_xlfn.XLOOKUP("Net Capex",Inputs!$B:$B,Inputs!N:N)),"")</f>
        <v/>
      </c>
      <c r="N44" s="824">
        <f>IFERROR(_xlfn.XLOOKUP("Total Debt",Inputs!$B:$B,Inputs!O:O,,,-1)/(_xlfn.XLOOKUP("EBITDA",Inputs!$B:$B,Inputs!O:O)+_xlfn.XLOOKUP("Net Capex",Inputs!$B:$B,Inputs!O:O)),"")</f>
        <v/>
      </c>
      <c r="O44" s="824">
        <f>IFERROR(_xlfn.XLOOKUP("Total Debt",Inputs!$B:$B,Inputs!P:P,,,-1)/(_xlfn.XLOOKUP("EBITDA",Inputs!$B:$B,Inputs!P:P)+_xlfn.XLOOKUP("Net Capex",Inputs!$B:$B,Inputs!P:P)),"")</f>
        <v/>
      </c>
      <c r="P44" s="825">
        <f>IFERROR(_xlfn.XLOOKUP("Total Debt",Inputs!$B:$B,Inputs!Q:Q,,,-1)/(_xlfn.XLOOKUP("EBITDA",Inputs!$B:$B,Inputs!Q:Q)+_xlfn.XLOOKUP("Net Capex",Inputs!$B:$B,Inputs!Q:Q)),"")</f>
        <v/>
      </c>
      <c r="Q44" s="826">
        <f>IFERROR((_xlfn.XLOOKUP("Total Borrowings",DCF!$B:$B,DCF!G:G)+_xlfn.XLOOKUP("Total Leases",DCF!$B:$B,DCF!G:G))/(_xlfn.XLOOKUP("EBITDA",DCF!$B:$B,DCF!H:H)+_xlfn.XLOOKUP("Net Capex",DCF!$B:$B,DCF!H:H)),"")</f>
        <v/>
      </c>
      <c r="R44" s="826">
        <f>IFERROR((_xlfn.XLOOKUP("Total Borrowings",DCF!$B:$B,DCF!H:H)+_xlfn.XLOOKUP("Total Leases",DCF!$B:$B,DCF!H:H))/(_xlfn.XLOOKUP("EBITDA",DCF!$B:$B,DCF!I:I)+_xlfn.XLOOKUP("Net Capex",DCF!$B:$B,DCF!I:I)),"")</f>
        <v/>
      </c>
    </row>
    <row r="45" ht="15" customHeight="1" s="783">
      <c r="B45" s="18" t="inlineStr">
        <is>
          <t>Net Debt / EBITDA</t>
        </is>
      </c>
      <c r="F45" s="824">
        <f>+IFERROR(_xlfn.XLOOKUP("Net Debt",Inputs!$B:$B,Inputs!G:G,,,-1)/_xlfn.XLOOKUP("EBITDA",Inputs!$B:$B,Inputs!G:G),"")</f>
        <v/>
      </c>
      <c r="G45" s="824">
        <f>+IFERROR(_xlfn.XLOOKUP("Net Debt",Inputs!$B:$B,Inputs!H:H,,,-1)/_xlfn.XLOOKUP("EBITDA",Inputs!$B:$B,Inputs!H:H),"")</f>
        <v/>
      </c>
      <c r="H45" s="824">
        <f>+IFERROR(_xlfn.XLOOKUP("Net Debt",Inputs!$B:$B,Inputs!I:I,,,-1)/_xlfn.XLOOKUP("EBITDA",Inputs!$B:$B,Inputs!I:I),"")</f>
        <v/>
      </c>
      <c r="I45" s="824">
        <f>+IFERROR(_xlfn.XLOOKUP("Net Debt",Inputs!$B:$B,Inputs!J:J,,,-1)/_xlfn.XLOOKUP("EBITDA",Inputs!$B:$B,Inputs!J:J),"")</f>
        <v/>
      </c>
      <c r="J45" s="824">
        <f>+IFERROR(_xlfn.XLOOKUP("Net Debt",Inputs!$B:$B,Inputs!K:K,,,-1)/_xlfn.XLOOKUP("EBITDA",Inputs!$B:$B,Inputs!K:K),"")</f>
        <v/>
      </c>
      <c r="K45" s="824">
        <f>+IFERROR(_xlfn.XLOOKUP("Net Debt",Inputs!$B:$B,Inputs!L:L,,,-1)/_xlfn.XLOOKUP("EBITDA",Inputs!$B:$B,Inputs!L:L),"")</f>
        <v/>
      </c>
      <c r="L45" s="824">
        <f>+IFERROR(_xlfn.XLOOKUP("Net Debt",Inputs!$B:$B,Inputs!M:M,,,-1)/_xlfn.XLOOKUP("EBITDA",Inputs!$B:$B,Inputs!M:M),"")</f>
        <v/>
      </c>
      <c r="M45" s="824">
        <f>+IFERROR(_xlfn.XLOOKUP("Net Debt",Inputs!$B:$B,Inputs!N:N,,,-1)/_xlfn.XLOOKUP("EBITDA",Inputs!$B:$B,Inputs!N:N),"")</f>
        <v/>
      </c>
      <c r="N45" s="824">
        <f>+IFERROR(_xlfn.XLOOKUP("Net Debt",Inputs!$B:$B,Inputs!O:O,,,-1)/_xlfn.XLOOKUP("EBITDA",Inputs!$B:$B,Inputs!O:O),"")</f>
        <v/>
      </c>
      <c r="O45" s="824">
        <f>+IFERROR(_xlfn.XLOOKUP("Net Debt",Inputs!$B:$B,Inputs!P:P,,,-1)/_xlfn.XLOOKUP("EBITDA",Inputs!$B:$B,Inputs!P:P),"")</f>
        <v/>
      </c>
      <c r="P45" s="825">
        <f>+IFERROR(_xlfn.XLOOKUP("Net Debt",Inputs!$B:$B,Inputs!Q:Q,,,-1)/_xlfn.XLOOKUP("EBITDA",Inputs!$B:$B,Inputs!Q:Q),"")</f>
        <v/>
      </c>
      <c r="Q45" s="826">
        <f>IFERROR((_xlfn.XLOOKUP("Total Borrowings",DCF!$B:$B,DCF!G:G)+_xlfn.XLOOKUP("Total Leases",DCF!$B:$B,DCF!G:G)-_xlfn.XLOOKUP("Cash &amp; Cash Equivalents &amp; ST Investments",DCF!$B:$B,DCF!G:G))/_xlfn.XLOOKUP("EBITDA",DCF!$B:$B,DCF!H:H),"")</f>
        <v/>
      </c>
      <c r="R45" s="826">
        <f>IFERROR((_xlfn.XLOOKUP("Total Borrowings",DCF!$B:$B,DCF!H:H)+_xlfn.XLOOKUP("Total Leases",DCF!$B:$B,DCF!H:H)-_xlfn.XLOOKUP("Cash &amp; Cash Equivalents &amp; ST Investments",DCF!$B:$B,DCF!H:H))/_xlfn.XLOOKUP("EBITDA",DCF!$B:$B,DCF!I:I),"")</f>
        <v/>
      </c>
    </row>
    <row r="46" ht="8.1" customHeight="1" s="783">
      <c r="B46" s="828" t="n"/>
      <c r="N46" s="263" t="n"/>
      <c r="O46" s="263" t="n"/>
      <c r="P46" s="370" t="n"/>
      <c r="Q46" s="375" t="n"/>
      <c r="R46" s="375" t="n"/>
    </row>
    <row r="47" ht="15.75" customHeight="1" s="783">
      <c r="B47" s="7" t="inlineStr">
        <is>
          <t>Interest Coverage</t>
        </is>
      </c>
      <c r="C47" s="56" t="n"/>
      <c r="D47" s="58" t="n"/>
      <c r="E47" s="58" t="n"/>
      <c r="F47" s="1001" t="n">
        <v>2014</v>
      </c>
      <c r="G47" s="1001">
        <f>+F47+1</f>
        <v/>
      </c>
      <c r="H47" s="1001">
        <f>+G47+1</f>
        <v/>
      </c>
      <c r="I47" s="1001">
        <f>+H47+1</f>
        <v/>
      </c>
      <c r="J47" s="1001">
        <f>+I47+1</f>
        <v/>
      </c>
      <c r="K47" s="1001">
        <f>+J47+1</f>
        <v/>
      </c>
      <c r="L47" s="1001">
        <f>+K47+1</f>
        <v/>
      </c>
      <c r="M47" s="1001">
        <f>+L47+1</f>
        <v/>
      </c>
      <c r="N47" s="1001" t="n">
        <v>2022</v>
      </c>
      <c r="O47" s="1001">
        <f>+N47+1</f>
        <v/>
      </c>
      <c r="P47" s="1002">
        <f>+O47+1</f>
        <v/>
      </c>
      <c r="Q47" s="1003">
        <f>+P47+1</f>
        <v/>
      </c>
      <c r="R47" s="1003">
        <f>+Q47+1</f>
        <v/>
      </c>
    </row>
    <row r="48" ht="3.95" customHeight="1" s="783">
      <c r="B48" s="260" t="n"/>
      <c r="C48" s="53" t="n"/>
      <c r="D48" s="60" t="n"/>
      <c r="E48" s="60" t="n"/>
      <c r="F48" s="60" t="n"/>
      <c r="G48" s="60" t="n"/>
      <c r="H48" s="60" t="n"/>
      <c r="I48" s="60" t="n"/>
      <c r="J48" s="60" t="n"/>
      <c r="K48" s="60" t="n"/>
      <c r="L48" s="60" t="n"/>
      <c r="M48" s="60" t="n"/>
      <c r="N48" s="236" t="n"/>
      <c r="O48" s="236" t="n"/>
      <c r="P48" s="369" t="n"/>
      <c r="Q48" s="236" t="n"/>
      <c r="R48" s="236" t="n"/>
    </row>
    <row r="49" ht="15" customHeight="1" s="783">
      <c r="B49" s="828" t="inlineStr">
        <is>
          <t>EBIT / Interest Expense</t>
        </is>
      </c>
      <c r="F49" s="824">
        <f>IFERROR(_xlfn.XLOOKUP("Operating Income (EBIT)",Inputs!$B:$B,Inputs!G:G)/_xlfn.XLOOKUP("Interest Expense",Inputs!$B:$B,Inputs!G:G),"N/A")</f>
        <v/>
      </c>
      <c r="G49" s="824">
        <f>IFERROR(_xlfn.XLOOKUP("Operating Income (EBIT)",Inputs!$B:$B,Inputs!H:H)/_xlfn.XLOOKUP("Interest Expense",Inputs!$B:$B,Inputs!H:H),"N/A")</f>
        <v/>
      </c>
      <c r="H49" s="824">
        <f>IFERROR(_xlfn.XLOOKUP("Operating Income (EBIT)",Inputs!$B:$B,Inputs!I:I)/_xlfn.XLOOKUP("Interest Expense",Inputs!$B:$B,Inputs!I:I),"N/A")</f>
        <v/>
      </c>
      <c r="I49" s="824">
        <f>IFERROR(_xlfn.XLOOKUP("Operating Income (EBIT)",Inputs!$B:$B,Inputs!J:J)/_xlfn.XLOOKUP("Interest Expense",Inputs!$B:$B,Inputs!J:J),"N/A")</f>
        <v/>
      </c>
      <c r="J49" s="824">
        <f>IFERROR(_xlfn.XLOOKUP("Operating Income (EBIT)",Inputs!$B:$B,Inputs!K:K)/_xlfn.XLOOKUP("Interest Expense",Inputs!$B:$B,Inputs!K:K),"N/A")</f>
        <v/>
      </c>
      <c r="K49" s="824">
        <f>IFERROR(_xlfn.XLOOKUP("Operating Income (EBIT)",Inputs!$B:$B,Inputs!L:L)/_xlfn.XLOOKUP("Interest Expense",Inputs!$B:$B,Inputs!L:L),"N/A")</f>
        <v/>
      </c>
      <c r="L49" s="824">
        <f>IFERROR(_xlfn.XLOOKUP("Operating Income (EBIT)",Inputs!$B:$B,Inputs!M:M)/_xlfn.XLOOKUP("Interest Expense",Inputs!$B:$B,Inputs!M:M),"N/A")</f>
        <v/>
      </c>
      <c r="M49" s="824">
        <f>IFERROR(_xlfn.XLOOKUP("Operating Income (EBIT)",Inputs!$B:$B,Inputs!N:N)/_xlfn.XLOOKUP("Interest Expense",Inputs!$B:$B,Inputs!N:N),"N/A")</f>
        <v/>
      </c>
      <c r="N49" s="824">
        <f>IFERROR(_xlfn.XLOOKUP("Operating Income (EBIT)",Inputs!$B:$B,Inputs!O:O)/_xlfn.XLOOKUP("Interest Expense",Inputs!$B:$B,Inputs!O:O),"N/A")</f>
        <v/>
      </c>
      <c r="O49" s="824">
        <f>IFERROR(_xlfn.XLOOKUP("Operating Income (EBIT)",Inputs!$B:$B,Inputs!P:P)/_xlfn.XLOOKUP("Interest Expense",Inputs!$B:$B,Inputs!P:P),"N/A")</f>
        <v/>
      </c>
      <c r="P49" s="825">
        <f>IFERROR(_xlfn.XLOOKUP("Operating Income (EBIT)",Inputs!$B:$B,Inputs!Q:Q)/_xlfn.XLOOKUP("Interest Expense",Inputs!$B:$B,Inputs!Q:Q),"N/A")</f>
        <v/>
      </c>
      <c r="Q49" s="826">
        <f>IFERROR(_xlfn.XLOOKUP("EBIT",DCF!$B:$B,DCF!H:H)/_xlfn.XLOOKUP("Interest Expense",DCF!$B:$B,DCF!H:H),"N/A")</f>
        <v/>
      </c>
      <c r="R49" s="826">
        <f>IFERROR(_xlfn.XLOOKUP("EBIT",DCF!$B:$B,DCF!I:I)/_xlfn.XLOOKUP("Interest Expense",DCF!$B:$B,DCF!I:I),"N/A")</f>
        <v/>
      </c>
    </row>
    <row r="50" ht="15" customHeight="1" s="783">
      <c r="B50" s="18" t="inlineStr">
        <is>
          <t>EBITDA / Interest Expense</t>
        </is>
      </c>
      <c r="F50" s="824">
        <f>IFERROR(_xlfn.XLOOKUP("EBITDA",Inputs!$B:$B,Inputs!G:G)/_xlfn.XLOOKUP("Interest Expense",Inputs!$B:$B,Inputs!G:G),"N/A")</f>
        <v/>
      </c>
      <c r="G50" s="824">
        <f>IFERROR(_xlfn.XLOOKUP("EBITDA",Inputs!$B:$B,Inputs!H:H)/_xlfn.XLOOKUP("Interest Expense",Inputs!$B:$B,Inputs!H:H),"N/A")</f>
        <v/>
      </c>
      <c r="H50" s="824">
        <f>IFERROR(_xlfn.XLOOKUP("EBITDA",Inputs!$B:$B,Inputs!I:I)/_xlfn.XLOOKUP("Interest Expense",Inputs!$B:$B,Inputs!I:I),"N/A")</f>
        <v/>
      </c>
      <c r="I50" s="824">
        <f>IFERROR(_xlfn.XLOOKUP("EBITDA",Inputs!$B:$B,Inputs!J:J)/_xlfn.XLOOKUP("Interest Expense",Inputs!$B:$B,Inputs!J:J),"N/A")</f>
        <v/>
      </c>
      <c r="J50" s="824">
        <f>IFERROR(_xlfn.XLOOKUP("EBITDA",Inputs!$B:$B,Inputs!K:K)/_xlfn.XLOOKUP("Interest Expense",Inputs!$B:$B,Inputs!K:K),"N/A")</f>
        <v/>
      </c>
      <c r="K50" s="824">
        <f>IFERROR(_xlfn.XLOOKUP("EBITDA",Inputs!$B:$B,Inputs!L:L)/_xlfn.XLOOKUP("Interest Expense",Inputs!$B:$B,Inputs!L:L),"N/A")</f>
        <v/>
      </c>
      <c r="L50" s="824">
        <f>IFERROR(_xlfn.XLOOKUP("EBITDA",Inputs!$B:$B,Inputs!M:M)/_xlfn.XLOOKUP("Interest Expense",Inputs!$B:$B,Inputs!M:M),"N/A")</f>
        <v/>
      </c>
      <c r="M50" s="824">
        <f>IFERROR(_xlfn.XLOOKUP("EBITDA",Inputs!$B:$B,Inputs!N:N)/_xlfn.XLOOKUP("Interest Expense",Inputs!$B:$B,Inputs!N:N),"N/A")</f>
        <v/>
      </c>
      <c r="N50" s="824">
        <f>IFERROR(_xlfn.XLOOKUP("EBITDA",Inputs!$B:$B,Inputs!O:O)/_xlfn.XLOOKUP("Interest Expense",Inputs!$B:$B,Inputs!O:O),"N/A")</f>
        <v/>
      </c>
      <c r="O50" s="824">
        <f>IFERROR(_xlfn.XLOOKUP("EBITDA",Inputs!$B:$B,Inputs!P:P)/_xlfn.XLOOKUP("Interest Expense",Inputs!$B:$B,Inputs!P:P),"N/A")</f>
        <v/>
      </c>
      <c r="P50" s="825">
        <f>IFERROR(_xlfn.XLOOKUP("EBITDA",Inputs!$B:$B,Inputs!Q:Q)/_xlfn.XLOOKUP("Interest Expense",Inputs!$B:$B,Inputs!Q:Q),"N/A")</f>
        <v/>
      </c>
      <c r="Q50" s="826">
        <f>IFERROR(_xlfn.XLOOKUP("EBITDA",DCF!$B:$B,DCF!H:H)/_xlfn.XLOOKUP("Interest Expense",DCF!$B:$B,DCF!H:H),"N/A")</f>
        <v/>
      </c>
      <c r="R50" s="826">
        <f>IFERROR(_xlfn.XLOOKUP("EBITDA",DCF!$B:$B,DCF!I:I)/_xlfn.XLOOKUP("Interest Expense",DCF!$B:$B,DCF!I:I),"N/A")</f>
        <v/>
      </c>
    </row>
    <row r="51" ht="15" customHeight="1" s="783">
      <c r="B51" s="18" t="inlineStr">
        <is>
          <t>(EBITDA - Capex) / Interest Expense</t>
        </is>
      </c>
      <c r="F51" s="824">
        <f>IFERROR((_xlfn.XLOOKUP("EBITDA",Inputs!$B:$B,Inputs!G:G)-_xlfn.XLOOKUP("Net Capex",Inputs!$B:$B,Inputs!G:G))/_xlfn.XLOOKUP("Interest Expense",Inputs!$B:$B,Inputs!G:G),"N/A")</f>
        <v/>
      </c>
      <c r="G51" s="824">
        <f>IFERROR((_xlfn.XLOOKUP("EBITDA",Inputs!$B:$B,Inputs!H:H)-_xlfn.XLOOKUP("Net Capex",Inputs!$B:$B,Inputs!H:H))/_xlfn.XLOOKUP("Interest Expense",Inputs!$B:$B,Inputs!H:H),"N/A")</f>
        <v/>
      </c>
      <c r="H51" s="824">
        <f>IFERROR((_xlfn.XLOOKUP("EBITDA",Inputs!$B:$B,Inputs!I:I)-_xlfn.XLOOKUP("Net Capex",Inputs!$B:$B,Inputs!I:I))/_xlfn.XLOOKUP("Interest Expense",Inputs!$B:$B,Inputs!I:I),"N/A")</f>
        <v/>
      </c>
      <c r="I51" s="824">
        <f>IFERROR((_xlfn.XLOOKUP("EBITDA",Inputs!$B:$B,Inputs!J:J)-_xlfn.XLOOKUP("Net Capex",Inputs!$B:$B,Inputs!J:J))/_xlfn.XLOOKUP("Interest Expense",Inputs!$B:$B,Inputs!J:J),"N/A")</f>
        <v/>
      </c>
      <c r="J51" s="824">
        <f>IFERROR((_xlfn.XLOOKUP("EBITDA",Inputs!$B:$B,Inputs!K:K)-_xlfn.XLOOKUP("Net Capex",Inputs!$B:$B,Inputs!K:K))/_xlfn.XLOOKUP("Interest Expense",Inputs!$B:$B,Inputs!K:K),"N/A")</f>
        <v/>
      </c>
      <c r="K51" s="824">
        <f>IFERROR((_xlfn.XLOOKUP("EBITDA",Inputs!$B:$B,Inputs!L:L)-_xlfn.XLOOKUP("Net Capex",Inputs!$B:$B,Inputs!L:L))/_xlfn.XLOOKUP("Interest Expense",Inputs!$B:$B,Inputs!L:L),"N/A")</f>
        <v/>
      </c>
      <c r="L51" s="824">
        <f>IFERROR((_xlfn.XLOOKUP("EBITDA",Inputs!$B:$B,Inputs!M:M)-_xlfn.XLOOKUP("Net Capex",Inputs!$B:$B,Inputs!M:M))/_xlfn.XLOOKUP("Interest Expense",Inputs!$B:$B,Inputs!M:M),"N/A")</f>
        <v/>
      </c>
      <c r="M51" s="824">
        <f>IFERROR((_xlfn.XLOOKUP("EBITDA",Inputs!$B:$B,Inputs!N:N)-_xlfn.XLOOKUP("Net Capex",Inputs!$B:$B,Inputs!N:N))/_xlfn.XLOOKUP("Interest Expense",Inputs!$B:$B,Inputs!N:N),"N/A")</f>
        <v/>
      </c>
      <c r="N51" s="824">
        <f>IFERROR((_xlfn.XLOOKUP("EBITDA",Inputs!$B:$B,Inputs!O:O)-_xlfn.XLOOKUP("Net Capex",Inputs!$B:$B,Inputs!O:O))/_xlfn.XLOOKUP("Interest Expense",Inputs!$B:$B,Inputs!O:O),"N/A")</f>
        <v/>
      </c>
      <c r="O51" s="824">
        <f>IFERROR((_xlfn.XLOOKUP("EBITDA",Inputs!$B:$B,Inputs!P:P)-_xlfn.XLOOKUP("Net Capex",Inputs!$B:$B,Inputs!P:P))/_xlfn.XLOOKUP("Interest Expense",Inputs!$B:$B,Inputs!P:P),"N/A")</f>
        <v/>
      </c>
      <c r="P51" s="825">
        <f>IFERROR((_xlfn.XLOOKUP("EBITDA",Inputs!$B:$B,Inputs!Q:Q)-_xlfn.XLOOKUP("Net Capex",Inputs!$B:$B,Inputs!Q:Q))/_xlfn.XLOOKUP("Interest Expense",Inputs!$B:$B,Inputs!Q:Q),"N/A")</f>
        <v/>
      </c>
      <c r="Q51" s="826">
        <f>IFERROR((_xlfn.XLOOKUP("EBITDA",DCF!$B:$B,DCF!H:H)-_xlfn.XLOOKUP("Net Capex",DCF!$B:$B,DCF!H:H))/_xlfn.XLOOKUP("Interest Expense",DCF!$B:$B,DCF!H:H),"N/A")</f>
        <v/>
      </c>
      <c r="R51" s="826">
        <f>IFERROR((_xlfn.XLOOKUP("EBITDA",DCF!$B:$B,DCF!I:I)-_xlfn.XLOOKUP("Net Capex",DCF!$B:$B,DCF!I:I))/_xlfn.XLOOKUP("Interest Expense",DCF!$B:$B,DCF!I:I),"N/A")</f>
        <v/>
      </c>
    </row>
    <row r="52">
      <c r="P52" s="368" t="n"/>
      <c r="Q52" s="379" t="n"/>
      <c r="R52" s="379" t="n"/>
    </row>
    <row r="53" ht="15.75" customHeight="1" s="783">
      <c r="B53" s="7" t="inlineStr">
        <is>
          <t>Cash Flow Ratios</t>
        </is>
      </c>
      <c r="C53" s="56" t="n"/>
      <c r="D53" s="58" t="n"/>
      <c r="E53" s="58" t="n"/>
      <c r="F53" s="1001" t="n">
        <v>2014</v>
      </c>
      <c r="G53" s="1001">
        <f>+F53+1</f>
        <v/>
      </c>
      <c r="H53" s="1001">
        <f>+G53+1</f>
        <v/>
      </c>
      <c r="I53" s="1001">
        <f>+H53+1</f>
        <v/>
      </c>
      <c r="J53" s="1001">
        <f>+I53+1</f>
        <v/>
      </c>
      <c r="K53" s="1001">
        <f>+J53+1</f>
        <v/>
      </c>
      <c r="L53" s="1001">
        <f>+K53+1</f>
        <v/>
      </c>
      <c r="M53" s="1001">
        <f>+L53+1</f>
        <v/>
      </c>
      <c r="N53" s="1001" t="n">
        <v>2022</v>
      </c>
      <c r="O53" s="1001">
        <f>+N53+1</f>
        <v/>
      </c>
      <c r="P53" s="1002">
        <f>+O53+1</f>
        <v/>
      </c>
      <c r="Q53" s="1003">
        <f>+P53+1</f>
        <v/>
      </c>
      <c r="R53" s="1003">
        <f>+Q53+1</f>
        <v/>
      </c>
    </row>
    <row r="54" ht="3.75" customHeight="1" s="783">
      <c r="B54" s="260" t="n"/>
      <c r="C54" s="53" t="n"/>
      <c r="D54" s="60" t="n"/>
      <c r="E54" s="60" t="n"/>
      <c r="F54" s="60" t="n"/>
      <c r="G54" s="60" t="n"/>
      <c r="H54" s="60" t="n"/>
      <c r="I54" s="60" t="n"/>
      <c r="J54" s="60" t="n"/>
      <c r="K54" s="60" t="n"/>
      <c r="L54" s="60" t="n"/>
      <c r="M54" s="60" t="n"/>
      <c r="N54" s="236" t="n"/>
      <c r="O54" s="236" t="n"/>
      <c r="P54" s="369" t="n"/>
      <c r="Q54" s="236" t="n"/>
      <c r="R54" s="236" t="n"/>
    </row>
    <row r="55" ht="15" customHeight="1" s="783">
      <c r="B55" s="18" t="inlineStr">
        <is>
          <t>Cash Flow Margin</t>
        </is>
      </c>
      <c r="F55" s="385">
        <f>+IFERROR(_xlfn.XLOOKUP("Operating Cash Flow",Inputs!$B:$B,Inputs!G:G,,,-1)/_xlfn.XLOOKUP("Revenue (Sales)",Inputs!$B:$B,Inputs!G:G),"")</f>
        <v/>
      </c>
      <c r="G55" s="385">
        <f>+IFERROR(_xlfn.XLOOKUP("Operating Cash Flow",Inputs!$B:$B,Inputs!H:H,,,-1)/_xlfn.XLOOKUP("Revenue (Sales)",Inputs!$B:$B,Inputs!H:H),"")</f>
        <v/>
      </c>
      <c r="H55" s="385">
        <f>+IFERROR(_xlfn.XLOOKUP("Operating Cash Flow",Inputs!$B:$B,Inputs!I:I,,,-1)/_xlfn.XLOOKUP("Revenue (Sales)",Inputs!$B:$B,Inputs!I:I),"")</f>
        <v/>
      </c>
      <c r="I55" s="385">
        <f>+IFERROR(_xlfn.XLOOKUP("Operating Cash Flow",Inputs!$B:$B,Inputs!J:J,,,-1)/_xlfn.XLOOKUP("Revenue (Sales)",Inputs!$B:$B,Inputs!J:J),"")</f>
        <v/>
      </c>
      <c r="J55" s="385">
        <f>+IFERROR(_xlfn.XLOOKUP("Operating Cash Flow",Inputs!$B:$B,Inputs!K:K,,,-1)/_xlfn.XLOOKUP("Revenue (Sales)",Inputs!$B:$B,Inputs!K:K),"")</f>
        <v/>
      </c>
      <c r="K55" s="385">
        <f>+IFERROR(_xlfn.XLOOKUP("Operating Cash Flow",Inputs!$B:$B,Inputs!L:L,,,-1)/_xlfn.XLOOKUP("Revenue (Sales)",Inputs!$B:$B,Inputs!L:L),"")</f>
        <v/>
      </c>
      <c r="L55" s="385">
        <f>+IFERROR(_xlfn.XLOOKUP("Operating Cash Flow",Inputs!$B:$B,Inputs!M:M,,,-1)/_xlfn.XLOOKUP("Revenue (Sales)",Inputs!$B:$B,Inputs!M:M),"")</f>
        <v/>
      </c>
      <c r="M55" s="385">
        <f>+IFERROR(_xlfn.XLOOKUP("Operating Cash Flow",Inputs!$B:$B,Inputs!N:N,,,-1)/_xlfn.XLOOKUP("Revenue (Sales)",Inputs!$B:$B,Inputs!N:N),"")</f>
        <v/>
      </c>
      <c r="N55" s="385">
        <f>+IFERROR(_xlfn.XLOOKUP("Operating Cash Flow",Inputs!$B:$B,Inputs!O:O,,,-1)/_xlfn.XLOOKUP("Revenue (Sales)",Inputs!$B:$B,Inputs!O:O),"")</f>
        <v/>
      </c>
      <c r="O55" s="385">
        <f>+IFERROR(_xlfn.XLOOKUP("Operating Cash Flow",Inputs!$B:$B,Inputs!P:P,,,-1)/_xlfn.XLOOKUP("Revenue (Sales)",Inputs!$B:$B,Inputs!P:P),"")</f>
        <v/>
      </c>
      <c r="P55" s="386">
        <f>+IFERROR(_xlfn.XLOOKUP("Operating Cash Flow",Inputs!$B:$B,Inputs!Q:Q,,,-1)/_xlfn.XLOOKUP("Revenue (Sales)",Inputs!$B:$B,Inputs!Q:Q),"")</f>
        <v/>
      </c>
      <c r="Q55" s="387">
        <f>IFERROR(_xlfn.XLOOKUP("Operating Cash Flow",DCF!$B:$B,DCF!H:H)/_xlfn.XLOOKUP("Revenue (Sales)",DCF!$B:$B,DCF!H:H),"")</f>
        <v/>
      </c>
      <c r="R55" s="387">
        <f>IFERROR(_xlfn.XLOOKUP("Operating Cash Flow",DCF!$B:$B,DCF!I:I)/_xlfn.XLOOKUP("Revenue (Sales)",DCF!$B:$B,DCF!I:I),"")</f>
        <v/>
      </c>
    </row>
    <row r="56" ht="15" customHeight="1" s="783">
      <c r="B56" s="18" t="inlineStr">
        <is>
          <t>Cash Flow to Net Income</t>
        </is>
      </c>
      <c r="F56" s="385">
        <f>IFERROR(_xlfn.XLOOKUP("Net Changes in Cash",Inputs!$B:$B,Inputs!G:G,,,-1)/_xlfn.XLOOKUP("Net Income",Inputs!$B:$B,Inputs!G:G),"")</f>
        <v/>
      </c>
      <c r="G56" s="385">
        <f>IFERROR(_xlfn.XLOOKUP("Net Changes in Cash",Inputs!$B:$B,Inputs!H:H,,,-1)/_xlfn.XLOOKUP("Net Income",Inputs!$B:$B,Inputs!H:H),"")</f>
        <v/>
      </c>
      <c r="H56" s="385">
        <f>IFERROR(_xlfn.XLOOKUP("Net Changes in Cash",Inputs!$B:$B,Inputs!I:I,,,-1)/_xlfn.XLOOKUP("Net Income",Inputs!$B:$B,Inputs!I:I),"")</f>
        <v/>
      </c>
      <c r="I56" s="385">
        <f>IFERROR(_xlfn.XLOOKUP("Net Changes in Cash",Inputs!$B:$B,Inputs!J:J,,,-1)/_xlfn.XLOOKUP("Net Income",Inputs!$B:$B,Inputs!J:J),"")</f>
        <v/>
      </c>
      <c r="J56" s="385">
        <f>IFERROR(_xlfn.XLOOKUP("Net Changes in Cash",Inputs!$B:$B,Inputs!K:K,,,-1)/_xlfn.XLOOKUP("Net Income",Inputs!$B:$B,Inputs!K:K),"")</f>
        <v/>
      </c>
      <c r="K56" s="385">
        <f>IFERROR(_xlfn.XLOOKUP("Net Changes in Cash",Inputs!$B:$B,Inputs!L:L,,,-1)/_xlfn.XLOOKUP("Net Income",Inputs!$B:$B,Inputs!L:L),"")</f>
        <v/>
      </c>
      <c r="L56" s="385">
        <f>IFERROR(_xlfn.XLOOKUP("Net Changes in Cash",Inputs!$B:$B,Inputs!M:M,,,-1)/_xlfn.XLOOKUP("Net Income",Inputs!$B:$B,Inputs!M:M),"")</f>
        <v/>
      </c>
      <c r="M56" s="385">
        <f>IFERROR(_xlfn.XLOOKUP("Net Changes in Cash",Inputs!$B:$B,Inputs!N:N,,,-1)/_xlfn.XLOOKUP("Net Income",Inputs!$B:$B,Inputs!N:N),"")</f>
        <v/>
      </c>
      <c r="N56" s="385">
        <f>IFERROR(_xlfn.XLOOKUP("Net Changes in Cash",Inputs!$B:$B,Inputs!O:O,,,-1)/_xlfn.XLOOKUP("Net Income",Inputs!$B:$B,Inputs!O:O),"")</f>
        <v/>
      </c>
      <c r="O56" s="385">
        <f>IFERROR(_xlfn.XLOOKUP("Net Changes in Cash",Inputs!$B:$B,Inputs!P:P,,,-1)/_xlfn.XLOOKUP("Net Income",Inputs!$B:$B,Inputs!P:P),"")</f>
        <v/>
      </c>
      <c r="P56" s="386">
        <f>IFERROR(_xlfn.XLOOKUP("Net Changes in Cash",Inputs!$B:$B,Inputs!Q:Q,,,-1)/_xlfn.XLOOKUP("Net Income",Inputs!$B:$B,Inputs!Q:Q),"")</f>
        <v/>
      </c>
      <c r="Q56" s="387">
        <f>IFERROR(_xlfn.XLOOKUP("Net Changes in Cash",DCF!$B:$B,DCF!H:H)/_xlfn.XLOOKUP("Net Income",DCF!$B:$B,DCF!H:H),"")</f>
        <v/>
      </c>
      <c r="R56" s="387">
        <f>IFERROR(_xlfn.XLOOKUP("Net Changes in Cash",DCF!$B:$B,DCF!I:I)/_xlfn.XLOOKUP("Net Income",DCF!$B:$B,DCF!I:I),"")</f>
        <v/>
      </c>
    </row>
    <row r="57" ht="15" customHeight="1" s="783">
      <c r="B57" s="18" t="inlineStr">
        <is>
          <t>CFO to Net Income</t>
        </is>
      </c>
      <c r="F57" s="385">
        <f>IFERROR(_xlfn.XLOOKUP("Operating Cash Flow",Inputs!$B:$B,Inputs!G:G,,,-1)/_xlfn.XLOOKUP("Net Income",Inputs!$B:$B,Inputs!G:G),"")</f>
        <v/>
      </c>
      <c r="G57" s="385">
        <f>IFERROR(_xlfn.XLOOKUP("Operating Cash Flow",Inputs!$B:$B,Inputs!H:H,,,-1)/_xlfn.XLOOKUP("Net Income",Inputs!$B:$B,Inputs!H:H),"")</f>
        <v/>
      </c>
      <c r="H57" s="385">
        <f>IFERROR(_xlfn.XLOOKUP("Operating Cash Flow",Inputs!$B:$B,Inputs!I:I,,,-1)/_xlfn.XLOOKUP("Net Income",Inputs!$B:$B,Inputs!I:I),"")</f>
        <v/>
      </c>
      <c r="I57" s="385">
        <f>IFERROR(_xlfn.XLOOKUP("Operating Cash Flow",Inputs!$B:$B,Inputs!J:J,,,-1)/_xlfn.XLOOKUP("Net Income",Inputs!$B:$B,Inputs!J:J),"")</f>
        <v/>
      </c>
      <c r="J57" s="385">
        <f>IFERROR(_xlfn.XLOOKUP("Operating Cash Flow",Inputs!$B:$B,Inputs!K:K,,,-1)/_xlfn.XLOOKUP("Net Income",Inputs!$B:$B,Inputs!K:K),"")</f>
        <v/>
      </c>
      <c r="K57" s="385">
        <f>IFERROR(_xlfn.XLOOKUP("Operating Cash Flow",Inputs!$B:$B,Inputs!L:L,,,-1)/_xlfn.XLOOKUP("Net Income",Inputs!$B:$B,Inputs!L:L),"")</f>
        <v/>
      </c>
      <c r="L57" s="385">
        <f>IFERROR(_xlfn.XLOOKUP("Operating Cash Flow",Inputs!$B:$B,Inputs!M:M,,,-1)/_xlfn.XLOOKUP("Net Income",Inputs!$B:$B,Inputs!M:M),"")</f>
        <v/>
      </c>
      <c r="M57" s="385">
        <f>IFERROR(_xlfn.XLOOKUP("Operating Cash Flow",Inputs!$B:$B,Inputs!N:N,,,-1)/_xlfn.XLOOKUP("Net Income",Inputs!$B:$B,Inputs!N:N),"")</f>
        <v/>
      </c>
      <c r="N57" s="385">
        <f>IFERROR(_xlfn.XLOOKUP("Operating Cash Flow",Inputs!$B:$B,Inputs!O:O,,,-1)/_xlfn.XLOOKUP("Net Income",Inputs!$B:$B,Inputs!O:O),"")</f>
        <v/>
      </c>
      <c r="O57" s="385">
        <f>IFERROR(_xlfn.XLOOKUP("Operating Cash Flow",Inputs!$B:$B,Inputs!P:P,,,-1)/_xlfn.XLOOKUP("Net Income",Inputs!$B:$B,Inputs!P:P),"")</f>
        <v/>
      </c>
      <c r="P57" s="386">
        <f>IFERROR(_xlfn.XLOOKUP("Operating Cash Flow",Inputs!$B:$B,Inputs!Q:Q,,,-1)/_xlfn.XLOOKUP("Net Income",Inputs!$B:$B,Inputs!Q:Q),"")</f>
        <v/>
      </c>
      <c r="Q57" s="387">
        <f>IFERROR(_xlfn.XLOOKUP("Operating Cash Flow",DCF!$B:$B,DCF!H:H)/_xlfn.XLOOKUP("Net Income",DCF!$B:$B,DCF!H:H),"")</f>
        <v/>
      </c>
      <c r="R57" s="387">
        <f>IFERROR(_xlfn.XLOOKUP("Operating Cash Flow",DCF!$B:$B,DCF!I:I)/_xlfn.XLOOKUP("Net Income",DCF!$B:$B,DCF!I:I),"")</f>
        <v/>
      </c>
    </row>
    <row r="58" ht="15" customHeight="1" s="783">
      <c r="B58" s="18" t="inlineStr">
        <is>
          <t>Net Capex to CFO</t>
        </is>
      </c>
      <c r="F58" s="385">
        <f>IFERROR(_xlfn.XLOOKUP("Net Capex",Inputs!$B:$B,Inputs!G:G,,,-1)/_xlfn.XLOOKUP("Operating Cash Flow",Inputs!$B:$B,Inputs!G:G),"")</f>
        <v/>
      </c>
      <c r="G58" s="385">
        <f>IFERROR(_xlfn.XLOOKUP("Net Capex",Inputs!$B:$B,Inputs!H:H,,,-1)/_xlfn.XLOOKUP("Operating Cash Flow",Inputs!$B:$B,Inputs!H:H),"")</f>
        <v/>
      </c>
      <c r="H58" s="385">
        <f>IFERROR(_xlfn.XLOOKUP("Net Capex",Inputs!$B:$B,Inputs!I:I,,,-1)/_xlfn.XLOOKUP("Operating Cash Flow",Inputs!$B:$B,Inputs!I:I),"")</f>
        <v/>
      </c>
      <c r="I58" s="385">
        <f>IFERROR(_xlfn.XLOOKUP("Net Capex",Inputs!$B:$B,Inputs!J:J,,,-1)/_xlfn.XLOOKUP("Operating Cash Flow",Inputs!$B:$B,Inputs!J:J),"")</f>
        <v/>
      </c>
      <c r="J58" s="385">
        <f>IFERROR(_xlfn.XLOOKUP("Net Capex",Inputs!$B:$B,Inputs!K:K,,,-1)/_xlfn.XLOOKUP("Operating Cash Flow",Inputs!$B:$B,Inputs!K:K),"")</f>
        <v/>
      </c>
      <c r="K58" s="385">
        <f>IFERROR(_xlfn.XLOOKUP("Net Capex",Inputs!$B:$B,Inputs!L:L,,,-1)/_xlfn.XLOOKUP("Operating Cash Flow",Inputs!$B:$B,Inputs!L:L),"")</f>
        <v/>
      </c>
      <c r="L58" s="385">
        <f>IFERROR(_xlfn.XLOOKUP("Net Capex",Inputs!$B:$B,Inputs!M:M,,,-1)/_xlfn.XLOOKUP("Operating Cash Flow",Inputs!$B:$B,Inputs!M:M),"")</f>
        <v/>
      </c>
      <c r="M58" s="385">
        <f>IFERROR(_xlfn.XLOOKUP("Net Capex",Inputs!$B:$B,Inputs!N:N,,,-1)/_xlfn.XLOOKUP("Operating Cash Flow",Inputs!$B:$B,Inputs!N:N),"")</f>
        <v/>
      </c>
      <c r="N58" s="385">
        <f>IFERROR(_xlfn.XLOOKUP("Net Capex",Inputs!$B:$B,Inputs!O:O,,,-1)/_xlfn.XLOOKUP("Operating Cash Flow",Inputs!$B:$B,Inputs!O:O),"")</f>
        <v/>
      </c>
      <c r="O58" s="385">
        <f>IFERROR(_xlfn.XLOOKUP("Net Capex",Inputs!$B:$B,Inputs!P:P,,,-1)/_xlfn.XLOOKUP("Operating Cash Flow",Inputs!$B:$B,Inputs!P:P),"")</f>
        <v/>
      </c>
      <c r="P58" s="386">
        <f>IFERROR(_xlfn.XLOOKUP("Net Capex",Inputs!$B:$B,Inputs!Q:Q,,,-1)/_xlfn.XLOOKUP("Operating Cash Flow",Inputs!$B:$B,Inputs!Q:Q),"")</f>
        <v/>
      </c>
      <c r="Q58" s="387">
        <f>IFERROR(_xlfn.XLOOKUP("Net Capex",DCF!$B:$B,DCF!H:H)/_xlfn.XLOOKUP("Operating Cash Flow",DCF!$B:$B,DCF!H:H),"")</f>
        <v/>
      </c>
      <c r="R58" s="387">
        <f>IFERROR(_xlfn.XLOOKUP("Net Capex",DCF!$B:$B,DCF!I:I)/_xlfn.XLOOKUP("Operating Cash Flow",DCF!$B:$B,DCF!I:I),"")</f>
        <v/>
      </c>
    </row>
    <row r="59" ht="15" customHeight="1" s="783">
      <c r="B59" s="18" t="inlineStr">
        <is>
          <t>CFI to CFO</t>
        </is>
      </c>
      <c r="F59" s="385">
        <f>IFERROR(_xlfn.XLOOKUP("Investing Cash Flow",Inputs!$B:$B,Inputs!G:G,,,-1)/_xlfn.XLOOKUP("Operating Cash Flow",Inputs!$B:$B,Inputs!G:G),"")</f>
        <v/>
      </c>
      <c r="G59" s="385">
        <f>IFERROR(_xlfn.XLOOKUP("Investing Cash Flow",Inputs!$B:$B,Inputs!H:H,,,-1)/_xlfn.XLOOKUP("Operating Cash Flow",Inputs!$B:$B,Inputs!H:H),"")</f>
        <v/>
      </c>
      <c r="H59" s="385">
        <f>IFERROR(_xlfn.XLOOKUP("Investing Cash Flow",Inputs!$B:$B,Inputs!I:I,,,-1)/_xlfn.XLOOKUP("Operating Cash Flow",Inputs!$B:$B,Inputs!I:I),"")</f>
        <v/>
      </c>
      <c r="I59" s="385">
        <f>IFERROR(_xlfn.XLOOKUP("Investing Cash Flow",Inputs!$B:$B,Inputs!J:J,,,-1)/_xlfn.XLOOKUP("Operating Cash Flow",Inputs!$B:$B,Inputs!J:J),"")</f>
        <v/>
      </c>
      <c r="J59" s="385">
        <f>IFERROR(_xlfn.XLOOKUP("Investing Cash Flow",Inputs!$B:$B,Inputs!K:K,,,-1)/_xlfn.XLOOKUP("Operating Cash Flow",Inputs!$B:$B,Inputs!K:K),"")</f>
        <v/>
      </c>
      <c r="K59" s="385">
        <f>IFERROR(_xlfn.XLOOKUP("Investing Cash Flow",Inputs!$B:$B,Inputs!L:L,,,-1)/_xlfn.XLOOKUP("Operating Cash Flow",Inputs!$B:$B,Inputs!L:L),"")</f>
        <v/>
      </c>
      <c r="L59" s="385">
        <f>IFERROR(_xlfn.XLOOKUP("Investing Cash Flow",Inputs!$B:$B,Inputs!M:M,,,-1)/_xlfn.XLOOKUP("Operating Cash Flow",Inputs!$B:$B,Inputs!M:M),"")</f>
        <v/>
      </c>
      <c r="M59" s="385">
        <f>IFERROR(_xlfn.XLOOKUP("Investing Cash Flow",Inputs!$B:$B,Inputs!N:N,,,-1)/_xlfn.XLOOKUP("Operating Cash Flow",Inputs!$B:$B,Inputs!N:N),"")</f>
        <v/>
      </c>
      <c r="N59" s="385">
        <f>IFERROR(_xlfn.XLOOKUP("Investing Cash Flow",Inputs!$B:$B,Inputs!O:O,,,-1)/_xlfn.XLOOKUP("Operating Cash Flow",Inputs!$B:$B,Inputs!O:O),"")</f>
        <v/>
      </c>
      <c r="O59" s="385">
        <f>IFERROR(_xlfn.XLOOKUP("Investing Cash Flow",Inputs!$B:$B,Inputs!P:P,,,-1)/_xlfn.XLOOKUP("Operating Cash Flow",Inputs!$B:$B,Inputs!P:P),"")</f>
        <v/>
      </c>
      <c r="P59" s="386">
        <f>IFERROR(_xlfn.XLOOKUP("Investing Cash Flow",Inputs!$B:$B,Inputs!Q:Q,,,-1)/_xlfn.XLOOKUP("Operating Cash Flow",Inputs!$B:$B,Inputs!Q:Q),"")</f>
        <v/>
      </c>
      <c r="Q59" s="387">
        <f>IFERROR(_xlfn.XLOOKUP("Investing Cash Flow",DCF!$B:$B,DCF!H:H)/_xlfn.XLOOKUP("Operating Cash Flow",DCF!$B:$B,DCF!H:H),"")</f>
        <v/>
      </c>
      <c r="R59" s="387">
        <f>IFERROR(_xlfn.XLOOKUP("Investing Cash Flow",DCF!$B:$B,DCF!I:I)/_xlfn.XLOOKUP("Operating Cash Flow",DCF!$B:$B,DCF!I:I),"")</f>
        <v/>
      </c>
    </row>
    <row r="60" ht="15" customHeight="1" s="783">
      <c r="B60" s="18" t="inlineStr">
        <is>
          <t>Net Financing to CFO</t>
        </is>
      </c>
      <c r="F60" s="385">
        <f>IFERROR((_xlfn.XLOOKUP("Debt Borrowing",Inputs!$B:$B,Inputs!G:G,,,-1)-_xlfn.XLOOKUP("Debt Repayment",Inputs!$B:$B,Inputs!G:G))/_xlfn.XLOOKUP("Operating Cash Flow",Inputs!$B:$B,Inputs!G:G),"")</f>
        <v/>
      </c>
      <c r="G60" s="385">
        <f>IFERROR((_xlfn.XLOOKUP("Debt Borrowing",Inputs!$B:$B,Inputs!H:H,,,-1)-_xlfn.XLOOKUP("Debt Repayment",Inputs!$B:$B,Inputs!H:H))/_xlfn.XLOOKUP("Operating Cash Flow",Inputs!$B:$B,Inputs!H:H),"")</f>
        <v/>
      </c>
      <c r="H60" s="385">
        <f>IFERROR((_xlfn.XLOOKUP("Debt Borrowing",Inputs!$B:$B,Inputs!I:I,,,-1)-_xlfn.XLOOKUP("Debt Repayment",Inputs!$B:$B,Inputs!I:I))/_xlfn.XLOOKUP("Operating Cash Flow",Inputs!$B:$B,Inputs!I:I),"")</f>
        <v/>
      </c>
      <c r="I60" s="385">
        <f>IFERROR((_xlfn.XLOOKUP("Debt Borrowing",Inputs!$B:$B,Inputs!J:J,,,-1)-_xlfn.XLOOKUP("Debt Repayment",Inputs!$B:$B,Inputs!J:J))/_xlfn.XLOOKUP("Operating Cash Flow",Inputs!$B:$B,Inputs!J:J),"")</f>
        <v/>
      </c>
      <c r="J60" s="385">
        <f>IFERROR((_xlfn.XLOOKUP("Debt Borrowing",Inputs!$B:$B,Inputs!K:K,,,-1)-_xlfn.XLOOKUP("Debt Repayment",Inputs!$B:$B,Inputs!K:K))/_xlfn.XLOOKUP("Operating Cash Flow",Inputs!$B:$B,Inputs!K:K),"")</f>
        <v/>
      </c>
      <c r="K60" s="385">
        <f>IFERROR((_xlfn.XLOOKUP("Debt Borrowing",Inputs!$B:$B,Inputs!L:L,,,-1)-_xlfn.XLOOKUP("Debt Repayment",Inputs!$B:$B,Inputs!L:L))/_xlfn.XLOOKUP("Operating Cash Flow",Inputs!$B:$B,Inputs!L:L),"")</f>
        <v/>
      </c>
      <c r="L60" s="385">
        <f>IFERROR((_xlfn.XLOOKUP("Debt Borrowing",Inputs!$B:$B,Inputs!M:M,,,-1)-_xlfn.XLOOKUP("Debt Repayment",Inputs!$B:$B,Inputs!M:M))/_xlfn.XLOOKUP("Operating Cash Flow",Inputs!$B:$B,Inputs!M:M),"")</f>
        <v/>
      </c>
      <c r="M60" s="385">
        <f>IFERROR((_xlfn.XLOOKUP("Debt Borrowing",Inputs!$B:$B,Inputs!N:N,,,-1)-_xlfn.XLOOKUP("Debt Repayment",Inputs!$B:$B,Inputs!N:N))/_xlfn.XLOOKUP("Operating Cash Flow",Inputs!$B:$B,Inputs!N:N),"")</f>
        <v/>
      </c>
      <c r="N60" s="385">
        <f>IFERROR((_xlfn.XLOOKUP("Debt Borrowing",Inputs!$B:$B,Inputs!O:O,,,-1)-_xlfn.XLOOKUP("Debt Repayment",Inputs!$B:$B,Inputs!O:O))/_xlfn.XLOOKUP("Operating Cash Flow",Inputs!$B:$B,Inputs!O:O),"")</f>
        <v/>
      </c>
      <c r="O60" s="385">
        <f>IFERROR((_xlfn.XLOOKUP("Debt Borrowing",Inputs!$B:$B,Inputs!P:P,,,-1)-_xlfn.XLOOKUP("Debt Repayment",Inputs!$B:$B,Inputs!P:P))/_xlfn.XLOOKUP("Operating Cash Flow",Inputs!$B:$B,Inputs!P:P),"")</f>
        <v/>
      </c>
      <c r="P60" s="386">
        <f>IFERROR((_xlfn.XLOOKUP("Debt Borrowing",Inputs!$B:$B,Inputs!Q:Q,,,-1)-_xlfn.XLOOKUP("Debt Repayment",Inputs!$B:$B,Inputs!Q:Q))/_xlfn.XLOOKUP("Operating Cash Flow",Inputs!$B:$B,Inputs!Q:Q),"")</f>
        <v/>
      </c>
      <c r="Q60" s="387">
        <f>IFERROR((_xlfn.XLOOKUP("Debt Borrowing",DCF!$B:$B,DCF!H:H)-_xlfn.XLOOKUP("Debt Repayment",DCF!$B:$B,DCF!H:H))/_xlfn.XLOOKUP("Operating Cash Flow",DCF!$B:$B,DCF!H:H),"")</f>
        <v/>
      </c>
      <c r="R60" s="387">
        <f>IFERROR((_xlfn.XLOOKUP("Debt Borrowing",DCF!$B:$B,DCF!I:I)-_xlfn.XLOOKUP("Debt Repayment",DCF!$B:$B,DCF!I:I))/_xlfn.XLOOKUP("Operating Cash Flow",DCF!$B:$B,DCF!I:I),"")</f>
        <v/>
      </c>
    </row>
    <row r="61" ht="15" customHeight="1" s="783">
      <c r="B61" s="18" t="inlineStr">
        <is>
          <t>Debt Repayment to Debt Borrowing</t>
        </is>
      </c>
      <c r="F61" s="385">
        <f>IFERROR(-_xlfn.XLOOKUP("Debt Repayment",Inputs!$B:$B,Inputs!G:G,,,-1)/_xlfn.XLOOKUP("Debt Borrowing",Inputs!$B:$B,Inputs!G:G),"")</f>
        <v/>
      </c>
      <c r="G61" s="385">
        <f>IFERROR(-_xlfn.XLOOKUP("Debt Repayment",Inputs!$B:$B,Inputs!H:H,,,-1)/_xlfn.XLOOKUP("Debt Borrowing",Inputs!$B:$B,Inputs!H:H),"")</f>
        <v/>
      </c>
      <c r="H61" s="385">
        <f>IFERROR(-_xlfn.XLOOKUP("Debt Repayment",Inputs!$B:$B,Inputs!I:I,,,-1)/_xlfn.XLOOKUP("Debt Borrowing",Inputs!$B:$B,Inputs!I:I),"")</f>
        <v/>
      </c>
      <c r="I61" s="385">
        <f>IFERROR(-_xlfn.XLOOKUP("Debt Repayment",Inputs!$B:$B,Inputs!J:J,,,-1)/_xlfn.XLOOKUP("Debt Borrowing",Inputs!$B:$B,Inputs!J:J),"")</f>
        <v/>
      </c>
      <c r="J61" s="385">
        <f>IFERROR(-_xlfn.XLOOKUP("Debt Repayment",Inputs!$B:$B,Inputs!K:K,,,-1)/_xlfn.XLOOKUP("Debt Borrowing",Inputs!$B:$B,Inputs!K:K),"")</f>
        <v/>
      </c>
      <c r="K61" s="385">
        <f>IFERROR(-_xlfn.XLOOKUP("Debt Repayment",Inputs!$B:$B,Inputs!L:L,,,-1)/_xlfn.XLOOKUP("Debt Borrowing",Inputs!$B:$B,Inputs!L:L),"")</f>
        <v/>
      </c>
      <c r="L61" s="385">
        <f>IFERROR(-_xlfn.XLOOKUP("Debt Repayment",Inputs!$B:$B,Inputs!M:M,,,-1)/_xlfn.XLOOKUP("Debt Borrowing",Inputs!$B:$B,Inputs!M:M),"")</f>
        <v/>
      </c>
      <c r="M61" s="385">
        <f>IFERROR(-_xlfn.XLOOKUP("Debt Repayment",Inputs!$B:$B,Inputs!N:N,,,-1)/_xlfn.XLOOKUP("Debt Borrowing",Inputs!$B:$B,Inputs!N:N),"")</f>
        <v/>
      </c>
      <c r="N61" s="385">
        <f>IFERROR(-_xlfn.XLOOKUP("Debt Repayment",Inputs!$B:$B,Inputs!O:O,,,-1)/_xlfn.XLOOKUP("Debt Borrowing",Inputs!$B:$B,Inputs!O:O),"")</f>
        <v/>
      </c>
      <c r="O61" s="385">
        <f>IFERROR(-_xlfn.XLOOKUP("Debt Repayment",Inputs!$B:$B,Inputs!P:P,,,-1)/_xlfn.XLOOKUP("Debt Borrowing",Inputs!$B:$B,Inputs!P:P),"")</f>
        <v/>
      </c>
      <c r="P61" s="386">
        <f>IFERROR(-_xlfn.XLOOKUP("Debt Repayment",Inputs!$B:$B,Inputs!Q:Q,,,-1)/_xlfn.XLOOKUP("Debt Borrowing",Inputs!$B:$B,Inputs!Q:Q),"")</f>
        <v/>
      </c>
      <c r="Q61" s="387">
        <f>IFERROR(-_xlfn.XLOOKUP("Debt Repayment",DCF!$B:$B,DCF!H:H)/_xlfn.XLOOKUP("Debt Borrowing",DCF!$B:$B,DCF!H:H),"")</f>
        <v/>
      </c>
      <c r="R61" s="387">
        <f>IFERROR(-_xlfn.XLOOKUP("Debt Repayment",DCF!$B:$B,DCF!I:I)/_xlfn.XLOOKUP("Debt Borrowing",DCF!$B:$B,DCF!I:I),"")</f>
        <v/>
      </c>
    </row>
    <row r="62" ht="15" customHeight="1" s="783">
      <c r="B62" s="18" t="inlineStr">
        <is>
          <t>CFF to CFO</t>
        </is>
      </c>
      <c r="F62" s="385">
        <f>IFERROR(_xlfn.XLOOKUP("Financing Cash Flow",Inputs!$B:$B,Inputs!G:G,,,-1)/_xlfn.XLOOKUP("Operating Cash Flow",Inputs!$B:$B,Inputs!G:G),"")</f>
        <v/>
      </c>
      <c r="G62" s="385">
        <f>IFERROR(_xlfn.XLOOKUP("Financing Cash Flow",Inputs!$B:$B,Inputs!H:H,,,-1)/_xlfn.XLOOKUP("Operating Cash Flow",Inputs!$B:$B,Inputs!H:H),"")</f>
        <v/>
      </c>
      <c r="H62" s="385">
        <f>IFERROR(_xlfn.XLOOKUP("Financing Cash Flow",Inputs!$B:$B,Inputs!I:I,,,-1)/_xlfn.XLOOKUP("Operating Cash Flow",Inputs!$B:$B,Inputs!I:I),"")</f>
        <v/>
      </c>
      <c r="I62" s="385">
        <f>IFERROR(_xlfn.XLOOKUP("Financing Cash Flow",Inputs!$B:$B,Inputs!J:J,,,-1)/_xlfn.XLOOKUP("Operating Cash Flow",Inputs!$B:$B,Inputs!J:J),"")</f>
        <v/>
      </c>
      <c r="J62" s="385">
        <f>IFERROR(_xlfn.XLOOKUP("Financing Cash Flow",Inputs!$B:$B,Inputs!K:K,,,-1)/_xlfn.XLOOKUP("Operating Cash Flow",Inputs!$B:$B,Inputs!K:K),"")</f>
        <v/>
      </c>
      <c r="K62" s="385">
        <f>IFERROR(_xlfn.XLOOKUP("Financing Cash Flow",Inputs!$B:$B,Inputs!L:L,,,-1)/_xlfn.XLOOKUP("Operating Cash Flow",Inputs!$B:$B,Inputs!L:L),"")</f>
        <v/>
      </c>
      <c r="L62" s="385">
        <f>IFERROR(_xlfn.XLOOKUP("Financing Cash Flow",Inputs!$B:$B,Inputs!M:M,,,-1)/_xlfn.XLOOKUP("Operating Cash Flow",Inputs!$B:$B,Inputs!M:M),"")</f>
        <v/>
      </c>
      <c r="M62" s="385">
        <f>IFERROR(_xlfn.XLOOKUP("Financing Cash Flow",Inputs!$B:$B,Inputs!N:N,,,-1)/_xlfn.XLOOKUP("Operating Cash Flow",Inputs!$B:$B,Inputs!N:N),"")</f>
        <v/>
      </c>
      <c r="N62" s="385">
        <f>IFERROR(_xlfn.XLOOKUP("Financing Cash Flow",Inputs!$B:$B,Inputs!O:O,,,-1)/_xlfn.XLOOKUP("Operating Cash Flow",Inputs!$B:$B,Inputs!O:O),"")</f>
        <v/>
      </c>
      <c r="O62" s="385">
        <f>IFERROR(_xlfn.XLOOKUP("Financing Cash Flow",Inputs!$B:$B,Inputs!P:P,,,-1)/_xlfn.XLOOKUP("Operating Cash Flow",Inputs!$B:$B,Inputs!P:P),"")</f>
        <v/>
      </c>
      <c r="P62" s="386">
        <f>IFERROR(_xlfn.XLOOKUP("Financing Cash Flow",Inputs!$B:$B,Inputs!Q:Q,,,-1)/_xlfn.XLOOKUP("Operating Cash Flow",Inputs!$B:$B,Inputs!Q:Q),"")</f>
        <v/>
      </c>
      <c r="Q62" s="387">
        <f>IFERROR(_xlfn.XLOOKUP("Financing Cash Flow",DCF!$B:$B,DCF!H:H)/_xlfn.XLOOKUP("Operating Cash Flow",DCF!$B:$B,DCF!H:H),"")</f>
        <v/>
      </c>
      <c r="R62" s="387">
        <f>IFERROR(_xlfn.XLOOKUP("Financing Cash Flow",DCF!$B:$B,DCF!I:I)/_xlfn.XLOOKUP("Operating Cash Flow",DCF!$B:$B,DCF!I:I),"")</f>
        <v/>
      </c>
    </row>
    <row r="63" ht="15" customHeight="1" s="783">
      <c r="B63" s="18" t="inlineStr">
        <is>
          <t>Net Income / Op Cash Flow</t>
        </is>
      </c>
      <c r="F63" s="385">
        <f>IFERROR(_xlfn.XLOOKUP("Net Income",Inputs!$B:$B,Inputs!G:G,,,-1)/_xlfn.XLOOKUP("Operating Cash Flow",Inputs!$B:$B,Inputs!G:G),"")</f>
        <v/>
      </c>
      <c r="G63" s="385">
        <f>IFERROR(_xlfn.XLOOKUP("Net Income",Inputs!$B:$B,Inputs!H:H,,,-1)/_xlfn.XLOOKUP("Operating Cash Flow",Inputs!$B:$B,Inputs!H:H),"")</f>
        <v/>
      </c>
      <c r="H63" s="385">
        <f>IFERROR(_xlfn.XLOOKUP("Net Income",Inputs!$B:$B,Inputs!I:I,,,-1)/_xlfn.XLOOKUP("Operating Cash Flow",Inputs!$B:$B,Inputs!I:I),"")</f>
        <v/>
      </c>
      <c r="I63" s="385">
        <f>IFERROR(_xlfn.XLOOKUP("Net Income",Inputs!$B:$B,Inputs!J:J,,,-1)/_xlfn.XLOOKUP("Operating Cash Flow",Inputs!$B:$B,Inputs!J:J),"")</f>
        <v/>
      </c>
      <c r="J63" s="385">
        <f>IFERROR(_xlfn.XLOOKUP("Net Income",Inputs!$B:$B,Inputs!K:K,,,-1)/_xlfn.XLOOKUP("Operating Cash Flow",Inputs!$B:$B,Inputs!K:K),"")</f>
        <v/>
      </c>
      <c r="K63" s="385">
        <f>IFERROR(_xlfn.XLOOKUP("Net Income",Inputs!$B:$B,Inputs!L:L,,,-1)/_xlfn.XLOOKUP("Operating Cash Flow",Inputs!$B:$B,Inputs!L:L),"")</f>
        <v/>
      </c>
      <c r="L63" s="385">
        <f>IFERROR(_xlfn.XLOOKUP("Net Income",Inputs!$B:$B,Inputs!M:M,,,-1)/_xlfn.XLOOKUP("Operating Cash Flow",Inputs!$B:$B,Inputs!M:M),"")</f>
        <v/>
      </c>
      <c r="M63" s="385">
        <f>IFERROR(_xlfn.XLOOKUP("Net Income",Inputs!$B:$B,Inputs!N:N,,,-1)/_xlfn.XLOOKUP("Operating Cash Flow",Inputs!$B:$B,Inputs!N:N),"")</f>
        <v/>
      </c>
      <c r="N63" s="385">
        <f>IFERROR(_xlfn.XLOOKUP("Net Income",Inputs!$B:$B,Inputs!O:O,,,-1)/_xlfn.XLOOKUP("Operating Cash Flow",Inputs!$B:$B,Inputs!O:O),"")</f>
        <v/>
      </c>
      <c r="O63" s="385">
        <f>IFERROR(_xlfn.XLOOKUP("Net Income",Inputs!$B:$B,Inputs!P:P,,,-1)/_xlfn.XLOOKUP("Operating Cash Flow",Inputs!$B:$B,Inputs!P:P),"")</f>
        <v/>
      </c>
      <c r="P63" s="386">
        <f>IFERROR(_xlfn.XLOOKUP("Net Income",Inputs!$B:$B,Inputs!Q:Q,,,-1)/_xlfn.XLOOKUP("Operating Cash Flow",Inputs!$B:$B,Inputs!Q:Q),"")</f>
        <v/>
      </c>
      <c r="Q63" s="387">
        <f>IFERROR(_xlfn.XLOOKUP("Net Income",DCF!$B:$B,DCF!H:H)/_xlfn.XLOOKUP("Operating Cash Flow",DCF!$B:$B,DCF!H:H),"")</f>
        <v/>
      </c>
      <c r="R63" s="387">
        <f>IFERROR(_xlfn.XLOOKUP("Net Income",DCF!$B:$B,DCF!I:I)/_xlfn.XLOOKUP("Operating Cash Flow",DCF!$B:$B,DCF!I:I),"")</f>
        <v/>
      </c>
    </row>
    <row r="64" ht="15" customHeight="1" s="783">
      <c r="B64" s="33" t="inlineStr">
        <is>
          <t>Chg in Cash / Op Cash Flow</t>
        </is>
      </c>
      <c r="F64" s="385">
        <f>IFERROR(_xlfn.XLOOKUP("Net Changes in Cash",Inputs!$B:$B,Inputs!G:G,,,-1)/_xlfn.XLOOKUP("Operating Cash Flow",Inputs!$B:$B,Inputs!G:G),"")</f>
        <v/>
      </c>
      <c r="G64" s="385">
        <f>IFERROR(_xlfn.XLOOKUP("Net Changes in Cash",Inputs!$B:$B,Inputs!H:H,,,-1)/_xlfn.XLOOKUP("Operating Cash Flow",Inputs!$B:$B,Inputs!H:H),"")</f>
        <v/>
      </c>
      <c r="H64" s="385">
        <f>IFERROR(_xlfn.XLOOKUP("Net Changes in Cash",Inputs!$B:$B,Inputs!I:I,,,-1)/_xlfn.XLOOKUP("Operating Cash Flow",Inputs!$B:$B,Inputs!I:I),"")</f>
        <v/>
      </c>
      <c r="I64" s="385">
        <f>IFERROR(_xlfn.XLOOKUP("Net Changes in Cash",Inputs!$B:$B,Inputs!J:J,,,-1)/_xlfn.XLOOKUP("Operating Cash Flow",Inputs!$B:$B,Inputs!J:J),"")</f>
        <v/>
      </c>
      <c r="J64" s="385">
        <f>IFERROR(_xlfn.XLOOKUP("Net Changes in Cash",Inputs!$B:$B,Inputs!K:K,,,-1)/_xlfn.XLOOKUP("Operating Cash Flow",Inputs!$B:$B,Inputs!K:K),"")</f>
        <v/>
      </c>
      <c r="K64" s="385">
        <f>IFERROR(_xlfn.XLOOKUP("Net Changes in Cash",Inputs!$B:$B,Inputs!L:L,,,-1)/_xlfn.XLOOKUP("Operating Cash Flow",Inputs!$B:$B,Inputs!L:L),"")</f>
        <v/>
      </c>
      <c r="L64" s="385">
        <f>IFERROR(_xlfn.XLOOKUP("Net Changes in Cash",Inputs!$B:$B,Inputs!M:M,,,-1)/_xlfn.XLOOKUP("Operating Cash Flow",Inputs!$B:$B,Inputs!M:M),"")</f>
        <v/>
      </c>
      <c r="M64" s="385">
        <f>IFERROR(_xlfn.XLOOKUP("Net Changes in Cash",Inputs!$B:$B,Inputs!N:N,,,-1)/_xlfn.XLOOKUP("Operating Cash Flow",Inputs!$B:$B,Inputs!N:N),"")</f>
        <v/>
      </c>
      <c r="N64" s="385">
        <f>IFERROR(_xlfn.XLOOKUP("Net Changes in Cash",Inputs!$B:$B,Inputs!O:O,,,-1)/_xlfn.XLOOKUP("Operating Cash Flow",Inputs!$B:$B,Inputs!O:O),"")</f>
        <v/>
      </c>
      <c r="O64" s="385">
        <f>IFERROR(_xlfn.XLOOKUP("Net Changes in Cash",Inputs!$B:$B,Inputs!P:P,,,-1)/_xlfn.XLOOKUP("Operating Cash Flow",Inputs!$B:$B,Inputs!P:P),"")</f>
        <v/>
      </c>
      <c r="P64" s="386">
        <f>IFERROR(_xlfn.XLOOKUP("Net Changes in Cash",Inputs!$B:$B,Inputs!Q:Q,,,-1)/_xlfn.XLOOKUP("Operating Cash Flow",Inputs!$B:$B,Inputs!Q:Q),"")</f>
        <v/>
      </c>
      <c r="Q64" s="387">
        <f>IFERROR(_xlfn.XLOOKUP("Net Changes in Cash",DCF!$B:$B,DCF!H:H)/_xlfn.XLOOKUP("Operating Cash Flow",DCF!$B:$B,DCF!H:H),"")</f>
        <v/>
      </c>
      <c r="R64" s="387">
        <f>IFERROR(_xlfn.XLOOKUP("Net Changes in Cash",DCF!$B:$B,DCF!I:I)/_xlfn.XLOOKUP("Operating Cash Flow",DCF!$B:$B,DCF!I:I),"")</f>
        <v/>
      </c>
    </row>
    <row r="67" ht="20.1" customHeight="1" s="783">
      <c r="T67" s="1" t="inlineStr">
        <is>
          <t>Sensitivity Analysis</t>
        </is>
      </c>
    </row>
    <row r="69">
      <c r="B69" s="417" t="n"/>
    </row>
    <row r="70">
      <c r="B70" s="417" t="n"/>
    </row>
    <row r="71">
      <c r="B71" s="417" t="n"/>
    </row>
    <row r="72">
      <c r="B72" s="417" t="n"/>
    </row>
    <row r="73">
      <c r="B73" s="417" t="n"/>
    </row>
    <row r="74">
      <c r="B74" s="417" t="n"/>
    </row>
    <row r="75">
      <c r="B75" s="417" t="n"/>
    </row>
    <row r="76">
      <c r="B76" s="417" t="n"/>
    </row>
  </sheetData>
  <pageMargins left="0.7" right="0.7" top="0.75" bottom="0.75" header="0.3" footer="0.3"/>
  <pageSetup orientation="portrait" paperSize="9"/>
</worksheet>
</file>

<file path=xl/worksheets/sheet11.xml><?xml version="1.0" encoding="utf-8"?>
<worksheet xmlns="http://schemas.openxmlformats.org/spreadsheetml/2006/main">
  <sheetPr>
    <tabColor theme="8" tint="0.5999938962981048"/>
    <outlinePr summaryBelow="1" summaryRight="1"/>
    <pageSetUpPr/>
  </sheetPr>
  <dimension ref="B2:L10055"/>
  <sheetViews>
    <sheetView showGridLines="0" zoomScale="85" zoomScaleNormal="85" workbookViewId="0">
      <selection activeCell="K31" sqref="K31"/>
    </sheetView>
  </sheetViews>
  <sheetFormatPr baseColWidth="8" defaultRowHeight="14.25"/>
  <cols>
    <col width="4" customWidth="1" style="783" min="1" max="1"/>
    <col width="8.625" customWidth="1" style="783" min="3" max="7"/>
    <col width="15.5" customWidth="1" style="783" min="10" max="10"/>
  </cols>
  <sheetData>
    <row r="2" ht="20.1" customFormat="1" customHeight="1" s="37">
      <c r="B2" s="40" t="inlineStr">
        <is>
          <t>Sensitivity Analisys - FCFF</t>
        </is>
      </c>
    </row>
    <row r="4" ht="15" customHeight="1" s="783">
      <c r="B4" s="657">
        <f>IFERROR(Peers!C6&amp;" Fair Value - Blended Discount Rate and Terminal Growth Rate","")</f>
        <v/>
      </c>
      <c r="J4" s="657">
        <f>IFERROR(Peers!C6&amp;" Fair Value - Monte-Carlo Simulations Discount Rate and Terminal Growth Rate","")</f>
        <v/>
      </c>
    </row>
    <row r="5" ht="15.75" customHeight="1" s="783" thickBot="1">
      <c r="B5" t="inlineStr">
        <is>
          <t>Stock Price (in USD)</t>
        </is>
      </c>
      <c r="F5" s="90" t="inlineStr">
        <is>
          <t>WACC</t>
        </is>
      </c>
    </row>
    <row r="6" ht="15.75" customHeight="1" s="783" thickBot="1">
      <c r="B6" s="647" t="n"/>
      <c r="C6" s="654" t="n"/>
      <c r="D6" s="660">
        <f>DCF!AP285</f>
        <v/>
      </c>
      <c r="E6" s="660">
        <f>DCF!AQ285</f>
        <v/>
      </c>
      <c r="F6" s="660">
        <f>DCF!AR285</f>
        <v/>
      </c>
      <c r="G6" s="660">
        <f>DCF!AS285</f>
        <v/>
      </c>
      <c r="H6" s="660">
        <f>DCF!AT285</f>
        <v/>
      </c>
      <c r="J6" s="762" t="inlineStr">
        <is>
          <t>Variables</t>
        </is>
      </c>
      <c r="K6" s="762" t="inlineStr">
        <is>
          <t>Average</t>
        </is>
      </c>
      <c r="L6" s="762" t="inlineStr">
        <is>
          <t>St Dev</t>
        </is>
      </c>
    </row>
    <row r="7">
      <c r="C7" s="750">
        <f>DCF!AO286</f>
        <v/>
      </c>
      <c r="D7" s="1005">
        <f>IFERROR(DCF!AP286/DCF!$Q$210-1,"")</f>
        <v/>
      </c>
      <c r="E7" s="1005">
        <f>IFERROR(DCF!AQ286/DCF!$Q$210-1,"")</f>
        <v/>
      </c>
      <c r="F7" s="1005">
        <f>IFERROR(DCF!AR286/DCF!$Q$210-1,"")</f>
        <v/>
      </c>
      <c r="G7" s="1005">
        <f>IFERROR(DCF!AS286/DCF!$Q$210-1,"")</f>
        <v/>
      </c>
      <c r="H7" s="1005">
        <f>IFERROR(DCF!AT286/DCF!$Q$210-1,"")</f>
        <v/>
      </c>
      <c r="J7" t="inlineStr">
        <is>
          <t>WACC</t>
        </is>
      </c>
      <c r="K7" s="763" t="n">
        <v>0.1009</v>
      </c>
      <c r="L7" s="763" t="n">
        <v>0.01</v>
      </c>
    </row>
    <row r="8">
      <c r="C8" s="750">
        <f>DCF!AO287</f>
        <v/>
      </c>
      <c r="D8" s="1005">
        <f>IFERROR(DCF!AP287/DCF!$Q$210-1,"")</f>
        <v/>
      </c>
      <c r="E8" s="1005">
        <f>IFERROR(DCF!AQ287/DCF!$Q$210-1,"")</f>
        <v/>
      </c>
      <c r="F8" s="1005">
        <f>IFERROR(DCF!AR287/DCF!$Q$210-1,"")</f>
        <v/>
      </c>
      <c r="G8" s="1005">
        <f>IFERROR(DCF!AS287/DCF!$Q$210-1,"")</f>
        <v/>
      </c>
      <c r="H8" s="1005">
        <f>IFERROR(DCF!AT287/DCF!$Q$210-1,"")</f>
        <v/>
      </c>
      <c r="J8" t="inlineStr">
        <is>
          <t>Revenue Growth</t>
        </is>
      </c>
      <c r="K8" s="763">
        <f>+DCF!I7</f>
        <v/>
      </c>
      <c r="L8" s="32">
        <f>+DCF!L7</f>
        <v/>
      </c>
    </row>
    <row r="9" ht="15.75" customHeight="1" s="783" thickBot="1">
      <c r="B9" s="24" t="inlineStr">
        <is>
          <t>TGR</t>
        </is>
      </c>
      <c r="C9" s="750">
        <f>DCF!AO288</f>
        <v/>
      </c>
      <c r="D9" s="1005">
        <f>IFERROR(DCF!AP288/DCF!$Q$210-1,"")</f>
        <v/>
      </c>
      <c r="E9" s="1005">
        <f>IFERROR(DCF!AQ288/DCF!$Q$210-1,"")</f>
        <v/>
      </c>
      <c r="F9" s="1005">
        <f>IFERROR(DCF!AR288/DCF!$Q$210-1,"")</f>
        <v/>
      </c>
      <c r="G9" s="1005">
        <f>IFERROR(DCF!AS288/DCF!$Q$210-1,"")</f>
        <v/>
      </c>
      <c r="H9" s="1005">
        <f>IFERROR(DCF!AT288/DCF!$Q$210-1,"")</f>
        <v/>
      </c>
      <c r="J9" s="647" t="inlineStr">
        <is>
          <t>EBIT Margin</t>
        </is>
      </c>
      <c r="K9" s="660">
        <f>+DCF!I8</f>
        <v/>
      </c>
      <c r="L9" s="660">
        <f>+DCF!L8</f>
        <v/>
      </c>
    </row>
    <row r="10" ht="15" customHeight="1" s="783" thickBot="1">
      <c r="C10" s="750">
        <f>DCF!AO289</f>
        <v/>
      </c>
      <c r="D10" s="1005">
        <f>IFERROR(DCF!AP289/DCF!$Q$210-1,"")</f>
        <v/>
      </c>
      <c r="E10" s="1005">
        <f>IFERROR(DCF!AQ289/DCF!$Q$210-1,"")</f>
        <v/>
      </c>
      <c r="F10" s="1005">
        <f>IFERROR(DCF!AR289/DCF!$Q$210-1,"")</f>
        <v/>
      </c>
      <c r="G10" s="1005">
        <f>IFERROR(DCF!AS289/DCF!$Q$210-1,"")</f>
        <v/>
      </c>
      <c r="H10" s="1005">
        <f>IFERROR(DCF!AT289/DCF!$Q$210-1,"")</f>
        <v/>
      </c>
      <c r="L10" s="763" t="n"/>
    </row>
    <row r="11" ht="15.75" customHeight="1" s="783" thickBot="1">
      <c r="B11" s="647" t="n"/>
      <c r="C11" s="653">
        <f>DCF!AO290</f>
        <v/>
      </c>
      <c r="D11" s="1006">
        <f>IFERROR(DCF!AP290/DCF!$Q$210-1,"")</f>
        <v/>
      </c>
      <c r="E11" s="1006">
        <f>IFERROR(DCF!AQ290/DCF!$Q$210-1,"")</f>
        <v/>
      </c>
      <c r="F11" s="1006">
        <f>IFERROR(DCF!AR290/DCF!$Q$210-1,"")</f>
        <v/>
      </c>
      <c r="G11" s="1006">
        <f>IFERROR(DCF!AS290/DCF!$Q$210-1,"")</f>
        <v/>
      </c>
      <c r="H11" s="1006">
        <f>IFERROR(DCF!AT290/DCF!$Q$210-1,"")</f>
        <v/>
      </c>
      <c r="J11" s="762" t="inlineStr">
        <is>
          <t>Simulations: 10,000</t>
        </is>
      </c>
      <c r="K11" s="646" t="n"/>
      <c r="L11" s="646" t="inlineStr">
        <is>
          <t>Upside</t>
        </is>
      </c>
    </row>
    <row r="12">
      <c r="J12" s="656" t="inlineStr">
        <is>
          <t>min</t>
        </is>
      </c>
      <c r="K12" s="1007">
        <f>MIN(B56:B10055)</f>
        <v/>
      </c>
      <c r="L12" s="853">
        <f>IFERROR(K12/DCF!$Q$210-1,"")</f>
        <v/>
      </c>
    </row>
    <row r="13" ht="15" customHeight="1" s="783">
      <c r="B13" s="657">
        <f>IFERROR(Peers!C6&amp;" Fair Value - Blended Revenue Growth and Operating Margin","")</f>
        <v/>
      </c>
      <c r="J13" s="766" t="inlineStr">
        <is>
          <t>mean</t>
        </is>
      </c>
      <c r="K13" s="1008">
        <f>AVERAGE(B56:B10055)</f>
        <v/>
      </c>
      <c r="L13" s="854">
        <f>IFERROR(K13/DCF!$Q$210-1,"")</f>
        <v/>
      </c>
    </row>
    <row r="14" ht="15" customHeight="1" s="783" thickBot="1">
      <c r="B14" t="inlineStr">
        <is>
          <t>Stock Price (in USD)</t>
        </is>
      </c>
      <c r="J14" s="764" t="inlineStr">
        <is>
          <t>median</t>
        </is>
      </c>
      <c r="K14" s="1007">
        <f>MEDIAN(B56:B10055)</f>
        <v/>
      </c>
      <c r="L14" s="1009">
        <f>IFERROR(K14/DCF!$Q$210-1,"")</f>
        <v/>
      </c>
    </row>
    <row r="15" ht="15" customHeight="1" s="783">
      <c r="B15" s="655" t="n"/>
      <c r="C15" s="656" t="n"/>
      <c r="D15" s="655" t="n"/>
      <c r="E15" s="661" t="inlineStr">
        <is>
          <t>Revenue</t>
        </is>
      </c>
      <c r="F15" s="655" t="n"/>
      <c r="J15" s="764" t="inlineStr">
        <is>
          <t>max</t>
        </is>
      </c>
      <c r="K15" s="1007">
        <f>MAX(B56:B10055)</f>
        <v/>
      </c>
      <c r="L15" s="853">
        <f>IFERROR(K15/DCF!$Q$210-1,"")</f>
        <v/>
      </c>
    </row>
    <row r="16" ht="15" customHeight="1" s="783" thickBot="1">
      <c r="B16" s="647" t="n"/>
      <c r="C16" s="654" t="n"/>
      <c r="D16" s="660">
        <f>DCF!F7</f>
        <v/>
      </c>
      <c r="E16" s="660">
        <f>DCF!I7</f>
        <v/>
      </c>
      <c r="F16" s="660">
        <f>DCF!L7</f>
        <v/>
      </c>
      <c r="J16" s="654" t="inlineStr">
        <is>
          <t>st dev</t>
        </is>
      </c>
      <c r="K16" s="1010">
        <f>_xlfn.STDEV.P(B56:B10055)</f>
        <v/>
      </c>
      <c r="L16" s="1011" t="n"/>
    </row>
    <row r="17">
      <c r="C17" s="662">
        <f>DCF!F8</f>
        <v/>
      </c>
      <c r="D17" s="853">
        <f>IFERROR(DCF!AP296/DCF!$Q$210-1,"")</f>
        <v/>
      </c>
      <c r="E17" s="853">
        <f>IFERROR(DCF!AQ296/DCF!$Q$210-1,"")</f>
        <v/>
      </c>
      <c r="F17" s="853">
        <f>IFERROR(DCF!AR296/DCF!$Q$210-1,"")</f>
        <v/>
      </c>
    </row>
    <row r="18" ht="15" customHeight="1" s="783">
      <c r="B18" s="24" t="inlineStr">
        <is>
          <t>EBIT</t>
        </is>
      </c>
      <c r="C18" s="662">
        <f>DCF!I8</f>
        <v/>
      </c>
      <c r="D18" s="853">
        <f>IFERROR(DCF!AP297/DCF!$Q$210-1,"")</f>
        <v/>
      </c>
      <c r="E18" s="853">
        <f>IFERROR(DCF!AQ297/DCF!$Q$210-1,"")</f>
        <v/>
      </c>
      <c r="F18" s="853">
        <f>IFERROR(DCF!AR297/DCF!$Q$210-1,"")</f>
        <v/>
      </c>
    </row>
    <row r="19" ht="15" customHeight="1" s="783" thickBot="1">
      <c r="B19" s="647" t="n"/>
      <c r="C19" s="663">
        <f>DCF!L8</f>
        <v/>
      </c>
      <c r="D19" s="1011">
        <f>IFERROR(DCF!AP298/DCF!$Q$210-1,"")</f>
        <v/>
      </c>
      <c r="E19" s="1011">
        <f>IFERROR(DCF!AQ298/DCF!$Q$210-1,"")</f>
        <v/>
      </c>
      <c r="F19" s="1011">
        <f>IFERROR(DCF!AR298/DCF!$Q$210-1,"")</f>
        <v/>
      </c>
    </row>
    <row r="22" ht="15" customHeight="1" s="783">
      <c r="B22" s="665" t="inlineStr">
        <is>
          <t>Notes</t>
        </is>
      </c>
      <c r="C22" s="37" t="n"/>
      <c r="D22" s="37" t="n"/>
      <c r="E22" s="37" t="n"/>
      <c r="F22" s="37" t="n"/>
      <c r="G22" s="37" t="n"/>
      <c r="H22" s="37" t="n"/>
    </row>
    <row r="26">
      <c r="E26" s="763" t="n"/>
    </row>
    <row r="42" ht="15" customHeight="1" s="783">
      <c r="B42" s="1" t="n"/>
    </row>
    <row r="43" ht="15" customHeight="1" s="783">
      <c r="B43" s="1" t="n"/>
    </row>
    <row r="44" ht="15" customHeight="1" s="783">
      <c r="B44" s="1" t="n"/>
    </row>
    <row r="45" ht="15" customHeight="1" s="783">
      <c r="B45" s="1" t="n"/>
    </row>
    <row r="46" ht="15" customHeight="1" s="783">
      <c r="B46" s="1" t="n"/>
    </row>
    <row r="47" ht="15" customHeight="1" s="783">
      <c r="B47" s="1" t="n"/>
    </row>
    <row r="48" ht="15" customHeight="1" s="783">
      <c r="B48" s="1" t="n"/>
    </row>
    <row r="49" ht="15" customHeight="1" s="783">
      <c r="B49" s="1" t="n"/>
    </row>
    <row r="50" ht="15" customHeight="1" s="783">
      <c r="B50" s="1" t="n"/>
    </row>
    <row r="51" ht="15" customHeight="1" s="783">
      <c r="B51" s="1" t="n"/>
    </row>
    <row r="52" ht="15" customHeight="1" s="783">
      <c r="B52" s="1" t="n"/>
    </row>
    <row r="53" ht="15" customHeight="1" s="783">
      <c r="B53" s="1" t="n"/>
    </row>
    <row r="54" ht="15" customHeight="1" s="783">
      <c r="B54" s="1" t="n"/>
    </row>
    <row r="55" ht="15" customHeight="1" s="783">
      <c r="B55" s="1" t="inlineStr">
        <is>
          <t>Iterations</t>
        </is>
      </c>
      <c r="E55" s="32" t="n"/>
      <c r="F55" s="32" t="n"/>
    </row>
    <row r="56" ht="15" customHeight="1" s="783">
      <c r="B56" s="901" t="n"/>
      <c r="E56" s="32" t="n"/>
      <c r="F56" s="32" t="n"/>
    </row>
    <row r="57" ht="15" customHeight="1" s="783">
      <c r="B57" s="901" t="n"/>
      <c r="E57" s="32" t="n"/>
      <c r="F57" s="1012" t="n"/>
    </row>
    <row r="58" ht="15" customHeight="1" s="783">
      <c r="B58" s="901" t="n"/>
      <c r="E58" s="32" t="n"/>
      <c r="F58" s="1012" t="n"/>
    </row>
    <row r="59" ht="15" customHeight="1" s="783">
      <c r="B59" s="901" t="n"/>
    </row>
    <row r="60" ht="15" customHeight="1" s="783">
      <c r="B60" s="901" t="n"/>
    </row>
    <row r="61" ht="15" customHeight="1" s="783">
      <c r="B61" s="901" t="n"/>
    </row>
    <row r="62" ht="15" customHeight="1" s="783">
      <c r="B62" s="901" t="n"/>
    </row>
    <row r="63" ht="15" customHeight="1" s="783">
      <c r="B63" s="901" t="n"/>
    </row>
    <row r="64" ht="15" customHeight="1" s="783">
      <c r="B64" s="901" t="n"/>
    </row>
    <row r="65" ht="15" customHeight="1" s="783">
      <c r="B65" s="901" t="n"/>
    </row>
    <row r="66" ht="15" customHeight="1" s="783">
      <c r="B66" s="901" t="n"/>
    </row>
    <row r="67" ht="15" customHeight="1" s="783">
      <c r="B67" s="901" t="n"/>
    </row>
    <row r="68" ht="15" customHeight="1" s="783">
      <c r="B68" s="901" t="n"/>
    </row>
    <row r="69" ht="15" customHeight="1" s="783">
      <c r="B69" s="901" t="n"/>
    </row>
    <row r="70" ht="15" customHeight="1" s="783">
      <c r="B70" s="901" t="n"/>
    </row>
    <row r="71" ht="15" customHeight="1" s="783">
      <c r="B71" s="901" t="n"/>
    </row>
    <row r="72" ht="15" customHeight="1" s="783">
      <c r="B72" s="901" t="n"/>
    </row>
    <row r="73" ht="15" customHeight="1" s="783">
      <c r="B73" s="901" t="n"/>
    </row>
    <row r="74" ht="15" customHeight="1" s="783">
      <c r="B74" s="901" t="n"/>
    </row>
    <row r="75" ht="15" customHeight="1" s="783">
      <c r="B75" s="901" t="n"/>
    </row>
    <row r="76" ht="15" customHeight="1" s="783">
      <c r="B76" s="901" t="n"/>
    </row>
    <row r="77" ht="15" customHeight="1" s="783">
      <c r="B77" s="901" t="n"/>
    </row>
    <row r="78" ht="15" customHeight="1" s="783">
      <c r="B78" s="901" t="n"/>
    </row>
    <row r="79" ht="15" customHeight="1" s="783">
      <c r="B79" s="901" t="n"/>
    </row>
    <row r="80" ht="15" customHeight="1" s="783">
      <c r="B80" s="901" t="n"/>
    </row>
    <row r="81" ht="15" customHeight="1" s="783">
      <c r="B81" s="901" t="n"/>
    </row>
    <row r="82" ht="15" customHeight="1" s="783">
      <c r="B82" s="901" t="n"/>
    </row>
    <row r="83" ht="15" customHeight="1" s="783">
      <c r="B83" s="901" t="n"/>
    </row>
    <row r="84" ht="15" customHeight="1" s="783">
      <c r="B84" s="901" t="n"/>
    </row>
    <row r="85" ht="15" customHeight="1" s="783">
      <c r="B85" s="901" t="n"/>
    </row>
    <row r="86" ht="15" customHeight="1" s="783">
      <c r="B86" s="901" t="n"/>
    </row>
    <row r="87" ht="15" customHeight="1" s="783">
      <c r="B87" s="901" t="n"/>
    </row>
    <row r="88" ht="15" customHeight="1" s="783">
      <c r="B88" s="901" t="n"/>
    </row>
    <row r="89" ht="15" customHeight="1" s="783">
      <c r="B89" s="901" t="n"/>
    </row>
    <row r="90" ht="15" customHeight="1" s="783">
      <c r="B90" s="901" t="n"/>
    </row>
    <row r="91" ht="15" customHeight="1" s="783">
      <c r="B91" s="901" t="n"/>
    </row>
    <row r="92" ht="15" customHeight="1" s="783">
      <c r="B92" s="901" t="n"/>
    </row>
    <row r="93" ht="15" customHeight="1" s="783">
      <c r="B93" s="901" t="n"/>
    </row>
    <row r="94" ht="15" customHeight="1" s="783">
      <c r="B94" s="901" t="n"/>
    </row>
    <row r="95" ht="15" customHeight="1" s="783">
      <c r="B95" s="901" t="n"/>
    </row>
    <row r="96" ht="15" customHeight="1" s="783">
      <c r="B96" s="901" t="n"/>
    </row>
    <row r="97" ht="15" customHeight="1" s="783">
      <c r="B97" s="901" t="n"/>
    </row>
    <row r="98" ht="15" customHeight="1" s="783">
      <c r="B98" s="901" t="n"/>
    </row>
    <row r="99" ht="15" customHeight="1" s="783">
      <c r="B99" s="901" t="n"/>
    </row>
    <row r="100" ht="15" customHeight="1" s="783">
      <c r="B100" s="901" t="n"/>
    </row>
    <row r="101" ht="15" customHeight="1" s="783">
      <c r="B101" s="901" t="n"/>
    </row>
    <row r="102" ht="15" customHeight="1" s="783">
      <c r="B102" s="901" t="n"/>
    </row>
    <row r="103" ht="15" customHeight="1" s="783">
      <c r="B103" s="901" t="n"/>
    </row>
    <row r="104" ht="15" customHeight="1" s="783">
      <c r="B104" s="901" t="n"/>
    </row>
    <row r="105" ht="15" customHeight="1" s="783">
      <c r="B105" s="901" t="n"/>
    </row>
    <row r="106" ht="15" customHeight="1" s="783">
      <c r="B106" s="901" t="n"/>
    </row>
    <row r="107" ht="15" customHeight="1" s="783">
      <c r="B107" s="901" t="n"/>
    </row>
    <row r="108" ht="15" customHeight="1" s="783">
      <c r="B108" s="901" t="n"/>
    </row>
    <row r="109" ht="15" customHeight="1" s="783">
      <c r="B109" s="901" t="n"/>
    </row>
    <row r="110" ht="15" customHeight="1" s="783">
      <c r="B110" s="901" t="n"/>
    </row>
    <row r="111" ht="15" customHeight="1" s="783">
      <c r="B111" s="901" t="n"/>
    </row>
    <row r="112" ht="15" customHeight="1" s="783">
      <c r="B112" s="901" t="n"/>
    </row>
    <row r="113" ht="15" customHeight="1" s="783">
      <c r="B113" s="901" t="n"/>
    </row>
    <row r="114" ht="15" customHeight="1" s="783">
      <c r="B114" s="901" t="n"/>
    </row>
    <row r="115" ht="15" customHeight="1" s="783">
      <c r="B115" s="901" t="n"/>
    </row>
    <row r="116" ht="15" customHeight="1" s="783">
      <c r="B116" s="901" t="n"/>
    </row>
    <row r="117" ht="15" customHeight="1" s="783">
      <c r="B117" s="901" t="n"/>
    </row>
    <row r="118" ht="15" customHeight="1" s="783">
      <c r="B118" s="901" t="n"/>
    </row>
    <row r="119" ht="15" customHeight="1" s="783">
      <c r="B119" s="901" t="n"/>
    </row>
    <row r="120" ht="15" customHeight="1" s="783">
      <c r="B120" s="901" t="n"/>
    </row>
    <row r="121" ht="15" customHeight="1" s="783">
      <c r="B121" s="901" t="n"/>
    </row>
    <row r="122" ht="15" customHeight="1" s="783">
      <c r="B122" s="901" t="n"/>
    </row>
    <row r="123" ht="15" customHeight="1" s="783">
      <c r="B123" s="901" t="n"/>
    </row>
    <row r="124" ht="15" customHeight="1" s="783">
      <c r="B124" s="901" t="n"/>
    </row>
    <row r="125" ht="15" customHeight="1" s="783">
      <c r="B125" s="901" t="n"/>
    </row>
    <row r="126" ht="15" customHeight="1" s="783">
      <c r="B126" s="901" t="n"/>
    </row>
    <row r="127" ht="15" customHeight="1" s="783">
      <c r="B127" s="901" t="n"/>
    </row>
    <row r="128" ht="15" customHeight="1" s="783">
      <c r="B128" s="901" t="n"/>
    </row>
    <row r="129" ht="15" customHeight="1" s="783">
      <c r="B129" s="901" t="n"/>
    </row>
    <row r="130" ht="15" customHeight="1" s="783">
      <c r="B130" s="901" t="n"/>
    </row>
    <row r="131" ht="15" customHeight="1" s="783">
      <c r="B131" s="901" t="n"/>
    </row>
    <row r="132" ht="15" customHeight="1" s="783">
      <c r="B132" s="901" t="n"/>
    </row>
    <row r="133" ht="15" customHeight="1" s="783">
      <c r="B133" s="901" t="n"/>
    </row>
    <row r="134" ht="15" customHeight="1" s="783">
      <c r="B134" s="901" t="n"/>
    </row>
    <row r="135" ht="15" customHeight="1" s="783">
      <c r="B135" s="901" t="n"/>
    </row>
    <row r="136" ht="15" customHeight="1" s="783">
      <c r="B136" s="901" t="n"/>
    </row>
    <row r="137" ht="15" customHeight="1" s="783">
      <c r="B137" s="901" t="n"/>
    </row>
    <row r="138" ht="15" customHeight="1" s="783">
      <c r="B138" s="901" t="n"/>
    </row>
    <row r="139" ht="15" customHeight="1" s="783">
      <c r="B139" s="901" t="n"/>
    </row>
    <row r="140" ht="15" customHeight="1" s="783">
      <c r="B140" s="901" t="n"/>
    </row>
    <row r="141" ht="15" customHeight="1" s="783">
      <c r="B141" s="901" t="n"/>
    </row>
    <row r="142" ht="15" customHeight="1" s="783">
      <c r="B142" s="901" t="n"/>
    </row>
    <row r="143" ht="15" customHeight="1" s="783">
      <c r="B143" s="901" t="n"/>
    </row>
    <row r="144" ht="15" customHeight="1" s="783">
      <c r="B144" s="901" t="n"/>
    </row>
    <row r="145" ht="15" customHeight="1" s="783">
      <c r="B145" s="901" t="n"/>
    </row>
    <row r="146" ht="15" customHeight="1" s="783">
      <c r="B146" s="901" t="n"/>
    </row>
    <row r="147" ht="15" customHeight="1" s="783">
      <c r="B147" s="901" t="n"/>
    </row>
    <row r="148" ht="15" customHeight="1" s="783">
      <c r="B148" s="901" t="n"/>
    </row>
    <row r="149" ht="15" customHeight="1" s="783">
      <c r="B149" s="901" t="n"/>
    </row>
    <row r="150" ht="15" customHeight="1" s="783">
      <c r="B150" s="901" t="n"/>
    </row>
    <row r="151" ht="15" customHeight="1" s="783">
      <c r="B151" s="901" t="n"/>
    </row>
    <row r="152" ht="15" customHeight="1" s="783">
      <c r="B152" s="901" t="n"/>
    </row>
    <row r="153" ht="15" customHeight="1" s="783">
      <c r="B153" s="901" t="n"/>
    </row>
    <row r="154" ht="15" customHeight="1" s="783">
      <c r="B154" s="901" t="n"/>
    </row>
    <row r="155" ht="15" customHeight="1" s="783">
      <c r="B155" s="901" t="n"/>
    </row>
    <row r="156" ht="15" customHeight="1" s="783">
      <c r="B156" s="901" t="n"/>
    </row>
    <row r="157" ht="15" customHeight="1" s="783">
      <c r="B157" s="901" t="n"/>
    </row>
    <row r="158" ht="15" customHeight="1" s="783">
      <c r="B158" s="901" t="n"/>
    </row>
    <row r="159" ht="15" customHeight="1" s="783">
      <c r="B159" s="901" t="n"/>
    </row>
    <row r="160" ht="15" customHeight="1" s="783">
      <c r="B160" s="901" t="n"/>
    </row>
    <row r="161" ht="15" customHeight="1" s="783">
      <c r="B161" s="901" t="n"/>
    </row>
    <row r="162" ht="15" customHeight="1" s="783">
      <c r="B162" s="901" t="n"/>
    </row>
    <row r="163" ht="15" customHeight="1" s="783">
      <c r="B163" s="901" t="n"/>
    </row>
    <row r="164" ht="15" customHeight="1" s="783">
      <c r="B164" s="901" t="n"/>
    </row>
    <row r="165" ht="15" customHeight="1" s="783">
      <c r="B165" s="901" t="n"/>
    </row>
    <row r="166" ht="15" customHeight="1" s="783">
      <c r="B166" s="901" t="n"/>
    </row>
    <row r="167" ht="15" customHeight="1" s="783">
      <c r="B167" s="901" t="n"/>
    </row>
    <row r="168" ht="15" customHeight="1" s="783">
      <c r="B168" s="901" t="n"/>
    </row>
    <row r="169" ht="15" customHeight="1" s="783">
      <c r="B169" s="901" t="n"/>
    </row>
    <row r="170" ht="15" customHeight="1" s="783">
      <c r="B170" s="901" t="n"/>
    </row>
    <row r="171" ht="15" customHeight="1" s="783">
      <c r="B171" s="901" t="n"/>
    </row>
    <row r="172" ht="15" customHeight="1" s="783">
      <c r="B172" s="901" t="n"/>
    </row>
    <row r="173" ht="15" customHeight="1" s="783">
      <c r="B173" s="901" t="n"/>
    </row>
    <row r="174" ht="15" customHeight="1" s="783">
      <c r="B174" s="901" t="n"/>
    </row>
    <row r="175" ht="15" customHeight="1" s="783">
      <c r="B175" s="901" t="n"/>
    </row>
    <row r="176" ht="15" customHeight="1" s="783">
      <c r="B176" s="901" t="n"/>
    </row>
    <row r="177" ht="15" customHeight="1" s="783">
      <c r="B177" s="901" t="n"/>
    </row>
    <row r="178" ht="15" customHeight="1" s="783">
      <c r="B178" s="901" t="n"/>
    </row>
    <row r="179" ht="15" customHeight="1" s="783">
      <c r="B179" s="901" t="n"/>
    </row>
    <row r="180" ht="15" customHeight="1" s="783">
      <c r="B180" s="901" t="n"/>
    </row>
    <row r="181" ht="15" customHeight="1" s="783">
      <c r="B181" s="901" t="n"/>
    </row>
    <row r="182" ht="15" customHeight="1" s="783">
      <c r="B182" s="901" t="n"/>
    </row>
    <row r="183" ht="15" customHeight="1" s="783">
      <c r="B183" s="901" t="n"/>
    </row>
    <row r="184" ht="15" customHeight="1" s="783">
      <c r="B184" s="901" t="n"/>
    </row>
    <row r="185" ht="15" customHeight="1" s="783">
      <c r="B185" s="901" t="n"/>
    </row>
    <row r="186" ht="15" customHeight="1" s="783">
      <c r="B186" s="901" t="n"/>
    </row>
    <row r="187" ht="15" customHeight="1" s="783">
      <c r="B187" s="901" t="n"/>
    </row>
    <row r="188" ht="15" customHeight="1" s="783">
      <c r="B188" s="901" t="n"/>
    </row>
    <row r="189" ht="15" customHeight="1" s="783">
      <c r="B189" s="901" t="n"/>
    </row>
    <row r="190" ht="15" customHeight="1" s="783">
      <c r="B190" s="901" t="n"/>
    </row>
    <row r="191" ht="15" customHeight="1" s="783">
      <c r="B191" s="901" t="n"/>
    </row>
    <row r="192" ht="15" customHeight="1" s="783">
      <c r="B192" s="901" t="n"/>
    </row>
    <row r="193" ht="15" customHeight="1" s="783">
      <c r="B193" s="901" t="n"/>
    </row>
    <row r="194" ht="15" customHeight="1" s="783">
      <c r="B194" s="901" t="n"/>
    </row>
    <row r="195" ht="15" customHeight="1" s="783">
      <c r="B195" s="901" t="n"/>
    </row>
    <row r="196" ht="15" customHeight="1" s="783">
      <c r="B196" s="901" t="n"/>
    </row>
    <row r="197" ht="15" customHeight="1" s="783">
      <c r="B197" s="901" t="n"/>
    </row>
    <row r="198" ht="15" customHeight="1" s="783">
      <c r="B198" s="901" t="n"/>
    </row>
    <row r="199" ht="15" customHeight="1" s="783">
      <c r="B199" s="901" t="n"/>
    </row>
    <row r="200" ht="15" customHeight="1" s="783">
      <c r="B200" s="901" t="n"/>
    </row>
    <row r="201" ht="15" customHeight="1" s="783">
      <c r="B201" s="901" t="n"/>
    </row>
    <row r="202" ht="15" customHeight="1" s="783">
      <c r="B202" s="901" t="n"/>
    </row>
    <row r="203" ht="15" customHeight="1" s="783">
      <c r="B203" s="901" t="n"/>
    </row>
    <row r="204" ht="15" customHeight="1" s="783">
      <c r="B204" s="901" t="n"/>
    </row>
    <row r="205" ht="15" customHeight="1" s="783">
      <c r="B205" s="901" t="n"/>
    </row>
    <row r="206" ht="15" customHeight="1" s="783">
      <c r="B206" s="901" t="n"/>
    </row>
    <row r="207" ht="15" customHeight="1" s="783">
      <c r="B207" s="901" t="n"/>
    </row>
    <row r="208" ht="15" customHeight="1" s="783">
      <c r="B208" s="901" t="n"/>
    </row>
    <row r="209" ht="15" customHeight="1" s="783">
      <c r="B209" s="901" t="n"/>
    </row>
    <row r="210" ht="15" customHeight="1" s="783">
      <c r="B210" s="901" t="n"/>
    </row>
    <row r="211" ht="15" customHeight="1" s="783">
      <c r="B211" s="901" t="n"/>
    </row>
    <row r="212" ht="15" customHeight="1" s="783">
      <c r="B212" s="901" t="n"/>
    </row>
    <row r="213" ht="15" customHeight="1" s="783">
      <c r="B213" s="901" t="n"/>
    </row>
    <row r="214" ht="15" customHeight="1" s="783">
      <c r="B214" s="901" t="n"/>
    </row>
    <row r="215" ht="15" customHeight="1" s="783">
      <c r="B215" s="901" t="n"/>
    </row>
    <row r="216" ht="15" customHeight="1" s="783">
      <c r="B216" s="901" t="n"/>
    </row>
    <row r="217" ht="15" customHeight="1" s="783">
      <c r="B217" s="901" t="n"/>
    </row>
    <row r="218" ht="15" customHeight="1" s="783">
      <c r="B218" s="901" t="n"/>
    </row>
    <row r="219" ht="15" customHeight="1" s="783">
      <c r="B219" s="901" t="n"/>
    </row>
    <row r="220" ht="15" customHeight="1" s="783">
      <c r="B220" s="901" t="n"/>
    </row>
    <row r="221" ht="15" customHeight="1" s="783">
      <c r="B221" s="901" t="n"/>
    </row>
    <row r="222" ht="15" customHeight="1" s="783">
      <c r="B222" s="901" t="n"/>
    </row>
    <row r="223" ht="15" customHeight="1" s="783">
      <c r="B223" s="901" t="n"/>
    </row>
    <row r="224" ht="15" customHeight="1" s="783">
      <c r="B224" s="901" t="n"/>
    </row>
    <row r="225" ht="15" customHeight="1" s="783">
      <c r="B225" s="901" t="n"/>
    </row>
    <row r="226" ht="15" customHeight="1" s="783">
      <c r="B226" s="901" t="n"/>
    </row>
    <row r="227" ht="15" customHeight="1" s="783">
      <c r="B227" s="901" t="n"/>
    </row>
    <row r="228" ht="15" customHeight="1" s="783">
      <c r="B228" s="901" t="n"/>
    </row>
    <row r="229" ht="15" customHeight="1" s="783">
      <c r="B229" s="901" t="n"/>
    </row>
    <row r="230" ht="15" customHeight="1" s="783">
      <c r="B230" s="901" t="n"/>
    </row>
    <row r="231" ht="15" customHeight="1" s="783">
      <c r="B231" s="901" t="n"/>
    </row>
    <row r="232" ht="15" customHeight="1" s="783">
      <c r="B232" s="901" t="n"/>
    </row>
    <row r="233" ht="15" customHeight="1" s="783">
      <c r="B233" s="901" t="n"/>
    </row>
    <row r="234" ht="15" customHeight="1" s="783">
      <c r="B234" s="901" t="n"/>
    </row>
    <row r="235" ht="15" customHeight="1" s="783">
      <c r="B235" s="901" t="n"/>
    </row>
    <row r="236" ht="15" customHeight="1" s="783">
      <c r="B236" s="901" t="n"/>
    </row>
    <row r="237" ht="15" customHeight="1" s="783">
      <c r="B237" s="901" t="n"/>
    </row>
    <row r="238" ht="15" customHeight="1" s="783">
      <c r="B238" s="901" t="n"/>
    </row>
    <row r="239" ht="15" customHeight="1" s="783">
      <c r="B239" s="901" t="n"/>
    </row>
    <row r="240" ht="15" customHeight="1" s="783">
      <c r="B240" s="901" t="n"/>
    </row>
    <row r="241" ht="15" customHeight="1" s="783">
      <c r="B241" s="901" t="n"/>
    </row>
    <row r="242" ht="15" customHeight="1" s="783">
      <c r="B242" s="901" t="n"/>
    </row>
    <row r="243" ht="15" customHeight="1" s="783">
      <c r="B243" s="901" t="n"/>
    </row>
    <row r="244" ht="15" customHeight="1" s="783">
      <c r="B244" s="901" t="n"/>
    </row>
    <row r="245" ht="15" customHeight="1" s="783">
      <c r="B245" s="901" t="n"/>
    </row>
    <row r="246" ht="15" customHeight="1" s="783">
      <c r="B246" s="901" t="n"/>
    </row>
    <row r="247" ht="15" customHeight="1" s="783">
      <c r="B247" s="901" t="n"/>
    </row>
    <row r="248" ht="15" customHeight="1" s="783">
      <c r="B248" s="901" t="n"/>
    </row>
    <row r="249" ht="15" customHeight="1" s="783">
      <c r="B249" s="901" t="n"/>
    </row>
    <row r="250" ht="15" customHeight="1" s="783">
      <c r="B250" s="901" t="n"/>
    </row>
    <row r="251" ht="15" customHeight="1" s="783">
      <c r="B251" s="901" t="n"/>
    </row>
    <row r="252" ht="15" customHeight="1" s="783">
      <c r="B252" s="901" t="n"/>
    </row>
    <row r="253" ht="15" customHeight="1" s="783">
      <c r="B253" s="901" t="n"/>
    </row>
    <row r="254" ht="15" customHeight="1" s="783">
      <c r="B254" s="901" t="n"/>
    </row>
    <row r="255" ht="15" customHeight="1" s="783">
      <c r="B255" s="901" t="n"/>
    </row>
    <row r="256" ht="15" customHeight="1" s="783">
      <c r="B256" s="901" t="n"/>
    </row>
    <row r="257" ht="15" customHeight="1" s="783">
      <c r="B257" s="901" t="n"/>
    </row>
    <row r="258" ht="15" customHeight="1" s="783">
      <c r="B258" s="901" t="n"/>
    </row>
    <row r="259" ht="15" customHeight="1" s="783">
      <c r="B259" s="901" t="n"/>
    </row>
    <row r="260" ht="15" customHeight="1" s="783">
      <c r="B260" s="901" t="n"/>
    </row>
    <row r="261" ht="15" customHeight="1" s="783">
      <c r="B261" s="901" t="n"/>
    </row>
    <row r="262" ht="15" customHeight="1" s="783">
      <c r="B262" s="901" t="n"/>
    </row>
    <row r="263" ht="15" customHeight="1" s="783">
      <c r="B263" s="901" t="n"/>
    </row>
    <row r="264" ht="15" customHeight="1" s="783">
      <c r="B264" s="901" t="n"/>
    </row>
    <row r="265" ht="15" customHeight="1" s="783">
      <c r="B265" s="901" t="n"/>
    </row>
    <row r="266" ht="15" customHeight="1" s="783">
      <c r="B266" s="901" t="n"/>
    </row>
    <row r="267" ht="15" customHeight="1" s="783">
      <c r="B267" s="901" t="n"/>
    </row>
    <row r="268" ht="15" customHeight="1" s="783">
      <c r="B268" s="901" t="n"/>
    </row>
    <row r="269" ht="15" customHeight="1" s="783">
      <c r="B269" s="901" t="n"/>
    </row>
    <row r="270" ht="15" customHeight="1" s="783">
      <c r="B270" s="901" t="n"/>
    </row>
    <row r="271" ht="15" customHeight="1" s="783">
      <c r="B271" s="901" t="n"/>
    </row>
    <row r="272" ht="15" customHeight="1" s="783">
      <c r="B272" s="901" t="n"/>
    </row>
    <row r="273" ht="15" customHeight="1" s="783">
      <c r="B273" s="901" t="n"/>
    </row>
    <row r="274" ht="15" customHeight="1" s="783">
      <c r="B274" s="901" t="n"/>
    </row>
    <row r="275" ht="15" customHeight="1" s="783">
      <c r="B275" s="901" t="n"/>
    </row>
    <row r="276" ht="15" customHeight="1" s="783">
      <c r="B276" s="901" t="n"/>
    </row>
    <row r="277" ht="15" customHeight="1" s="783">
      <c r="B277" s="901" t="n"/>
    </row>
    <row r="278" ht="15" customHeight="1" s="783">
      <c r="B278" s="901" t="n"/>
    </row>
    <row r="279" ht="15" customHeight="1" s="783">
      <c r="B279" s="901" t="n"/>
    </row>
    <row r="280" ht="15" customHeight="1" s="783">
      <c r="B280" s="901" t="n"/>
    </row>
    <row r="281" ht="15" customHeight="1" s="783">
      <c r="B281" s="901" t="n"/>
    </row>
    <row r="282" ht="15" customHeight="1" s="783">
      <c r="B282" s="901" t="n"/>
    </row>
    <row r="283" ht="15" customHeight="1" s="783">
      <c r="B283" s="901" t="n"/>
    </row>
    <row r="284" ht="15" customHeight="1" s="783">
      <c r="B284" s="901" t="n"/>
    </row>
    <row r="285" ht="15" customHeight="1" s="783">
      <c r="B285" s="901" t="n"/>
    </row>
    <row r="286" ht="15" customHeight="1" s="783">
      <c r="B286" s="901" t="n"/>
    </row>
    <row r="287" ht="15" customHeight="1" s="783">
      <c r="B287" s="901" t="n"/>
    </row>
    <row r="288" ht="15" customHeight="1" s="783">
      <c r="B288" s="901" t="n"/>
    </row>
    <row r="289" ht="15" customHeight="1" s="783">
      <c r="B289" s="901" t="n"/>
    </row>
    <row r="290" ht="15" customHeight="1" s="783">
      <c r="B290" s="901" t="n"/>
    </row>
    <row r="291" ht="15" customHeight="1" s="783">
      <c r="B291" s="901" t="n"/>
    </row>
    <row r="292" ht="15" customHeight="1" s="783">
      <c r="B292" s="901" t="n"/>
    </row>
    <row r="293" ht="15" customHeight="1" s="783">
      <c r="B293" s="901" t="n"/>
    </row>
    <row r="294" ht="15" customHeight="1" s="783">
      <c r="B294" s="901" t="n"/>
    </row>
    <row r="295" ht="15" customHeight="1" s="783">
      <c r="B295" s="901" t="n"/>
    </row>
    <row r="296" ht="15" customHeight="1" s="783">
      <c r="B296" s="901" t="n"/>
    </row>
    <row r="297" ht="15" customHeight="1" s="783">
      <c r="B297" s="901" t="n"/>
    </row>
    <row r="298" ht="15" customHeight="1" s="783">
      <c r="B298" s="901" t="n"/>
    </row>
    <row r="299" ht="15" customHeight="1" s="783">
      <c r="B299" s="901" t="n"/>
    </row>
    <row r="300" ht="15" customHeight="1" s="783">
      <c r="B300" s="901" t="n"/>
    </row>
    <row r="301" ht="15" customHeight="1" s="783">
      <c r="B301" s="901" t="n"/>
    </row>
    <row r="302" ht="15" customHeight="1" s="783">
      <c r="B302" s="901" t="n"/>
    </row>
    <row r="303" ht="15" customHeight="1" s="783">
      <c r="B303" s="901" t="n"/>
    </row>
    <row r="304" ht="15" customHeight="1" s="783">
      <c r="B304" s="901" t="n"/>
    </row>
    <row r="305" ht="15" customHeight="1" s="783">
      <c r="B305" s="901" t="n"/>
    </row>
    <row r="306" ht="15" customHeight="1" s="783">
      <c r="B306" s="901" t="n"/>
    </row>
    <row r="307" ht="15" customHeight="1" s="783">
      <c r="B307" s="901" t="n"/>
    </row>
    <row r="308" ht="15" customHeight="1" s="783">
      <c r="B308" s="901" t="n"/>
    </row>
    <row r="309" ht="15" customHeight="1" s="783">
      <c r="B309" s="901" t="n"/>
    </row>
    <row r="310" ht="15" customHeight="1" s="783">
      <c r="B310" s="901" t="n"/>
    </row>
    <row r="311" ht="15" customHeight="1" s="783">
      <c r="B311" s="901" t="n"/>
    </row>
    <row r="312" ht="15" customHeight="1" s="783">
      <c r="B312" s="901" t="n"/>
    </row>
    <row r="313" ht="15" customHeight="1" s="783">
      <c r="B313" s="901" t="n"/>
    </row>
    <row r="314" ht="15" customHeight="1" s="783">
      <c r="B314" s="901" t="n"/>
    </row>
    <row r="315" ht="15" customHeight="1" s="783">
      <c r="B315" s="901" t="n"/>
    </row>
    <row r="316" ht="15" customHeight="1" s="783">
      <c r="B316" s="901" t="n"/>
    </row>
    <row r="317" ht="15" customHeight="1" s="783">
      <c r="B317" s="901" t="n"/>
    </row>
    <row r="318" ht="15" customHeight="1" s="783">
      <c r="B318" s="901" t="n"/>
    </row>
    <row r="319" ht="15" customHeight="1" s="783">
      <c r="B319" s="901" t="n"/>
    </row>
    <row r="320" ht="15" customHeight="1" s="783">
      <c r="B320" s="901" t="n"/>
    </row>
    <row r="321" ht="15" customHeight="1" s="783">
      <c r="B321" s="901" t="n"/>
    </row>
    <row r="322" ht="15" customHeight="1" s="783">
      <c r="B322" s="901" t="n"/>
    </row>
    <row r="323" ht="15" customHeight="1" s="783">
      <c r="B323" s="901" t="n"/>
    </row>
    <row r="324" ht="15" customHeight="1" s="783">
      <c r="B324" s="901" t="n"/>
    </row>
    <row r="325" ht="15" customHeight="1" s="783">
      <c r="B325" s="901" t="n"/>
    </row>
    <row r="326" ht="15" customHeight="1" s="783">
      <c r="B326" s="901" t="n"/>
    </row>
    <row r="327" ht="15" customHeight="1" s="783">
      <c r="B327" s="901" t="n"/>
    </row>
    <row r="328" ht="15" customHeight="1" s="783">
      <c r="B328" s="901" t="n"/>
    </row>
    <row r="329" ht="15" customHeight="1" s="783">
      <c r="B329" s="901" t="n"/>
    </row>
    <row r="330" ht="15" customHeight="1" s="783">
      <c r="B330" s="901" t="n"/>
    </row>
    <row r="331" ht="15" customHeight="1" s="783">
      <c r="B331" s="901" t="n"/>
    </row>
    <row r="332" ht="15" customHeight="1" s="783">
      <c r="B332" s="901" t="n"/>
    </row>
    <row r="333" ht="15" customHeight="1" s="783">
      <c r="B333" s="901" t="n"/>
    </row>
    <row r="334" ht="15" customHeight="1" s="783">
      <c r="B334" s="901" t="n"/>
    </row>
    <row r="335" ht="15" customHeight="1" s="783">
      <c r="B335" s="901" t="n"/>
    </row>
    <row r="336" ht="15" customHeight="1" s="783">
      <c r="B336" s="901" t="n"/>
    </row>
    <row r="337" ht="15" customHeight="1" s="783">
      <c r="B337" s="901" t="n"/>
    </row>
    <row r="338" ht="15" customHeight="1" s="783">
      <c r="B338" s="901" t="n"/>
    </row>
    <row r="339" ht="15" customHeight="1" s="783">
      <c r="B339" s="901" t="n"/>
    </row>
    <row r="340" ht="15" customHeight="1" s="783">
      <c r="B340" s="901" t="n"/>
    </row>
    <row r="341" ht="15" customHeight="1" s="783">
      <c r="B341" s="901" t="n"/>
    </row>
    <row r="342" ht="15" customHeight="1" s="783">
      <c r="B342" s="901" t="n"/>
    </row>
    <row r="343" ht="15" customHeight="1" s="783">
      <c r="B343" s="901" t="n"/>
    </row>
    <row r="344" ht="15" customHeight="1" s="783">
      <c r="B344" s="901" t="n"/>
    </row>
    <row r="345" ht="15" customHeight="1" s="783">
      <c r="B345" s="901" t="n"/>
    </row>
    <row r="346" ht="15" customHeight="1" s="783">
      <c r="B346" s="901" t="n"/>
    </row>
    <row r="347" ht="15" customHeight="1" s="783">
      <c r="B347" s="901" t="n"/>
    </row>
    <row r="348" ht="15" customHeight="1" s="783">
      <c r="B348" s="901" t="n"/>
    </row>
    <row r="349" ht="15" customHeight="1" s="783">
      <c r="B349" s="901" t="n"/>
    </row>
    <row r="350" ht="15" customHeight="1" s="783">
      <c r="B350" s="901" t="n"/>
    </row>
    <row r="351" ht="15" customHeight="1" s="783">
      <c r="B351" s="901" t="n"/>
    </row>
    <row r="352" ht="15" customHeight="1" s="783">
      <c r="B352" s="901" t="n"/>
    </row>
    <row r="353" ht="15" customHeight="1" s="783">
      <c r="B353" s="901" t="n"/>
    </row>
    <row r="354" ht="15" customHeight="1" s="783">
      <c r="B354" s="901" t="n"/>
    </row>
    <row r="355" ht="15" customHeight="1" s="783">
      <c r="B355" s="901" t="n"/>
    </row>
    <row r="356" ht="15" customHeight="1" s="783">
      <c r="B356" s="901" t="n"/>
    </row>
    <row r="357" ht="15" customHeight="1" s="783">
      <c r="B357" s="901" t="n"/>
    </row>
    <row r="358" ht="15" customHeight="1" s="783">
      <c r="B358" s="901" t="n"/>
    </row>
    <row r="359" ht="15" customHeight="1" s="783">
      <c r="B359" s="901" t="n"/>
    </row>
    <row r="360" ht="15" customHeight="1" s="783">
      <c r="B360" s="901" t="n"/>
    </row>
    <row r="361" ht="15" customHeight="1" s="783">
      <c r="B361" s="901" t="n"/>
    </row>
    <row r="362" ht="15" customHeight="1" s="783">
      <c r="B362" s="901" t="n"/>
    </row>
    <row r="363" ht="15" customHeight="1" s="783">
      <c r="B363" s="901" t="n"/>
    </row>
    <row r="364" ht="15" customHeight="1" s="783">
      <c r="B364" s="901" t="n"/>
    </row>
    <row r="365" ht="15" customHeight="1" s="783">
      <c r="B365" s="901" t="n"/>
    </row>
    <row r="366" ht="15" customHeight="1" s="783">
      <c r="B366" s="901" t="n"/>
    </row>
    <row r="367" ht="15" customHeight="1" s="783">
      <c r="B367" s="901" t="n"/>
    </row>
    <row r="368" ht="15" customHeight="1" s="783">
      <c r="B368" s="901" t="n"/>
    </row>
    <row r="369" ht="15" customHeight="1" s="783">
      <c r="B369" s="901" t="n"/>
    </row>
    <row r="370" ht="15" customHeight="1" s="783">
      <c r="B370" s="901" t="n"/>
    </row>
    <row r="371" ht="15" customHeight="1" s="783">
      <c r="B371" s="901" t="n"/>
    </row>
    <row r="372" ht="15" customHeight="1" s="783">
      <c r="B372" s="901" t="n"/>
    </row>
    <row r="373" ht="15" customHeight="1" s="783">
      <c r="B373" s="901" t="n"/>
    </row>
    <row r="374" ht="15" customHeight="1" s="783">
      <c r="B374" s="901" t="n"/>
    </row>
    <row r="375" ht="15" customHeight="1" s="783">
      <c r="B375" s="901" t="n"/>
    </row>
    <row r="376" ht="15" customHeight="1" s="783">
      <c r="B376" s="901" t="n"/>
    </row>
    <row r="377" ht="15" customHeight="1" s="783">
      <c r="B377" s="901" t="n"/>
    </row>
    <row r="378" ht="15" customHeight="1" s="783">
      <c r="B378" s="901" t="n"/>
    </row>
    <row r="379" ht="15" customHeight="1" s="783">
      <c r="B379" s="901" t="n"/>
    </row>
    <row r="380" ht="15" customHeight="1" s="783">
      <c r="B380" s="901" t="n"/>
    </row>
    <row r="381" ht="15" customHeight="1" s="783">
      <c r="B381" s="901" t="n"/>
    </row>
    <row r="382" ht="15" customHeight="1" s="783">
      <c r="B382" s="901" t="n"/>
    </row>
    <row r="383" ht="15" customHeight="1" s="783">
      <c r="B383" s="901" t="n"/>
    </row>
    <row r="384" ht="15" customHeight="1" s="783">
      <c r="B384" s="901" t="n"/>
    </row>
    <row r="385" ht="15" customHeight="1" s="783">
      <c r="B385" s="901" t="n"/>
    </row>
    <row r="386" ht="15" customHeight="1" s="783">
      <c r="B386" s="901" t="n"/>
    </row>
    <row r="387" ht="15" customHeight="1" s="783">
      <c r="B387" s="901" t="n"/>
    </row>
    <row r="388" ht="15" customHeight="1" s="783">
      <c r="B388" s="901" t="n"/>
    </row>
    <row r="389" ht="15" customHeight="1" s="783">
      <c r="B389" s="901" t="n"/>
    </row>
    <row r="390" ht="15" customHeight="1" s="783">
      <c r="B390" s="901" t="n"/>
    </row>
    <row r="391" ht="15" customHeight="1" s="783">
      <c r="B391" s="901" t="n"/>
    </row>
    <row r="392" ht="15" customHeight="1" s="783">
      <c r="B392" s="901" t="n"/>
    </row>
    <row r="393" ht="15" customHeight="1" s="783">
      <c r="B393" s="901" t="n"/>
    </row>
    <row r="394" ht="15" customHeight="1" s="783">
      <c r="B394" s="901" t="n"/>
    </row>
    <row r="395" ht="15" customHeight="1" s="783">
      <c r="B395" s="901" t="n"/>
    </row>
    <row r="396" ht="15" customHeight="1" s="783">
      <c r="B396" s="901" t="n"/>
    </row>
    <row r="397" ht="15" customHeight="1" s="783">
      <c r="B397" s="901" t="n"/>
    </row>
    <row r="398" ht="15" customHeight="1" s="783">
      <c r="B398" s="901" t="n"/>
    </row>
    <row r="399" ht="15" customHeight="1" s="783">
      <c r="B399" s="901" t="n"/>
    </row>
    <row r="400" ht="15" customHeight="1" s="783">
      <c r="B400" s="901" t="n"/>
    </row>
    <row r="401" ht="15" customHeight="1" s="783">
      <c r="B401" s="901" t="n"/>
    </row>
    <row r="402" ht="15" customHeight="1" s="783">
      <c r="B402" s="901" t="n"/>
    </row>
    <row r="403" ht="15" customHeight="1" s="783">
      <c r="B403" s="901" t="n"/>
    </row>
    <row r="404" ht="15" customHeight="1" s="783">
      <c r="B404" s="901" t="n"/>
    </row>
    <row r="405" ht="15" customHeight="1" s="783">
      <c r="B405" s="901" t="n"/>
    </row>
    <row r="406" ht="15" customHeight="1" s="783">
      <c r="B406" s="901" t="n"/>
    </row>
    <row r="407" ht="15" customHeight="1" s="783">
      <c r="B407" s="901" t="n"/>
    </row>
    <row r="408" ht="15" customHeight="1" s="783">
      <c r="B408" s="901" t="n"/>
    </row>
    <row r="409" ht="15" customHeight="1" s="783">
      <c r="B409" s="901" t="n"/>
    </row>
    <row r="410" ht="15" customHeight="1" s="783">
      <c r="B410" s="901" t="n"/>
    </row>
    <row r="411" ht="15" customHeight="1" s="783">
      <c r="B411" s="901" t="n"/>
    </row>
    <row r="412" ht="15" customHeight="1" s="783">
      <c r="B412" s="901" t="n"/>
    </row>
    <row r="413" ht="15" customHeight="1" s="783">
      <c r="B413" s="901" t="n"/>
    </row>
    <row r="414" ht="15" customHeight="1" s="783">
      <c r="B414" s="901" t="n"/>
    </row>
    <row r="415" ht="15" customHeight="1" s="783">
      <c r="B415" s="901" t="n"/>
    </row>
    <row r="416" ht="15" customHeight="1" s="783">
      <c r="B416" s="901" t="n"/>
    </row>
    <row r="417" ht="15" customHeight="1" s="783">
      <c r="B417" s="901" t="n"/>
    </row>
    <row r="418" ht="15" customHeight="1" s="783">
      <c r="B418" s="901" t="n"/>
    </row>
    <row r="419" ht="15" customHeight="1" s="783">
      <c r="B419" s="901" t="n"/>
    </row>
    <row r="420" ht="15" customHeight="1" s="783">
      <c r="B420" s="901" t="n"/>
    </row>
    <row r="421" ht="15" customHeight="1" s="783">
      <c r="B421" s="901" t="n"/>
    </row>
    <row r="422" ht="15" customHeight="1" s="783">
      <c r="B422" s="901" t="n"/>
    </row>
    <row r="423" ht="15" customHeight="1" s="783">
      <c r="B423" s="901" t="n"/>
    </row>
    <row r="424" ht="15" customHeight="1" s="783">
      <c r="B424" s="901" t="n"/>
    </row>
    <row r="425" ht="15" customHeight="1" s="783">
      <c r="B425" s="901" t="n"/>
    </row>
    <row r="426" ht="15" customHeight="1" s="783">
      <c r="B426" s="901" t="n"/>
    </row>
    <row r="427" ht="15" customHeight="1" s="783">
      <c r="B427" s="901" t="n"/>
    </row>
    <row r="428" ht="15" customHeight="1" s="783">
      <c r="B428" s="901" t="n"/>
    </row>
    <row r="429" ht="15" customHeight="1" s="783">
      <c r="B429" s="901" t="n"/>
    </row>
    <row r="430" ht="15" customHeight="1" s="783">
      <c r="B430" s="901" t="n"/>
    </row>
    <row r="431" ht="15" customHeight="1" s="783">
      <c r="B431" s="901" t="n"/>
    </row>
    <row r="432" ht="15" customHeight="1" s="783">
      <c r="B432" s="901" t="n"/>
    </row>
    <row r="433" ht="15" customHeight="1" s="783">
      <c r="B433" s="901" t="n"/>
    </row>
    <row r="434" ht="15" customHeight="1" s="783">
      <c r="B434" s="901" t="n"/>
    </row>
    <row r="435" ht="15" customHeight="1" s="783">
      <c r="B435" s="901" t="n"/>
    </row>
    <row r="436" ht="15" customHeight="1" s="783">
      <c r="B436" s="901" t="n"/>
    </row>
    <row r="437" ht="15" customHeight="1" s="783">
      <c r="B437" s="901" t="n"/>
    </row>
    <row r="438" ht="15" customHeight="1" s="783">
      <c r="B438" s="901" t="n"/>
    </row>
    <row r="439" ht="15" customHeight="1" s="783">
      <c r="B439" s="901" t="n"/>
    </row>
    <row r="440" ht="15" customHeight="1" s="783">
      <c r="B440" s="901" t="n"/>
    </row>
    <row r="441" ht="15" customHeight="1" s="783">
      <c r="B441" s="901" t="n"/>
    </row>
    <row r="442" ht="15" customHeight="1" s="783">
      <c r="B442" s="901" t="n"/>
    </row>
    <row r="443" ht="15" customHeight="1" s="783">
      <c r="B443" s="901" t="n"/>
    </row>
    <row r="444" ht="15" customHeight="1" s="783">
      <c r="B444" s="901" t="n"/>
    </row>
    <row r="445" ht="15" customHeight="1" s="783">
      <c r="B445" s="901" t="n"/>
    </row>
    <row r="446" ht="15" customHeight="1" s="783">
      <c r="B446" s="901" t="n"/>
    </row>
    <row r="447" ht="15" customHeight="1" s="783">
      <c r="B447" s="901" t="n"/>
    </row>
    <row r="448" ht="15" customHeight="1" s="783">
      <c r="B448" s="901" t="n"/>
    </row>
    <row r="449" ht="15" customHeight="1" s="783">
      <c r="B449" s="901" t="n"/>
    </row>
    <row r="450" ht="15" customHeight="1" s="783">
      <c r="B450" s="901" t="n"/>
    </row>
    <row r="451" ht="15" customHeight="1" s="783">
      <c r="B451" s="901" t="n"/>
    </row>
    <row r="452" ht="15" customHeight="1" s="783">
      <c r="B452" s="901" t="n"/>
    </row>
    <row r="453" ht="15" customHeight="1" s="783">
      <c r="B453" s="901" t="n"/>
    </row>
    <row r="454" ht="15" customHeight="1" s="783">
      <c r="B454" s="901" t="n"/>
    </row>
    <row r="455" ht="15" customHeight="1" s="783">
      <c r="B455" s="901" t="n"/>
    </row>
    <row r="456" ht="15" customHeight="1" s="783">
      <c r="B456" s="901" t="n"/>
    </row>
    <row r="457" ht="15" customHeight="1" s="783">
      <c r="B457" s="901" t="n"/>
    </row>
    <row r="458" ht="15" customHeight="1" s="783">
      <c r="B458" s="901" t="n"/>
    </row>
    <row r="459" ht="15" customHeight="1" s="783">
      <c r="B459" s="901" t="n"/>
    </row>
    <row r="460" ht="15" customHeight="1" s="783">
      <c r="B460" s="901" t="n"/>
    </row>
    <row r="461" ht="15" customHeight="1" s="783">
      <c r="B461" s="901" t="n"/>
    </row>
    <row r="462" ht="15" customHeight="1" s="783">
      <c r="B462" s="901" t="n"/>
    </row>
    <row r="463" ht="15" customHeight="1" s="783">
      <c r="B463" s="901" t="n"/>
    </row>
    <row r="464" ht="15" customHeight="1" s="783">
      <c r="B464" s="901" t="n"/>
    </row>
    <row r="465" ht="15" customHeight="1" s="783">
      <c r="B465" s="901" t="n"/>
    </row>
    <row r="466" ht="15" customHeight="1" s="783">
      <c r="B466" s="901" t="n"/>
    </row>
    <row r="467" ht="15" customHeight="1" s="783">
      <c r="B467" s="901" t="n"/>
    </row>
    <row r="468" ht="15" customHeight="1" s="783">
      <c r="B468" s="901" t="n"/>
    </row>
    <row r="469" ht="15" customHeight="1" s="783">
      <c r="B469" s="901" t="n"/>
    </row>
    <row r="470" ht="15" customHeight="1" s="783">
      <c r="B470" s="901" t="n"/>
    </row>
    <row r="471" ht="15" customHeight="1" s="783">
      <c r="B471" s="901" t="n"/>
    </row>
    <row r="472" ht="15" customHeight="1" s="783">
      <c r="B472" s="901" t="n"/>
    </row>
    <row r="473" ht="15" customHeight="1" s="783">
      <c r="B473" s="901" t="n"/>
    </row>
    <row r="474" ht="15" customHeight="1" s="783">
      <c r="B474" s="901" t="n"/>
    </row>
    <row r="475" ht="15" customHeight="1" s="783">
      <c r="B475" s="901" t="n"/>
    </row>
    <row r="476" ht="15" customHeight="1" s="783">
      <c r="B476" s="901" t="n"/>
    </row>
    <row r="477" ht="15" customHeight="1" s="783">
      <c r="B477" s="901" t="n"/>
    </row>
    <row r="478" ht="15" customHeight="1" s="783">
      <c r="B478" s="901" t="n"/>
    </row>
    <row r="479" ht="15" customHeight="1" s="783">
      <c r="B479" s="901" t="n"/>
    </row>
    <row r="480" ht="15" customHeight="1" s="783">
      <c r="B480" s="901" t="n"/>
    </row>
    <row r="481" ht="15" customHeight="1" s="783">
      <c r="B481" s="901" t="n"/>
    </row>
    <row r="482" ht="15" customHeight="1" s="783">
      <c r="B482" s="901" t="n"/>
    </row>
    <row r="483" ht="15" customHeight="1" s="783">
      <c r="B483" s="901" t="n"/>
    </row>
    <row r="484" ht="15" customHeight="1" s="783">
      <c r="B484" s="901" t="n"/>
    </row>
    <row r="485" ht="15" customHeight="1" s="783">
      <c r="B485" s="901" t="n"/>
    </row>
    <row r="486" ht="15" customHeight="1" s="783">
      <c r="B486" s="901" t="n"/>
    </row>
    <row r="487" ht="15" customHeight="1" s="783">
      <c r="B487" s="901" t="n"/>
    </row>
    <row r="488" ht="15" customHeight="1" s="783">
      <c r="B488" s="901" t="n"/>
    </row>
    <row r="489" ht="15" customHeight="1" s="783">
      <c r="B489" s="901" t="n"/>
    </row>
    <row r="490" ht="15" customHeight="1" s="783">
      <c r="B490" s="901" t="n"/>
    </row>
    <row r="491" ht="15" customHeight="1" s="783">
      <c r="B491" s="901" t="n"/>
    </row>
    <row r="492" ht="15" customHeight="1" s="783">
      <c r="B492" s="901" t="n"/>
    </row>
    <row r="493" ht="15" customHeight="1" s="783">
      <c r="B493" s="901" t="n"/>
    </row>
    <row r="494" ht="15" customHeight="1" s="783">
      <c r="B494" s="901" t="n"/>
    </row>
    <row r="495" ht="15" customHeight="1" s="783">
      <c r="B495" s="901" t="n"/>
    </row>
    <row r="496" ht="15" customHeight="1" s="783">
      <c r="B496" s="901" t="n"/>
    </row>
    <row r="497" ht="15" customHeight="1" s="783">
      <c r="B497" s="901" t="n"/>
    </row>
    <row r="498" ht="15" customHeight="1" s="783">
      <c r="B498" s="901" t="n"/>
    </row>
    <row r="499" ht="15" customHeight="1" s="783">
      <c r="B499" s="901" t="n"/>
    </row>
    <row r="500" ht="15" customHeight="1" s="783">
      <c r="B500" s="901" t="n"/>
    </row>
    <row r="501" ht="15" customHeight="1" s="783">
      <c r="B501" s="901" t="n"/>
    </row>
    <row r="502" ht="15" customHeight="1" s="783">
      <c r="B502" s="901" t="n"/>
    </row>
    <row r="503" ht="15" customHeight="1" s="783">
      <c r="B503" s="901" t="n"/>
    </row>
    <row r="504" ht="15" customHeight="1" s="783">
      <c r="B504" s="901" t="n"/>
    </row>
    <row r="505" ht="15" customHeight="1" s="783">
      <c r="B505" s="901" t="n"/>
    </row>
    <row r="506" ht="15" customHeight="1" s="783">
      <c r="B506" s="901" t="n"/>
    </row>
    <row r="507" ht="15" customHeight="1" s="783">
      <c r="B507" s="901" t="n"/>
    </row>
    <row r="508" ht="15" customHeight="1" s="783">
      <c r="B508" s="901" t="n"/>
    </row>
    <row r="509" ht="15" customHeight="1" s="783">
      <c r="B509" s="901" t="n"/>
    </row>
    <row r="510" ht="15" customHeight="1" s="783">
      <c r="B510" s="901" t="n"/>
    </row>
    <row r="511" ht="15" customHeight="1" s="783">
      <c r="B511" s="901" t="n"/>
    </row>
    <row r="512" ht="15" customHeight="1" s="783">
      <c r="B512" s="901" t="n"/>
    </row>
    <row r="513" ht="15" customHeight="1" s="783">
      <c r="B513" s="901" t="n"/>
    </row>
    <row r="514" ht="15" customHeight="1" s="783">
      <c r="B514" s="901" t="n"/>
    </row>
    <row r="515" ht="15" customHeight="1" s="783">
      <c r="B515" s="901" t="n"/>
    </row>
    <row r="516" ht="15" customHeight="1" s="783">
      <c r="B516" s="901" t="n"/>
    </row>
    <row r="517" ht="15" customHeight="1" s="783">
      <c r="B517" s="901" t="n"/>
    </row>
    <row r="518" ht="15" customHeight="1" s="783">
      <c r="B518" s="901" t="n"/>
    </row>
    <row r="519" ht="15" customHeight="1" s="783">
      <c r="B519" s="901" t="n"/>
    </row>
    <row r="520" ht="15" customHeight="1" s="783">
      <c r="B520" s="901" t="n"/>
    </row>
    <row r="521" ht="15" customHeight="1" s="783">
      <c r="B521" s="901" t="n"/>
    </row>
    <row r="522" ht="15" customHeight="1" s="783">
      <c r="B522" s="901" t="n"/>
    </row>
    <row r="523" ht="15" customHeight="1" s="783">
      <c r="B523" s="901" t="n"/>
    </row>
    <row r="524" ht="15" customHeight="1" s="783">
      <c r="B524" s="901" t="n"/>
    </row>
    <row r="525" ht="15" customHeight="1" s="783">
      <c r="B525" s="901" t="n"/>
    </row>
    <row r="526" ht="15" customHeight="1" s="783">
      <c r="B526" s="901" t="n"/>
    </row>
    <row r="527" ht="15" customHeight="1" s="783">
      <c r="B527" s="901" t="n"/>
    </row>
    <row r="528" ht="15" customHeight="1" s="783">
      <c r="B528" s="901" t="n"/>
    </row>
    <row r="529" ht="15" customHeight="1" s="783">
      <c r="B529" s="901" t="n"/>
    </row>
    <row r="530" ht="15" customHeight="1" s="783">
      <c r="B530" s="901" t="n"/>
    </row>
    <row r="531" ht="15" customHeight="1" s="783">
      <c r="B531" s="901" t="n"/>
    </row>
    <row r="532" ht="15" customHeight="1" s="783">
      <c r="B532" s="901" t="n"/>
    </row>
    <row r="533" ht="15" customHeight="1" s="783">
      <c r="B533" s="901" t="n"/>
    </row>
    <row r="534" ht="15" customHeight="1" s="783">
      <c r="B534" s="901" t="n"/>
    </row>
    <row r="535" ht="15" customHeight="1" s="783">
      <c r="B535" s="901" t="n"/>
    </row>
    <row r="536" ht="15" customHeight="1" s="783">
      <c r="B536" s="901" t="n"/>
    </row>
    <row r="537" ht="15" customHeight="1" s="783">
      <c r="B537" s="901" t="n"/>
    </row>
    <row r="538" ht="15" customHeight="1" s="783">
      <c r="B538" s="901" t="n"/>
    </row>
    <row r="539" ht="15" customHeight="1" s="783">
      <c r="B539" s="901" t="n"/>
    </row>
    <row r="540" ht="15" customHeight="1" s="783">
      <c r="B540" s="901" t="n"/>
    </row>
    <row r="541" ht="15" customHeight="1" s="783">
      <c r="B541" s="901" t="n"/>
    </row>
    <row r="542" ht="15" customHeight="1" s="783">
      <c r="B542" s="901" t="n"/>
    </row>
    <row r="543" ht="15" customHeight="1" s="783">
      <c r="B543" s="901" t="n"/>
    </row>
    <row r="544" ht="15" customHeight="1" s="783">
      <c r="B544" s="901" t="n"/>
    </row>
    <row r="545" ht="15" customHeight="1" s="783">
      <c r="B545" s="901" t="n"/>
    </row>
    <row r="546" ht="15" customHeight="1" s="783">
      <c r="B546" s="901" t="n"/>
    </row>
    <row r="547" ht="15" customHeight="1" s="783">
      <c r="B547" s="901" t="n"/>
    </row>
    <row r="548" ht="15" customHeight="1" s="783">
      <c r="B548" s="901" t="n"/>
    </row>
    <row r="549" ht="15" customHeight="1" s="783">
      <c r="B549" s="901" t="n"/>
    </row>
    <row r="550" ht="15" customHeight="1" s="783">
      <c r="B550" s="901" t="n"/>
    </row>
    <row r="551" ht="15" customHeight="1" s="783">
      <c r="B551" s="901" t="n"/>
    </row>
    <row r="552" ht="15" customHeight="1" s="783">
      <c r="B552" s="901" t="n"/>
    </row>
    <row r="553" ht="15" customHeight="1" s="783">
      <c r="B553" s="901" t="n"/>
    </row>
    <row r="554" ht="15" customHeight="1" s="783">
      <c r="B554" s="901" t="n"/>
    </row>
    <row r="555" ht="15" customHeight="1" s="783">
      <c r="B555" s="901" t="n"/>
    </row>
    <row r="556" ht="15" customHeight="1" s="783">
      <c r="B556" s="901" t="n"/>
    </row>
    <row r="557" ht="15" customHeight="1" s="783">
      <c r="B557" s="901" t="n"/>
    </row>
    <row r="558" ht="15" customHeight="1" s="783">
      <c r="B558" s="901" t="n"/>
    </row>
    <row r="559" ht="15" customHeight="1" s="783">
      <c r="B559" s="901" t="n"/>
    </row>
    <row r="560" ht="15" customHeight="1" s="783">
      <c r="B560" s="901" t="n"/>
    </row>
    <row r="561" ht="15" customHeight="1" s="783">
      <c r="B561" s="901" t="n"/>
    </row>
    <row r="562" ht="15" customHeight="1" s="783">
      <c r="B562" s="901" t="n"/>
    </row>
    <row r="563" ht="15" customHeight="1" s="783">
      <c r="B563" s="901" t="n"/>
    </row>
    <row r="564" ht="15" customHeight="1" s="783">
      <c r="B564" s="901" t="n"/>
    </row>
    <row r="565" ht="15" customHeight="1" s="783">
      <c r="B565" s="901" t="n"/>
    </row>
    <row r="566" ht="15" customHeight="1" s="783">
      <c r="B566" s="901" t="n"/>
    </row>
    <row r="567" ht="15" customHeight="1" s="783">
      <c r="B567" s="901" t="n"/>
    </row>
    <row r="568" ht="15" customHeight="1" s="783">
      <c r="B568" s="901" t="n"/>
    </row>
    <row r="569" ht="15" customHeight="1" s="783">
      <c r="B569" s="901" t="n"/>
    </row>
    <row r="570" ht="15" customHeight="1" s="783">
      <c r="B570" s="901" t="n"/>
    </row>
    <row r="571" ht="15" customHeight="1" s="783">
      <c r="B571" s="901" t="n"/>
    </row>
    <row r="572" ht="15" customHeight="1" s="783">
      <c r="B572" s="901" t="n"/>
    </row>
    <row r="573" ht="15" customHeight="1" s="783">
      <c r="B573" s="901" t="n"/>
    </row>
    <row r="574" ht="15" customHeight="1" s="783">
      <c r="B574" s="901" t="n"/>
    </row>
    <row r="575" ht="15" customHeight="1" s="783">
      <c r="B575" s="901" t="n"/>
    </row>
    <row r="576" ht="15" customHeight="1" s="783">
      <c r="B576" s="901" t="n"/>
    </row>
    <row r="577" ht="15" customHeight="1" s="783">
      <c r="B577" s="901" t="n"/>
    </row>
    <row r="578" ht="15" customHeight="1" s="783">
      <c r="B578" s="901" t="n"/>
    </row>
    <row r="579" ht="15" customHeight="1" s="783">
      <c r="B579" s="901" t="n"/>
    </row>
    <row r="580" ht="15" customHeight="1" s="783">
      <c r="B580" s="901" t="n"/>
    </row>
    <row r="581" ht="15" customHeight="1" s="783">
      <c r="B581" s="901" t="n"/>
    </row>
    <row r="582" ht="15" customHeight="1" s="783">
      <c r="B582" s="901" t="n"/>
    </row>
    <row r="583" ht="15" customHeight="1" s="783">
      <c r="B583" s="901" t="n"/>
    </row>
    <row r="584" ht="15" customHeight="1" s="783">
      <c r="B584" s="901" t="n"/>
    </row>
    <row r="585" ht="15" customHeight="1" s="783">
      <c r="B585" s="901" t="n"/>
    </row>
    <row r="586" ht="15" customHeight="1" s="783">
      <c r="B586" s="901" t="n"/>
    </row>
    <row r="587" ht="15" customHeight="1" s="783">
      <c r="B587" s="901" t="n"/>
    </row>
    <row r="588" ht="15" customHeight="1" s="783">
      <c r="B588" s="901" t="n"/>
    </row>
    <row r="589" ht="15" customHeight="1" s="783">
      <c r="B589" s="901" t="n"/>
    </row>
    <row r="590" ht="15" customHeight="1" s="783">
      <c r="B590" s="901" t="n"/>
    </row>
    <row r="591" ht="15" customHeight="1" s="783">
      <c r="B591" s="901" t="n"/>
    </row>
    <row r="592" ht="15" customHeight="1" s="783">
      <c r="B592" s="901" t="n"/>
    </row>
    <row r="593" ht="15" customHeight="1" s="783">
      <c r="B593" s="901" t="n"/>
    </row>
    <row r="594" ht="15" customHeight="1" s="783">
      <c r="B594" s="901" t="n"/>
    </row>
    <row r="595" ht="15" customHeight="1" s="783">
      <c r="B595" s="901" t="n"/>
    </row>
    <row r="596" ht="15" customHeight="1" s="783">
      <c r="B596" s="901" t="n"/>
    </row>
    <row r="597" ht="15" customHeight="1" s="783">
      <c r="B597" s="901" t="n"/>
    </row>
    <row r="598" ht="15" customHeight="1" s="783">
      <c r="B598" s="901" t="n"/>
    </row>
    <row r="599" ht="15" customHeight="1" s="783">
      <c r="B599" s="901" t="n"/>
    </row>
    <row r="600" ht="15" customHeight="1" s="783">
      <c r="B600" s="901" t="n"/>
    </row>
    <row r="601" ht="15" customHeight="1" s="783">
      <c r="B601" s="901" t="n"/>
    </row>
    <row r="602" ht="15" customHeight="1" s="783">
      <c r="B602" s="901" t="n"/>
    </row>
    <row r="603" ht="15" customHeight="1" s="783">
      <c r="B603" s="901" t="n"/>
    </row>
    <row r="604" ht="15" customHeight="1" s="783">
      <c r="B604" s="901" t="n"/>
    </row>
    <row r="605" ht="15" customHeight="1" s="783">
      <c r="B605" s="901" t="n"/>
    </row>
    <row r="606" ht="15" customHeight="1" s="783">
      <c r="B606" s="901" t="n"/>
    </row>
    <row r="607" ht="15" customHeight="1" s="783">
      <c r="B607" s="901" t="n"/>
    </row>
    <row r="608" ht="15" customHeight="1" s="783">
      <c r="B608" s="901" t="n"/>
    </row>
    <row r="609" ht="15" customHeight="1" s="783">
      <c r="B609" s="901" t="n"/>
    </row>
    <row r="610" ht="15" customHeight="1" s="783">
      <c r="B610" s="901" t="n"/>
    </row>
    <row r="611" ht="15" customHeight="1" s="783">
      <c r="B611" s="901" t="n"/>
    </row>
    <row r="612" ht="15" customHeight="1" s="783">
      <c r="B612" s="901" t="n"/>
    </row>
    <row r="613" ht="15" customHeight="1" s="783">
      <c r="B613" s="901" t="n"/>
    </row>
    <row r="614" ht="15" customHeight="1" s="783">
      <c r="B614" s="901" t="n"/>
    </row>
    <row r="615" ht="15" customHeight="1" s="783">
      <c r="B615" s="901" t="n"/>
    </row>
    <row r="616" ht="15" customHeight="1" s="783">
      <c r="B616" s="901" t="n"/>
    </row>
    <row r="617" ht="15" customHeight="1" s="783">
      <c r="B617" s="901" t="n"/>
    </row>
    <row r="618" ht="15" customHeight="1" s="783">
      <c r="B618" s="901" t="n"/>
    </row>
    <row r="619" ht="15" customHeight="1" s="783">
      <c r="B619" s="901" t="n"/>
    </row>
    <row r="620" ht="15" customHeight="1" s="783">
      <c r="B620" s="901" t="n"/>
    </row>
    <row r="621" ht="15" customHeight="1" s="783">
      <c r="B621" s="901" t="n"/>
    </row>
    <row r="622" ht="15" customHeight="1" s="783">
      <c r="B622" s="901" t="n"/>
    </row>
    <row r="623" ht="15" customHeight="1" s="783">
      <c r="B623" s="901" t="n"/>
    </row>
    <row r="624" ht="15" customHeight="1" s="783">
      <c r="B624" s="901" t="n"/>
    </row>
    <row r="625" ht="15" customHeight="1" s="783">
      <c r="B625" s="901" t="n"/>
    </row>
    <row r="626" ht="15" customHeight="1" s="783">
      <c r="B626" s="901" t="n"/>
    </row>
    <row r="627" ht="15" customHeight="1" s="783">
      <c r="B627" s="901" t="n"/>
    </row>
    <row r="628" ht="15" customHeight="1" s="783">
      <c r="B628" s="901" t="n"/>
    </row>
    <row r="629" ht="15" customHeight="1" s="783">
      <c r="B629" s="901" t="n"/>
    </row>
    <row r="630" ht="15" customHeight="1" s="783">
      <c r="B630" s="901" t="n"/>
    </row>
    <row r="631" ht="15" customHeight="1" s="783">
      <c r="B631" s="901" t="n"/>
    </row>
    <row r="632" ht="15" customHeight="1" s="783">
      <c r="B632" s="901" t="n"/>
    </row>
    <row r="633" ht="15" customHeight="1" s="783">
      <c r="B633" s="901" t="n"/>
    </row>
    <row r="634" ht="15" customHeight="1" s="783">
      <c r="B634" s="901" t="n"/>
    </row>
    <row r="635" ht="15" customHeight="1" s="783">
      <c r="B635" s="901" t="n"/>
    </row>
    <row r="636" ht="15" customHeight="1" s="783">
      <c r="B636" s="901" t="n"/>
    </row>
    <row r="637" ht="15" customHeight="1" s="783">
      <c r="B637" s="901" t="n"/>
    </row>
    <row r="638" ht="15" customHeight="1" s="783">
      <c r="B638" s="901" t="n"/>
    </row>
    <row r="639" ht="15" customHeight="1" s="783">
      <c r="B639" s="901" t="n"/>
    </row>
    <row r="640" ht="15" customHeight="1" s="783">
      <c r="B640" s="901" t="n"/>
    </row>
    <row r="641" ht="15" customHeight="1" s="783">
      <c r="B641" s="901" t="n"/>
    </row>
    <row r="642" ht="15" customHeight="1" s="783">
      <c r="B642" s="901" t="n"/>
    </row>
    <row r="643" ht="15" customHeight="1" s="783">
      <c r="B643" s="901" t="n"/>
    </row>
    <row r="644" ht="15" customHeight="1" s="783">
      <c r="B644" s="901" t="n"/>
    </row>
    <row r="645" ht="15" customHeight="1" s="783">
      <c r="B645" s="901" t="n"/>
    </row>
    <row r="646" ht="15" customHeight="1" s="783">
      <c r="B646" s="901" t="n"/>
    </row>
    <row r="647" ht="15" customHeight="1" s="783">
      <c r="B647" s="901" t="n"/>
    </row>
    <row r="648" ht="15" customHeight="1" s="783">
      <c r="B648" s="901" t="n"/>
    </row>
    <row r="649" ht="15" customHeight="1" s="783">
      <c r="B649" s="901" t="n"/>
    </row>
    <row r="650" ht="15" customHeight="1" s="783">
      <c r="B650" s="901" t="n"/>
    </row>
    <row r="651" ht="15" customHeight="1" s="783">
      <c r="B651" s="901" t="n"/>
    </row>
    <row r="652" ht="15" customHeight="1" s="783">
      <c r="B652" s="901" t="n"/>
    </row>
    <row r="653" ht="15" customHeight="1" s="783">
      <c r="B653" s="901" t="n"/>
    </row>
    <row r="654" ht="15" customHeight="1" s="783">
      <c r="B654" s="901" t="n"/>
    </row>
    <row r="655" ht="15" customHeight="1" s="783">
      <c r="B655" s="901" t="n"/>
    </row>
    <row r="656" ht="15" customHeight="1" s="783">
      <c r="B656" s="901" t="n"/>
    </row>
    <row r="657" ht="15" customHeight="1" s="783">
      <c r="B657" s="901" t="n"/>
    </row>
    <row r="658" ht="15" customHeight="1" s="783">
      <c r="B658" s="901" t="n"/>
    </row>
    <row r="659" ht="15" customHeight="1" s="783">
      <c r="B659" s="901" t="n"/>
    </row>
    <row r="660" ht="15" customHeight="1" s="783">
      <c r="B660" s="901" t="n"/>
    </row>
    <row r="661" ht="15" customHeight="1" s="783">
      <c r="B661" s="901" t="n"/>
    </row>
    <row r="662" ht="15" customHeight="1" s="783">
      <c r="B662" s="901" t="n"/>
    </row>
    <row r="663" ht="15" customHeight="1" s="783">
      <c r="B663" s="901" t="n"/>
    </row>
    <row r="664" ht="15" customHeight="1" s="783">
      <c r="B664" s="901" t="n"/>
    </row>
    <row r="665" ht="15" customHeight="1" s="783">
      <c r="B665" s="901" t="n"/>
    </row>
    <row r="666" ht="15" customHeight="1" s="783">
      <c r="B666" s="901" t="n"/>
    </row>
    <row r="667" ht="15" customHeight="1" s="783">
      <c r="B667" s="901" t="n"/>
    </row>
    <row r="668" ht="15" customHeight="1" s="783">
      <c r="B668" s="901" t="n"/>
    </row>
    <row r="669" ht="15" customHeight="1" s="783">
      <c r="B669" s="901" t="n"/>
    </row>
    <row r="670" ht="15" customHeight="1" s="783">
      <c r="B670" s="901" t="n"/>
    </row>
    <row r="671" ht="15" customHeight="1" s="783">
      <c r="B671" s="901" t="n"/>
    </row>
    <row r="672" ht="15" customHeight="1" s="783">
      <c r="B672" s="901" t="n"/>
    </row>
    <row r="673" ht="15" customHeight="1" s="783">
      <c r="B673" s="901" t="n"/>
    </row>
    <row r="674" ht="15" customHeight="1" s="783">
      <c r="B674" s="901" t="n"/>
    </row>
    <row r="675" ht="15" customHeight="1" s="783">
      <c r="B675" s="901" t="n"/>
    </row>
    <row r="676" ht="15" customHeight="1" s="783">
      <c r="B676" s="901" t="n"/>
    </row>
    <row r="677" ht="15" customHeight="1" s="783">
      <c r="B677" s="901" t="n"/>
    </row>
    <row r="678" ht="15" customHeight="1" s="783">
      <c r="B678" s="901" t="n"/>
    </row>
    <row r="679" ht="15" customHeight="1" s="783">
      <c r="B679" s="901" t="n"/>
    </row>
    <row r="680" ht="15" customHeight="1" s="783">
      <c r="B680" s="901" t="n"/>
    </row>
    <row r="681" ht="15" customHeight="1" s="783">
      <c r="B681" s="901" t="n"/>
    </row>
    <row r="682" ht="15" customHeight="1" s="783">
      <c r="B682" s="901" t="n"/>
    </row>
    <row r="683" ht="15" customHeight="1" s="783">
      <c r="B683" s="901" t="n"/>
    </row>
    <row r="684" ht="15" customHeight="1" s="783">
      <c r="B684" s="901" t="n"/>
    </row>
    <row r="685" ht="15" customHeight="1" s="783">
      <c r="B685" s="901" t="n"/>
    </row>
    <row r="686" ht="15" customHeight="1" s="783">
      <c r="B686" s="901" t="n"/>
    </row>
    <row r="687" ht="15" customHeight="1" s="783">
      <c r="B687" s="901" t="n"/>
    </row>
    <row r="688" ht="15" customHeight="1" s="783">
      <c r="B688" s="901" t="n"/>
    </row>
    <row r="689" ht="15" customHeight="1" s="783">
      <c r="B689" s="901" t="n"/>
    </row>
    <row r="690" ht="15" customHeight="1" s="783">
      <c r="B690" s="901" t="n"/>
    </row>
    <row r="691" ht="15" customHeight="1" s="783">
      <c r="B691" s="901" t="n"/>
    </row>
    <row r="692" ht="15" customHeight="1" s="783">
      <c r="B692" s="901" t="n"/>
    </row>
    <row r="693" ht="15" customHeight="1" s="783">
      <c r="B693" s="901" t="n"/>
    </row>
    <row r="694" ht="15" customHeight="1" s="783">
      <c r="B694" s="901" t="n"/>
    </row>
    <row r="695" ht="15" customHeight="1" s="783">
      <c r="B695" s="901" t="n"/>
    </row>
    <row r="696" ht="15" customHeight="1" s="783">
      <c r="B696" s="901" t="n"/>
    </row>
    <row r="697" ht="15" customHeight="1" s="783">
      <c r="B697" s="901" t="n"/>
    </row>
    <row r="698" ht="15" customHeight="1" s="783">
      <c r="B698" s="901" t="n"/>
    </row>
    <row r="699" ht="15" customHeight="1" s="783">
      <c r="B699" s="901" t="n"/>
    </row>
    <row r="700" ht="15" customHeight="1" s="783">
      <c r="B700" s="901" t="n"/>
    </row>
    <row r="701" ht="15" customHeight="1" s="783">
      <c r="B701" s="901" t="n"/>
    </row>
    <row r="702" ht="15" customHeight="1" s="783">
      <c r="B702" s="901" t="n"/>
    </row>
    <row r="703" ht="15" customHeight="1" s="783">
      <c r="B703" s="901" t="n"/>
    </row>
    <row r="704" ht="15" customHeight="1" s="783">
      <c r="B704" s="901" t="n"/>
    </row>
    <row r="705" ht="15" customHeight="1" s="783">
      <c r="B705" s="901" t="n"/>
    </row>
    <row r="706" ht="15" customHeight="1" s="783">
      <c r="B706" s="901" t="n"/>
    </row>
    <row r="707" ht="15" customHeight="1" s="783">
      <c r="B707" s="901" t="n"/>
    </row>
    <row r="708" ht="15" customHeight="1" s="783">
      <c r="B708" s="901" t="n"/>
    </row>
    <row r="709" ht="15" customHeight="1" s="783">
      <c r="B709" s="901" t="n"/>
    </row>
    <row r="710" ht="15" customHeight="1" s="783">
      <c r="B710" s="901" t="n"/>
    </row>
    <row r="711" ht="15" customHeight="1" s="783">
      <c r="B711" s="901" t="n"/>
    </row>
    <row r="712" ht="15" customHeight="1" s="783">
      <c r="B712" s="901" t="n"/>
    </row>
    <row r="713" ht="15" customHeight="1" s="783">
      <c r="B713" s="901" t="n"/>
    </row>
    <row r="714" ht="15" customHeight="1" s="783">
      <c r="B714" s="901" t="n"/>
    </row>
    <row r="715" ht="15" customHeight="1" s="783">
      <c r="B715" s="901" t="n"/>
    </row>
    <row r="716" ht="15" customHeight="1" s="783">
      <c r="B716" s="901" t="n"/>
    </row>
    <row r="717" ht="15" customHeight="1" s="783">
      <c r="B717" s="901" t="n"/>
    </row>
    <row r="718" ht="15" customHeight="1" s="783">
      <c r="B718" s="901" t="n"/>
    </row>
    <row r="719" ht="15" customHeight="1" s="783">
      <c r="B719" s="901" t="n"/>
    </row>
    <row r="720" ht="15" customHeight="1" s="783">
      <c r="B720" s="901" t="n"/>
    </row>
    <row r="721" ht="15" customHeight="1" s="783">
      <c r="B721" s="901" t="n"/>
    </row>
    <row r="722" ht="15" customHeight="1" s="783">
      <c r="B722" s="901" t="n"/>
    </row>
    <row r="723" ht="15" customHeight="1" s="783">
      <c r="B723" s="901" t="n"/>
    </row>
    <row r="724" ht="15" customHeight="1" s="783">
      <c r="B724" s="901" t="n"/>
    </row>
    <row r="725" ht="15" customHeight="1" s="783">
      <c r="B725" s="901" t="n"/>
    </row>
    <row r="726" ht="15" customHeight="1" s="783">
      <c r="B726" s="901" t="n"/>
    </row>
    <row r="727" ht="15" customHeight="1" s="783">
      <c r="B727" s="901" t="n"/>
    </row>
    <row r="728" ht="15" customHeight="1" s="783">
      <c r="B728" s="901" t="n"/>
    </row>
    <row r="729" ht="15" customHeight="1" s="783">
      <c r="B729" s="901" t="n"/>
    </row>
    <row r="730" ht="15" customHeight="1" s="783">
      <c r="B730" s="901" t="n"/>
    </row>
    <row r="731" ht="15" customHeight="1" s="783">
      <c r="B731" s="901" t="n"/>
    </row>
    <row r="732" ht="15" customHeight="1" s="783">
      <c r="B732" s="901" t="n"/>
    </row>
    <row r="733" ht="15" customHeight="1" s="783">
      <c r="B733" s="901" t="n"/>
    </row>
    <row r="734" ht="15" customHeight="1" s="783">
      <c r="B734" s="901" t="n"/>
    </row>
    <row r="735" ht="15" customHeight="1" s="783">
      <c r="B735" s="901" t="n"/>
    </row>
    <row r="736" ht="15" customHeight="1" s="783">
      <c r="B736" s="901" t="n"/>
    </row>
    <row r="737" ht="15" customHeight="1" s="783">
      <c r="B737" s="901" t="n"/>
    </row>
    <row r="738" ht="15" customHeight="1" s="783">
      <c r="B738" s="901" t="n"/>
    </row>
    <row r="739" ht="15" customHeight="1" s="783">
      <c r="B739" s="901" t="n"/>
    </row>
    <row r="740" ht="15" customHeight="1" s="783">
      <c r="B740" s="901" t="n"/>
    </row>
    <row r="741" ht="15" customHeight="1" s="783">
      <c r="B741" s="901" t="n"/>
    </row>
    <row r="742" ht="15" customHeight="1" s="783">
      <c r="B742" s="901" t="n"/>
    </row>
    <row r="743" ht="15" customHeight="1" s="783">
      <c r="B743" s="901" t="n"/>
    </row>
    <row r="744" ht="15" customHeight="1" s="783">
      <c r="B744" s="901" t="n"/>
    </row>
    <row r="745" ht="15" customHeight="1" s="783">
      <c r="B745" s="901" t="n"/>
    </row>
    <row r="746" ht="15" customHeight="1" s="783">
      <c r="B746" s="901" t="n"/>
    </row>
    <row r="747" ht="15" customHeight="1" s="783">
      <c r="B747" s="901" t="n"/>
    </row>
    <row r="748" ht="15" customHeight="1" s="783">
      <c r="B748" s="901" t="n"/>
    </row>
    <row r="749" ht="15" customHeight="1" s="783">
      <c r="B749" s="901" t="n"/>
    </row>
    <row r="750" ht="15" customHeight="1" s="783">
      <c r="B750" s="901" t="n"/>
    </row>
    <row r="751" ht="15" customHeight="1" s="783">
      <c r="B751" s="901" t="n"/>
    </row>
    <row r="752" ht="15" customHeight="1" s="783">
      <c r="B752" s="901" t="n"/>
    </row>
    <row r="753" ht="15" customHeight="1" s="783">
      <c r="B753" s="901" t="n"/>
    </row>
    <row r="754" ht="15" customHeight="1" s="783">
      <c r="B754" s="901" t="n"/>
    </row>
    <row r="755" ht="15" customHeight="1" s="783">
      <c r="B755" s="901" t="n"/>
    </row>
    <row r="756" ht="15" customHeight="1" s="783">
      <c r="B756" s="901" t="n"/>
    </row>
    <row r="757" ht="15" customHeight="1" s="783">
      <c r="B757" s="901" t="n"/>
    </row>
    <row r="758" ht="15" customHeight="1" s="783">
      <c r="B758" s="901" t="n"/>
    </row>
    <row r="759" ht="15" customHeight="1" s="783">
      <c r="B759" s="901" t="n"/>
    </row>
    <row r="760" ht="15" customHeight="1" s="783">
      <c r="B760" s="901" t="n"/>
    </row>
    <row r="761" ht="15" customHeight="1" s="783">
      <c r="B761" s="901" t="n"/>
    </row>
    <row r="762" ht="15" customHeight="1" s="783">
      <c r="B762" s="901" t="n"/>
    </row>
    <row r="763" ht="15" customHeight="1" s="783">
      <c r="B763" s="901" t="n"/>
    </row>
    <row r="764" ht="15" customHeight="1" s="783">
      <c r="B764" s="901" t="n"/>
    </row>
    <row r="765" ht="15" customHeight="1" s="783">
      <c r="B765" s="901" t="n"/>
    </row>
    <row r="766" ht="15" customHeight="1" s="783">
      <c r="B766" s="901" t="n"/>
    </row>
    <row r="767" ht="15" customHeight="1" s="783">
      <c r="B767" s="901" t="n"/>
    </row>
    <row r="768" ht="15" customHeight="1" s="783">
      <c r="B768" s="901" t="n"/>
    </row>
    <row r="769" ht="15" customHeight="1" s="783">
      <c r="B769" s="901" t="n"/>
    </row>
    <row r="770" ht="15" customHeight="1" s="783">
      <c r="B770" s="901" t="n"/>
    </row>
    <row r="771" ht="15" customHeight="1" s="783">
      <c r="B771" s="901" t="n"/>
    </row>
    <row r="772" ht="15" customHeight="1" s="783">
      <c r="B772" s="901" t="n"/>
    </row>
    <row r="773" ht="15" customHeight="1" s="783">
      <c r="B773" s="901" t="n"/>
    </row>
    <row r="774" ht="15" customHeight="1" s="783">
      <c r="B774" s="901" t="n"/>
    </row>
    <row r="775" ht="15" customHeight="1" s="783">
      <c r="B775" s="901" t="n"/>
    </row>
    <row r="776" ht="15" customHeight="1" s="783">
      <c r="B776" s="901" t="n"/>
    </row>
    <row r="777" ht="15" customHeight="1" s="783">
      <c r="B777" s="901" t="n"/>
    </row>
    <row r="778" ht="15" customHeight="1" s="783">
      <c r="B778" s="901" t="n"/>
    </row>
    <row r="779" ht="15" customHeight="1" s="783">
      <c r="B779" s="901" t="n"/>
    </row>
    <row r="780" ht="15" customHeight="1" s="783">
      <c r="B780" s="901" t="n"/>
    </row>
    <row r="781" ht="15" customHeight="1" s="783">
      <c r="B781" s="901" t="n"/>
    </row>
    <row r="782" ht="15" customHeight="1" s="783">
      <c r="B782" s="901" t="n"/>
    </row>
    <row r="783" ht="15" customHeight="1" s="783">
      <c r="B783" s="901" t="n"/>
    </row>
    <row r="784" ht="15" customHeight="1" s="783">
      <c r="B784" s="901" t="n"/>
    </row>
    <row r="785" ht="15" customHeight="1" s="783">
      <c r="B785" s="901" t="n"/>
    </row>
    <row r="786" ht="15" customHeight="1" s="783">
      <c r="B786" s="901" t="n"/>
    </row>
    <row r="787" ht="15" customHeight="1" s="783">
      <c r="B787" s="901" t="n"/>
    </row>
    <row r="788" ht="15" customHeight="1" s="783">
      <c r="B788" s="901" t="n"/>
    </row>
    <row r="789" ht="15" customHeight="1" s="783">
      <c r="B789" s="901" t="n"/>
    </row>
    <row r="790" ht="15" customHeight="1" s="783">
      <c r="B790" s="901" t="n"/>
    </row>
    <row r="791" ht="15" customHeight="1" s="783">
      <c r="B791" s="901" t="n"/>
    </row>
    <row r="792" ht="15" customHeight="1" s="783">
      <c r="B792" s="901" t="n"/>
    </row>
    <row r="793" ht="15" customHeight="1" s="783">
      <c r="B793" s="901" t="n"/>
    </row>
    <row r="794" ht="15" customHeight="1" s="783">
      <c r="B794" s="901" t="n"/>
    </row>
    <row r="795" ht="15" customHeight="1" s="783">
      <c r="B795" s="901" t="n"/>
    </row>
    <row r="796" ht="15" customHeight="1" s="783">
      <c r="B796" s="901" t="n"/>
    </row>
    <row r="797" ht="15" customHeight="1" s="783">
      <c r="B797" s="901" t="n"/>
    </row>
    <row r="798" ht="15" customHeight="1" s="783">
      <c r="B798" s="901" t="n"/>
    </row>
    <row r="799" ht="15" customHeight="1" s="783">
      <c r="B799" s="901" t="n"/>
    </row>
    <row r="800" ht="15" customHeight="1" s="783">
      <c r="B800" s="901" t="n"/>
    </row>
    <row r="801" ht="15" customHeight="1" s="783">
      <c r="B801" s="901" t="n"/>
    </row>
    <row r="802" ht="15" customHeight="1" s="783">
      <c r="B802" s="901" t="n"/>
    </row>
    <row r="803" ht="15" customHeight="1" s="783">
      <c r="B803" s="901" t="n"/>
    </row>
    <row r="804" ht="15" customHeight="1" s="783">
      <c r="B804" s="901" t="n"/>
    </row>
    <row r="805" ht="15" customHeight="1" s="783">
      <c r="B805" s="901" t="n"/>
    </row>
    <row r="806" ht="15" customHeight="1" s="783">
      <c r="B806" s="901" t="n"/>
    </row>
    <row r="807" ht="15" customHeight="1" s="783">
      <c r="B807" s="901" t="n"/>
    </row>
    <row r="808" ht="15" customHeight="1" s="783">
      <c r="B808" s="901" t="n"/>
    </row>
    <row r="809" ht="15" customHeight="1" s="783">
      <c r="B809" s="901" t="n"/>
    </row>
    <row r="810" ht="15" customHeight="1" s="783">
      <c r="B810" s="901" t="n"/>
    </row>
    <row r="811" ht="15" customHeight="1" s="783">
      <c r="B811" s="901" t="n"/>
    </row>
    <row r="812" ht="15" customHeight="1" s="783">
      <c r="B812" s="901" t="n"/>
    </row>
    <row r="813" ht="15" customHeight="1" s="783">
      <c r="B813" s="901" t="n"/>
    </row>
    <row r="814" ht="15" customHeight="1" s="783">
      <c r="B814" s="901" t="n"/>
    </row>
    <row r="815" ht="15" customHeight="1" s="783">
      <c r="B815" s="901" t="n"/>
    </row>
    <row r="816" ht="15" customHeight="1" s="783">
      <c r="B816" s="901" t="n"/>
    </row>
    <row r="817" ht="15" customHeight="1" s="783">
      <c r="B817" s="901" t="n"/>
    </row>
    <row r="818" ht="15" customHeight="1" s="783">
      <c r="B818" s="901" t="n"/>
    </row>
    <row r="819" ht="15" customHeight="1" s="783">
      <c r="B819" s="901" t="n"/>
    </row>
    <row r="820" ht="15" customHeight="1" s="783">
      <c r="B820" s="901" t="n"/>
    </row>
    <row r="821" ht="15" customHeight="1" s="783">
      <c r="B821" s="901" t="n"/>
    </row>
    <row r="822" ht="15" customHeight="1" s="783">
      <c r="B822" s="901" t="n"/>
    </row>
    <row r="823" ht="15" customHeight="1" s="783">
      <c r="B823" s="901" t="n"/>
    </row>
    <row r="824" ht="15" customHeight="1" s="783">
      <c r="B824" s="901" t="n"/>
    </row>
    <row r="825" ht="15" customHeight="1" s="783">
      <c r="B825" s="901" t="n"/>
    </row>
    <row r="826" ht="15" customHeight="1" s="783">
      <c r="B826" s="901" t="n"/>
    </row>
    <row r="827" ht="15" customHeight="1" s="783">
      <c r="B827" s="901" t="n"/>
    </row>
    <row r="828" ht="15" customHeight="1" s="783">
      <c r="B828" s="901" t="n"/>
    </row>
    <row r="829" ht="15" customHeight="1" s="783">
      <c r="B829" s="901" t="n"/>
    </row>
    <row r="830" ht="15" customHeight="1" s="783">
      <c r="B830" s="901" t="n"/>
    </row>
    <row r="831" ht="15" customHeight="1" s="783">
      <c r="B831" s="901" t="n"/>
    </row>
    <row r="832" ht="15" customHeight="1" s="783">
      <c r="B832" s="901" t="n"/>
    </row>
    <row r="833" ht="15" customHeight="1" s="783">
      <c r="B833" s="901" t="n"/>
    </row>
    <row r="834" ht="15" customHeight="1" s="783">
      <c r="B834" s="901" t="n"/>
    </row>
    <row r="835" ht="15" customHeight="1" s="783">
      <c r="B835" s="901" t="n"/>
    </row>
    <row r="836" ht="15" customHeight="1" s="783">
      <c r="B836" s="901" t="n"/>
    </row>
    <row r="837" ht="15" customHeight="1" s="783">
      <c r="B837" s="901" t="n"/>
    </row>
    <row r="838" ht="15" customHeight="1" s="783">
      <c r="B838" s="901" t="n"/>
    </row>
    <row r="839" ht="15" customHeight="1" s="783">
      <c r="B839" s="901" t="n"/>
    </row>
    <row r="840" ht="15" customHeight="1" s="783">
      <c r="B840" s="901" t="n"/>
    </row>
    <row r="841" ht="15" customHeight="1" s="783">
      <c r="B841" s="901" t="n"/>
    </row>
    <row r="842" ht="15" customHeight="1" s="783">
      <c r="B842" s="901" t="n"/>
    </row>
    <row r="843" ht="15" customHeight="1" s="783">
      <c r="B843" s="901" t="n"/>
    </row>
    <row r="844" ht="15" customHeight="1" s="783">
      <c r="B844" s="901" t="n"/>
    </row>
    <row r="845" ht="15" customHeight="1" s="783">
      <c r="B845" s="901" t="n"/>
    </row>
    <row r="846" ht="15" customHeight="1" s="783">
      <c r="B846" s="901" t="n"/>
    </row>
    <row r="847" ht="15" customHeight="1" s="783">
      <c r="B847" s="901" t="n"/>
    </row>
    <row r="848" ht="15" customHeight="1" s="783">
      <c r="B848" s="901" t="n"/>
    </row>
    <row r="849" ht="15" customHeight="1" s="783">
      <c r="B849" s="901" t="n"/>
    </row>
    <row r="850" ht="15" customHeight="1" s="783">
      <c r="B850" s="901" t="n"/>
    </row>
    <row r="851" ht="15" customHeight="1" s="783">
      <c r="B851" s="901" t="n"/>
    </row>
    <row r="852" ht="15" customHeight="1" s="783">
      <c r="B852" s="901" t="n"/>
    </row>
    <row r="853" ht="15" customHeight="1" s="783">
      <c r="B853" s="901" t="n"/>
    </row>
    <row r="854" ht="15" customHeight="1" s="783">
      <c r="B854" s="901" t="n"/>
    </row>
    <row r="855" ht="15" customHeight="1" s="783">
      <c r="B855" s="901" t="n"/>
    </row>
    <row r="856" ht="15" customHeight="1" s="783">
      <c r="B856" s="901" t="n"/>
    </row>
    <row r="857" ht="15" customHeight="1" s="783">
      <c r="B857" s="901" t="n"/>
    </row>
    <row r="858" ht="15" customHeight="1" s="783">
      <c r="B858" s="901" t="n"/>
    </row>
    <row r="859" ht="15" customHeight="1" s="783">
      <c r="B859" s="901" t="n"/>
    </row>
    <row r="860" ht="15" customHeight="1" s="783">
      <c r="B860" s="901" t="n"/>
    </row>
    <row r="861" ht="15" customHeight="1" s="783">
      <c r="B861" s="901" t="n"/>
    </row>
    <row r="862" ht="15" customHeight="1" s="783">
      <c r="B862" s="901" t="n"/>
    </row>
    <row r="863" ht="15" customHeight="1" s="783">
      <c r="B863" s="901" t="n"/>
    </row>
    <row r="864" ht="15" customHeight="1" s="783">
      <c r="B864" s="901" t="n"/>
    </row>
    <row r="865" ht="15" customHeight="1" s="783">
      <c r="B865" s="901" t="n"/>
    </row>
    <row r="866" ht="15" customHeight="1" s="783">
      <c r="B866" s="901" t="n"/>
    </row>
    <row r="867" ht="15" customHeight="1" s="783">
      <c r="B867" s="901" t="n"/>
    </row>
    <row r="868" ht="15" customHeight="1" s="783">
      <c r="B868" s="901" t="n"/>
    </row>
    <row r="869" ht="15" customHeight="1" s="783">
      <c r="B869" s="901" t="n"/>
    </row>
    <row r="870" ht="15" customHeight="1" s="783">
      <c r="B870" s="901" t="n"/>
    </row>
    <row r="871" ht="15" customHeight="1" s="783">
      <c r="B871" s="901" t="n"/>
    </row>
    <row r="872" ht="15" customHeight="1" s="783">
      <c r="B872" s="901" t="n"/>
    </row>
    <row r="873" ht="15" customHeight="1" s="783">
      <c r="B873" s="901" t="n"/>
    </row>
    <row r="874" ht="15" customHeight="1" s="783">
      <c r="B874" s="901" t="n"/>
    </row>
    <row r="875" ht="15" customHeight="1" s="783">
      <c r="B875" s="901" t="n"/>
    </row>
    <row r="876" ht="15" customHeight="1" s="783">
      <c r="B876" s="901" t="n"/>
    </row>
    <row r="877" ht="15" customHeight="1" s="783">
      <c r="B877" s="901" t="n"/>
    </row>
    <row r="878" ht="15" customHeight="1" s="783">
      <c r="B878" s="901" t="n"/>
    </row>
    <row r="879" ht="15" customHeight="1" s="783">
      <c r="B879" s="901" t="n"/>
    </row>
    <row r="880" ht="15" customHeight="1" s="783">
      <c r="B880" s="901" t="n"/>
    </row>
    <row r="881" ht="15" customHeight="1" s="783">
      <c r="B881" s="901" t="n"/>
    </row>
    <row r="882" ht="15" customHeight="1" s="783">
      <c r="B882" s="901" t="n"/>
    </row>
    <row r="883" ht="15" customHeight="1" s="783">
      <c r="B883" s="901" t="n"/>
    </row>
    <row r="884" ht="15" customHeight="1" s="783">
      <c r="B884" s="901" t="n"/>
    </row>
    <row r="885" ht="15" customHeight="1" s="783">
      <c r="B885" s="901" t="n"/>
    </row>
    <row r="886" ht="15" customHeight="1" s="783">
      <c r="B886" s="901" t="n"/>
    </row>
    <row r="887" ht="15" customHeight="1" s="783">
      <c r="B887" s="901" t="n"/>
    </row>
    <row r="888" ht="15" customHeight="1" s="783">
      <c r="B888" s="901" t="n"/>
    </row>
    <row r="889" ht="15" customHeight="1" s="783">
      <c r="B889" s="901" t="n"/>
    </row>
    <row r="890" ht="15" customHeight="1" s="783">
      <c r="B890" s="901" t="n"/>
    </row>
    <row r="891" ht="15" customHeight="1" s="783">
      <c r="B891" s="901" t="n"/>
    </row>
    <row r="892" ht="15" customHeight="1" s="783">
      <c r="B892" s="901" t="n"/>
    </row>
    <row r="893" ht="15" customHeight="1" s="783">
      <c r="B893" s="901" t="n"/>
    </row>
    <row r="894" ht="15" customHeight="1" s="783">
      <c r="B894" s="901" t="n"/>
    </row>
    <row r="895" ht="15" customHeight="1" s="783">
      <c r="B895" s="901" t="n"/>
    </row>
    <row r="896" ht="15" customHeight="1" s="783">
      <c r="B896" s="901" t="n"/>
    </row>
    <row r="897" ht="15" customHeight="1" s="783">
      <c r="B897" s="901" t="n"/>
    </row>
    <row r="898" ht="15" customHeight="1" s="783">
      <c r="B898" s="901" t="n"/>
    </row>
    <row r="899" ht="15" customHeight="1" s="783">
      <c r="B899" s="901" t="n"/>
    </row>
    <row r="900" ht="15" customHeight="1" s="783">
      <c r="B900" s="901" t="n"/>
    </row>
    <row r="901" ht="15" customHeight="1" s="783">
      <c r="B901" s="901" t="n"/>
    </row>
    <row r="902" ht="15" customHeight="1" s="783">
      <c r="B902" s="901" t="n"/>
    </row>
    <row r="903" ht="15" customHeight="1" s="783">
      <c r="B903" s="901" t="n"/>
    </row>
    <row r="904" ht="15" customHeight="1" s="783">
      <c r="B904" s="901" t="n"/>
    </row>
    <row r="905" ht="15" customHeight="1" s="783">
      <c r="B905" s="901" t="n"/>
    </row>
    <row r="906" ht="15" customHeight="1" s="783">
      <c r="B906" s="901" t="n"/>
    </row>
    <row r="907" ht="15" customHeight="1" s="783">
      <c r="B907" s="901" t="n"/>
    </row>
    <row r="908" ht="15" customHeight="1" s="783">
      <c r="B908" s="901" t="n"/>
    </row>
    <row r="909" ht="15" customHeight="1" s="783">
      <c r="B909" s="901" t="n"/>
    </row>
    <row r="910" ht="15" customHeight="1" s="783">
      <c r="B910" s="901" t="n"/>
    </row>
    <row r="911" ht="15" customHeight="1" s="783">
      <c r="B911" s="901" t="n"/>
    </row>
    <row r="912" ht="15" customHeight="1" s="783">
      <c r="B912" s="901" t="n"/>
    </row>
    <row r="913" ht="15" customHeight="1" s="783">
      <c r="B913" s="901" t="n"/>
    </row>
    <row r="914" ht="15" customHeight="1" s="783">
      <c r="B914" s="901" t="n"/>
    </row>
    <row r="915" ht="15" customHeight="1" s="783">
      <c r="B915" s="901" t="n"/>
    </row>
    <row r="916" ht="15" customHeight="1" s="783">
      <c r="B916" s="901" t="n"/>
    </row>
    <row r="917" ht="15" customHeight="1" s="783">
      <c r="B917" s="901" t="n"/>
    </row>
    <row r="918" ht="15" customHeight="1" s="783">
      <c r="B918" s="901" t="n"/>
    </row>
    <row r="919" ht="15" customHeight="1" s="783">
      <c r="B919" s="901" t="n"/>
    </row>
    <row r="920" ht="15" customHeight="1" s="783">
      <c r="B920" s="901" t="n"/>
    </row>
    <row r="921" ht="15" customHeight="1" s="783">
      <c r="B921" s="901" t="n"/>
    </row>
    <row r="922" ht="15" customHeight="1" s="783">
      <c r="B922" s="901" t="n"/>
    </row>
    <row r="923" ht="15" customHeight="1" s="783">
      <c r="B923" s="901" t="n"/>
    </row>
    <row r="924" ht="15" customHeight="1" s="783">
      <c r="B924" s="901" t="n"/>
    </row>
    <row r="925" ht="15" customHeight="1" s="783">
      <c r="B925" s="901" t="n"/>
    </row>
    <row r="926" ht="15" customHeight="1" s="783">
      <c r="B926" s="901" t="n"/>
    </row>
    <row r="927" ht="15" customHeight="1" s="783">
      <c r="B927" s="901" t="n"/>
    </row>
    <row r="928" ht="15" customHeight="1" s="783">
      <c r="B928" s="901" t="n"/>
    </row>
    <row r="929" ht="15" customHeight="1" s="783">
      <c r="B929" s="901" t="n"/>
    </row>
    <row r="930" ht="15" customHeight="1" s="783">
      <c r="B930" s="901" t="n"/>
    </row>
    <row r="931" ht="15" customHeight="1" s="783">
      <c r="B931" s="901" t="n"/>
    </row>
    <row r="932" ht="15" customHeight="1" s="783">
      <c r="B932" s="901" t="n"/>
    </row>
    <row r="933" ht="15" customHeight="1" s="783">
      <c r="B933" s="901" t="n"/>
    </row>
    <row r="934" ht="15" customHeight="1" s="783">
      <c r="B934" s="901" t="n"/>
    </row>
    <row r="935" ht="15" customHeight="1" s="783">
      <c r="B935" s="901" t="n"/>
    </row>
    <row r="936" ht="15" customHeight="1" s="783">
      <c r="B936" s="901" t="n"/>
    </row>
    <row r="937" ht="15" customHeight="1" s="783">
      <c r="B937" s="901" t="n"/>
    </row>
    <row r="938" ht="15" customHeight="1" s="783">
      <c r="B938" s="901" t="n"/>
    </row>
    <row r="939" ht="15" customHeight="1" s="783">
      <c r="B939" s="901" t="n"/>
    </row>
    <row r="940" ht="15" customHeight="1" s="783">
      <c r="B940" s="901" t="n"/>
    </row>
    <row r="941" ht="15" customHeight="1" s="783">
      <c r="B941" s="901" t="n"/>
    </row>
    <row r="942" ht="15" customHeight="1" s="783">
      <c r="B942" s="901" t="n"/>
    </row>
    <row r="943" ht="15" customHeight="1" s="783">
      <c r="B943" s="901" t="n"/>
    </row>
    <row r="944" ht="15" customHeight="1" s="783">
      <c r="B944" s="901" t="n"/>
    </row>
    <row r="945" ht="15" customHeight="1" s="783">
      <c r="B945" s="901" t="n"/>
    </row>
    <row r="946" ht="15" customHeight="1" s="783">
      <c r="B946" s="901" t="n"/>
    </row>
    <row r="947" ht="15" customHeight="1" s="783">
      <c r="B947" s="901" t="n"/>
    </row>
    <row r="948" ht="15" customHeight="1" s="783">
      <c r="B948" s="901" t="n"/>
    </row>
    <row r="949" ht="15" customHeight="1" s="783">
      <c r="B949" s="901" t="n"/>
    </row>
    <row r="950" ht="15" customHeight="1" s="783">
      <c r="B950" s="901" t="n"/>
    </row>
    <row r="951" ht="15" customHeight="1" s="783">
      <c r="B951" s="901" t="n"/>
    </row>
    <row r="952" ht="15" customHeight="1" s="783">
      <c r="B952" s="901" t="n"/>
    </row>
    <row r="953" ht="15" customHeight="1" s="783">
      <c r="B953" s="901" t="n"/>
    </row>
    <row r="954" ht="15" customHeight="1" s="783">
      <c r="B954" s="901" t="n"/>
    </row>
    <row r="955" ht="15" customHeight="1" s="783">
      <c r="B955" s="901" t="n"/>
    </row>
    <row r="956" ht="15" customHeight="1" s="783">
      <c r="B956" s="901" t="n"/>
    </row>
    <row r="957" ht="15" customHeight="1" s="783">
      <c r="B957" s="901" t="n"/>
    </row>
    <row r="958" ht="15" customHeight="1" s="783">
      <c r="B958" s="901" t="n"/>
    </row>
    <row r="959" ht="15" customHeight="1" s="783">
      <c r="B959" s="901" t="n"/>
    </row>
    <row r="960" ht="15" customHeight="1" s="783">
      <c r="B960" s="901" t="n"/>
    </row>
    <row r="961" ht="15" customHeight="1" s="783">
      <c r="B961" s="901" t="n"/>
    </row>
    <row r="962" ht="15" customHeight="1" s="783">
      <c r="B962" s="901" t="n"/>
    </row>
    <row r="963" ht="15" customHeight="1" s="783">
      <c r="B963" s="901" t="n"/>
    </row>
    <row r="964" ht="15" customHeight="1" s="783">
      <c r="B964" s="901" t="n"/>
    </row>
    <row r="965" ht="15" customHeight="1" s="783">
      <c r="B965" s="901" t="n"/>
    </row>
    <row r="966" ht="15" customHeight="1" s="783">
      <c r="B966" s="901" t="n"/>
    </row>
    <row r="967" ht="15" customHeight="1" s="783">
      <c r="B967" s="901" t="n"/>
    </row>
    <row r="968" ht="15" customHeight="1" s="783">
      <c r="B968" s="901" t="n"/>
    </row>
    <row r="969" ht="15" customHeight="1" s="783">
      <c r="B969" s="901" t="n"/>
    </row>
    <row r="970" ht="15" customHeight="1" s="783">
      <c r="B970" s="901" t="n"/>
    </row>
    <row r="971" ht="15" customHeight="1" s="783">
      <c r="B971" s="901" t="n"/>
    </row>
    <row r="972" ht="15" customHeight="1" s="783">
      <c r="B972" s="901" t="n"/>
    </row>
    <row r="973" ht="15" customHeight="1" s="783">
      <c r="B973" s="901" t="n"/>
    </row>
    <row r="974" ht="15" customHeight="1" s="783">
      <c r="B974" s="901" t="n"/>
    </row>
    <row r="975" ht="15" customHeight="1" s="783">
      <c r="B975" s="901" t="n"/>
    </row>
    <row r="976" ht="15" customHeight="1" s="783">
      <c r="B976" s="901" t="n"/>
    </row>
    <row r="977" ht="15" customHeight="1" s="783">
      <c r="B977" s="901" t="n"/>
    </row>
    <row r="978" ht="15" customHeight="1" s="783">
      <c r="B978" s="901" t="n"/>
    </row>
    <row r="979" ht="15" customHeight="1" s="783">
      <c r="B979" s="901" t="n"/>
    </row>
    <row r="980" ht="15" customHeight="1" s="783">
      <c r="B980" s="901" t="n"/>
    </row>
    <row r="981" ht="15" customHeight="1" s="783">
      <c r="B981" s="901" t="n"/>
    </row>
    <row r="982" ht="15" customHeight="1" s="783">
      <c r="B982" s="901" t="n"/>
    </row>
    <row r="983" ht="15" customHeight="1" s="783">
      <c r="B983" s="901" t="n"/>
    </row>
    <row r="984" ht="15" customHeight="1" s="783">
      <c r="B984" s="901" t="n"/>
    </row>
    <row r="985" ht="15" customHeight="1" s="783">
      <c r="B985" s="901" t="n"/>
    </row>
    <row r="986" ht="15" customHeight="1" s="783">
      <c r="B986" s="901" t="n"/>
    </row>
    <row r="987" ht="15" customHeight="1" s="783">
      <c r="B987" s="901" t="n"/>
    </row>
    <row r="988" ht="15" customHeight="1" s="783">
      <c r="B988" s="901" t="n"/>
    </row>
    <row r="989" ht="15" customHeight="1" s="783">
      <c r="B989" s="901" t="n"/>
    </row>
    <row r="990" ht="15" customHeight="1" s="783">
      <c r="B990" s="901" t="n"/>
    </row>
    <row r="991" ht="15" customHeight="1" s="783">
      <c r="B991" s="901" t="n"/>
    </row>
    <row r="992" ht="15" customHeight="1" s="783">
      <c r="B992" s="901" t="n"/>
    </row>
    <row r="993" ht="15" customHeight="1" s="783">
      <c r="B993" s="901" t="n"/>
    </row>
    <row r="994" ht="15" customHeight="1" s="783">
      <c r="B994" s="901" t="n"/>
    </row>
    <row r="995" ht="15" customHeight="1" s="783">
      <c r="B995" s="901" t="n"/>
    </row>
    <row r="996" ht="15" customHeight="1" s="783">
      <c r="B996" s="901" t="n"/>
    </row>
    <row r="997" ht="15" customHeight="1" s="783">
      <c r="B997" s="901" t="n"/>
    </row>
    <row r="998" ht="15" customHeight="1" s="783">
      <c r="B998" s="901" t="n"/>
    </row>
    <row r="999" ht="15" customHeight="1" s="783">
      <c r="B999" s="901" t="n"/>
    </row>
    <row r="1000" ht="15" customHeight="1" s="783">
      <c r="B1000" s="901" t="n"/>
    </row>
    <row r="1001" ht="15" customHeight="1" s="783">
      <c r="B1001" s="901" t="n"/>
    </row>
    <row r="1002" ht="15" customHeight="1" s="783">
      <c r="B1002" s="901" t="n"/>
    </row>
    <row r="1003" ht="15" customHeight="1" s="783">
      <c r="B1003" s="901" t="n"/>
    </row>
    <row r="1004" ht="15" customHeight="1" s="783">
      <c r="B1004" s="901" t="n"/>
    </row>
    <row r="1005" ht="15" customHeight="1" s="783">
      <c r="B1005" s="901" t="n"/>
    </row>
    <row r="1006" ht="15" customHeight="1" s="783">
      <c r="B1006" s="901" t="n"/>
    </row>
    <row r="1007" ht="15" customHeight="1" s="783">
      <c r="B1007" s="901" t="n"/>
    </row>
    <row r="1008" ht="15" customHeight="1" s="783">
      <c r="B1008" s="901" t="n"/>
    </row>
    <row r="1009" ht="15" customHeight="1" s="783">
      <c r="B1009" s="901" t="n"/>
    </row>
    <row r="1010" ht="15" customHeight="1" s="783">
      <c r="B1010" s="901" t="n"/>
    </row>
    <row r="1011" ht="15" customHeight="1" s="783">
      <c r="B1011" s="901" t="n"/>
    </row>
    <row r="1012" ht="15" customHeight="1" s="783">
      <c r="B1012" s="901" t="n"/>
    </row>
    <row r="1013" ht="15" customHeight="1" s="783">
      <c r="B1013" s="901" t="n"/>
    </row>
    <row r="1014" ht="15" customHeight="1" s="783">
      <c r="B1014" s="901" t="n"/>
    </row>
    <row r="1015" ht="15" customHeight="1" s="783">
      <c r="B1015" s="901" t="n"/>
    </row>
    <row r="1016" ht="15" customHeight="1" s="783">
      <c r="B1016" s="901" t="n"/>
    </row>
    <row r="1017" ht="15" customHeight="1" s="783">
      <c r="B1017" s="901" t="n"/>
    </row>
    <row r="1018" ht="15" customHeight="1" s="783">
      <c r="B1018" s="901" t="n"/>
    </row>
    <row r="1019" ht="15" customHeight="1" s="783">
      <c r="B1019" s="901" t="n"/>
    </row>
    <row r="1020" ht="15" customHeight="1" s="783">
      <c r="B1020" s="901" t="n"/>
    </row>
    <row r="1021" ht="15" customHeight="1" s="783">
      <c r="B1021" s="901" t="n"/>
    </row>
    <row r="1022" ht="15" customHeight="1" s="783">
      <c r="B1022" s="901" t="n"/>
    </row>
    <row r="1023" ht="15" customHeight="1" s="783">
      <c r="B1023" s="901" t="n"/>
    </row>
    <row r="1024" ht="15" customHeight="1" s="783">
      <c r="B1024" s="901" t="n"/>
    </row>
    <row r="1025" ht="15" customHeight="1" s="783">
      <c r="B1025" s="901" t="n"/>
    </row>
    <row r="1026" ht="15" customHeight="1" s="783">
      <c r="B1026" s="901" t="n"/>
    </row>
    <row r="1027" ht="15" customHeight="1" s="783">
      <c r="B1027" s="901" t="n"/>
    </row>
    <row r="1028" ht="15" customHeight="1" s="783">
      <c r="B1028" s="901" t="n"/>
    </row>
    <row r="1029" ht="15" customHeight="1" s="783">
      <c r="B1029" s="901" t="n"/>
    </row>
    <row r="1030" ht="15" customHeight="1" s="783">
      <c r="B1030" s="901" t="n"/>
    </row>
    <row r="1031" ht="15" customHeight="1" s="783">
      <c r="B1031" s="901" t="n"/>
    </row>
    <row r="1032" ht="15" customHeight="1" s="783">
      <c r="B1032" s="901" t="n"/>
    </row>
    <row r="1033" ht="15" customHeight="1" s="783">
      <c r="B1033" s="901" t="n"/>
    </row>
    <row r="1034" ht="15" customHeight="1" s="783">
      <c r="B1034" s="901" t="n"/>
    </row>
    <row r="1035" ht="15" customHeight="1" s="783">
      <c r="B1035" s="901" t="n"/>
    </row>
    <row r="1036" ht="15" customHeight="1" s="783">
      <c r="B1036" s="901" t="n"/>
    </row>
    <row r="1037" ht="15" customHeight="1" s="783">
      <c r="B1037" s="901" t="n"/>
    </row>
    <row r="1038" ht="15" customHeight="1" s="783">
      <c r="B1038" s="901" t="n"/>
    </row>
    <row r="1039" ht="15" customHeight="1" s="783">
      <c r="B1039" s="901" t="n"/>
    </row>
    <row r="1040" ht="15" customHeight="1" s="783">
      <c r="B1040" s="901" t="n"/>
    </row>
    <row r="1041" ht="15" customHeight="1" s="783">
      <c r="B1041" s="901" t="n"/>
    </row>
    <row r="1042" ht="15" customHeight="1" s="783">
      <c r="B1042" s="901" t="n"/>
    </row>
    <row r="1043" ht="15" customHeight="1" s="783">
      <c r="B1043" s="901" t="n"/>
    </row>
    <row r="1044" ht="15" customHeight="1" s="783">
      <c r="B1044" s="901" t="n"/>
    </row>
    <row r="1045" ht="15" customHeight="1" s="783">
      <c r="B1045" s="901" t="n"/>
    </row>
    <row r="1046" ht="15" customHeight="1" s="783">
      <c r="B1046" s="901" t="n"/>
    </row>
    <row r="1047" ht="15" customHeight="1" s="783">
      <c r="B1047" s="901" t="n"/>
    </row>
    <row r="1048" ht="15" customHeight="1" s="783">
      <c r="B1048" s="901" t="n"/>
    </row>
    <row r="1049" ht="15" customHeight="1" s="783">
      <c r="B1049" s="901" t="n"/>
    </row>
    <row r="1050" ht="15" customHeight="1" s="783">
      <c r="B1050" s="901" t="n"/>
    </row>
    <row r="1051" ht="15" customHeight="1" s="783">
      <c r="B1051" s="901" t="n"/>
    </row>
    <row r="1052" ht="15" customHeight="1" s="783">
      <c r="B1052" s="901" t="n"/>
    </row>
    <row r="1053" ht="15" customHeight="1" s="783">
      <c r="B1053" s="901" t="n"/>
    </row>
    <row r="1054" ht="15" customHeight="1" s="783">
      <c r="B1054" s="901" t="n"/>
    </row>
    <row r="1055" ht="15" customHeight="1" s="783">
      <c r="B1055" s="901" t="n"/>
    </row>
    <row r="1056" ht="15" customHeight="1" s="783">
      <c r="B1056" s="901" t="n"/>
    </row>
    <row r="1057" ht="15" customHeight="1" s="783">
      <c r="B1057" s="901" t="n"/>
    </row>
    <row r="1058" ht="15" customHeight="1" s="783">
      <c r="B1058" s="901" t="n"/>
    </row>
    <row r="1059" ht="15" customHeight="1" s="783">
      <c r="B1059" s="901" t="n"/>
    </row>
    <row r="1060" ht="15" customHeight="1" s="783">
      <c r="B1060" s="901" t="n"/>
    </row>
    <row r="1061" ht="15" customHeight="1" s="783">
      <c r="B1061" s="901" t="n"/>
    </row>
    <row r="1062" ht="15" customHeight="1" s="783">
      <c r="B1062" s="901" t="n"/>
    </row>
    <row r="1063" ht="15" customHeight="1" s="783">
      <c r="B1063" s="901" t="n"/>
    </row>
    <row r="1064" ht="15" customHeight="1" s="783">
      <c r="B1064" s="901" t="n"/>
    </row>
    <row r="1065" ht="15" customHeight="1" s="783">
      <c r="B1065" s="901" t="n"/>
    </row>
    <row r="1066" ht="15" customHeight="1" s="783">
      <c r="B1066" s="901" t="n"/>
    </row>
    <row r="1067" ht="15" customHeight="1" s="783">
      <c r="B1067" s="901" t="n"/>
    </row>
    <row r="1068" ht="15" customHeight="1" s="783">
      <c r="B1068" s="901" t="n"/>
    </row>
    <row r="1069" ht="15" customHeight="1" s="783">
      <c r="B1069" s="901" t="n"/>
    </row>
    <row r="1070" ht="15" customHeight="1" s="783">
      <c r="B1070" s="901" t="n"/>
    </row>
    <row r="1071" ht="15" customHeight="1" s="783">
      <c r="B1071" s="901" t="n"/>
    </row>
    <row r="1072" ht="15" customHeight="1" s="783">
      <c r="B1072" s="901" t="n"/>
    </row>
    <row r="1073" ht="15" customHeight="1" s="783">
      <c r="B1073" s="901" t="n"/>
    </row>
    <row r="1074" ht="15" customHeight="1" s="783">
      <c r="B1074" s="901" t="n"/>
    </row>
    <row r="1075" ht="15" customHeight="1" s="783">
      <c r="B1075" s="901" t="n"/>
    </row>
    <row r="1076" ht="15" customHeight="1" s="783">
      <c r="B1076" s="901" t="n"/>
    </row>
    <row r="1077" ht="15" customHeight="1" s="783">
      <c r="B1077" s="901" t="n"/>
    </row>
    <row r="1078" ht="15" customHeight="1" s="783">
      <c r="B1078" s="901" t="n"/>
    </row>
    <row r="1079" ht="15" customHeight="1" s="783">
      <c r="B1079" s="901" t="n"/>
    </row>
    <row r="1080" ht="15" customHeight="1" s="783">
      <c r="B1080" s="901" t="n"/>
    </row>
    <row r="1081" ht="15" customHeight="1" s="783">
      <c r="B1081" s="901" t="n"/>
    </row>
    <row r="1082" ht="15" customHeight="1" s="783">
      <c r="B1082" s="901" t="n"/>
    </row>
    <row r="1083" ht="15" customHeight="1" s="783">
      <c r="B1083" s="901" t="n"/>
    </row>
    <row r="1084" ht="15" customHeight="1" s="783">
      <c r="B1084" s="901" t="n"/>
    </row>
    <row r="1085" ht="15" customHeight="1" s="783">
      <c r="B1085" s="901" t="n"/>
    </row>
    <row r="1086" ht="15" customHeight="1" s="783">
      <c r="B1086" s="901" t="n"/>
    </row>
    <row r="1087" ht="15" customHeight="1" s="783">
      <c r="B1087" s="901" t="n"/>
    </row>
    <row r="1088" ht="15" customHeight="1" s="783">
      <c r="B1088" s="901" t="n"/>
    </row>
    <row r="1089" ht="15" customHeight="1" s="783">
      <c r="B1089" s="901" t="n"/>
    </row>
    <row r="1090" ht="15" customHeight="1" s="783">
      <c r="B1090" s="901" t="n"/>
    </row>
    <row r="1091" ht="15" customHeight="1" s="783">
      <c r="B1091" s="901" t="n"/>
    </row>
    <row r="1092" ht="15" customHeight="1" s="783">
      <c r="B1092" s="901" t="n"/>
    </row>
    <row r="1093" ht="15" customHeight="1" s="783">
      <c r="B1093" s="901" t="n"/>
    </row>
    <row r="1094" ht="15" customHeight="1" s="783">
      <c r="B1094" s="901" t="n"/>
    </row>
    <row r="1095" ht="15" customHeight="1" s="783">
      <c r="B1095" s="901" t="n"/>
    </row>
    <row r="1096" ht="15" customHeight="1" s="783">
      <c r="B1096" s="901" t="n"/>
    </row>
    <row r="1097" ht="15" customHeight="1" s="783">
      <c r="B1097" s="901" t="n"/>
    </row>
    <row r="1098" ht="15" customHeight="1" s="783">
      <c r="B1098" s="901" t="n"/>
    </row>
    <row r="1099" ht="15" customHeight="1" s="783">
      <c r="B1099" s="901" t="n"/>
    </row>
    <row r="1100" ht="15" customHeight="1" s="783">
      <c r="B1100" s="901" t="n"/>
    </row>
    <row r="1101" ht="15" customHeight="1" s="783">
      <c r="B1101" s="901" t="n"/>
    </row>
    <row r="1102" ht="15" customHeight="1" s="783">
      <c r="B1102" s="901" t="n"/>
    </row>
    <row r="1103" ht="15" customHeight="1" s="783">
      <c r="B1103" s="901" t="n"/>
    </row>
    <row r="1104" ht="15" customHeight="1" s="783">
      <c r="B1104" s="901" t="n"/>
    </row>
    <row r="1105" ht="15" customHeight="1" s="783">
      <c r="B1105" s="901" t="n"/>
    </row>
    <row r="1106" ht="15" customHeight="1" s="783">
      <c r="B1106" s="901" t="n"/>
    </row>
    <row r="1107" ht="15" customHeight="1" s="783">
      <c r="B1107" s="901" t="n"/>
    </row>
    <row r="1108" ht="15" customHeight="1" s="783">
      <c r="B1108" s="901" t="n"/>
    </row>
    <row r="1109" ht="15" customHeight="1" s="783">
      <c r="B1109" s="901" t="n"/>
    </row>
    <row r="1110" ht="15" customHeight="1" s="783">
      <c r="B1110" s="901" t="n"/>
    </row>
    <row r="1111" ht="15" customHeight="1" s="783">
      <c r="B1111" s="901" t="n"/>
    </row>
    <row r="1112" ht="15" customHeight="1" s="783">
      <c r="B1112" s="901" t="n"/>
    </row>
    <row r="1113" ht="15" customHeight="1" s="783">
      <c r="B1113" s="901" t="n"/>
    </row>
    <row r="1114" ht="15" customHeight="1" s="783">
      <c r="B1114" s="901" t="n"/>
    </row>
    <row r="1115" ht="15" customHeight="1" s="783">
      <c r="B1115" s="901" t="n"/>
    </row>
    <row r="1116" ht="15" customHeight="1" s="783">
      <c r="B1116" s="901" t="n"/>
    </row>
    <row r="1117" ht="15" customHeight="1" s="783">
      <c r="B1117" s="901" t="n"/>
    </row>
    <row r="1118" ht="15" customHeight="1" s="783">
      <c r="B1118" s="901" t="n"/>
    </row>
    <row r="1119" ht="15" customHeight="1" s="783">
      <c r="B1119" s="901" t="n"/>
    </row>
    <row r="1120" ht="15" customHeight="1" s="783">
      <c r="B1120" s="901" t="n"/>
    </row>
    <row r="1121" ht="15" customHeight="1" s="783">
      <c r="B1121" s="901" t="n"/>
    </row>
    <row r="1122" ht="15" customHeight="1" s="783">
      <c r="B1122" s="901" t="n"/>
    </row>
    <row r="1123" ht="15" customHeight="1" s="783">
      <c r="B1123" s="901" t="n"/>
    </row>
    <row r="1124" ht="15" customHeight="1" s="783">
      <c r="B1124" s="901" t="n"/>
    </row>
    <row r="1125" ht="15" customHeight="1" s="783">
      <c r="B1125" s="901" t="n"/>
    </row>
    <row r="1126" ht="15" customHeight="1" s="783">
      <c r="B1126" s="901" t="n"/>
    </row>
    <row r="1127" ht="15" customHeight="1" s="783">
      <c r="B1127" s="901" t="n"/>
    </row>
    <row r="1128" ht="15" customHeight="1" s="783">
      <c r="B1128" s="901" t="n"/>
    </row>
    <row r="1129" ht="15" customHeight="1" s="783">
      <c r="B1129" s="901" t="n"/>
    </row>
    <row r="1130" ht="15" customHeight="1" s="783">
      <c r="B1130" s="901" t="n"/>
    </row>
    <row r="1131" ht="15" customHeight="1" s="783">
      <c r="B1131" s="901" t="n"/>
    </row>
    <row r="1132" ht="15" customHeight="1" s="783">
      <c r="B1132" s="901" t="n"/>
    </row>
    <row r="1133" ht="15" customHeight="1" s="783">
      <c r="B1133" s="901" t="n"/>
    </row>
    <row r="1134" ht="15" customHeight="1" s="783">
      <c r="B1134" s="901" t="n"/>
    </row>
    <row r="1135" ht="15" customHeight="1" s="783">
      <c r="B1135" s="901" t="n"/>
    </row>
    <row r="1136" ht="15" customHeight="1" s="783">
      <c r="B1136" s="901" t="n"/>
    </row>
    <row r="1137" ht="15" customHeight="1" s="783">
      <c r="B1137" s="901" t="n"/>
    </row>
    <row r="1138" ht="15" customHeight="1" s="783">
      <c r="B1138" s="901" t="n"/>
    </row>
    <row r="1139" ht="15" customHeight="1" s="783">
      <c r="B1139" s="901" t="n"/>
    </row>
    <row r="1140" ht="15" customHeight="1" s="783">
      <c r="B1140" s="901" t="n"/>
    </row>
    <row r="1141" ht="15" customHeight="1" s="783">
      <c r="B1141" s="901" t="n"/>
    </row>
    <row r="1142" ht="15" customHeight="1" s="783">
      <c r="B1142" s="901" t="n"/>
    </row>
    <row r="1143" ht="15" customHeight="1" s="783">
      <c r="B1143" s="901" t="n"/>
    </row>
    <row r="1144" ht="15" customHeight="1" s="783">
      <c r="B1144" s="901" t="n"/>
    </row>
    <row r="1145" ht="15" customHeight="1" s="783">
      <c r="B1145" s="901" t="n"/>
    </row>
    <row r="1146" ht="15" customHeight="1" s="783">
      <c r="B1146" s="901" t="n"/>
    </row>
    <row r="1147" ht="15" customHeight="1" s="783">
      <c r="B1147" s="901" t="n"/>
    </row>
    <row r="1148" ht="15" customHeight="1" s="783">
      <c r="B1148" s="901" t="n"/>
    </row>
    <row r="1149" ht="15" customHeight="1" s="783">
      <c r="B1149" s="901" t="n"/>
    </row>
    <row r="1150" ht="15" customHeight="1" s="783">
      <c r="B1150" s="901" t="n"/>
    </row>
    <row r="1151" ht="15" customHeight="1" s="783">
      <c r="B1151" s="901" t="n"/>
    </row>
    <row r="1152" ht="15" customHeight="1" s="783">
      <c r="B1152" s="901" t="n"/>
    </row>
    <row r="1153" ht="15" customHeight="1" s="783">
      <c r="B1153" s="901" t="n"/>
    </row>
    <row r="1154" ht="15" customHeight="1" s="783">
      <c r="B1154" s="901" t="n"/>
    </row>
    <row r="1155" ht="15" customHeight="1" s="783">
      <c r="B1155" s="901" t="n"/>
    </row>
    <row r="1156" ht="15" customHeight="1" s="783">
      <c r="B1156" s="901" t="n"/>
    </row>
    <row r="1157" ht="15" customHeight="1" s="783">
      <c r="B1157" s="901" t="n"/>
    </row>
    <row r="1158" ht="15" customHeight="1" s="783">
      <c r="B1158" s="901" t="n"/>
    </row>
    <row r="1159" ht="15" customHeight="1" s="783">
      <c r="B1159" s="901" t="n"/>
    </row>
    <row r="1160" ht="15" customHeight="1" s="783">
      <c r="B1160" s="901" t="n"/>
    </row>
    <row r="1161" ht="15" customHeight="1" s="783">
      <c r="B1161" s="901" t="n"/>
    </row>
    <row r="1162" ht="15" customHeight="1" s="783">
      <c r="B1162" s="901" t="n"/>
    </row>
    <row r="1163" ht="15" customHeight="1" s="783">
      <c r="B1163" s="901" t="n"/>
    </row>
    <row r="1164" ht="15" customHeight="1" s="783">
      <c r="B1164" s="901" t="n"/>
    </row>
    <row r="1165" ht="15" customHeight="1" s="783">
      <c r="B1165" s="901" t="n"/>
    </row>
    <row r="1166" ht="15" customHeight="1" s="783">
      <c r="B1166" s="901" t="n"/>
    </row>
    <row r="1167" ht="15" customHeight="1" s="783">
      <c r="B1167" s="901" t="n"/>
    </row>
    <row r="1168" ht="15" customHeight="1" s="783">
      <c r="B1168" s="901" t="n"/>
    </row>
    <row r="1169" ht="15" customHeight="1" s="783">
      <c r="B1169" s="901" t="n"/>
    </row>
    <row r="1170" ht="15" customHeight="1" s="783">
      <c r="B1170" s="901" t="n"/>
    </row>
    <row r="1171" ht="15" customHeight="1" s="783">
      <c r="B1171" s="901" t="n"/>
    </row>
    <row r="1172" ht="15" customHeight="1" s="783">
      <c r="B1172" s="901" t="n"/>
    </row>
    <row r="1173" ht="15" customHeight="1" s="783">
      <c r="B1173" s="901" t="n"/>
    </row>
    <row r="1174" ht="15" customHeight="1" s="783">
      <c r="B1174" s="901" t="n"/>
    </row>
    <row r="1175" ht="15" customHeight="1" s="783">
      <c r="B1175" s="901" t="n"/>
    </row>
    <row r="1176" ht="15" customHeight="1" s="783">
      <c r="B1176" s="901" t="n"/>
    </row>
    <row r="1177" ht="15" customHeight="1" s="783">
      <c r="B1177" s="901" t="n"/>
    </row>
    <row r="1178" ht="15" customHeight="1" s="783">
      <c r="B1178" s="901" t="n"/>
    </row>
    <row r="1179" ht="15" customHeight="1" s="783">
      <c r="B1179" s="901" t="n"/>
    </row>
    <row r="1180" ht="15" customHeight="1" s="783">
      <c r="B1180" s="901" t="n"/>
    </row>
    <row r="1181" ht="15" customHeight="1" s="783">
      <c r="B1181" s="901" t="n"/>
    </row>
    <row r="1182" ht="15" customHeight="1" s="783">
      <c r="B1182" s="901" t="n"/>
    </row>
    <row r="1183" ht="15" customHeight="1" s="783">
      <c r="B1183" s="901" t="n"/>
    </row>
    <row r="1184" ht="15" customHeight="1" s="783">
      <c r="B1184" s="901" t="n"/>
    </row>
    <row r="1185" ht="15" customHeight="1" s="783">
      <c r="B1185" s="901" t="n"/>
    </row>
    <row r="1186" ht="15" customHeight="1" s="783">
      <c r="B1186" s="901" t="n"/>
    </row>
    <row r="1187" ht="15" customHeight="1" s="783">
      <c r="B1187" s="901" t="n"/>
    </row>
    <row r="1188" ht="15" customHeight="1" s="783">
      <c r="B1188" s="901" t="n"/>
    </row>
    <row r="1189" ht="15" customHeight="1" s="783">
      <c r="B1189" s="901" t="n"/>
    </row>
    <row r="1190" ht="15" customHeight="1" s="783">
      <c r="B1190" s="901" t="n"/>
    </row>
    <row r="1191" ht="15" customHeight="1" s="783">
      <c r="B1191" s="901" t="n"/>
    </row>
    <row r="1192" ht="15" customHeight="1" s="783">
      <c r="B1192" s="901" t="n"/>
    </row>
    <row r="1193" ht="15" customHeight="1" s="783">
      <c r="B1193" s="901" t="n"/>
    </row>
    <row r="1194" ht="15" customHeight="1" s="783">
      <c r="B1194" s="901" t="n"/>
    </row>
    <row r="1195" ht="15" customHeight="1" s="783">
      <c r="B1195" s="901" t="n"/>
    </row>
    <row r="1196" ht="15" customHeight="1" s="783">
      <c r="B1196" s="901" t="n"/>
    </row>
    <row r="1197" ht="15" customHeight="1" s="783">
      <c r="B1197" s="901" t="n"/>
    </row>
    <row r="1198" ht="15" customHeight="1" s="783">
      <c r="B1198" s="901" t="n"/>
    </row>
    <row r="1199" ht="15" customHeight="1" s="783">
      <c r="B1199" s="901" t="n"/>
    </row>
    <row r="1200" ht="15" customHeight="1" s="783">
      <c r="B1200" s="901" t="n"/>
    </row>
    <row r="1201" ht="15" customHeight="1" s="783">
      <c r="B1201" s="901" t="n"/>
    </row>
    <row r="1202" ht="15" customHeight="1" s="783">
      <c r="B1202" s="901" t="n"/>
    </row>
    <row r="1203" ht="15" customHeight="1" s="783">
      <c r="B1203" s="901" t="n"/>
    </row>
    <row r="1204" ht="15" customHeight="1" s="783">
      <c r="B1204" s="901" t="n"/>
    </row>
    <row r="1205" ht="15" customHeight="1" s="783">
      <c r="B1205" s="901" t="n"/>
    </row>
    <row r="1206" ht="15" customHeight="1" s="783">
      <c r="B1206" s="901" t="n"/>
    </row>
    <row r="1207" ht="15" customHeight="1" s="783">
      <c r="B1207" s="901" t="n"/>
    </row>
    <row r="1208" ht="15" customHeight="1" s="783">
      <c r="B1208" s="901" t="n"/>
    </row>
    <row r="1209" ht="15" customHeight="1" s="783">
      <c r="B1209" s="901" t="n"/>
    </row>
    <row r="1210" ht="15" customHeight="1" s="783">
      <c r="B1210" s="901" t="n"/>
    </row>
    <row r="1211" ht="15" customHeight="1" s="783">
      <c r="B1211" s="901" t="n"/>
    </row>
    <row r="1212" ht="15" customHeight="1" s="783">
      <c r="B1212" s="901" t="n"/>
    </row>
    <row r="1213" ht="15" customHeight="1" s="783">
      <c r="B1213" s="901" t="n"/>
    </row>
    <row r="1214" ht="15" customHeight="1" s="783">
      <c r="B1214" s="901" t="n"/>
    </row>
    <row r="1215" ht="15" customHeight="1" s="783">
      <c r="B1215" s="901" t="n"/>
    </row>
    <row r="1216" ht="15" customHeight="1" s="783">
      <c r="B1216" s="901" t="n"/>
    </row>
    <row r="1217" ht="15" customHeight="1" s="783">
      <c r="B1217" s="901" t="n"/>
    </row>
    <row r="1218" ht="15" customHeight="1" s="783">
      <c r="B1218" s="901" t="n"/>
    </row>
    <row r="1219" ht="15" customHeight="1" s="783">
      <c r="B1219" s="901" t="n"/>
    </row>
    <row r="1220" ht="15" customHeight="1" s="783">
      <c r="B1220" s="901" t="n"/>
    </row>
    <row r="1221" ht="15" customHeight="1" s="783">
      <c r="B1221" s="901" t="n"/>
    </row>
    <row r="1222" ht="15" customHeight="1" s="783">
      <c r="B1222" s="901" t="n"/>
    </row>
    <row r="1223" ht="15" customHeight="1" s="783">
      <c r="B1223" s="901" t="n"/>
    </row>
    <row r="1224" ht="15" customHeight="1" s="783">
      <c r="B1224" s="901" t="n"/>
    </row>
    <row r="1225" ht="15" customHeight="1" s="783">
      <c r="B1225" s="901" t="n"/>
    </row>
    <row r="1226" ht="15" customHeight="1" s="783">
      <c r="B1226" s="901" t="n"/>
    </row>
    <row r="1227" ht="15" customHeight="1" s="783">
      <c r="B1227" s="901" t="n"/>
    </row>
    <row r="1228" ht="15" customHeight="1" s="783">
      <c r="B1228" s="901" t="n"/>
    </row>
    <row r="1229" ht="15" customHeight="1" s="783">
      <c r="B1229" s="901" t="n"/>
    </row>
    <row r="1230" ht="15" customHeight="1" s="783">
      <c r="B1230" s="901" t="n"/>
    </row>
    <row r="1231" ht="15" customHeight="1" s="783">
      <c r="B1231" s="901" t="n"/>
    </row>
    <row r="1232" ht="15" customHeight="1" s="783">
      <c r="B1232" s="901" t="n"/>
    </row>
    <row r="1233" ht="15" customHeight="1" s="783">
      <c r="B1233" s="901" t="n"/>
    </row>
    <row r="1234" ht="15" customHeight="1" s="783">
      <c r="B1234" s="901" t="n"/>
    </row>
    <row r="1235" ht="15" customHeight="1" s="783">
      <c r="B1235" s="901" t="n"/>
    </row>
    <row r="1236" ht="15" customHeight="1" s="783">
      <c r="B1236" s="901" t="n"/>
    </row>
    <row r="1237" ht="15" customHeight="1" s="783">
      <c r="B1237" s="901" t="n"/>
    </row>
    <row r="1238" ht="15" customHeight="1" s="783">
      <c r="B1238" s="901" t="n"/>
    </row>
    <row r="1239" ht="15" customHeight="1" s="783">
      <c r="B1239" s="901" t="n"/>
    </row>
    <row r="1240" ht="15" customHeight="1" s="783">
      <c r="B1240" s="901" t="n"/>
    </row>
    <row r="1241" ht="15" customHeight="1" s="783">
      <c r="B1241" s="901" t="n"/>
    </row>
    <row r="1242" ht="15" customHeight="1" s="783">
      <c r="B1242" s="901" t="n"/>
    </row>
    <row r="1243" ht="15" customHeight="1" s="783">
      <c r="B1243" s="901" t="n"/>
    </row>
    <row r="1244" ht="15" customHeight="1" s="783">
      <c r="B1244" s="901" t="n"/>
    </row>
    <row r="1245" ht="15" customHeight="1" s="783">
      <c r="B1245" s="901" t="n"/>
    </row>
    <row r="1246" ht="15" customHeight="1" s="783">
      <c r="B1246" s="901" t="n"/>
    </row>
    <row r="1247" ht="15" customHeight="1" s="783">
      <c r="B1247" s="901" t="n"/>
    </row>
    <row r="1248" ht="15" customHeight="1" s="783">
      <c r="B1248" s="901" t="n"/>
    </row>
    <row r="1249" ht="15" customHeight="1" s="783">
      <c r="B1249" s="901" t="n"/>
    </row>
    <row r="1250" ht="15" customHeight="1" s="783">
      <c r="B1250" s="901" t="n"/>
    </row>
    <row r="1251" ht="15" customHeight="1" s="783">
      <c r="B1251" s="901" t="n"/>
    </row>
    <row r="1252" ht="15" customHeight="1" s="783">
      <c r="B1252" s="901" t="n"/>
    </row>
    <row r="1253" ht="15" customHeight="1" s="783">
      <c r="B1253" s="901" t="n"/>
    </row>
    <row r="1254" ht="15" customHeight="1" s="783">
      <c r="B1254" s="901" t="n"/>
    </row>
    <row r="1255" ht="15" customHeight="1" s="783">
      <c r="B1255" s="901" t="n"/>
    </row>
    <row r="1256" ht="15" customHeight="1" s="783">
      <c r="B1256" s="901" t="n"/>
    </row>
    <row r="1257" ht="15" customHeight="1" s="783">
      <c r="B1257" s="901" t="n"/>
    </row>
    <row r="1258" ht="15" customHeight="1" s="783">
      <c r="B1258" s="901" t="n"/>
    </row>
    <row r="1259" ht="15" customHeight="1" s="783">
      <c r="B1259" s="901" t="n"/>
    </row>
    <row r="1260" ht="15" customHeight="1" s="783">
      <c r="B1260" s="901" t="n"/>
    </row>
    <row r="1261" ht="15" customHeight="1" s="783">
      <c r="B1261" s="901" t="n"/>
    </row>
    <row r="1262" ht="15" customHeight="1" s="783">
      <c r="B1262" s="901" t="n"/>
    </row>
    <row r="1263" ht="15" customHeight="1" s="783">
      <c r="B1263" s="901" t="n"/>
    </row>
    <row r="1264" ht="15" customHeight="1" s="783">
      <c r="B1264" s="901" t="n"/>
    </row>
    <row r="1265" ht="15" customHeight="1" s="783">
      <c r="B1265" s="901" t="n"/>
    </row>
    <row r="1266" ht="15" customHeight="1" s="783">
      <c r="B1266" s="901" t="n"/>
    </row>
    <row r="1267" ht="15" customHeight="1" s="783">
      <c r="B1267" s="901" t="n"/>
    </row>
    <row r="1268" ht="15" customHeight="1" s="783">
      <c r="B1268" s="901" t="n"/>
    </row>
    <row r="1269" ht="15" customHeight="1" s="783">
      <c r="B1269" s="901" t="n"/>
    </row>
    <row r="1270" ht="15" customHeight="1" s="783">
      <c r="B1270" s="901" t="n"/>
    </row>
    <row r="1271" ht="15" customHeight="1" s="783">
      <c r="B1271" s="901" t="n"/>
    </row>
    <row r="1272" ht="15" customHeight="1" s="783">
      <c r="B1272" s="901" t="n"/>
    </row>
    <row r="1273" ht="15" customHeight="1" s="783">
      <c r="B1273" s="901" t="n"/>
    </row>
    <row r="1274" ht="15" customHeight="1" s="783">
      <c r="B1274" s="901" t="n"/>
    </row>
    <row r="1275" ht="15" customHeight="1" s="783">
      <c r="B1275" s="901" t="n"/>
    </row>
    <row r="1276" ht="15" customHeight="1" s="783">
      <c r="B1276" s="901" t="n"/>
    </row>
    <row r="1277" ht="15" customHeight="1" s="783">
      <c r="B1277" s="901" t="n"/>
    </row>
    <row r="1278" ht="15" customHeight="1" s="783">
      <c r="B1278" s="901" t="n"/>
    </row>
    <row r="1279" ht="15" customHeight="1" s="783">
      <c r="B1279" s="901" t="n"/>
    </row>
    <row r="1280" ht="15" customHeight="1" s="783">
      <c r="B1280" s="901" t="n"/>
    </row>
    <row r="1281" ht="15" customHeight="1" s="783">
      <c r="B1281" s="901" t="n"/>
    </row>
    <row r="1282" ht="15" customHeight="1" s="783">
      <c r="B1282" s="901" t="n"/>
    </row>
    <row r="1283" ht="15" customHeight="1" s="783">
      <c r="B1283" s="901" t="n"/>
    </row>
    <row r="1284" ht="15" customHeight="1" s="783">
      <c r="B1284" s="901" t="n"/>
    </row>
    <row r="1285" ht="15" customHeight="1" s="783">
      <c r="B1285" s="901" t="n"/>
    </row>
    <row r="1286" ht="15" customHeight="1" s="783">
      <c r="B1286" s="901" t="n"/>
    </row>
    <row r="1287" ht="15" customHeight="1" s="783">
      <c r="B1287" s="901" t="n"/>
    </row>
    <row r="1288" ht="15" customHeight="1" s="783">
      <c r="B1288" s="901" t="n"/>
    </row>
    <row r="1289" ht="15" customHeight="1" s="783">
      <c r="B1289" s="901" t="n"/>
    </row>
    <row r="1290" ht="15" customHeight="1" s="783">
      <c r="B1290" s="901" t="n"/>
    </row>
    <row r="1291" ht="15" customHeight="1" s="783">
      <c r="B1291" s="901" t="n"/>
    </row>
    <row r="1292" ht="15" customHeight="1" s="783">
      <c r="B1292" s="901" t="n"/>
    </row>
    <row r="1293" ht="15" customHeight="1" s="783">
      <c r="B1293" s="901" t="n"/>
    </row>
    <row r="1294" ht="15" customHeight="1" s="783">
      <c r="B1294" s="901" t="n"/>
    </row>
    <row r="1295" ht="15" customHeight="1" s="783">
      <c r="B1295" s="901" t="n"/>
    </row>
    <row r="1296" ht="15" customHeight="1" s="783">
      <c r="B1296" s="901" t="n"/>
    </row>
    <row r="1297" ht="15" customHeight="1" s="783">
      <c r="B1297" s="901" t="n"/>
    </row>
    <row r="1298" ht="15" customHeight="1" s="783">
      <c r="B1298" s="901" t="n"/>
    </row>
    <row r="1299" ht="15" customHeight="1" s="783">
      <c r="B1299" s="901" t="n"/>
    </row>
    <row r="1300" ht="15" customHeight="1" s="783">
      <c r="B1300" s="901" t="n"/>
    </row>
    <row r="1301" ht="15" customHeight="1" s="783">
      <c r="B1301" s="901" t="n"/>
    </row>
    <row r="1302" ht="15" customHeight="1" s="783">
      <c r="B1302" s="901" t="n"/>
    </row>
    <row r="1303" ht="15" customHeight="1" s="783">
      <c r="B1303" s="901" t="n"/>
    </row>
    <row r="1304" ht="15" customHeight="1" s="783">
      <c r="B1304" s="901" t="n"/>
    </row>
    <row r="1305" ht="15" customHeight="1" s="783">
      <c r="B1305" s="901" t="n"/>
    </row>
    <row r="1306" ht="15" customHeight="1" s="783">
      <c r="B1306" s="901" t="n"/>
    </row>
    <row r="1307" ht="15" customHeight="1" s="783">
      <c r="B1307" s="901" t="n"/>
    </row>
    <row r="1308" ht="15" customHeight="1" s="783">
      <c r="B1308" s="901" t="n"/>
    </row>
    <row r="1309" ht="15" customHeight="1" s="783">
      <c r="B1309" s="901" t="n"/>
    </row>
    <row r="1310" ht="15" customHeight="1" s="783">
      <c r="B1310" s="901" t="n"/>
    </row>
    <row r="1311" ht="15" customHeight="1" s="783">
      <c r="B1311" s="901" t="n"/>
    </row>
    <row r="1312" ht="15" customHeight="1" s="783">
      <c r="B1312" s="901" t="n"/>
    </row>
    <row r="1313" ht="15" customHeight="1" s="783">
      <c r="B1313" s="901" t="n"/>
    </row>
    <row r="1314" ht="15" customHeight="1" s="783">
      <c r="B1314" s="901" t="n"/>
    </row>
    <row r="1315" ht="15" customHeight="1" s="783">
      <c r="B1315" s="901" t="n"/>
    </row>
    <row r="1316" ht="15" customHeight="1" s="783">
      <c r="B1316" s="901" t="n"/>
    </row>
    <row r="1317" ht="15" customHeight="1" s="783">
      <c r="B1317" s="901" t="n"/>
    </row>
    <row r="1318" ht="15" customHeight="1" s="783">
      <c r="B1318" s="901" t="n"/>
    </row>
    <row r="1319" ht="15" customHeight="1" s="783">
      <c r="B1319" s="901" t="n"/>
    </row>
    <row r="1320" ht="15" customHeight="1" s="783">
      <c r="B1320" s="901" t="n"/>
    </row>
    <row r="1321" ht="15" customHeight="1" s="783">
      <c r="B1321" s="901" t="n"/>
    </row>
    <row r="1322" ht="15" customHeight="1" s="783">
      <c r="B1322" s="901" t="n"/>
    </row>
    <row r="1323" ht="15" customHeight="1" s="783">
      <c r="B1323" s="901" t="n"/>
    </row>
    <row r="1324" ht="15" customHeight="1" s="783">
      <c r="B1324" s="901" t="n"/>
    </row>
    <row r="1325" ht="15" customHeight="1" s="783">
      <c r="B1325" s="901" t="n"/>
    </row>
    <row r="1326" ht="15" customHeight="1" s="783">
      <c r="B1326" s="901" t="n"/>
    </row>
    <row r="1327" ht="15" customHeight="1" s="783">
      <c r="B1327" s="901" t="n"/>
    </row>
    <row r="1328" ht="15" customHeight="1" s="783">
      <c r="B1328" s="901" t="n"/>
    </row>
    <row r="1329" ht="15" customHeight="1" s="783">
      <c r="B1329" s="901" t="n"/>
    </row>
    <row r="1330" ht="15" customHeight="1" s="783">
      <c r="B1330" s="901" t="n"/>
    </row>
    <row r="1331" ht="15" customHeight="1" s="783">
      <c r="B1331" s="901" t="n"/>
    </row>
    <row r="1332" ht="15" customHeight="1" s="783">
      <c r="B1332" s="901" t="n"/>
    </row>
    <row r="1333" ht="15" customHeight="1" s="783">
      <c r="B1333" s="901" t="n"/>
    </row>
    <row r="1334" ht="15" customHeight="1" s="783">
      <c r="B1334" s="901" t="n"/>
    </row>
    <row r="1335" ht="15" customHeight="1" s="783">
      <c r="B1335" s="901" t="n"/>
    </row>
    <row r="1336" ht="15" customHeight="1" s="783">
      <c r="B1336" s="901" t="n"/>
    </row>
    <row r="1337" ht="15" customHeight="1" s="783">
      <c r="B1337" s="901" t="n"/>
    </row>
    <row r="1338" ht="15" customHeight="1" s="783">
      <c r="B1338" s="901" t="n"/>
    </row>
    <row r="1339" ht="15" customHeight="1" s="783">
      <c r="B1339" s="901" t="n"/>
    </row>
    <row r="1340" ht="15" customHeight="1" s="783">
      <c r="B1340" s="901" t="n"/>
    </row>
    <row r="1341" ht="15" customHeight="1" s="783">
      <c r="B1341" s="901" t="n"/>
    </row>
    <row r="1342" ht="15" customHeight="1" s="783">
      <c r="B1342" s="901" t="n"/>
    </row>
    <row r="1343" ht="15" customHeight="1" s="783">
      <c r="B1343" s="901" t="n"/>
    </row>
    <row r="1344" ht="15" customHeight="1" s="783">
      <c r="B1344" s="901" t="n"/>
    </row>
    <row r="1345" ht="15" customHeight="1" s="783">
      <c r="B1345" s="901" t="n"/>
    </row>
    <row r="1346" ht="15" customHeight="1" s="783">
      <c r="B1346" s="901" t="n"/>
    </row>
    <row r="1347" ht="15" customHeight="1" s="783">
      <c r="B1347" s="901" t="n"/>
    </row>
    <row r="1348" ht="15" customHeight="1" s="783">
      <c r="B1348" s="901" t="n"/>
    </row>
    <row r="1349" ht="15" customHeight="1" s="783">
      <c r="B1349" s="901" t="n"/>
    </row>
    <row r="1350" ht="15" customHeight="1" s="783">
      <c r="B1350" s="901" t="n"/>
    </row>
    <row r="1351" ht="15" customHeight="1" s="783">
      <c r="B1351" s="901" t="n"/>
    </row>
    <row r="1352" ht="15" customHeight="1" s="783">
      <c r="B1352" s="901" t="n"/>
    </row>
    <row r="1353" ht="15" customHeight="1" s="783">
      <c r="B1353" s="901" t="n"/>
    </row>
    <row r="1354" ht="15" customHeight="1" s="783">
      <c r="B1354" s="901" t="n"/>
    </row>
    <row r="1355" ht="15" customHeight="1" s="783">
      <c r="B1355" s="901" t="n"/>
    </row>
    <row r="1356" ht="15" customHeight="1" s="783">
      <c r="B1356" s="901" t="n"/>
    </row>
    <row r="1357" ht="15" customHeight="1" s="783">
      <c r="B1357" s="901" t="n"/>
    </row>
    <row r="1358" ht="15" customHeight="1" s="783">
      <c r="B1358" s="901" t="n"/>
    </row>
    <row r="1359" ht="15" customHeight="1" s="783">
      <c r="B1359" s="901" t="n"/>
    </row>
    <row r="1360" ht="15" customHeight="1" s="783">
      <c r="B1360" s="901" t="n"/>
    </row>
    <row r="1361" ht="15" customHeight="1" s="783">
      <c r="B1361" s="901" t="n"/>
    </row>
    <row r="1362" ht="15" customHeight="1" s="783">
      <c r="B1362" s="901" t="n"/>
    </row>
    <row r="1363" ht="15" customHeight="1" s="783">
      <c r="B1363" s="901" t="n"/>
    </row>
    <row r="1364" ht="15" customHeight="1" s="783">
      <c r="B1364" s="901" t="n"/>
    </row>
    <row r="1365" ht="15" customHeight="1" s="783">
      <c r="B1365" s="901" t="n"/>
    </row>
    <row r="1366" ht="15" customHeight="1" s="783">
      <c r="B1366" s="901" t="n"/>
    </row>
    <row r="1367" ht="15" customHeight="1" s="783">
      <c r="B1367" s="901" t="n"/>
    </row>
    <row r="1368" ht="15" customHeight="1" s="783">
      <c r="B1368" s="901" t="n"/>
    </row>
    <row r="1369" ht="15" customHeight="1" s="783">
      <c r="B1369" s="901" t="n"/>
    </row>
    <row r="1370" ht="15" customHeight="1" s="783">
      <c r="B1370" s="901" t="n"/>
    </row>
    <row r="1371" ht="15" customHeight="1" s="783">
      <c r="B1371" s="901" t="n"/>
    </row>
    <row r="1372" ht="15" customHeight="1" s="783">
      <c r="B1372" s="901" t="n"/>
    </row>
    <row r="1373" ht="15" customHeight="1" s="783">
      <c r="B1373" s="901" t="n"/>
    </row>
    <row r="1374" ht="15" customHeight="1" s="783">
      <c r="B1374" s="901" t="n"/>
    </row>
    <row r="1375" ht="15" customHeight="1" s="783">
      <c r="B1375" s="901" t="n"/>
    </row>
    <row r="1376" ht="15" customHeight="1" s="783">
      <c r="B1376" s="901" t="n"/>
    </row>
    <row r="1377" ht="15" customHeight="1" s="783">
      <c r="B1377" s="901" t="n"/>
    </row>
    <row r="1378" ht="15" customHeight="1" s="783">
      <c r="B1378" s="901" t="n"/>
    </row>
    <row r="1379" ht="15" customHeight="1" s="783">
      <c r="B1379" s="901" t="n"/>
    </row>
    <row r="1380" ht="15" customHeight="1" s="783">
      <c r="B1380" s="901" t="n"/>
    </row>
    <row r="1381" ht="15" customHeight="1" s="783">
      <c r="B1381" s="901" t="n"/>
    </row>
    <row r="1382" ht="15" customHeight="1" s="783">
      <c r="B1382" s="901" t="n"/>
    </row>
    <row r="1383" ht="15" customHeight="1" s="783">
      <c r="B1383" s="901" t="n"/>
    </row>
    <row r="1384" ht="15" customHeight="1" s="783">
      <c r="B1384" s="901" t="n"/>
    </row>
    <row r="1385" ht="15" customHeight="1" s="783">
      <c r="B1385" s="901" t="n"/>
    </row>
    <row r="1386" ht="15" customHeight="1" s="783">
      <c r="B1386" s="901" t="n"/>
    </row>
    <row r="1387" ht="15" customHeight="1" s="783">
      <c r="B1387" s="901" t="n"/>
    </row>
    <row r="1388" ht="15" customHeight="1" s="783">
      <c r="B1388" s="901" t="n"/>
    </row>
    <row r="1389" ht="15" customHeight="1" s="783">
      <c r="B1389" s="901" t="n"/>
    </row>
    <row r="1390" ht="15" customHeight="1" s="783">
      <c r="B1390" s="901" t="n"/>
    </row>
    <row r="1391" ht="15" customHeight="1" s="783">
      <c r="B1391" s="901" t="n"/>
    </row>
    <row r="1392" ht="15" customHeight="1" s="783">
      <c r="B1392" s="901" t="n"/>
    </row>
    <row r="1393" ht="15" customHeight="1" s="783">
      <c r="B1393" s="901" t="n"/>
    </row>
    <row r="1394" ht="15" customHeight="1" s="783">
      <c r="B1394" s="901" t="n"/>
    </row>
    <row r="1395" ht="15" customHeight="1" s="783">
      <c r="B1395" s="901" t="n"/>
    </row>
    <row r="1396" ht="15" customHeight="1" s="783">
      <c r="B1396" s="901" t="n"/>
    </row>
    <row r="1397" ht="15" customHeight="1" s="783">
      <c r="B1397" s="901" t="n"/>
    </row>
    <row r="1398" ht="15" customHeight="1" s="783">
      <c r="B1398" s="901" t="n"/>
    </row>
    <row r="1399" ht="15" customHeight="1" s="783">
      <c r="B1399" s="901" t="n"/>
    </row>
    <row r="1400" ht="15" customHeight="1" s="783">
      <c r="B1400" s="901" t="n"/>
    </row>
    <row r="1401" ht="15" customHeight="1" s="783">
      <c r="B1401" s="901" t="n"/>
    </row>
    <row r="1402" ht="15" customHeight="1" s="783">
      <c r="B1402" s="901" t="n"/>
    </row>
    <row r="1403" ht="15" customHeight="1" s="783">
      <c r="B1403" s="901" t="n"/>
    </row>
    <row r="1404" ht="15" customHeight="1" s="783">
      <c r="B1404" s="901" t="n"/>
    </row>
    <row r="1405" ht="15" customHeight="1" s="783">
      <c r="B1405" s="901" t="n"/>
    </row>
    <row r="1406" ht="15" customHeight="1" s="783">
      <c r="B1406" s="901" t="n"/>
    </row>
    <row r="1407" ht="15" customHeight="1" s="783">
      <c r="B1407" s="901" t="n"/>
    </row>
    <row r="1408" ht="15" customHeight="1" s="783">
      <c r="B1408" s="901" t="n"/>
    </row>
    <row r="1409" ht="15" customHeight="1" s="783">
      <c r="B1409" s="901" t="n"/>
    </row>
    <row r="1410" ht="15" customHeight="1" s="783">
      <c r="B1410" s="901" t="n"/>
    </row>
    <row r="1411" ht="15" customHeight="1" s="783">
      <c r="B1411" s="901" t="n"/>
    </row>
    <row r="1412" ht="15" customHeight="1" s="783">
      <c r="B1412" s="901" t="n"/>
    </row>
    <row r="1413" ht="15" customHeight="1" s="783">
      <c r="B1413" s="901" t="n"/>
    </row>
    <row r="1414" ht="15" customHeight="1" s="783">
      <c r="B1414" s="901" t="n"/>
    </row>
    <row r="1415" ht="15" customHeight="1" s="783">
      <c r="B1415" s="901" t="n"/>
    </row>
    <row r="1416" ht="15" customHeight="1" s="783">
      <c r="B1416" s="901" t="n"/>
    </row>
    <row r="1417" ht="15" customHeight="1" s="783">
      <c r="B1417" s="901" t="n"/>
    </row>
    <row r="1418" ht="15" customHeight="1" s="783">
      <c r="B1418" s="901" t="n"/>
    </row>
    <row r="1419" ht="15" customHeight="1" s="783">
      <c r="B1419" s="901" t="n"/>
    </row>
    <row r="1420" ht="15" customHeight="1" s="783">
      <c r="B1420" s="901" t="n"/>
    </row>
    <row r="1421" ht="15" customHeight="1" s="783">
      <c r="B1421" s="901" t="n"/>
    </row>
    <row r="1422" ht="15" customHeight="1" s="783">
      <c r="B1422" s="901" t="n"/>
    </row>
    <row r="1423" ht="15" customHeight="1" s="783">
      <c r="B1423" s="901" t="n"/>
    </row>
    <row r="1424" ht="15" customHeight="1" s="783">
      <c r="B1424" s="901" t="n"/>
    </row>
    <row r="1425" ht="15" customHeight="1" s="783">
      <c r="B1425" s="901" t="n"/>
    </row>
    <row r="1426" ht="15" customHeight="1" s="783">
      <c r="B1426" s="901" t="n"/>
    </row>
    <row r="1427" ht="15" customHeight="1" s="783">
      <c r="B1427" s="901" t="n"/>
    </row>
    <row r="1428" ht="15" customHeight="1" s="783">
      <c r="B1428" s="901" t="n"/>
    </row>
    <row r="1429" ht="15" customHeight="1" s="783">
      <c r="B1429" s="901" t="n"/>
    </row>
    <row r="1430" ht="15" customHeight="1" s="783">
      <c r="B1430" s="901" t="n"/>
    </row>
    <row r="1431" ht="15" customHeight="1" s="783">
      <c r="B1431" s="901" t="n"/>
    </row>
    <row r="1432" ht="15" customHeight="1" s="783">
      <c r="B1432" s="901" t="n"/>
    </row>
    <row r="1433" ht="15" customHeight="1" s="783">
      <c r="B1433" s="901" t="n"/>
    </row>
    <row r="1434" ht="15" customHeight="1" s="783">
      <c r="B1434" s="901" t="n"/>
    </row>
    <row r="1435" ht="15" customHeight="1" s="783">
      <c r="B1435" s="901" t="n"/>
    </row>
    <row r="1436" ht="15" customHeight="1" s="783">
      <c r="B1436" s="901" t="n"/>
    </row>
    <row r="1437" ht="15" customHeight="1" s="783">
      <c r="B1437" s="901" t="n"/>
    </row>
    <row r="1438" ht="15" customHeight="1" s="783">
      <c r="B1438" s="901" t="n"/>
    </row>
    <row r="1439" ht="15" customHeight="1" s="783">
      <c r="B1439" s="901" t="n"/>
    </row>
    <row r="1440" ht="15" customHeight="1" s="783">
      <c r="B1440" s="901" t="n"/>
    </row>
    <row r="1441" ht="15" customHeight="1" s="783">
      <c r="B1441" s="901" t="n"/>
    </row>
    <row r="1442" ht="15" customHeight="1" s="783">
      <c r="B1442" s="901" t="n"/>
    </row>
    <row r="1443" ht="15" customHeight="1" s="783">
      <c r="B1443" s="901" t="n"/>
    </row>
    <row r="1444" ht="15" customHeight="1" s="783">
      <c r="B1444" s="901" t="n"/>
    </row>
    <row r="1445" ht="15" customHeight="1" s="783">
      <c r="B1445" s="901" t="n"/>
    </row>
    <row r="1446" ht="15" customHeight="1" s="783">
      <c r="B1446" s="901" t="n"/>
    </row>
    <row r="1447" ht="15" customHeight="1" s="783">
      <c r="B1447" s="901" t="n"/>
    </row>
    <row r="1448" ht="15" customHeight="1" s="783">
      <c r="B1448" s="901" t="n"/>
    </row>
    <row r="1449" ht="15" customHeight="1" s="783">
      <c r="B1449" s="901" t="n"/>
    </row>
    <row r="1450" ht="15" customHeight="1" s="783">
      <c r="B1450" s="901" t="n"/>
    </row>
    <row r="1451" ht="15" customHeight="1" s="783">
      <c r="B1451" s="901" t="n"/>
    </row>
    <row r="1452" ht="15" customHeight="1" s="783">
      <c r="B1452" s="901" t="n"/>
    </row>
    <row r="1453" ht="15" customHeight="1" s="783">
      <c r="B1453" s="901" t="n"/>
    </row>
    <row r="1454" ht="15" customHeight="1" s="783">
      <c r="B1454" s="901" t="n"/>
    </row>
    <row r="1455" ht="15" customHeight="1" s="783">
      <c r="B1455" s="901" t="n"/>
    </row>
    <row r="1456" ht="15" customHeight="1" s="783">
      <c r="B1456" s="901" t="n"/>
    </row>
    <row r="1457" ht="15" customHeight="1" s="783">
      <c r="B1457" s="901" t="n"/>
    </row>
    <row r="1458" ht="15" customHeight="1" s="783">
      <c r="B1458" s="901" t="n"/>
    </row>
    <row r="1459" ht="15" customHeight="1" s="783">
      <c r="B1459" s="901" t="n"/>
    </row>
    <row r="1460" ht="15" customHeight="1" s="783">
      <c r="B1460" s="901" t="n"/>
    </row>
    <row r="1461" ht="15" customHeight="1" s="783">
      <c r="B1461" s="901" t="n"/>
    </row>
    <row r="1462" ht="15" customHeight="1" s="783">
      <c r="B1462" s="901" t="n"/>
    </row>
    <row r="1463" ht="15" customHeight="1" s="783">
      <c r="B1463" s="901" t="n"/>
    </row>
    <row r="1464" ht="15" customHeight="1" s="783">
      <c r="B1464" s="901" t="n"/>
    </row>
    <row r="1465" ht="15" customHeight="1" s="783">
      <c r="B1465" s="901" t="n"/>
    </row>
    <row r="1466" ht="15" customHeight="1" s="783">
      <c r="B1466" s="901" t="n"/>
    </row>
    <row r="1467" ht="15" customHeight="1" s="783">
      <c r="B1467" s="901" t="n"/>
    </row>
    <row r="1468" ht="15" customHeight="1" s="783">
      <c r="B1468" s="901" t="n"/>
    </row>
    <row r="1469" ht="15" customHeight="1" s="783">
      <c r="B1469" s="901" t="n"/>
    </row>
    <row r="1470" ht="15" customHeight="1" s="783">
      <c r="B1470" s="901" t="n"/>
    </row>
    <row r="1471" ht="15" customHeight="1" s="783">
      <c r="B1471" s="901" t="n"/>
    </row>
    <row r="1472" ht="15" customHeight="1" s="783">
      <c r="B1472" s="901" t="n"/>
    </row>
    <row r="1473" ht="15" customHeight="1" s="783">
      <c r="B1473" s="901" t="n"/>
    </row>
    <row r="1474" ht="15" customHeight="1" s="783">
      <c r="B1474" s="901" t="n"/>
    </row>
    <row r="1475" ht="15" customHeight="1" s="783">
      <c r="B1475" s="901" t="n"/>
    </row>
    <row r="1476" ht="15" customHeight="1" s="783">
      <c r="B1476" s="901" t="n"/>
    </row>
    <row r="1477" ht="15" customHeight="1" s="783">
      <c r="B1477" s="901" t="n"/>
    </row>
    <row r="1478" ht="15" customHeight="1" s="783">
      <c r="B1478" s="901" t="n"/>
    </row>
    <row r="1479" ht="15" customHeight="1" s="783">
      <c r="B1479" s="901" t="n"/>
    </row>
    <row r="1480" ht="15" customHeight="1" s="783">
      <c r="B1480" s="901" t="n"/>
    </row>
    <row r="1481" ht="15" customHeight="1" s="783">
      <c r="B1481" s="901" t="n"/>
    </row>
    <row r="1482" ht="15" customHeight="1" s="783">
      <c r="B1482" s="901" t="n"/>
    </row>
    <row r="1483" ht="15" customHeight="1" s="783">
      <c r="B1483" s="901" t="n"/>
    </row>
    <row r="1484" ht="15" customHeight="1" s="783">
      <c r="B1484" s="901" t="n"/>
    </row>
    <row r="1485" ht="15" customHeight="1" s="783">
      <c r="B1485" s="901" t="n"/>
    </row>
    <row r="1486" ht="15" customHeight="1" s="783">
      <c r="B1486" s="901" t="n"/>
    </row>
    <row r="1487" ht="15" customHeight="1" s="783">
      <c r="B1487" s="901" t="n"/>
    </row>
    <row r="1488" ht="15" customHeight="1" s="783">
      <c r="B1488" s="901" t="n"/>
    </row>
    <row r="1489" ht="15" customHeight="1" s="783">
      <c r="B1489" s="901" t="n"/>
    </row>
    <row r="1490" ht="15" customHeight="1" s="783">
      <c r="B1490" s="901" t="n"/>
    </row>
    <row r="1491" ht="15" customHeight="1" s="783">
      <c r="B1491" s="901" t="n"/>
    </row>
    <row r="1492" ht="15" customHeight="1" s="783">
      <c r="B1492" s="901" t="n"/>
    </row>
    <row r="1493" ht="15" customHeight="1" s="783">
      <c r="B1493" s="901" t="n"/>
    </row>
    <row r="1494" ht="15" customHeight="1" s="783">
      <c r="B1494" s="901" t="n"/>
    </row>
    <row r="1495" ht="15" customHeight="1" s="783">
      <c r="B1495" s="901" t="n"/>
    </row>
    <row r="1496" ht="15" customHeight="1" s="783">
      <c r="B1496" s="901" t="n"/>
    </row>
    <row r="1497" ht="15" customHeight="1" s="783">
      <c r="B1497" s="901" t="n"/>
    </row>
    <row r="1498" ht="15" customHeight="1" s="783">
      <c r="B1498" s="901" t="n"/>
    </row>
    <row r="1499" ht="15" customHeight="1" s="783">
      <c r="B1499" s="901" t="n"/>
    </row>
    <row r="1500" ht="15" customHeight="1" s="783">
      <c r="B1500" s="901" t="n"/>
    </row>
    <row r="1501" ht="15" customHeight="1" s="783">
      <c r="B1501" s="901" t="n"/>
    </row>
    <row r="1502" ht="15" customHeight="1" s="783">
      <c r="B1502" s="901" t="n"/>
    </row>
    <row r="1503" ht="15" customHeight="1" s="783">
      <c r="B1503" s="901" t="n"/>
    </row>
    <row r="1504" ht="15" customHeight="1" s="783">
      <c r="B1504" s="901" t="n"/>
    </row>
    <row r="1505" ht="15" customHeight="1" s="783">
      <c r="B1505" s="901" t="n"/>
    </row>
    <row r="1506" ht="15" customHeight="1" s="783">
      <c r="B1506" s="901" t="n"/>
    </row>
    <row r="1507" ht="15" customHeight="1" s="783">
      <c r="B1507" s="901" t="n"/>
    </row>
    <row r="1508" ht="15" customHeight="1" s="783">
      <c r="B1508" s="901" t="n"/>
    </row>
    <row r="1509" ht="15" customHeight="1" s="783">
      <c r="B1509" s="901" t="n"/>
    </row>
    <row r="1510" ht="15" customHeight="1" s="783">
      <c r="B1510" s="901" t="n"/>
    </row>
    <row r="1511" ht="15" customHeight="1" s="783">
      <c r="B1511" s="901" t="n"/>
    </row>
    <row r="1512" ht="15" customHeight="1" s="783">
      <c r="B1512" s="901" t="n"/>
    </row>
    <row r="1513" ht="15" customHeight="1" s="783">
      <c r="B1513" s="901" t="n"/>
    </row>
    <row r="1514" ht="15" customHeight="1" s="783">
      <c r="B1514" s="901" t="n"/>
    </row>
    <row r="1515" ht="15" customHeight="1" s="783">
      <c r="B1515" s="901" t="n"/>
    </row>
    <row r="1516" ht="15" customHeight="1" s="783">
      <c r="B1516" s="901" t="n"/>
    </row>
    <row r="1517" ht="15" customHeight="1" s="783">
      <c r="B1517" s="901" t="n"/>
    </row>
    <row r="1518" ht="15" customHeight="1" s="783">
      <c r="B1518" s="901" t="n"/>
    </row>
    <row r="1519" ht="15" customHeight="1" s="783">
      <c r="B1519" s="901" t="n"/>
    </row>
    <row r="1520" ht="15" customHeight="1" s="783">
      <c r="B1520" s="901" t="n"/>
    </row>
    <row r="1521" ht="15" customHeight="1" s="783">
      <c r="B1521" s="901" t="n"/>
    </row>
    <row r="1522" ht="15" customHeight="1" s="783">
      <c r="B1522" s="901" t="n"/>
    </row>
    <row r="1523" ht="15" customHeight="1" s="783">
      <c r="B1523" s="901" t="n"/>
    </row>
    <row r="1524" ht="15" customHeight="1" s="783">
      <c r="B1524" s="901" t="n"/>
    </row>
    <row r="1525" ht="15" customHeight="1" s="783">
      <c r="B1525" s="901" t="n"/>
    </row>
    <row r="1526" ht="15" customHeight="1" s="783">
      <c r="B1526" s="901" t="n"/>
    </row>
    <row r="1527" ht="15" customHeight="1" s="783">
      <c r="B1527" s="901" t="n"/>
    </row>
    <row r="1528" ht="15" customHeight="1" s="783">
      <c r="B1528" s="901" t="n"/>
    </row>
    <row r="1529" ht="15" customHeight="1" s="783">
      <c r="B1529" s="901" t="n"/>
    </row>
    <row r="1530" ht="15" customHeight="1" s="783">
      <c r="B1530" s="901" t="n"/>
    </row>
    <row r="1531" ht="15" customHeight="1" s="783">
      <c r="B1531" s="901" t="n"/>
    </row>
    <row r="1532" ht="15" customHeight="1" s="783">
      <c r="B1532" s="901" t="n"/>
    </row>
    <row r="1533" ht="15" customHeight="1" s="783">
      <c r="B1533" s="901" t="n"/>
    </row>
    <row r="1534" ht="15" customHeight="1" s="783">
      <c r="B1534" s="901" t="n"/>
    </row>
    <row r="1535" ht="15" customHeight="1" s="783">
      <c r="B1535" s="901" t="n"/>
    </row>
    <row r="1536" ht="15" customHeight="1" s="783">
      <c r="B1536" s="901" t="n"/>
    </row>
    <row r="1537" ht="15" customHeight="1" s="783">
      <c r="B1537" s="901" t="n"/>
    </row>
    <row r="1538" ht="15" customHeight="1" s="783">
      <c r="B1538" s="901" t="n"/>
    </row>
    <row r="1539" ht="15" customHeight="1" s="783">
      <c r="B1539" s="901" t="n"/>
    </row>
    <row r="1540" ht="15" customHeight="1" s="783">
      <c r="B1540" s="901" t="n"/>
    </row>
    <row r="1541" ht="15" customHeight="1" s="783">
      <c r="B1541" s="901" t="n"/>
    </row>
    <row r="1542" ht="15" customHeight="1" s="783">
      <c r="B1542" s="901" t="n"/>
    </row>
    <row r="1543" ht="15" customHeight="1" s="783">
      <c r="B1543" s="901" t="n"/>
    </row>
    <row r="1544" ht="15" customHeight="1" s="783">
      <c r="B1544" s="901" t="n"/>
    </row>
    <row r="1545" ht="15" customHeight="1" s="783">
      <c r="B1545" s="901" t="n"/>
    </row>
    <row r="1546" ht="15" customHeight="1" s="783">
      <c r="B1546" s="901" t="n"/>
    </row>
    <row r="1547" ht="15" customHeight="1" s="783">
      <c r="B1547" s="901" t="n"/>
    </row>
    <row r="1548" ht="15" customHeight="1" s="783">
      <c r="B1548" s="901" t="n"/>
    </row>
    <row r="1549" ht="15" customHeight="1" s="783">
      <c r="B1549" s="901" t="n"/>
    </row>
    <row r="1550" ht="15" customHeight="1" s="783">
      <c r="B1550" s="901" t="n"/>
    </row>
    <row r="1551" ht="15" customHeight="1" s="783">
      <c r="B1551" s="901" t="n"/>
    </row>
    <row r="1552" ht="15" customHeight="1" s="783">
      <c r="B1552" s="901" t="n"/>
    </row>
    <row r="1553" ht="15" customHeight="1" s="783">
      <c r="B1553" s="901" t="n"/>
    </row>
    <row r="1554" ht="15" customHeight="1" s="783">
      <c r="B1554" s="901" t="n"/>
    </row>
    <row r="1555" ht="15" customHeight="1" s="783">
      <c r="B1555" s="901" t="n"/>
    </row>
    <row r="1556" ht="15" customHeight="1" s="783">
      <c r="B1556" s="901" t="n"/>
    </row>
    <row r="1557" ht="15" customHeight="1" s="783">
      <c r="B1557" s="901" t="n"/>
    </row>
    <row r="1558" ht="15" customHeight="1" s="783">
      <c r="B1558" s="901" t="n"/>
    </row>
    <row r="1559" ht="15" customHeight="1" s="783">
      <c r="B1559" s="901" t="n"/>
    </row>
    <row r="1560" ht="15" customHeight="1" s="783">
      <c r="B1560" s="901" t="n"/>
    </row>
    <row r="1561" ht="15" customHeight="1" s="783">
      <c r="B1561" s="901" t="n"/>
    </row>
    <row r="1562" ht="15" customHeight="1" s="783">
      <c r="B1562" s="901" t="n"/>
    </row>
    <row r="1563" ht="15" customHeight="1" s="783">
      <c r="B1563" s="901" t="n"/>
    </row>
    <row r="1564" ht="15" customHeight="1" s="783">
      <c r="B1564" s="901" t="n"/>
    </row>
    <row r="1565" ht="15" customHeight="1" s="783">
      <c r="B1565" s="901" t="n"/>
    </row>
    <row r="1566" ht="15" customHeight="1" s="783">
      <c r="B1566" s="901" t="n"/>
    </row>
    <row r="1567" ht="15" customHeight="1" s="783">
      <c r="B1567" s="901" t="n"/>
    </row>
    <row r="1568" ht="15" customHeight="1" s="783">
      <c r="B1568" s="901" t="n"/>
    </row>
    <row r="1569" ht="15" customHeight="1" s="783">
      <c r="B1569" s="901" t="n"/>
    </row>
    <row r="1570" ht="15" customHeight="1" s="783">
      <c r="B1570" s="901" t="n"/>
    </row>
    <row r="1571" ht="15" customHeight="1" s="783">
      <c r="B1571" s="901" t="n"/>
    </row>
    <row r="1572" ht="15" customHeight="1" s="783">
      <c r="B1572" s="901" t="n"/>
    </row>
    <row r="1573" ht="15" customHeight="1" s="783">
      <c r="B1573" s="901" t="n"/>
    </row>
    <row r="1574" ht="15" customHeight="1" s="783">
      <c r="B1574" s="901" t="n"/>
    </row>
    <row r="1575" ht="15" customHeight="1" s="783">
      <c r="B1575" s="901" t="n"/>
    </row>
    <row r="1576" ht="15" customHeight="1" s="783">
      <c r="B1576" s="901" t="n"/>
    </row>
    <row r="1577" ht="15" customHeight="1" s="783">
      <c r="B1577" s="901" t="n"/>
    </row>
    <row r="1578" ht="15" customHeight="1" s="783">
      <c r="B1578" s="901" t="n"/>
    </row>
    <row r="1579" ht="15" customHeight="1" s="783">
      <c r="B1579" s="901" t="n"/>
    </row>
    <row r="1580" ht="15" customHeight="1" s="783">
      <c r="B1580" s="901" t="n"/>
    </row>
    <row r="1581" ht="15" customHeight="1" s="783">
      <c r="B1581" s="901" t="n"/>
    </row>
    <row r="1582" ht="15" customHeight="1" s="783">
      <c r="B1582" s="901" t="n"/>
    </row>
    <row r="1583" ht="15" customHeight="1" s="783">
      <c r="B1583" s="901" t="n"/>
    </row>
    <row r="1584" ht="15" customHeight="1" s="783">
      <c r="B1584" s="901" t="n"/>
    </row>
    <row r="1585" ht="15" customHeight="1" s="783">
      <c r="B1585" s="901" t="n"/>
    </row>
    <row r="1586" ht="15" customHeight="1" s="783">
      <c r="B1586" s="901" t="n"/>
    </row>
    <row r="1587" ht="15" customHeight="1" s="783">
      <c r="B1587" s="901" t="n"/>
    </row>
    <row r="1588" ht="15" customHeight="1" s="783">
      <c r="B1588" s="901" t="n"/>
    </row>
    <row r="1589" ht="15" customHeight="1" s="783">
      <c r="B1589" s="901" t="n"/>
    </row>
    <row r="1590" ht="15" customHeight="1" s="783">
      <c r="B1590" s="901" t="n"/>
    </row>
    <row r="1591" ht="15" customHeight="1" s="783">
      <c r="B1591" s="901" t="n"/>
    </row>
    <row r="1592" ht="15" customHeight="1" s="783">
      <c r="B1592" s="901" t="n"/>
    </row>
    <row r="1593" ht="15" customHeight="1" s="783">
      <c r="B1593" s="901" t="n"/>
    </row>
    <row r="1594" ht="15" customHeight="1" s="783">
      <c r="B1594" s="901" t="n"/>
    </row>
    <row r="1595" ht="15" customHeight="1" s="783">
      <c r="B1595" s="901" t="n"/>
    </row>
    <row r="1596" ht="15" customHeight="1" s="783">
      <c r="B1596" s="901" t="n"/>
    </row>
    <row r="1597" ht="15" customHeight="1" s="783">
      <c r="B1597" s="901" t="n"/>
    </row>
    <row r="1598" ht="15" customHeight="1" s="783">
      <c r="B1598" s="901" t="n"/>
    </row>
    <row r="1599" ht="15" customHeight="1" s="783">
      <c r="B1599" s="901" t="n"/>
    </row>
    <row r="1600" ht="15" customHeight="1" s="783">
      <c r="B1600" s="901" t="n"/>
    </row>
    <row r="1601" ht="15" customHeight="1" s="783">
      <c r="B1601" s="901" t="n"/>
    </row>
    <row r="1602" ht="15" customHeight="1" s="783">
      <c r="B1602" s="901" t="n"/>
    </row>
    <row r="1603" ht="15" customHeight="1" s="783">
      <c r="B1603" s="901" t="n"/>
    </row>
    <row r="1604" ht="15" customHeight="1" s="783">
      <c r="B1604" s="901" t="n"/>
    </row>
    <row r="1605" ht="15" customHeight="1" s="783">
      <c r="B1605" s="901" t="n"/>
    </row>
    <row r="1606" ht="15" customHeight="1" s="783">
      <c r="B1606" s="901" t="n"/>
    </row>
    <row r="1607" ht="15" customHeight="1" s="783">
      <c r="B1607" s="901" t="n"/>
    </row>
    <row r="1608" ht="15" customHeight="1" s="783">
      <c r="B1608" s="901" t="n"/>
    </row>
    <row r="1609" ht="15" customHeight="1" s="783">
      <c r="B1609" s="901" t="n"/>
    </row>
    <row r="1610" ht="15" customHeight="1" s="783">
      <c r="B1610" s="901" t="n"/>
    </row>
    <row r="1611" ht="15" customHeight="1" s="783">
      <c r="B1611" s="901" t="n"/>
    </row>
    <row r="1612" ht="15" customHeight="1" s="783">
      <c r="B1612" s="901" t="n"/>
    </row>
    <row r="1613" ht="15" customHeight="1" s="783">
      <c r="B1613" s="901" t="n"/>
    </row>
    <row r="1614" ht="15" customHeight="1" s="783">
      <c r="B1614" s="901" t="n"/>
    </row>
    <row r="1615" ht="15" customHeight="1" s="783">
      <c r="B1615" s="901" t="n"/>
    </row>
    <row r="1616" ht="15" customHeight="1" s="783">
      <c r="B1616" s="901" t="n"/>
    </row>
    <row r="1617" ht="15" customHeight="1" s="783">
      <c r="B1617" s="901" t="n"/>
    </row>
    <row r="1618" ht="15" customHeight="1" s="783">
      <c r="B1618" s="901" t="n"/>
    </row>
    <row r="1619" ht="15" customHeight="1" s="783">
      <c r="B1619" s="901" t="n"/>
    </row>
    <row r="1620" ht="15" customHeight="1" s="783">
      <c r="B1620" s="901" t="n"/>
    </row>
    <row r="1621" ht="15" customHeight="1" s="783">
      <c r="B1621" s="901" t="n"/>
    </row>
    <row r="1622" ht="15" customHeight="1" s="783">
      <c r="B1622" s="901" t="n"/>
    </row>
    <row r="1623" ht="15" customHeight="1" s="783">
      <c r="B1623" s="901" t="n"/>
    </row>
    <row r="1624" ht="15" customHeight="1" s="783">
      <c r="B1624" s="901" t="n"/>
    </row>
    <row r="1625" ht="15" customHeight="1" s="783">
      <c r="B1625" s="901" t="n"/>
    </row>
    <row r="1626" ht="15" customHeight="1" s="783">
      <c r="B1626" s="901" t="n"/>
    </row>
    <row r="1627" ht="15" customHeight="1" s="783">
      <c r="B1627" s="901" t="n"/>
    </row>
    <row r="1628" ht="15" customHeight="1" s="783">
      <c r="B1628" s="901" t="n"/>
    </row>
    <row r="1629" ht="15" customHeight="1" s="783">
      <c r="B1629" s="901" t="n"/>
    </row>
    <row r="1630" ht="15" customHeight="1" s="783">
      <c r="B1630" s="901" t="n"/>
    </row>
    <row r="1631" ht="15" customHeight="1" s="783">
      <c r="B1631" s="901" t="n"/>
    </row>
    <row r="1632" ht="15" customHeight="1" s="783">
      <c r="B1632" s="901" t="n"/>
    </row>
    <row r="1633" ht="15" customHeight="1" s="783">
      <c r="B1633" s="901" t="n"/>
    </row>
    <row r="1634" ht="15" customHeight="1" s="783">
      <c r="B1634" s="901" t="n"/>
    </row>
    <row r="1635" ht="15" customHeight="1" s="783">
      <c r="B1635" s="901" t="n"/>
    </row>
    <row r="1636" ht="15" customHeight="1" s="783">
      <c r="B1636" s="901" t="n"/>
    </row>
    <row r="1637" ht="15" customHeight="1" s="783">
      <c r="B1637" s="901" t="n"/>
    </row>
    <row r="1638" ht="15" customHeight="1" s="783">
      <c r="B1638" s="901" t="n"/>
    </row>
    <row r="1639" ht="15" customHeight="1" s="783">
      <c r="B1639" s="901" t="n"/>
    </row>
    <row r="1640" ht="15" customHeight="1" s="783">
      <c r="B1640" s="901" t="n"/>
    </row>
    <row r="1641" ht="15" customHeight="1" s="783">
      <c r="B1641" s="901" t="n"/>
    </row>
    <row r="1642" ht="15" customHeight="1" s="783">
      <c r="B1642" s="901" t="n"/>
    </row>
    <row r="1643" ht="15" customHeight="1" s="783">
      <c r="B1643" s="901" t="n"/>
    </row>
    <row r="1644" ht="15" customHeight="1" s="783">
      <c r="B1644" s="901" t="n"/>
    </row>
    <row r="1645" ht="15" customHeight="1" s="783">
      <c r="B1645" s="901" t="n"/>
    </row>
    <row r="1646" ht="15" customHeight="1" s="783">
      <c r="B1646" s="901" t="n"/>
    </row>
    <row r="1647" ht="15" customHeight="1" s="783">
      <c r="B1647" s="901" t="n"/>
    </row>
    <row r="1648" ht="15" customHeight="1" s="783">
      <c r="B1648" s="901" t="n"/>
    </row>
    <row r="1649" ht="15" customHeight="1" s="783">
      <c r="B1649" s="901" t="n"/>
    </row>
    <row r="1650" ht="15" customHeight="1" s="783">
      <c r="B1650" s="901" t="n"/>
    </row>
    <row r="1651" ht="15" customHeight="1" s="783">
      <c r="B1651" s="901" t="n"/>
    </row>
    <row r="1652" ht="15" customHeight="1" s="783">
      <c r="B1652" s="901" t="n"/>
    </row>
    <row r="1653" ht="15" customHeight="1" s="783">
      <c r="B1653" s="901" t="n"/>
    </row>
    <row r="1654" ht="15" customHeight="1" s="783">
      <c r="B1654" s="901" t="n"/>
    </row>
    <row r="1655" ht="15" customHeight="1" s="783">
      <c r="B1655" s="901" t="n"/>
    </row>
    <row r="1656" ht="15" customHeight="1" s="783">
      <c r="B1656" s="901" t="n"/>
    </row>
    <row r="1657" ht="15" customHeight="1" s="783">
      <c r="B1657" s="901" t="n"/>
    </row>
    <row r="1658" ht="15" customHeight="1" s="783">
      <c r="B1658" s="901" t="n"/>
    </row>
    <row r="1659" ht="15" customHeight="1" s="783">
      <c r="B1659" s="901" t="n"/>
    </row>
    <row r="1660" ht="15" customHeight="1" s="783">
      <c r="B1660" s="901" t="n"/>
    </row>
    <row r="1661" ht="15" customHeight="1" s="783">
      <c r="B1661" s="901" t="n"/>
    </row>
    <row r="1662" ht="15" customHeight="1" s="783">
      <c r="B1662" s="901" t="n"/>
    </row>
    <row r="1663" ht="15" customHeight="1" s="783">
      <c r="B1663" s="901" t="n"/>
    </row>
    <row r="1664" ht="15" customHeight="1" s="783">
      <c r="B1664" s="901" t="n"/>
    </row>
    <row r="1665" ht="15" customHeight="1" s="783">
      <c r="B1665" s="901" t="n"/>
    </row>
    <row r="1666" ht="15" customHeight="1" s="783">
      <c r="B1666" s="901" t="n"/>
    </row>
    <row r="1667" ht="15" customHeight="1" s="783">
      <c r="B1667" s="901" t="n"/>
    </row>
    <row r="1668" ht="15" customHeight="1" s="783">
      <c r="B1668" s="901" t="n"/>
    </row>
    <row r="1669" ht="15" customHeight="1" s="783">
      <c r="B1669" s="901" t="n"/>
    </row>
    <row r="1670" ht="15" customHeight="1" s="783">
      <c r="B1670" s="901" t="n"/>
    </row>
    <row r="1671" ht="15" customHeight="1" s="783">
      <c r="B1671" s="901" t="n"/>
    </row>
    <row r="1672" ht="15" customHeight="1" s="783">
      <c r="B1672" s="901" t="n"/>
    </row>
    <row r="1673" ht="15" customHeight="1" s="783">
      <c r="B1673" s="901" t="n"/>
    </row>
    <row r="1674" ht="15" customHeight="1" s="783">
      <c r="B1674" s="901" t="n"/>
    </row>
    <row r="1675" ht="15" customHeight="1" s="783">
      <c r="B1675" s="901" t="n"/>
    </row>
    <row r="1676" ht="15" customHeight="1" s="783">
      <c r="B1676" s="901" t="n"/>
    </row>
    <row r="1677" ht="15" customHeight="1" s="783">
      <c r="B1677" s="901" t="n"/>
    </row>
    <row r="1678" ht="15" customHeight="1" s="783">
      <c r="B1678" s="901" t="n"/>
    </row>
    <row r="1679" ht="15" customHeight="1" s="783">
      <c r="B1679" s="901" t="n"/>
    </row>
    <row r="1680" ht="15" customHeight="1" s="783">
      <c r="B1680" s="901" t="n"/>
    </row>
    <row r="1681" ht="15" customHeight="1" s="783">
      <c r="B1681" s="901" t="n"/>
    </row>
    <row r="1682" ht="15" customHeight="1" s="783">
      <c r="B1682" s="901" t="n"/>
    </row>
    <row r="1683" ht="15" customHeight="1" s="783">
      <c r="B1683" s="901" t="n"/>
    </row>
    <row r="1684" ht="15" customHeight="1" s="783">
      <c r="B1684" s="901" t="n"/>
    </row>
    <row r="1685" ht="15" customHeight="1" s="783">
      <c r="B1685" s="901" t="n"/>
    </row>
    <row r="1686" ht="15" customHeight="1" s="783">
      <c r="B1686" s="901" t="n"/>
    </row>
    <row r="1687" ht="15" customHeight="1" s="783">
      <c r="B1687" s="901" t="n"/>
    </row>
    <row r="1688" ht="15" customHeight="1" s="783">
      <c r="B1688" s="901" t="n"/>
    </row>
    <row r="1689" ht="15" customHeight="1" s="783">
      <c r="B1689" s="901" t="n"/>
    </row>
    <row r="1690" ht="15" customHeight="1" s="783">
      <c r="B1690" s="901" t="n"/>
    </row>
    <row r="1691" ht="15" customHeight="1" s="783">
      <c r="B1691" s="901" t="n"/>
    </row>
    <row r="1692" ht="15" customHeight="1" s="783">
      <c r="B1692" s="901" t="n"/>
    </row>
    <row r="1693" ht="15" customHeight="1" s="783">
      <c r="B1693" s="901" t="n"/>
    </row>
    <row r="1694" ht="15" customHeight="1" s="783">
      <c r="B1694" s="901" t="n"/>
    </row>
    <row r="1695" ht="15" customHeight="1" s="783">
      <c r="B1695" s="901" t="n"/>
    </row>
    <row r="1696" ht="15" customHeight="1" s="783">
      <c r="B1696" s="901" t="n"/>
    </row>
    <row r="1697" ht="15" customHeight="1" s="783">
      <c r="B1697" s="901" t="n"/>
    </row>
    <row r="1698" ht="15" customHeight="1" s="783">
      <c r="B1698" s="901" t="n"/>
    </row>
    <row r="1699" ht="15" customHeight="1" s="783">
      <c r="B1699" s="901" t="n"/>
    </row>
    <row r="1700" ht="15" customHeight="1" s="783">
      <c r="B1700" s="901" t="n"/>
    </row>
    <row r="1701" ht="15" customHeight="1" s="783">
      <c r="B1701" s="901" t="n"/>
    </row>
    <row r="1702" ht="15" customHeight="1" s="783">
      <c r="B1702" s="901" t="n"/>
    </row>
    <row r="1703" ht="15" customHeight="1" s="783">
      <c r="B1703" s="901" t="n"/>
    </row>
    <row r="1704" ht="15" customHeight="1" s="783">
      <c r="B1704" s="901" t="n"/>
    </row>
    <row r="1705" ht="15" customHeight="1" s="783">
      <c r="B1705" s="901" t="n"/>
    </row>
    <row r="1706" ht="15" customHeight="1" s="783">
      <c r="B1706" s="901" t="n"/>
    </row>
    <row r="1707" ht="15" customHeight="1" s="783">
      <c r="B1707" s="901" t="n"/>
    </row>
    <row r="1708" ht="15" customHeight="1" s="783">
      <c r="B1708" s="901" t="n"/>
    </row>
    <row r="1709" ht="15" customHeight="1" s="783">
      <c r="B1709" s="901" t="n"/>
    </row>
    <row r="1710" ht="15" customHeight="1" s="783">
      <c r="B1710" s="901" t="n"/>
    </row>
    <row r="1711" ht="15" customHeight="1" s="783">
      <c r="B1711" s="901" t="n"/>
    </row>
    <row r="1712" ht="15" customHeight="1" s="783">
      <c r="B1712" s="901" t="n"/>
    </row>
    <row r="1713" ht="15" customHeight="1" s="783">
      <c r="B1713" s="901" t="n"/>
    </row>
    <row r="1714" ht="15" customHeight="1" s="783">
      <c r="B1714" s="901" t="n"/>
    </row>
    <row r="1715" ht="15" customHeight="1" s="783">
      <c r="B1715" s="901" t="n"/>
    </row>
    <row r="1716" ht="15" customHeight="1" s="783">
      <c r="B1716" s="901" t="n"/>
    </row>
    <row r="1717" ht="15" customHeight="1" s="783">
      <c r="B1717" s="901" t="n"/>
    </row>
    <row r="1718" ht="15" customHeight="1" s="783">
      <c r="B1718" s="901" t="n"/>
    </row>
    <row r="1719" ht="15" customHeight="1" s="783">
      <c r="B1719" s="901" t="n"/>
    </row>
    <row r="1720" ht="15" customHeight="1" s="783">
      <c r="B1720" s="901" t="n"/>
    </row>
    <row r="1721" ht="15" customHeight="1" s="783">
      <c r="B1721" s="901" t="n"/>
    </row>
    <row r="1722" ht="15" customHeight="1" s="783">
      <c r="B1722" s="901" t="n"/>
    </row>
    <row r="1723" ht="15" customHeight="1" s="783">
      <c r="B1723" s="901" t="n"/>
    </row>
    <row r="1724" ht="15" customHeight="1" s="783">
      <c r="B1724" s="901" t="n"/>
    </row>
    <row r="1725" ht="15" customHeight="1" s="783">
      <c r="B1725" s="901" t="n"/>
    </row>
    <row r="1726" ht="15" customHeight="1" s="783">
      <c r="B1726" s="901" t="n"/>
    </row>
    <row r="1727" ht="15" customHeight="1" s="783">
      <c r="B1727" s="901" t="n"/>
    </row>
    <row r="1728" ht="15" customHeight="1" s="783">
      <c r="B1728" s="901" t="n"/>
    </row>
    <row r="1729" ht="15" customHeight="1" s="783">
      <c r="B1729" s="901" t="n"/>
    </row>
    <row r="1730" ht="15" customHeight="1" s="783">
      <c r="B1730" s="901" t="n"/>
    </row>
    <row r="1731" ht="15" customHeight="1" s="783">
      <c r="B1731" s="901" t="n"/>
    </row>
    <row r="1732" ht="15" customHeight="1" s="783">
      <c r="B1732" s="901" t="n"/>
    </row>
    <row r="1733" ht="15" customHeight="1" s="783">
      <c r="B1733" s="901" t="n"/>
    </row>
    <row r="1734" ht="15" customHeight="1" s="783">
      <c r="B1734" s="901" t="n"/>
    </row>
    <row r="1735" ht="15" customHeight="1" s="783">
      <c r="B1735" s="901" t="n"/>
    </row>
    <row r="1736" ht="15" customHeight="1" s="783">
      <c r="B1736" s="901" t="n"/>
    </row>
    <row r="1737" ht="15" customHeight="1" s="783">
      <c r="B1737" s="901" t="n"/>
    </row>
    <row r="1738" ht="15" customHeight="1" s="783">
      <c r="B1738" s="901" t="n"/>
    </row>
    <row r="1739" ht="15" customHeight="1" s="783">
      <c r="B1739" s="901" t="n"/>
    </row>
    <row r="1740" ht="15" customHeight="1" s="783">
      <c r="B1740" s="901" t="n"/>
    </row>
    <row r="1741" ht="15" customHeight="1" s="783">
      <c r="B1741" s="901" t="n"/>
    </row>
    <row r="1742" ht="15" customHeight="1" s="783">
      <c r="B1742" s="901" t="n"/>
    </row>
    <row r="1743" ht="15" customHeight="1" s="783">
      <c r="B1743" s="901" t="n"/>
    </row>
    <row r="1744" ht="15" customHeight="1" s="783">
      <c r="B1744" s="901" t="n"/>
    </row>
    <row r="1745" ht="15" customHeight="1" s="783">
      <c r="B1745" s="901" t="n"/>
    </row>
    <row r="1746" ht="15" customHeight="1" s="783">
      <c r="B1746" s="901" t="n"/>
    </row>
    <row r="1747" ht="15" customHeight="1" s="783">
      <c r="B1747" s="901" t="n"/>
    </row>
    <row r="1748" ht="15" customHeight="1" s="783">
      <c r="B1748" s="901" t="n"/>
    </row>
    <row r="1749" ht="15" customHeight="1" s="783">
      <c r="B1749" s="901" t="n"/>
    </row>
    <row r="1750" ht="15" customHeight="1" s="783">
      <c r="B1750" s="901" t="n"/>
    </row>
    <row r="1751" ht="15" customHeight="1" s="783">
      <c r="B1751" s="901" t="n"/>
    </row>
    <row r="1752" ht="15" customHeight="1" s="783">
      <c r="B1752" s="901" t="n"/>
    </row>
    <row r="1753" ht="15" customHeight="1" s="783">
      <c r="B1753" s="901" t="n"/>
    </row>
    <row r="1754" ht="15" customHeight="1" s="783">
      <c r="B1754" s="901" t="n"/>
    </row>
    <row r="1755" ht="15" customHeight="1" s="783">
      <c r="B1755" s="901" t="n"/>
    </row>
    <row r="1756" ht="15" customHeight="1" s="783">
      <c r="B1756" s="901" t="n"/>
    </row>
    <row r="1757" ht="15" customHeight="1" s="783">
      <c r="B1757" s="901" t="n"/>
    </row>
    <row r="1758" ht="15" customHeight="1" s="783">
      <c r="B1758" s="901" t="n"/>
    </row>
    <row r="1759" ht="15" customHeight="1" s="783">
      <c r="B1759" s="901" t="n"/>
    </row>
    <row r="1760" ht="15" customHeight="1" s="783">
      <c r="B1760" s="901" t="n"/>
    </row>
    <row r="1761" ht="15" customHeight="1" s="783">
      <c r="B1761" s="901" t="n"/>
    </row>
    <row r="1762" ht="15" customHeight="1" s="783">
      <c r="B1762" s="901" t="n"/>
    </row>
    <row r="1763" ht="15" customHeight="1" s="783">
      <c r="B1763" s="901" t="n"/>
    </row>
    <row r="1764" ht="15" customHeight="1" s="783">
      <c r="B1764" s="901" t="n"/>
    </row>
    <row r="1765" ht="15" customHeight="1" s="783">
      <c r="B1765" s="901" t="n"/>
    </row>
    <row r="1766" ht="15" customHeight="1" s="783">
      <c r="B1766" s="901" t="n"/>
    </row>
    <row r="1767" ht="15" customHeight="1" s="783">
      <c r="B1767" s="901" t="n"/>
    </row>
    <row r="1768" ht="15" customHeight="1" s="783">
      <c r="B1768" s="901" t="n"/>
    </row>
    <row r="1769" ht="15" customHeight="1" s="783">
      <c r="B1769" s="901" t="n"/>
    </row>
    <row r="1770" ht="15" customHeight="1" s="783">
      <c r="B1770" s="901" t="n"/>
    </row>
    <row r="1771" ht="15" customHeight="1" s="783">
      <c r="B1771" s="901" t="n"/>
    </row>
    <row r="1772" ht="15" customHeight="1" s="783">
      <c r="B1772" s="901" t="n"/>
    </row>
    <row r="1773" ht="15" customHeight="1" s="783">
      <c r="B1773" s="901" t="n"/>
    </row>
    <row r="1774" ht="15" customHeight="1" s="783">
      <c r="B1774" s="901" t="n"/>
    </row>
    <row r="1775" ht="15" customHeight="1" s="783">
      <c r="B1775" s="901" t="n"/>
    </row>
    <row r="1776" ht="15" customHeight="1" s="783">
      <c r="B1776" s="901" t="n"/>
    </row>
    <row r="1777" ht="15" customHeight="1" s="783">
      <c r="B1777" s="901" t="n"/>
    </row>
    <row r="1778" ht="15" customHeight="1" s="783">
      <c r="B1778" s="901" t="n"/>
    </row>
    <row r="1779" ht="15" customHeight="1" s="783">
      <c r="B1779" s="901" t="n"/>
    </row>
    <row r="1780" ht="15" customHeight="1" s="783">
      <c r="B1780" s="901" t="n"/>
    </row>
    <row r="1781" ht="15" customHeight="1" s="783">
      <c r="B1781" s="901" t="n"/>
    </row>
    <row r="1782" ht="15" customHeight="1" s="783">
      <c r="B1782" s="901" t="n"/>
    </row>
    <row r="1783" ht="15" customHeight="1" s="783">
      <c r="B1783" s="901" t="n"/>
    </row>
    <row r="1784" ht="15" customHeight="1" s="783">
      <c r="B1784" s="901" t="n"/>
    </row>
    <row r="1785" ht="15" customHeight="1" s="783">
      <c r="B1785" s="901" t="n"/>
    </row>
    <row r="1786" ht="15" customHeight="1" s="783">
      <c r="B1786" s="901" t="n"/>
    </row>
    <row r="1787" ht="15" customHeight="1" s="783">
      <c r="B1787" s="901" t="n"/>
    </row>
    <row r="1788" ht="15" customHeight="1" s="783">
      <c r="B1788" s="901" t="n"/>
    </row>
    <row r="1789" ht="15" customHeight="1" s="783">
      <c r="B1789" s="901" t="n"/>
    </row>
    <row r="1790" ht="15" customHeight="1" s="783">
      <c r="B1790" s="901" t="n"/>
    </row>
    <row r="1791" ht="15" customHeight="1" s="783">
      <c r="B1791" s="901" t="n"/>
    </row>
    <row r="1792" ht="15" customHeight="1" s="783">
      <c r="B1792" s="901" t="n"/>
    </row>
    <row r="1793" ht="15" customHeight="1" s="783">
      <c r="B1793" s="901" t="n"/>
    </row>
    <row r="1794" ht="15" customHeight="1" s="783">
      <c r="B1794" s="901" t="n"/>
    </row>
    <row r="1795" ht="15" customHeight="1" s="783">
      <c r="B1795" s="901" t="n"/>
    </row>
    <row r="1796" ht="15" customHeight="1" s="783">
      <c r="B1796" s="901" t="n"/>
    </row>
    <row r="1797" ht="15" customHeight="1" s="783">
      <c r="B1797" s="901" t="n"/>
    </row>
    <row r="1798" ht="15" customHeight="1" s="783">
      <c r="B1798" s="901" t="n"/>
    </row>
    <row r="1799" ht="15" customHeight="1" s="783">
      <c r="B1799" s="901" t="n"/>
    </row>
    <row r="1800" ht="15" customHeight="1" s="783">
      <c r="B1800" s="901" t="n"/>
    </row>
    <row r="1801" ht="15" customHeight="1" s="783">
      <c r="B1801" s="901" t="n"/>
    </row>
    <row r="1802" ht="15" customHeight="1" s="783">
      <c r="B1802" s="901" t="n"/>
    </row>
    <row r="1803" ht="15" customHeight="1" s="783">
      <c r="B1803" s="901" t="n"/>
    </row>
    <row r="1804" ht="15" customHeight="1" s="783">
      <c r="B1804" s="901" t="n"/>
    </row>
    <row r="1805" ht="15" customHeight="1" s="783">
      <c r="B1805" s="901" t="n"/>
    </row>
    <row r="1806" ht="15" customHeight="1" s="783">
      <c r="B1806" s="901" t="n"/>
    </row>
    <row r="1807" ht="15" customHeight="1" s="783">
      <c r="B1807" s="901" t="n"/>
    </row>
    <row r="1808" ht="15" customHeight="1" s="783">
      <c r="B1808" s="901" t="n"/>
    </row>
    <row r="1809" ht="15" customHeight="1" s="783">
      <c r="B1809" s="901" t="n"/>
    </row>
    <row r="1810" ht="15" customHeight="1" s="783">
      <c r="B1810" s="901" t="n"/>
    </row>
    <row r="1811" ht="15" customHeight="1" s="783">
      <c r="B1811" s="901" t="n"/>
    </row>
    <row r="1812" ht="15" customHeight="1" s="783">
      <c r="B1812" s="901" t="n"/>
    </row>
    <row r="1813" ht="15" customHeight="1" s="783">
      <c r="B1813" s="901" t="n"/>
    </row>
    <row r="1814" ht="15" customHeight="1" s="783">
      <c r="B1814" s="901" t="n"/>
    </row>
    <row r="1815" ht="15" customHeight="1" s="783">
      <c r="B1815" s="901" t="n"/>
    </row>
    <row r="1816" ht="15" customHeight="1" s="783">
      <c r="B1816" s="901" t="n"/>
    </row>
    <row r="1817" ht="15" customHeight="1" s="783">
      <c r="B1817" s="901" t="n"/>
    </row>
    <row r="1818" ht="15" customHeight="1" s="783">
      <c r="B1818" s="901" t="n"/>
    </row>
    <row r="1819" ht="15" customHeight="1" s="783">
      <c r="B1819" s="901" t="n"/>
    </row>
    <row r="1820" ht="15" customHeight="1" s="783">
      <c r="B1820" s="901" t="n"/>
    </row>
    <row r="1821" ht="15" customHeight="1" s="783">
      <c r="B1821" s="901" t="n"/>
    </row>
    <row r="1822" ht="15" customHeight="1" s="783">
      <c r="B1822" s="901" t="n"/>
    </row>
    <row r="1823" ht="15" customHeight="1" s="783">
      <c r="B1823" s="901" t="n"/>
    </row>
    <row r="1824" ht="15" customHeight="1" s="783">
      <c r="B1824" s="901" t="n"/>
    </row>
    <row r="1825" ht="15" customHeight="1" s="783">
      <c r="B1825" s="901" t="n"/>
    </row>
    <row r="1826" ht="15" customHeight="1" s="783">
      <c r="B1826" s="901" t="n"/>
    </row>
    <row r="1827" ht="15" customHeight="1" s="783">
      <c r="B1827" s="901" t="n"/>
    </row>
    <row r="1828" ht="15" customHeight="1" s="783">
      <c r="B1828" s="901" t="n"/>
    </row>
    <row r="1829" ht="15" customHeight="1" s="783">
      <c r="B1829" s="901" t="n"/>
    </row>
    <row r="1830" ht="15" customHeight="1" s="783">
      <c r="B1830" s="901" t="n"/>
    </row>
    <row r="1831" ht="15" customHeight="1" s="783">
      <c r="B1831" s="901" t="n"/>
    </row>
    <row r="1832" ht="15" customHeight="1" s="783">
      <c r="B1832" s="901" t="n"/>
    </row>
    <row r="1833" ht="15" customHeight="1" s="783">
      <c r="B1833" s="901" t="n"/>
    </row>
    <row r="1834" ht="15" customHeight="1" s="783">
      <c r="B1834" s="901" t="n"/>
    </row>
    <row r="1835" ht="15" customHeight="1" s="783">
      <c r="B1835" s="901" t="n"/>
    </row>
    <row r="1836" ht="15" customHeight="1" s="783">
      <c r="B1836" s="901" t="n"/>
    </row>
    <row r="1837" ht="15" customHeight="1" s="783">
      <c r="B1837" s="901" t="n"/>
    </row>
    <row r="1838" ht="15" customHeight="1" s="783">
      <c r="B1838" s="901" t="n"/>
    </row>
    <row r="1839" ht="15" customHeight="1" s="783">
      <c r="B1839" s="901" t="n"/>
    </row>
    <row r="1840" ht="15" customHeight="1" s="783">
      <c r="B1840" s="901" t="n"/>
    </row>
    <row r="1841" ht="15" customHeight="1" s="783">
      <c r="B1841" s="901" t="n"/>
    </row>
    <row r="1842" ht="15" customHeight="1" s="783">
      <c r="B1842" s="901" t="n"/>
    </row>
    <row r="1843" ht="15" customHeight="1" s="783">
      <c r="B1843" s="901" t="n"/>
    </row>
    <row r="1844" ht="15" customHeight="1" s="783">
      <c r="B1844" s="901" t="n"/>
    </row>
    <row r="1845" ht="15" customHeight="1" s="783">
      <c r="B1845" s="901" t="n"/>
    </row>
    <row r="1846" ht="15" customHeight="1" s="783">
      <c r="B1846" s="901" t="n"/>
    </row>
    <row r="1847" ht="15" customHeight="1" s="783">
      <c r="B1847" s="901" t="n"/>
    </row>
    <row r="1848" ht="15" customHeight="1" s="783">
      <c r="B1848" s="901" t="n"/>
    </row>
    <row r="1849" ht="15" customHeight="1" s="783">
      <c r="B1849" s="901" t="n"/>
    </row>
    <row r="1850" ht="15" customHeight="1" s="783">
      <c r="B1850" s="901" t="n"/>
    </row>
    <row r="1851" ht="15" customHeight="1" s="783">
      <c r="B1851" s="901" t="n"/>
    </row>
    <row r="1852" ht="15" customHeight="1" s="783">
      <c r="B1852" s="901" t="n"/>
    </row>
    <row r="1853" ht="15" customHeight="1" s="783">
      <c r="B1853" s="901" t="n"/>
    </row>
    <row r="1854" ht="15" customHeight="1" s="783">
      <c r="B1854" s="901" t="n"/>
    </row>
    <row r="1855" ht="15" customHeight="1" s="783">
      <c r="B1855" s="901" t="n"/>
    </row>
    <row r="1856" ht="15" customHeight="1" s="783">
      <c r="B1856" s="901" t="n"/>
    </row>
    <row r="1857" ht="15" customHeight="1" s="783">
      <c r="B1857" s="901" t="n"/>
    </row>
    <row r="1858" ht="15" customHeight="1" s="783">
      <c r="B1858" s="901" t="n"/>
    </row>
    <row r="1859" ht="15" customHeight="1" s="783">
      <c r="B1859" s="901" t="n"/>
    </row>
    <row r="1860" ht="15" customHeight="1" s="783">
      <c r="B1860" s="901" t="n"/>
    </row>
    <row r="1861" ht="15" customHeight="1" s="783">
      <c r="B1861" s="901" t="n"/>
    </row>
    <row r="1862" ht="15" customHeight="1" s="783">
      <c r="B1862" s="901" t="n"/>
    </row>
    <row r="1863" ht="15" customHeight="1" s="783">
      <c r="B1863" s="901" t="n"/>
    </row>
    <row r="1864" ht="15" customHeight="1" s="783">
      <c r="B1864" s="901" t="n"/>
    </row>
    <row r="1865" ht="15" customHeight="1" s="783">
      <c r="B1865" s="901" t="n"/>
    </row>
    <row r="1866" ht="15" customHeight="1" s="783">
      <c r="B1866" s="901" t="n"/>
    </row>
    <row r="1867" ht="15" customHeight="1" s="783">
      <c r="B1867" s="901" t="n"/>
    </row>
    <row r="1868" ht="15" customHeight="1" s="783">
      <c r="B1868" s="901" t="n"/>
    </row>
    <row r="1869" ht="15" customHeight="1" s="783">
      <c r="B1869" s="901" t="n"/>
    </row>
    <row r="1870" ht="15" customHeight="1" s="783">
      <c r="B1870" s="901" t="n"/>
    </row>
    <row r="1871" ht="15" customHeight="1" s="783">
      <c r="B1871" s="901" t="n"/>
    </row>
    <row r="1872" ht="15" customHeight="1" s="783">
      <c r="B1872" s="901" t="n"/>
    </row>
    <row r="1873" ht="15" customHeight="1" s="783">
      <c r="B1873" s="901" t="n"/>
    </row>
    <row r="1874" ht="15" customHeight="1" s="783">
      <c r="B1874" s="901" t="n"/>
    </row>
    <row r="1875" ht="15" customHeight="1" s="783">
      <c r="B1875" s="901" t="n"/>
    </row>
    <row r="1876" ht="15" customHeight="1" s="783">
      <c r="B1876" s="901" t="n"/>
    </row>
    <row r="1877" ht="15" customHeight="1" s="783">
      <c r="B1877" s="901" t="n"/>
    </row>
    <row r="1878" ht="15" customHeight="1" s="783">
      <c r="B1878" s="901" t="n"/>
    </row>
    <row r="1879" ht="15" customHeight="1" s="783">
      <c r="B1879" s="901" t="n"/>
    </row>
    <row r="1880" ht="15" customHeight="1" s="783">
      <c r="B1880" s="901" t="n"/>
    </row>
    <row r="1881" ht="15" customHeight="1" s="783">
      <c r="B1881" s="901" t="n"/>
    </row>
    <row r="1882" ht="15" customHeight="1" s="783">
      <c r="B1882" s="901" t="n"/>
    </row>
    <row r="1883" ht="15" customHeight="1" s="783">
      <c r="B1883" s="901" t="n"/>
    </row>
    <row r="1884" ht="15" customHeight="1" s="783">
      <c r="B1884" s="901" t="n"/>
    </row>
    <row r="1885" ht="15" customHeight="1" s="783">
      <c r="B1885" s="901" t="n"/>
    </row>
    <row r="1886" ht="15" customHeight="1" s="783">
      <c r="B1886" s="901" t="n"/>
    </row>
    <row r="1887" ht="15" customHeight="1" s="783">
      <c r="B1887" s="901" t="n"/>
    </row>
    <row r="1888" ht="15" customHeight="1" s="783">
      <c r="B1888" s="901" t="n"/>
    </row>
    <row r="1889" ht="15" customHeight="1" s="783">
      <c r="B1889" s="901" t="n"/>
    </row>
    <row r="1890" ht="15" customHeight="1" s="783">
      <c r="B1890" s="901" t="n"/>
    </row>
    <row r="1891" ht="15" customHeight="1" s="783">
      <c r="B1891" s="901" t="n"/>
    </row>
    <row r="1892" ht="15" customHeight="1" s="783">
      <c r="B1892" s="901" t="n"/>
    </row>
    <row r="1893" ht="15" customHeight="1" s="783">
      <c r="B1893" s="901" t="n"/>
    </row>
    <row r="1894" ht="15" customHeight="1" s="783">
      <c r="B1894" s="901" t="n"/>
    </row>
    <row r="1895" ht="15" customHeight="1" s="783">
      <c r="B1895" s="901" t="n"/>
    </row>
    <row r="1896" ht="15" customHeight="1" s="783">
      <c r="B1896" s="901" t="n"/>
    </row>
    <row r="1897" ht="15" customHeight="1" s="783">
      <c r="B1897" s="901" t="n"/>
    </row>
    <row r="1898" ht="15" customHeight="1" s="783">
      <c r="B1898" s="901" t="n"/>
    </row>
    <row r="1899" ht="15" customHeight="1" s="783">
      <c r="B1899" s="901" t="n"/>
    </row>
    <row r="1900" ht="15" customHeight="1" s="783">
      <c r="B1900" s="901" t="n"/>
    </row>
    <row r="1901" ht="15" customHeight="1" s="783">
      <c r="B1901" s="901" t="n"/>
    </row>
    <row r="1902" ht="15" customHeight="1" s="783">
      <c r="B1902" s="901" t="n"/>
    </row>
    <row r="1903" ht="15" customHeight="1" s="783">
      <c r="B1903" s="901" t="n"/>
    </row>
    <row r="1904" ht="15" customHeight="1" s="783">
      <c r="B1904" s="901" t="n"/>
    </row>
    <row r="1905" ht="15" customHeight="1" s="783">
      <c r="B1905" s="901" t="n"/>
    </row>
    <row r="1906" ht="15" customHeight="1" s="783">
      <c r="B1906" s="901" t="n"/>
    </row>
    <row r="1907" ht="15" customHeight="1" s="783">
      <c r="B1907" s="901" t="n"/>
    </row>
    <row r="1908" ht="15" customHeight="1" s="783">
      <c r="B1908" s="901" t="n"/>
    </row>
    <row r="1909" ht="15" customHeight="1" s="783">
      <c r="B1909" s="901" t="n"/>
    </row>
    <row r="1910" ht="15" customHeight="1" s="783">
      <c r="B1910" s="901" t="n"/>
    </row>
    <row r="1911" ht="15" customHeight="1" s="783">
      <c r="B1911" s="901" t="n"/>
    </row>
    <row r="1912" ht="15" customHeight="1" s="783">
      <c r="B1912" s="901" t="n"/>
    </row>
    <row r="1913" ht="15" customHeight="1" s="783">
      <c r="B1913" s="901" t="n"/>
    </row>
    <row r="1914" ht="15" customHeight="1" s="783">
      <c r="B1914" s="901" t="n"/>
    </row>
    <row r="1915" ht="15" customHeight="1" s="783">
      <c r="B1915" s="901" t="n"/>
    </row>
    <row r="1916" ht="15" customHeight="1" s="783">
      <c r="B1916" s="901" t="n"/>
    </row>
    <row r="1917" ht="15" customHeight="1" s="783">
      <c r="B1917" s="901" t="n"/>
    </row>
    <row r="1918" ht="15" customHeight="1" s="783">
      <c r="B1918" s="901" t="n"/>
    </row>
    <row r="1919" ht="15" customHeight="1" s="783">
      <c r="B1919" s="901" t="n"/>
    </row>
    <row r="1920" ht="15" customHeight="1" s="783">
      <c r="B1920" s="901" t="n"/>
    </row>
    <row r="1921" ht="15" customHeight="1" s="783">
      <c r="B1921" s="901" t="n"/>
    </row>
    <row r="1922" ht="15" customHeight="1" s="783">
      <c r="B1922" s="901" t="n"/>
    </row>
    <row r="1923" ht="15" customHeight="1" s="783">
      <c r="B1923" s="901" t="n"/>
    </row>
    <row r="1924" ht="15" customHeight="1" s="783">
      <c r="B1924" s="901" t="n"/>
    </row>
    <row r="1925" ht="15" customHeight="1" s="783">
      <c r="B1925" s="901" t="n"/>
    </row>
    <row r="1926" ht="15" customHeight="1" s="783">
      <c r="B1926" s="901" t="n"/>
    </row>
    <row r="1927" ht="15" customHeight="1" s="783">
      <c r="B1927" s="901" t="n"/>
    </row>
    <row r="1928" ht="15" customHeight="1" s="783">
      <c r="B1928" s="901" t="n"/>
    </row>
    <row r="1929" ht="15" customHeight="1" s="783">
      <c r="B1929" s="901" t="n"/>
    </row>
    <row r="1930" ht="15" customHeight="1" s="783">
      <c r="B1930" s="901" t="n"/>
    </row>
    <row r="1931" ht="15" customHeight="1" s="783">
      <c r="B1931" s="901" t="n"/>
    </row>
    <row r="1932" ht="15" customHeight="1" s="783">
      <c r="B1932" s="901" t="n"/>
    </row>
    <row r="1933" ht="15" customHeight="1" s="783">
      <c r="B1933" s="901" t="n"/>
    </row>
    <row r="1934" ht="15" customHeight="1" s="783">
      <c r="B1934" s="901" t="n"/>
    </row>
    <row r="1935" ht="15" customHeight="1" s="783">
      <c r="B1935" s="901" t="n"/>
    </row>
    <row r="1936" ht="15" customHeight="1" s="783">
      <c r="B1936" s="901" t="n"/>
    </row>
    <row r="1937" ht="15" customHeight="1" s="783">
      <c r="B1937" s="901" t="n"/>
    </row>
    <row r="1938" ht="15" customHeight="1" s="783">
      <c r="B1938" s="901" t="n"/>
    </row>
    <row r="1939" ht="15" customHeight="1" s="783">
      <c r="B1939" s="901" t="n"/>
    </row>
    <row r="1940" ht="15" customHeight="1" s="783">
      <c r="B1940" s="901" t="n"/>
    </row>
    <row r="1941" ht="15" customHeight="1" s="783">
      <c r="B1941" s="901" t="n"/>
    </row>
    <row r="1942" ht="15" customHeight="1" s="783">
      <c r="B1942" s="901" t="n"/>
    </row>
    <row r="1943" ht="15" customHeight="1" s="783">
      <c r="B1943" s="901" t="n"/>
    </row>
    <row r="1944" ht="15" customHeight="1" s="783">
      <c r="B1944" s="901" t="n"/>
    </row>
    <row r="1945" ht="15" customHeight="1" s="783">
      <c r="B1945" s="901" t="n"/>
    </row>
    <row r="1946" ht="15" customHeight="1" s="783">
      <c r="B1946" s="901" t="n"/>
    </row>
    <row r="1947" ht="15" customHeight="1" s="783">
      <c r="B1947" s="901" t="n"/>
    </row>
    <row r="1948" ht="15" customHeight="1" s="783">
      <c r="B1948" s="901" t="n"/>
    </row>
    <row r="1949" ht="15" customHeight="1" s="783">
      <c r="B1949" s="901" t="n"/>
    </row>
    <row r="1950" ht="15" customHeight="1" s="783">
      <c r="B1950" s="901" t="n"/>
    </row>
    <row r="1951" ht="15" customHeight="1" s="783">
      <c r="B1951" s="901" t="n"/>
    </row>
    <row r="1952" ht="15" customHeight="1" s="783">
      <c r="B1952" s="901" t="n"/>
    </row>
    <row r="1953" ht="15" customHeight="1" s="783">
      <c r="B1953" s="901" t="n"/>
    </row>
    <row r="1954" ht="15" customHeight="1" s="783">
      <c r="B1954" s="901" t="n"/>
    </row>
    <row r="1955" ht="15" customHeight="1" s="783">
      <c r="B1955" s="901" t="n"/>
    </row>
    <row r="1956" ht="15" customHeight="1" s="783">
      <c r="B1956" s="901" t="n"/>
    </row>
    <row r="1957" ht="15" customHeight="1" s="783">
      <c r="B1957" s="901" t="n"/>
    </row>
    <row r="1958" ht="15" customHeight="1" s="783">
      <c r="B1958" s="901" t="n"/>
    </row>
    <row r="1959" ht="15" customHeight="1" s="783">
      <c r="B1959" s="901" t="n"/>
    </row>
    <row r="1960" ht="15" customHeight="1" s="783">
      <c r="B1960" s="901" t="n"/>
    </row>
    <row r="1961" ht="15" customHeight="1" s="783">
      <c r="B1961" s="901" t="n"/>
    </row>
    <row r="1962" ht="15" customHeight="1" s="783">
      <c r="B1962" s="901" t="n"/>
    </row>
    <row r="1963" ht="15" customHeight="1" s="783">
      <c r="B1963" s="901" t="n"/>
    </row>
    <row r="1964" ht="15" customHeight="1" s="783">
      <c r="B1964" s="901" t="n"/>
    </row>
    <row r="1965" ht="15" customHeight="1" s="783">
      <c r="B1965" s="901" t="n"/>
    </row>
    <row r="1966" ht="15" customHeight="1" s="783">
      <c r="B1966" s="901" t="n"/>
    </row>
    <row r="1967" ht="15" customHeight="1" s="783">
      <c r="B1967" s="901" t="n"/>
    </row>
    <row r="1968" ht="15" customHeight="1" s="783">
      <c r="B1968" s="901" t="n"/>
    </row>
    <row r="1969" ht="15" customHeight="1" s="783">
      <c r="B1969" s="901" t="n"/>
    </row>
    <row r="1970" ht="15" customHeight="1" s="783">
      <c r="B1970" s="901" t="n"/>
    </row>
    <row r="1971" ht="15" customHeight="1" s="783">
      <c r="B1971" s="901" t="n"/>
    </row>
    <row r="1972" ht="15" customHeight="1" s="783">
      <c r="B1972" s="901" t="n"/>
    </row>
    <row r="1973" ht="15" customHeight="1" s="783">
      <c r="B1973" s="901" t="n"/>
    </row>
    <row r="1974" ht="15" customHeight="1" s="783">
      <c r="B1974" s="901" t="n"/>
    </row>
    <row r="1975" ht="15" customHeight="1" s="783">
      <c r="B1975" s="901" t="n"/>
    </row>
    <row r="1976" ht="15" customHeight="1" s="783">
      <c r="B1976" s="901" t="n"/>
    </row>
    <row r="1977" ht="15" customHeight="1" s="783">
      <c r="B1977" s="901" t="n"/>
    </row>
    <row r="1978" ht="15" customHeight="1" s="783">
      <c r="B1978" s="901" t="n"/>
    </row>
    <row r="1979" ht="15" customHeight="1" s="783">
      <c r="B1979" s="901" t="n"/>
    </row>
    <row r="1980" ht="15" customHeight="1" s="783">
      <c r="B1980" s="901" t="n"/>
    </row>
    <row r="1981" ht="15" customHeight="1" s="783">
      <c r="B1981" s="901" t="n"/>
    </row>
    <row r="1982" ht="15" customHeight="1" s="783">
      <c r="B1982" s="901" t="n"/>
    </row>
    <row r="1983" ht="15" customHeight="1" s="783">
      <c r="B1983" s="901" t="n"/>
    </row>
    <row r="1984" ht="15" customHeight="1" s="783">
      <c r="B1984" s="901" t="n"/>
    </row>
    <row r="1985" ht="15" customHeight="1" s="783">
      <c r="B1985" s="901" t="n"/>
    </row>
    <row r="1986" ht="15" customHeight="1" s="783">
      <c r="B1986" s="901" t="n"/>
    </row>
    <row r="1987" ht="15" customHeight="1" s="783">
      <c r="B1987" s="901" t="n"/>
    </row>
    <row r="1988" ht="15" customHeight="1" s="783">
      <c r="B1988" s="901" t="n"/>
    </row>
    <row r="1989" ht="15" customHeight="1" s="783">
      <c r="B1989" s="901" t="n"/>
    </row>
    <row r="1990" ht="15" customHeight="1" s="783">
      <c r="B1990" s="901" t="n"/>
    </row>
    <row r="1991" ht="15" customHeight="1" s="783">
      <c r="B1991" s="901" t="n"/>
    </row>
    <row r="1992" ht="15" customHeight="1" s="783">
      <c r="B1992" s="901" t="n"/>
    </row>
    <row r="1993" ht="15" customHeight="1" s="783">
      <c r="B1993" s="901" t="n"/>
    </row>
    <row r="1994" ht="15" customHeight="1" s="783">
      <c r="B1994" s="901" t="n"/>
    </row>
    <row r="1995" ht="15" customHeight="1" s="783">
      <c r="B1995" s="901" t="n"/>
    </row>
    <row r="1996" ht="15" customHeight="1" s="783">
      <c r="B1996" s="901" t="n"/>
    </row>
    <row r="1997" ht="15" customHeight="1" s="783">
      <c r="B1997" s="901" t="n"/>
    </row>
    <row r="1998" ht="15" customHeight="1" s="783">
      <c r="B1998" s="901" t="n"/>
    </row>
    <row r="1999" ht="15" customHeight="1" s="783">
      <c r="B1999" s="901" t="n"/>
    </row>
    <row r="2000" ht="15" customHeight="1" s="783">
      <c r="B2000" s="901" t="n"/>
    </row>
    <row r="2001" ht="15" customHeight="1" s="783">
      <c r="B2001" s="901" t="n"/>
    </row>
    <row r="2002" ht="15" customHeight="1" s="783">
      <c r="B2002" s="901" t="n"/>
    </row>
    <row r="2003" ht="15" customHeight="1" s="783">
      <c r="B2003" s="901" t="n"/>
    </row>
    <row r="2004" ht="15" customHeight="1" s="783">
      <c r="B2004" s="901" t="n"/>
    </row>
    <row r="2005" ht="15" customHeight="1" s="783">
      <c r="B2005" s="901" t="n"/>
    </row>
    <row r="2006" ht="15" customHeight="1" s="783">
      <c r="B2006" s="901" t="n"/>
    </row>
    <row r="2007" ht="15" customHeight="1" s="783">
      <c r="B2007" s="901" t="n"/>
    </row>
    <row r="2008" ht="15" customHeight="1" s="783">
      <c r="B2008" s="901" t="n"/>
    </row>
    <row r="2009" ht="15" customHeight="1" s="783">
      <c r="B2009" s="901" t="n"/>
    </row>
    <row r="2010" ht="15" customHeight="1" s="783">
      <c r="B2010" s="901" t="n"/>
    </row>
    <row r="2011" ht="15" customHeight="1" s="783">
      <c r="B2011" s="901" t="n"/>
    </row>
    <row r="2012" ht="15" customHeight="1" s="783">
      <c r="B2012" s="901" t="n"/>
    </row>
    <row r="2013" ht="15" customHeight="1" s="783">
      <c r="B2013" s="901" t="n"/>
    </row>
    <row r="2014" ht="15" customHeight="1" s="783">
      <c r="B2014" s="901" t="n"/>
    </row>
    <row r="2015" ht="15" customHeight="1" s="783">
      <c r="B2015" s="901" t="n"/>
    </row>
    <row r="2016" ht="15" customHeight="1" s="783">
      <c r="B2016" s="901" t="n"/>
    </row>
    <row r="2017" ht="15" customHeight="1" s="783">
      <c r="B2017" s="901" t="n"/>
    </row>
    <row r="2018" ht="15" customHeight="1" s="783">
      <c r="B2018" s="901" t="n"/>
    </row>
    <row r="2019" ht="15" customHeight="1" s="783">
      <c r="B2019" s="901" t="n"/>
    </row>
    <row r="2020" ht="15" customHeight="1" s="783">
      <c r="B2020" s="901" t="n"/>
    </row>
    <row r="2021" ht="15" customHeight="1" s="783">
      <c r="B2021" s="901" t="n"/>
    </row>
    <row r="2022" ht="15" customHeight="1" s="783">
      <c r="B2022" s="901" t="n"/>
    </row>
    <row r="2023" ht="15" customHeight="1" s="783">
      <c r="B2023" s="901" t="n"/>
    </row>
    <row r="2024" ht="15" customHeight="1" s="783">
      <c r="B2024" s="901" t="n"/>
    </row>
    <row r="2025" ht="15" customHeight="1" s="783">
      <c r="B2025" s="901" t="n"/>
    </row>
    <row r="2026" ht="15" customHeight="1" s="783">
      <c r="B2026" s="901" t="n"/>
    </row>
    <row r="2027" ht="15" customHeight="1" s="783">
      <c r="B2027" s="901" t="n"/>
    </row>
    <row r="2028" ht="15" customHeight="1" s="783">
      <c r="B2028" s="901" t="n"/>
    </row>
    <row r="2029" ht="15" customHeight="1" s="783">
      <c r="B2029" s="901" t="n"/>
    </row>
    <row r="2030" ht="15" customHeight="1" s="783">
      <c r="B2030" s="901" t="n"/>
    </row>
    <row r="2031" ht="15" customHeight="1" s="783">
      <c r="B2031" s="901" t="n"/>
    </row>
    <row r="2032" ht="15" customHeight="1" s="783">
      <c r="B2032" s="901" t="n"/>
    </row>
    <row r="2033" ht="15" customHeight="1" s="783">
      <c r="B2033" s="901" t="n"/>
    </row>
    <row r="2034" ht="15" customHeight="1" s="783">
      <c r="B2034" s="901" t="n"/>
    </row>
    <row r="2035" ht="15" customHeight="1" s="783">
      <c r="B2035" s="901" t="n"/>
    </row>
    <row r="2036" ht="15" customHeight="1" s="783">
      <c r="B2036" s="901" t="n"/>
    </row>
    <row r="2037" ht="15" customHeight="1" s="783">
      <c r="B2037" s="901" t="n"/>
    </row>
    <row r="2038" ht="15" customHeight="1" s="783">
      <c r="B2038" s="901" t="n"/>
    </row>
    <row r="2039" ht="15" customHeight="1" s="783">
      <c r="B2039" s="901" t="n"/>
    </row>
    <row r="2040" ht="15" customHeight="1" s="783">
      <c r="B2040" s="901" t="n"/>
    </row>
    <row r="2041" ht="15" customHeight="1" s="783">
      <c r="B2041" s="901" t="n"/>
    </row>
    <row r="2042" ht="15" customHeight="1" s="783">
      <c r="B2042" s="901" t="n"/>
    </row>
    <row r="2043" ht="15" customHeight="1" s="783">
      <c r="B2043" s="901" t="n"/>
    </row>
    <row r="2044" ht="15" customHeight="1" s="783">
      <c r="B2044" s="901" t="n"/>
    </row>
    <row r="2045" ht="15" customHeight="1" s="783">
      <c r="B2045" s="901" t="n"/>
    </row>
    <row r="2046" ht="15" customHeight="1" s="783">
      <c r="B2046" s="901" t="n"/>
    </row>
    <row r="2047" ht="15" customHeight="1" s="783">
      <c r="B2047" s="901" t="n"/>
    </row>
    <row r="2048" ht="15" customHeight="1" s="783">
      <c r="B2048" s="901" t="n"/>
    </row>
    <row r="2049" ht="15" customHeight="1" s="783">
      <c r="B2049" s="901" t="n"/>
    </row>
    <row r="2050" ht="15" customHeight="1" s="783">
      <c r="B2050" s="901" t="n"/>
    </row>
    <row r="2051" ht="15" customHeight="1" s="783">
      <c r="B2051" s="901" t="n"/>
    </row>
    <row r="2052" ht="15" customHeight="1" s="783">
      <c r="B2052" s="901" t="n"/>
    </row>
    <row r="2053" ht="15" customHeight="1" s="783">
      <c r="B2053" s="901" t="n"/>
    </row>
    <row r="2054" ht="15" customHeight="1" s="783">
      <c r="B2054" s="901" t="n"/>
    </row>
    <row r="2055" ht="15" customHeight="1" s="783">
      <c r="B2055" s="901" t="n"/>
    </row>
    <row r="2056" ht="15" customHeight="1" s="783">
      <c r="B2056" s="901" t="n"/>
    </row>
    <row r="2057" ht="15" customHeight="1" s="783">
      <c r="B2057" s="901" t="n"/>
    </row>
    <row r="2058" ht="15" customHeight="1" s="783">
      <c r="B2058" s="901" t="n"/>
    </row>
    <row r="2059" ht="15" customHeight="1" s="783">
      <c r="B2059" s="901" t="n"/>
    </row>
    <row r="2060" ht="15" customHeight="1" s="783">
      <c r="B2060" s="901" t="n"/>
    </row>
    <row r="2061" ht="15" customHeight="1" s="783">
      <c r="B2061" s="901" t="n"/>
    </row>
    <row r="2062" ht="15" customHeight="1" s="783">
      <c r="B2062" s="901" t="n"/>
    </row>
    <row r="2063" ht="15" customHeight="1" s="783">
      <c r="B2063" s="901" t="n"/>
    </row>
    <row r="2064" ht="15" customHeight="1" s="783">
      <c r="B2064" s="901" t="n"/>
    </row>
    <row r="2065" ht="15" customHeight="1" s="783">
      <c r="B2065" s="901" t="n"/>
    </row>
    <row r="2066" ht="15" customHeight="1" s="783">
      <c r="B2066" s="901" t="n"/>
    </row>
    <row r="2067" ht="15" customHeight="1" s="783">
      <c r="B2067" s="901" t="n"/>
    </row>
    <row r="2068" ht="15" customHeight="1" s="783">
      <c r="B2068" s="901" t="n"/>
    </row>
    <row r="2069" ht="15" customHeight="1" s="783">
      <c r="B2069" s="901" t="n"/>
    </row>
    <row r="2070" ht="15" customHeight="1" s="783">
      <c r="B2070" s="901" t="n"/>
    </row>
    <row r="2071" ht="15" customHeight="1" s="783">
      <c r="B2071" s="901" t="n"/>
    </row>
    <row r="2072" ht="15" customHeight="1" s="783">
      <c r="B2072" s="901" t="n"/>
    </row>
    <row r="2073" ht="15" customHeight="1" s="783">
      <c r="B2073" s="901" t="n"/>
    </row>
    <row r="2074" ht="15" customHeight="1" s="783">
      <c r="B2074" s="901" t="n"/>
    </row>
    <row r="2075" ht="15" customHeight="1" s="783">
      <c r="B2075" s="901" t="n"/>
    </row>
    <row r="2076" ht="15" customHeight="1" s="783">
      <c r="B2076" s="901" t="n"/>
    </row>
    <row r="2077" ht="15" customHeight="1" s="783">
      <c r="B2077" s="901" t="n"/>
    </row>
    <row r="2078" ht="15" customHeight="1" s="783">
      <c r="B2078" s="901" t="n"/>
    </row>
    <row r="2079" ht="15" customHeight="1" s="783">
      <c r="B2079" s="901" t="n"/>
    </row>
    <row r="2080" ht="15" customHeight="1" s="783">
      <c r="B2080" s="901" t="n"/>
    </row>
    <row r="2081" ht="15" customHeight="1" s="783">
      <c r="B2081" s="901" t="n"/>
    </row>
    <row r="2082" ht="15" customHeight="1" s="783">
      <c r="B2082" s="901" t="n"/>
    </row>
    <row r="2083" ht="15" customHeight="1" s="783">
      <c r="B2083" s="901" t="n"/>
    </row>
    <row r="2084" ht="15" customHeight="1" s="783">
      <c r="B2084" s="901" t="n"/>
    </row>
    <row r="2085" ht="15" customHeight="1" s="783">
      <c r="B2085" s="901" t="n"/>
    </row>
    <row r="2086" ht="15" customHeight="1" s="783">
      <c r="B2086" s="901" t="n"/>
    </row>
    <row r="2087" ht="15" customHeight="1" s="783">
      <c r="B2087" s="901" t="n"/>
    </row>
    <row r="2088" ht="15" customHeight="1" s="783">
      <c r="B2088" s="901" t="n"/>
    </row>
    <row r="2089" ht="15" customHeight="1" s="783">
      <c r="B2089" s="901" t="n"/>
    </row>
    <row r="2090" ht="15" customHeight="1" s="783">
      <c r="B2090" s="901" t="n"/>
    </row>
    <row r="2091" ht="15" customHeight="1" s="783">
      <c r="B2091" s="901" t="n"/>
    </row>
    <row r="2092" ht="15" customHeight="1" s="783">
      <c r="B2092" s="901" t="n"/>
    </row>
    <row r="2093" ht="15" customHeight="1" s="783">
      <c r="B2093" s="901" t="n"/>
    </row>
    <row r="2094" ht="15" customHeight="1" s="783">
      <c r="B2094" s="901" t="n"/>
    </row>
    <row r="2095" ht="15" customHeight="1" s="783">
      <c r="B2095" s="901" t="n"/>
    </row>
    <row r="2096" ht="15" customHeight="1" s="783">
      <c r="B2096" s="901" t="n"/>
    </row>
    <row r="2097" ht="15" customHeight="1" s="783">
      <c r="B2097" s="901" t="n"/>
    </row>
    <row r="2098" ht="15" customHeight="1" s="783">
      <c r="B2098" s="901" t="n"/>
    </row>
    <row r="2099" ht="15" customHeight="1" s="783">
      <c r="B2099" s="901" t="n"/>
    </row>
    <row r="2100" ht="15" customHeight="1" s="783">
      <c r="B2100" s="901" t="n"/>
    </row>
    <row r="2101" ht="15" customHeight="1" s="783">
      <c r="B2101" s="901" t="n"/>
    </row>
    <row r="2102" ht="15" customHeight="1" s="783">
      <c r="B2102" s="901" t="n"/>
    </row>
    <row r="2103" ht="15" customHeight="1" s="783">
      <c r="B2103" s="901" t="n"/>
    </row>
    <row r="2104" ht="15" customHeight="1" s="783">
      <c r="B2104" s="901" t="n"/>
    </row>
    <row r="2105" ht="15" customHeight="1" s="783">
      <c r="B2105" s="901" t="n"/>
    </row>
    <row r="2106" ht="15" customHeight="1" s="783">
      <c r="B2106" s="901" t="n"/>
    </row>
    <row r="2107" ht="15" customHeight="1" s="783">
      <c r="B2107" s="901" t="n"/>
    </row>
    <row r="2108" ht="15" customHeight="1" s="783">
      <c r="B2108" s="901" t="n"/>
    </row>
    <row r="2109" ht="15" customHeight="1" s="783">
      <c r="B2109" s="901" t="n"/>
    </row>
    <row r="2110" ht="15" customHeight="1" s="783">
      <c r="B2110" s="901" t="n"/>
    </row>
    <row r="2111" ht="15" customHeight="1" s="783">
      <c r="B2111" s="901" t="n"/>
    </row>
    <row r="2112" ht="15" customHeight="1" s="783">
      <c r="B2112" s="901" t="n"/>
    </row>
    <row r="2113" ht="15" customHeight="1" s="783">
      <c r="B2113" s="901" t="n"/>
    </row>
    <row r="2114" ht="15" customHeight="1" s="783">
      <c r="B2114" s="901" t="n"/>
    </row>
    <row r="2115" ht="15" customHeight="1" s="783">
      <c r="B2115" s="901" t="n"/>
    </row>
    <row r="2116" ht="15" customHeight="1" s="783">
      <c r="B2116" s="901" t="n"/>
    </row>
    <row r="2117" ht="15" customHeight="1" s="783">
      <c r="B2117" s="901" t="n"/>
    </row>
    <row r="2118" ht="15" customHeight="1" s="783">
      <c r="B2118" s="901" t="n"/>
    </row>
    <row r="2119" ht="15" customHeight="1" s="783">
      <c r="B2119" s="901" t="n"/>
    </row>
    <row r="2120" ht="15" customHeight="1" s="783">
      <c r="B2120" s="901" t="n"/>
    </row>
    <row r="2121" ht="15" customHeight="1" s="783">
      <c r="B2121" s="901" t="n"/>
    </row>
    <row r="2122" ht="15" customHeight="1" s="783">
      <c r="B2122" s="901" t="n"/>
    </row>
    <row r="2123" ht="15" customHeight="1" s="783">
      <c r="B2123" s="901" t="n"/>
    </row>
    <row r="2124" ht="15" customHeight="1" s="783">
      <c r="B2124" s="901" t="n"/>
    </row>
    <row r="2125" ht="15" customHeight="1" s="783">
      <c r="B2125" s="901" t="n"/>
    </row>
    <row r="2126" ht="15" customHeight="1" s="783">
      <c r="B2126" s="901" t="n"/>
    </row>
    <row r="2127" ht="15" customHeight="1" s="783">
      <c r="B2127" s="901" t="n"/>
    </row>
    <row r="2128" ht="15" customHeight="1" s="783">
      <c r="B2128" s="901" t="n"/>
    </row>
    <row r="2129" ht="15" customHeight="1" s="783">
      <c r="B2129" s="901" t="n"/>
    </row>
    <row r="2130" ht="15" customHeight="1" s="783">
      <c r="B2130" s="901" t="n"/>
    </row>
    <row r="2131" ht="15" customHeight="1" s="783">
      <c r="B2131" s="901" t="n"/>
    </row>
    <row r="2132" ht="15" customHeight="1" s="783">
      <c r="B2132" s="901" t="n"/>
    </row>
    <row r="2133" ht="15" customHeight="1" s="783">
      <c r="B2133" s="901" t="n"/>
    </row>
    <row r="2134" ht="15" customHeight="1" s="783">
      <c r="B2134" s="901" t="n"/>
    </row>
    <row r="2135" ht="15" customHeight="1" s="783">
      <c r="B2135" s="901" t="n"/>
    </row>
    <row r="2136" ht="15" customHeight="1" s="783">
      <c r="B2136" s="901" t="n"/>
    </row>
    <row r="2137" ht="15" customHeight="1" s="783">
      <c r="B2137" s="901" t="n"/>
    </row>
    <row r="2138" ht="15" customHeight="1" s="783">
      <c r="B2138" s="901" t="n"/>
    </row>
    <row r="2139" ht="15" customHeight="1" s="783">
      <c r="B2139" s="901" t="n"/>
    </row>
    <row r="2140" ht="15" customHeight="1" s="783">
      <c r="B2140" s="901" t="n"/>
    </row>
    <row r="2141" ht="15" customHeight="1" s="783">
      <c r="B2141" s="901" t="n"/>
    </row>
    <row r="2142" ht="15" customHeight="1" s="783">
      <c r="B2142" s="901" t="n"/>
    </row>
    <row r="2143" ht="15" customHeight="1" s="783">
      <c r="B2143" s="901" t="n"/>
    </row>
    <row r="2144" ht="15" customHeight="1" s="783">
      <c r="B2144" s="901" t="n"/>
    </row>
    <row r="2145" ht="15" customHeight="1" s="783">
      <c r="B2145" s="901" t="n"/>
    </row>
    <row r="2146" ht="15" customHeight="1" s="783">
      <c r="B2146" s="901" t="n"/>
    </row>
    <row r="2147" ht="15" customHeight="1" s="783">
      <c r="B2147" s="901" t="n"/>
    </row>
    <row r="2148" ht="15" customHeight="1" s="783">
      <c r="B2148" s="901" t="n"/>
    </row>
    <row r="2149" ht="15" customHeight="1" s="783">
      <c r="B2149" s="901" t="n"/>
    </row>
    <row r="2150" ht="15" customHeight="1" s="783">
      <c r="B2150" s="901" t="n"/>
    </row>
    <row r="2151" ht="15" customHeight="1" s="783">
      <c r="B2151" s="901" t="n"/>
    </row>
    <row r="2152" ht="15" customHeight="1" s="783">
      <c r="B2152" s="901" t="n"/>
    </row>
    <row r="2153" ht="15" customHeight="1" s="783">
      <c r="B2153" s="901" t="n"/>
    </row>
    <row r="2154" ht="15" customHeight="1" s="783">
      <c r="B2154" s="901" t="n"/>
    </row>
    <row r="2155" ht="15" customHeight="1" s="783">
      <c r="B2155" s="901" t="n"/>
    </row>
    <row r="2156" ht="15" customHeight="1" s="783">
      <c r="B2156" s="901" t="n"/>
    </row>
    <row r="2157" ht="15" customHeight="1" s="783">
      <c r="B2157" s="901" t="n"/>
    </row>
    <row r="2158" ht="15" customHeight="1" s="783">
      <c r="B2158" s="901" t="n"/>
    </row>
    <row r="2159" ht="15" customHeight="1" s="783">
      <c r="B2159" s="901" t="n"/>
    </row>
    <row r="2160" ht="15" customHeight="1" s="783">
      <c r="B2160" s="901" t="n"/>
    </row>
    <row r="2161" ht="15" customHeight="1" s="783">
      <c r="B2161" s="901" t="n"/>
    </row>
    <row r="2162" ht="15" customHeight="1" s="783">
      <c r="B2162" s="901" t="n"/>
    </row>
    <row r="2163" ht="15" customHeight="1" s="783">
      <c r="B2163" s="901" t="n"/>
    </row>
    <row r="2164" ht="15" customHeight="1" s="783">
      <c r="B2164" s="901" t="n"/>
    </row>
    <row r="2165" ht="15" customHeight="1" s="783">
      <c r="B2165" s="901" t="n"/>
    </row>
    <row r="2166" ht="15" customHeight="1" s="783">
      <c r="B2166" s="901" t="n"/>
    </row>
    <row r="2167" ht="15" customHeight="1" s="783">
      <c r="B2167" s="901" t="n"/>
    </row>
    <row r="2168" ht="15" customHeight="1" s="783">
      <c r="B2168" s="901" t="n"/>
    </row>
    <row r="2169" ht="15" customHeight="1" s="783">
      <c r="B2169" s="901" t="n"/>
    </row>
    <row r="2170" ht="15" customHeight="1" s="783">
      <c r="B2170" s="901" t="n"/>
    </row>
    <row r="2171" ht="15" customHeight="1" s="783">
      <c r="B2171" s="901" t="n"/>
    </row>
    <row r="2172" ht="15" customHeight="1" s="783">
      <c r="B2172" s="901" t="n"/>
    </row>
    <row r="2173" ht="15" customHeight="1" s="783">
      <c r="B2173" s="901" t="n"/>
    </row>
    <row r="2174" ht="15" customHeight="1" s="783">
      <c r="B2174" s="901" t="n"/>
    </row>
    <row r="2175" ht="15" customHeight="1" s="783">
      <c r="B2175" s="901" t="n"/>
    </row>
    <row r="2176" ht="15" customHeight="1" s="783">
      <c r="B2176" s="901" t="n"/>
    </row>
    <row r="2177" ht="15" customHeight="1" s="783">
      <c r="B2177" s="901" t="n"/>
    </row>
    <row r="2178" ht="15" customHeight="1" s="783">
      <c r="B2178" s="901" t="n"/>
    </row>
    <row r="2179" ht="15" customHeight="1" s="783">
      <c r="B2179" s="901" t="n"/>
    </row>
    <row r="2180" ht="15" customHeight="1" s="783">
      <c r="B2180" s="901" t="n"/>
    </row>
    <row r="2181" ht="15" customHeight="1" s="783">
      <c r="B2181" s="901" t="n"/>
    </row>
    <row r="2182" ht="15" customHeight="1" s="783">
      <c r="B2182" s="901" t="n"/>
    </row>
    <row r="2183" ht="15" customHeight="1" s="783">
      <c r="B2183" s="901" t="n"/>
    </row>
    <row r="2184" ht="15" customHeight="1" s="783">
      <c r="B2184" s="901" t="n"/>
    </row>
    <row r="2185" ht="15" customHeight="1" s="783">
      <c r="B2185" s="901" t="n"/>
    </row>
    <row r="2186" ht="15" customHeight="1" s="783">
      <c r="B2186" s="901" t="n"/>
    </row>
    <row r="2187" ht="15" customHeight="1" s="783">
      <c r="B2187" s="901" t="n"/>
    </row>
    <row r="2188" ht="15" customHeight="1" s="783">
      <c r="B2188" s="901" t="n"/>
    </row>
    <row r="2189" ht="15" customHeight="1" s="783">
      <c r="B2189" s="901" t="n"/>
    </row>
    <row r="2190" ht="15" customHeight="1" s="783">
      <c r="B2190" s="901" t="n"/>
    </row>
    <row r="2191" ht="15" customHeight="1" s="783">
      <c r="B2191" s="901" t="n"/>
    </row>
    <row r="2192" ht="15" customHeight="1" s="783">
      <c r="B2192" s="901" t="n"/>
    </row>
    <row r="2193" ht="15" customHeight="1" s="783">
      <c r="B2193" s="901" t="n"/>
    </row>
    <row r="2194" ht="15" customHeight="1" s="783">
      <c r="B2194" s="901" t="n"/>
    </row>
    <row r="2195" ht="15" customHeight="1" s="783">
      <c r="B2195" s="901" t="n"/>
    </row>
    <row r="2196" ht="15" customHeight="1" s="783">
      <c r="B2196" s="901" t="n"/>
    </row>
    <row r="2197" ht="15" customHeight="1" s="783">
      <c r="B2197" s="901" t="n"/>
    </row>
    <row r="2198" ht="15" customHeight="1" s="783">
      <c r="B2198" s="901" t="n"/>
    </row>
    <row r="2199" ht="15" customHeight="1" s="783">
      <c r="B2199" s="901" t="n"/>
    </row>
    <row r="2200" ht="15" customHeight="1" s="783">
      <c r="B2200" s="901" t="n"/>
    </row>
    <row r="2201" ht="15" customHeight="1" s="783">
      <c r="B2201" s="901" t="n"/>
    </row>
    <row r="2202" ht="15" customHeight="1" s="783">
      <c r="B2202" s="901" t="n"/>
    </row>
    <row r="2203" ht="15" customHeight="1" s="783">
      <c r="B2203" s="901" t="n"/>
    </row>
    <row r="2204" ht="15" customHeight="1" s="783">
      <c r="B2204" s="901" t="n"/>
    </row>
    <row r="2205" ht="15" customHeight="1" s="783">
      <c r="B2205" s="901" t="n"/>
    </row>
    <row r="2206" ht="15" customHeight="1" s="783">
      <c r="B2206" s="901" t="n"/>
    </row>
    <row r="2207" ht="15" customHeight="1" s="783">
      <c r="B2207" s="901" t="n"/>
    </row>
    <row r="2208" ht="15" customHeight="1" s="783">
      <c r="B2208" s="901" t="n"/>
    </row>
    <row r="2209" ht="15" customHeight="1" s="783">
      <c r="B2209" s="901" t="n"/>
    </row>
    <row r="2210" ht="15" customHeight="1" s="783">
      <c r="B2210" s="901" t="n"/>
    </row>
    <row r="2211" ht="15" customHeight="1" s="783">
      <c r="B2211" s="901" t="n"/>
    </row>
    <row r="2212" ht="15" customHeight="1" s="783">
      <c r="B2212" s="901" t="n"/>
    </row>
    <row r="2213" ht="15" customHeight="1" s="783">
      <c r="B2213" s="901" t="n"/>
    </row>
    <row r="2214" ht="15" customHeight="1" s="783">
      <c r="B2214" s="901" t="n"/>
    </row>
    <row r="2215" ht="15" customHeight="1" s="783">
      <c r="B2215" s="901" t="n"/>
    </row>
    <row r="2216" ht="15" customHeight="1" s="783">
      <c r="B2216" s="901" t="n"/>
    </row>
    <row r="2217" ht="15" customHeight="1" s="783">
      <c r="B2217" s="901" t="n"/>
    </row>
    <row r="2218" ht="15" customHeight="1" s="783">
      <c r="B2218" s="901" t="n"/>
    </row>
    <row r="2219" ht="15" customHeight="1" s="783">
      <c r="B2219" s="901" t="n"/>
    </row>
    <row r="2220" ht="15" customHeight="1" s="783">
      <c r="B2220" s="901" t="n"/>
    </row>
    <row r="2221" ht="15" customHeight="1" s="783">
      <c r="B2221" s="901" t="n"/>
    </row>
    <row r="2222" ht="15" customHeight="1" s="783">
      <c r="B2222" s="901" t="n"/>
    </row>
    <row r="2223" ht="15" customHeight="1" s="783">
      <c r="B2223" s="901" t="n"/>
    </row>
    <row r="2224" ht="15" customHeight="1" s="783">
      <c r="B2224" s="901" t="n"/>
    </row>
    <row r="2225" ht="15" customHeight="1" s="783">
      <c r="B2225" s="901" t="n"/>
    </row>
    <row r="2226" ht="15" customHeight="1" s="783">
      <c r="B2226" s="901" t="n"/>
    </row>
    <row r="2227" ht="15" customHeight="1" s="783">
      <c r="B2227" s="901" t="n"/>
    </row>
    <row r="2228" ht="15" customHeight="1" s="783">
      <c r="B2228" s="901" t="n"/>
    </row>
    <row r="2229" ht="15" customHeight="1" s="783">
      <c r="B2229" s="901" t="n"/>
    </row>
    <row r="2230" ht="15" customHeight="1" s="783">
      <c r="B2230" s="901" t="n"/>
    </row>
    <row r="2231" ht="15" customHeight="1" s="783">
      <c r="B2231" s="901" t="n"/>
    </row>
    <row r="2232" ht="15" customHeight="1" s="783">
      <c r="B2232" s="901" t="n"/>
    </row>
    <row r="2233" ht="15" customHeight="1" s="783">
      <c r="B2233" s="901" t="n"/>
    </row>
    <row r="2234" ht="15" customHeight="1" s="783">
      <c r="B2234" s="901" t="n"/>
    </row>
    <row r="2235" ht="15" customHeight="1" s="783">
      <c r="B2235" s="901" t="n"/>
    </row>
    <row r="2236" ht="15" customHeight="1" s="783">
      <c r="B2236" s="901" t="n"/>
    </row>
    <row r="2237" ht="15" customHeight="1" s="783">
      <c r="B2237" s="901" t="n"/>
    </row>
    <row r="2238" ht="15" customHeight="1" s="783">
      <c r="B2238" s="901" t="n"/>
    </row>
    <row r="2239" ht="15" customHeight="1" s="783">
      <c r="B2239" s="901" t="n"/>
    </row>
    <row r="2240" ht="15" customHeight="1" s="783">
      <c r="B2240" s="901" t="n"/>
    </row>
    <row r="2241" ht="15" customHeight="1" s="783">
      <c r="B2241" s="901" t="n"/>
    </row>
    <row r="2242" ht="15" customHeight="1" s="783">
      <c r="B2242" s="901" t="n"/>
    </row>
    <row r="2243" ht="15" customHeight="1" s="783">
      <c r="B2243" s="901" t="n"/>
    </row>
    <row r="2244" ht="15" customHeight="1" s="783">
      <c r="B2244" s="901" t="n"/>
    </row>
    <row r="2245" ht="15" customHeight="1" s="783">
      <c r="B2245" s="901" t="n"/>
    </row>
    <row r="2246" ht="15" customHeight="1" s="783">
      <c r="B2246" s="901" t="n"/>
    </row>
    <row r="2247" ht="15" customHeight="1" s="783">
      <c r="B2247" s="901" t="n"/>
    </row>
    <row r="2248" ht="15" customHeight="1" s="783">
      <c r="B2248" s="901" t="n"/>
    </row>
    <row r="2249" ht="15" customHeight="1" s="783">
      <c r="B2249" s="901" t="n"/>
    </row>
    <row r="2250" ht="15" customHeight="1" s="783">
      <c r="B2250" s="901" t="n"/>
    </row>
    <row r="2251" ht="15" customHeight="1" s="783">
      <c r="B2251" s="901" t="n"/>
    </row>
    <row r="2252" ht="15" customHeight="1" s="783">
      <c r="B2252" s="901" t="n"/>
    </row>
    <row r="2253" ht="15" customHeight="1" s="783">
      <c r="B2253" s="901" t="n"/>
    </row>
    <row r="2254" ht="15" customHeight="1" s="783">
      <c r="B2254" s="901" t="n"/>
    </row>
    <row r="2255" ht="15" customHeight="1" s="783">
      <c r="B2255" s="901" t="n"/>
    </row>
    <row r="2256" ht="15" customHeight="1" s="783">
      <c r="B2256" s="901" t="n"/>
    </row>
    <row r="2257" ht="15" customHeight="1" s="783">
      <c r="B2257" s="901" t="n"/>
    </row>
    <row r="2258" ht="15" customHeight="1" s="783">
      <c r="B2258" s="901" t="n"/>
    </row>
    <row r="2259" ht="15" customHeight="1" s="783">
      <c r="B2259" s="901" t="n"/>
    </row>
    <row r="2260" ht="15" customHeight="1" s="783">
      <c r="B2260" s="901" t="n"/>
    </row>
    <row r="2261" ht="15" customHeight="1" s="783">
      <c r="B2261" s="901" t="n"/>
    </row>
    <row r="2262" ht="15" customHeight="1" s="783">
      <c r="B2262" s="901" t="n"/>
    </row>
    <row r="2263" ht="15" customHeight="1" s="783">
      <c r="B2263" s="901" t="n"/>
    </row>
    <row r="2264" ht="15" customHeight="1" s="783">
      <c r="B2264" s="901" t="n"/>
    </row>
    <row r="2265" ht="15" customHeight="1" s="783">
      <c r="B2265" s="901" t="n"/>
    </row>
    <row r="2266" ht="15" customHeight="1" s="783">
      <c r="B2266" s="901" t="n"/>
    </row>
    <row r="2267" ht="15" customHeight="1" s="783">
      <c r="B2267" s="901" t="n"/>
    </row>
    <row r="2268" ht="15" customHeight="1" s="783">
      <c r="B2268" s="901" t="n"/>
    </row>
    <row r="2269" ht="15" customHeight="1" s="783">
      <c r="B2269" s="901" t="n"/>
    </row>
    <row r="2270" ht="15" customHeight="1" s="783">
      <c r="B2270" s="901" t="n"/>
    </row>
    <row r="2271" ht="15" customHeight="1" s="783">
      <c r="B2271" s="901" t="n"/>
    </row>
    <row r="2272" ht="15" customHeight="1" s="783">
      <c r="B2272" s="901" t="n"/>
    </row>
    <row r="2273" ht="15" customHeight="1" s="783">
      <c r="B2273" s="901" t="n"/>
    </row>
    <row r="2274" ht="15" customHeight="1" s="783">
      <c r="B2274" s="901" t="n"/>
    </row>
    <row r="2275" ht="15" customHeight="1" s="783">
      <c r="B2275" s="901" t="n"/>
    </row>
    <row r="2276" ht="15" customHeight="1" s="783">
      <c r="B2276" s="901" t="n"/>
    </row>
    <row r="2277" ht="15" customHeight="1" s="783">
      <c r="B2277" s="901" t="n"/>
    </row>
    <row r="2278" ht="15" customHeight="1" s="783">
      <c r="B2278" s="901" t="n"/>
    </row>
    <row r="2279" ht="15" customHeight="1" s="783">
      <c r="B2279" s="901" t="n"/>
    </row>
    <row r="2280" ht="15" customHeight="1" s="783">
      <c r="B2280" s="901" t="n"/>
    </row>
    <row r="2281" ht="15" customHeight="1" s="783">
      <c r="B2281" s="901" t="n"/>
    </row>
    <row r="2282" ht="15" customHeight="1" s="783">
      <c r="B2282" s="901" t="n"/>
    </row>
    <row r="2283" ht="15" customHeight="1" s="783">
      <c r="B2283" s="901" t="n"/>
    </row>
    <row r="2284" ht="15" customHeight="1" s="783">
      <c r="B2284" s="901" t="n"/>
    </row>
    <row r="2285" ht="15" customHeight="1" s="783">
      <c r="B2285" s="901" t="n"/>
    </row>
    <row r="2286" ht="15" customHeight="1" s="783">
      <c r="B2286" s="901" t="n"/>
    </row>
    <row r="2287" ht="15" customHeight="1" s="783">
      <c r="B2287" s="901" t="n"/>
    </row>
    <row r="2288" ht="15" customHeight="1" s="783">
      <c r="B2288" s="901" t="n"/>
    </row>
    <row r="2289" ht="15" customHeight="1" s="783">
      <c r="B2289" s="901" t="n"/>
    </row>
    <row r="2290" ht="15" customHeight="1" s="783">
      <c r="B2290" s="901" t="n"/>
    </row>
    <row r="2291" ht="15" customHeight="1" s="783">
      <c r="B2291" s="901" t="n"/>
    </row>
    <row r="2292" ht="15" customHeight="1" s="783">
      <c r="B2292" s="901" t="n"/>
    </row>
    <row r="2293" ht="15" customHeight="1" s="783">
      <c r="B2293" s="901" t="n"/>
    </row>
    <row r="2294" ht="15" customHeight="1" s="783">
      <c r="B2294" s="901" t="n"/>
    </row>
    <row r="2295" ht="15" customHeight="1" s="783">
      <c r="B2295" s="901" t="n"/>
    </row>
    <row r="2296" ht="15" customHeight="1" s="783">
      <c r="B2296" s="901" t="n"/>
    </row>
    <row r="2297" ht="15" customHeight="1" s="783">
      <c r="B2297" s="901" t="n"/>
    </row>
    <row r="2298" ht="15" customHeight="1" s="783">
      <c r="B2298" s="901" t="n"/>
    </row>
    <row r="2299" ht="15" customHeight="1" s="783">
      <c r="B2299" s="901" t="n"/>
    </row>
    <row r="2300" ht="15" customHeight="1" s="783">
      <c r="B2300" s="901" t="n"/>
    </row>
    <row r="2301" ht="15" customHeight="1" s="783">
      <c r="B2301" s="901" t="n"/>
    </row>
    <row r="2302" ht="15" customHeight="1" s="783">
      <c r="B2302" s="901" t="n"/>
    </row>
    <row r="2303" ht="15" customHeight="1" s="783">
      <c r="B2303" s="901" t="n"/>
    </row>
    <row r="2304" ht="15" customHeight="1" s="783">
      <c r="B2304" s="901" t="n"/>
    </row>
    <row r="2305" ht="15" customHeight="1" s="783">
      <c r="B2305" s="901" t="n"/>
    </row>
    <row r="2306" ht="15" customHeight="1" s="783">
      <c r="B2306" s="901" t="n"/>
    </row>
    <row r="2307" ht="15" customHeight="1" s="783">
      <c r="B2307" s="901" t="n"/>
    </row>
    <row r="2308" ht="15" customHeight="1" s="783">
      <c r="B2308" s="901" t="n"/>
    </row>
    <row r="2309" ht="15" customHeight="1" s="783">
      <c r="B2309" s="901" t="n"/>
    </row>
    <row r="2310" ht="15" customHeight="1" s="783">
      <c r="B2310" s="901" t="n"/>
    </row>
    <row r="2311" ht="15" customHeight="1" s="783">
      <c r="B2311" s="901" t="n"/>
    </row>
    <row r="2312" ht="15" customHeight="1" s="783">
      <c r="B2312" s="901" t="n"/>
    </row>
    <row r="2313" ht="15" customHeight="1" s="783">
      <c r="B2313" s="901" t="n"/>
    </row>
    <row r="2314" ht="15" customHeight="1" s="783">
      <c r="B2314" s="901" t="n"/>
    </row>
    <row r="2315" ht="15" customHeight="1" s="783">
      <c r="B2315" s="901" t="n"/>
    </row>
    <row r="2316" ht="15" customHeight="1" s="783">
      <c r="B2316" s="901" t="n"/>
    </row>
    <row r="2317" ht="15" customHeight="1" s="783">
      <c r="B2317" s="901" t="n"/>
    </row>
    <row r="2318" ht="15" customHeight="1" s="783">
      <c r="B2318" s="901" t="n"/>
    </row>
    <row r="2319" ht="15" customHeight="1" s="783">
      <c r="B2319" s="901" t="n"/>
    </row>
    <row r="2320" ht="15" customHeight="1" s="783">
      <c r="B2320" s="901" t="n"/>
    </row>
    <row r="2321" ht="15" customHeight="1" s="783">
      <c r="B2321" s="901" t="n"/>
    </row>
    <row r="2322" ht="15" customHeight="1" s="783">
      <c r="B2322" s="901" t="n"/>
    </row>
    <row r="2323" ht="15" customHeight="1" s="783">
      <c r="B2323" s="901" t="n"/>
    </row>
    <row r="2324" ht="15" customHeight="1" s="783">
      <c r="B2324" s="901" t="n"/>
    </row>
    <row r="2325" ht="15" customHeight="1" s="783">
      <c r="B2325" s="901" t="n"/>
    </row>
    <row r="2326" ht="15" customHeight="1" s="783">
      <c r="B2326" s="901" t="n"/>
    </row>
    <row r="2327" ht="15" customHeight="1" s="783">
      <c r="B2327" s="901" t="n"/>
    </row>
    <row r="2328" ht="15" customHeight="1" s="783">
      <c r="B2328" s="901" t="n"/>
    </row>
    <row r="2329" ht="15" customHeight="1" s="783">
      <c r="B2329" s="901" t="n"/>
    </row>
    <row r="2330" ht="15" customHeight="1" s="783">
      <c r="B2330" s="901" t="n"/>
    </row>
    <row r="2331" ht="15" customHeight="1" s="783">
      <c r="B2331" s="901" t="n"/>
    </row>
    <row r="2332" ht="15" customHeight="1" s="783">
      <c r="B2332" s="901" t="n"/>
    </row>
    <row r="2333" ht="15" customHeight="1" s="783">
      <c r="B2333" s="901" t="n"/>
    </row>
    <row r="2334" ht="15" customHeight="1" s="783">
      <c r="B2334" s="901" t="n"/>
    </row>
    <row r="2335" ht="15" customHeight="1" s="783">
      <c r="B2335" s="901" t="n"/>
    </row>
    <row r="2336" ht="15" customHeight="1" s="783">
      <c r="B2336" s="901" t="n"/>
    </row>
    <row r="2337" ht="15" customHeight="1" s="783">
      <c r="B2337" s="901" t="n"/>
    </row>
    <row r="2338" ht="15" customHeight="1" s="783">
      <c r="B2338" s="901" t="n"/>
    </row>
    <row r="2339" ht="15" customHeight="1" s="783">
      <c r="B2339" s="901" t="n"/>
    </row>
    <row r="2340" ht="15" customHeight="1" s="783">
      <c r="B2340" s="901" t="n"/>
    </row>
    <row r="2341" ht="15" customHeight="1" s="783">
      <c r="B2341" s="901" t="n"/>
    </row>
    <row r="2342" ht="15" customHeight="1" s="783">
      <c r="B2342" s="901" t="n"/>
    </row>
    <row r="2343" ht="15" customHeight="1" s="783">
      <c r="B2343" s="901" t="n"/>
    </row>
    <row r="2344" ht="15" customHeight="1" s="783">
      <c r="B2344" s="901" t="n"/>
    </row>
    <row r="2345" ht="15" customHeight="1" s="783">
      <c r="B2345" s="901" t="n"/>
    </row>
    <row r="2346" ht="15" customHeight="1" s="783">
      <c r="B2346" s="901" t="n"/>
    </row>
    <row r="2347" ht="15" customHeight="1" s="783">
      <c r="B2347" s="901" t="n"/>
    </row>
    <row r="2348" ht="15" customHeight="1" s="783">
      <c r="B2348" s="901" t="n"/>
    </row>
    <row r="2349" ht="15" customHeight="1" s="783">
      <c r="B2349" s="901" t="n"/>
    </row>
    <row r="2350" ht="15" customHeight="1" s="783">
      <c r="B2350" s="901" t="n"/>
    </row>
    <row r="2351" ht="15" customHeight="1" s="783">
      <c r="B2351" s="901" t="n"/>
    </row>
    <row r="2352" ht="15" customHeight="1" s="783">
      <c r="B2352" s="901" t="n"/>
    </row>
    <row r="2353" ht="15" customHeight="1" s="783">
      <c r="B2353" s="901" t="n"/>
    </row>
    <row r="2354" ht="15" customHeight="1" s="783">
      <c r="B2354" s="901" t="n"/>
    </row>
    <row r="2355" ht="15" customHeight="1" s="783">
      <c r="B2355" s="901" t="n"/>
    </row>
    <row r="2356" ht="15" customHeight="1" s="783">
      <c r="B2356" s="901" t="n"/>
    </row>
    <row r="2357" ht="15" customHeight="1" s="783">
      <c r="B2357" s="901" t="n"/>
    </row>
    <row r="2358" ht="15" customHeight="1" s="783">
      <c r="B2358" s="901" t="n"/>
    </row>
    <row r="2359" ht="15" customHeight="1" s="783">
      <c r="B2359" s="901" t="n"/>
    </row>
    <row r="2360" ht="15" customHeight="1" s="783">
      <c r="B2360" s="901" t="n"/>
    </row>
    <row r="2361" ht="15" customHeight="1" s="783">
      <c r="B2361" s="901" t="n"/>
    </row>
    <row r="2362" ht="15" customHeight="1" s="783">
      <c r="B2362" s="901" t="n"/>
    </row>
    <row r="2363" ht="15" customHeight="1" s="783">
      <c r="B2363" s="901" t="n"/>
    </row>
    <row r="2364" ht="15" customHeight="1" s="783">
      <c r="B2364" s="901" t="n"/>
    </row>
    <row r="2365" ht="15" customHeight="1" s="783">
      <c r="B2365" s="901" t="n"/>
    </row>
    <row r="2366" ht="15" customHeight="1" s="783">
      <c r="B2366" s="901" t="n"/>
    </row>
    <row r="2367" ht="15" customHeight="1" s="783">
      <c r="B2367" s="901" t="n"/>
    </row>
    <row r="2368" ht="15" customHeight="1" s="783">
      <c r="B2368" s="901" t="n"/>
    </row>
    <row r="2369" ht="15" customHeight="1" s="783">
      <c r="B2369" s="901" t="n"/>
    </row>
    <row r="2370" ht="15" customHeight="1" s="783">
      <c r="B2370" s="901" t="n"/>
    </row>
    <row r="2371" ht="15" customHeight="1" s="783">
      <c r="B2371" s="901" t="n"/>
    </row>
    <row r="2372" ht="15" customHeight="1" s="783">
      <c r="B2372" s="901" t="n"/>
    </row>
    <row r="2373" ht="15" customHeight="1" s="783">
      <c r="B2373" s="901" t="n"/>
    </row>
    <row r="2374" ht="15" customHeight="1" s="783">
      <c r="B2374" s="901" t="n"/>
    </row>
    <row r="2375" ht="15" customHeight="1" s="783">
      <c r="B2375" s="901" t="n"/>
    </row>
    <row r="2376" ht="15" customHeight="1" s="783">
      <c r="B2376" s="901" t="n"/>
    </row>
    <row r="2377" ht="15" customHeight="1" s="783">
      <c r="B2377" s="901" t="n"/>
    </row>
    <row r="2378" ht="15" customHeight="1" s="783">
      <c r="B2378" s="901" t="n"/>
    </row>
    <row r="2379" ht="15" customHeight="1" s="783">
      <c r="B2379" s="901" t="n"/>
    </row>
    <row r="2380" ht="15" customHeight="1" s="783">
      <c r="B2380" s="901" t="n"/>
    </row>
    <row r="2381" ht="15" customHeight="1" s="783">
      <c r="B2381" s="901" t="n"/>
    </row>
    <row r="2382" ht="15" customHeight="1" s="783">
      <c r="B2382" s="901" t="n"/>
    </row>
    <row r="2383" ht="15" customHeight="1" s="783">
      <c r="B2383" s="901" t="n"/>
    </row>
    <row r="2384" ht="15" customHeight="1" s="783">
      <c r="B2384" s="901" t="n"/>
    </row>
    <row r="2385" ht="15" customHeight="1" s="783">
      <c r="B2385" s="901" t="n"/>
    </row>
    <row r="2386" ht="15" customHeight="1" s="783">
      <c r="B2386" s="901" t="n"/>
    </row>
    <row r="2387" ht="15" customHeight="1" s="783">
      <c r="B2387" s="901" t="n"/>
    </row>
    <row r="2388" ht="15" customHeight="1" s="783">
      <c r="B2388" s="901" t="n"/>
    </row>
    <row r="2389" ht="15" customHeight="1" s="783">
      <c r="B2389" s="901" t="n"/>
    </row>
    <row r="2390" ht="15" customHeight="1" s="783">
      <c r="B2390" s="901" t="n"/>
    </row>
    <row r="2391" ht="15" customHeight="1" s="783">
      <c r="B2391" s="901" t="n"/>
    </row>
    <row r="2392" ht="15" customHeight="1" s="783">
      <c r="B2392" s="901" t="n"/>
    </row>
    <row r="2393" ht="15" customHeight="1" s="783">
      <c r="B2393" s="901" t="n"/>
    </row>
    <row r="2394" ht="15" customHeight="1" s="783">
      <c r="B2394" s="901" t="n"/>
    </row>
    <row r="2395" ht="15" customHeight="1" s="783">
      <c r="B2395" s="901" t="n"/>
    </row>
    <row r="2396" ht="15" customHeight="1" s="783">
      <c r="B2396" s="901" t="n"/>
    </row>
    <row r="2397" ht="15" customHeight="1" s="783">
      <c r="B2397" s="901" t="n"/>
    </row>
    <row r="2398" ht="15" customHeight="1" s="783">
      <c r="B2398" s="901" t="n"/>
    </row>
    <row r="2399" ht="15" customHeight="1" s="783">
      <c r="B2399" s="901" t="n"/>
    </row>
    <row r="2400" ht="15" customHeight="1" s="783">
      <c r="B2400" s="901" t="n"/>
    </row>
    <row r="2401" ht="15" customHeight="1" s="783">
      <c r="B2401" s="901" t="n"/>
    </row>
    <row r="2402" ht="15" customHeight="1" s="783">
      <c r="B2402" s="901" t="n"/>
    </row>
    <row r="2403" ht="15" customHeight="1" s="783">
      <c r="B2403" s="901" t="n"/>
    </row>
    <row r="2404" ht="15" customHeight="1" s="783">
      <c r="B2404" s="901" t="n"/>
    </row>
    <row r="2405" ht="15" customHeight="1" s="783">
      <c r="B2405" s="901" t="n"/>
    </row>
    <row r="2406" ht="15" customHeight="1" s="783">
      <c r="B2406" s="901" t="n"/>
    </row>
    <row r="2407" ht="15" customHeight="1" s="783">
      <c r="B2407" s="901" t="n"/>
    </row>
    <row r="2408" ht="15" customHeight="1" s="783">
      <c r="B2408" s="901" t="n"/>
    </row>
    <row r="2409" ht="15" customHeight="1" s="783">
      <c r="B2409" s="901" t="n"/>
    </row>
    <row r="2410" ht="15" customHeight="1" s="783">
      <c r="B2410" s="901" t="n"/>
    </row>
    <row r="2411" ht="15" customHeight="1" s="783">
      <c r="B2411" s="901" t="n"/>
    </row>
    <row r="2412" ht="15" customHeight="1" s="783">
      <c r="B2412" s="901" t="n"/>
    </row>
    <row r="2413" ht="15" customHeight="1" s="783">
      <c r="B2413" s="901" t="n"/>
    </row>
    <row r="2414" ht="15" customHeight="1" s="783">
      <c r="B2414" s="901" t="n"/>
    </row>
    <row r="2415" ht="15" customHeight="1" s="783">
      <c r="B2415" s="901" t="n"/>
    </row>
    <row r="2416" ht="15" customHeight="1" s="783">
      <c r="B2416" s="901" t="n"/>
    </row>
    <row r="2417" ht="15" customHeight="1" s="783">
      <c r="B2417" s="901" t="n"/>
    </row>
    <row r="2418" ht="15" customHeight="1" s="783">
      <c r="B2418" s="901" t="n"/>
    </row>
    <row r="2419" ht="15" customHeight="1" s="783">
      <c r="B2419" s="901" t="n"/>
    </row>
    <row r="2420" ht="15" customHeight="1" s="783">
      <c r="B2420" s="901" t="n"/>
    </row>
    <row r="2421" ht="15" customHeight="1" s="783">
      <c r="B2421" s="901" t="n"/>
    </row>
    <row r="2422" ht="15" customHeight="1" s="783">
      <c r="B2422" s="901" t="n"/>
    </row>
    <row r="2423" ht="15" customHeight="1" s="783">
      <c r="B2423" s="901" t="n"/>
    </row>
    <row r="2424" ht="15" customHeight="1" s="783">
      <c r="B2424" s="901" t="n"/>
    </row>
    <row r="2425" ht="15" customHeight="1" s="783">
      <c r="B2425" s="901" t="n"/>
    </row>
    <row r="2426" ht="15" customHeight="1" s="783">
      <c r="B2426" s="901" t="n"/>
    </row>
    <row r="2427" ht="15" customHeight="1" s="783">
      <c r="B2427" s="901" t="n"/>
    </row>
    <row r="2428" ht="15" customHeight="1" s="783">
      <c r="B2428" s="901" t="n"/>
    </row>
    <row r="2429" ht="15" customHeight="1" s="783">
      <c r="B2429" s="901" t="n"/>
    </row>
    <row r="2430" ht="15" customHeight="1" s="783">
      <c r="B2430" s="901" t="n"/>
    </row>
    <row r="2431" ht="15" customHeight="1" s="783">
      <c r="B2431" s="901" t="n"/>
    </row>
    <row r="2432" ht="15" customHeight="1" s="783">
      <c r="B2432" s="901" t="n"/>
    </row>
    <row r="2433" ht="15" customHeight="1" s="783">
      <c r="B2433" s="901" t="n"/>
    </row>
    <row r="2434" ht="15" customHeight="1" s="783">
      <c r="B2434" s="901" t="n"/>
    </row>
    <row r="2435" ht="15" customHeight="1" s="783">
      <c r="B2435" s="901" t="n"/>
    </row>
    <row r="2436" ht="15" customHeight="1" s="783">
      <c r="B2436" s="901" t="n"/>
    </row>
    <row r="2437" ht="15" customHeight="1" s="783">
      <c r="B2437" s="901" t="n"/>
    </row>
    <row r="2438" ht="15" customHeight="1" s="783">
      <c r="B2438" s="901" t="n"/>
    </row>
    <row r="2439" ht="15" customHeight="1" s="783">
      <c r="B2439" s="901" t="n"/>
    </row>
    <row r="2440" ht="15" customHeight="1" s="783">
      <c r="B2440" s="901" t="n"/>
    </row>
    <row r="2441" ht="15" customHeight="1" s="783">
      <c r="B2441" s="901" t="n"/>
    </row>
    <row r="2442" ht="15" customHeight="1" s="783">
      <c r="B2442" s="901" t="n"/>
    </row>
    <row r="2443" ht="15" customHeight="1" s="783">
      <c r="B2443" s="901" t="n"/>
    </row>
    <row r="2444" ht="15" customHeight="1" s="783">
      <c r="B2444" s="901" t="n"/>
    </row>
    <row r="2445" ht="15" customHeight="1" s="783">
      <c r="B2445" s="901" t="n"/>
    </row>
    <row r="2446" ht="15" customHeight="1" s="783">
      <c r="B2446" s="901" t="n"/>
    </row>
    <row r="2447" ht="15" customHeight="1" s="783">
      <c r="B2447" s="901" t="n"/>
    </row>
    <row r="2448" ht="15" customHeight="1" s="783">
      <c r="B2448" s="901" t="n"/>
    </row>
    <row r="2449" ht="15" customHeight="1" s="783">
      <c r="B2449" s="901" t="n"/>
    </row>
    <row r="2450" ht="15" customHeight="1" s="783">
      <c r="B2450" s="901" t="n"/>
    </row>
    <row r="2451" ht="15" customHeight="1" s="783">
      <c r="B2451" s="901" t="n"/>
    </row>
    <row r="2452" ht="15" customHeight="1" s="783">
      <c r="B2452" s="901" t="n"/>
    </row>
    <row r="2453" ht="15" customHeight="1" s="783">
      <c r="B2453" s="901" t="n"/>
    </row>
    <row r="2454" ht="15" customHeight="1" s="783">
      <c r="B2454" s="901" t="n"/>
    </row>
    <row r="2455" ht="15" customHeight="1" s="783">
      <c r="B2455" s="901" t="n"/>
    </row>
    <row r="2456" ht="15" customHeight="1" s="783">
      <c r="B2456" s="901" t="n"/>
    </row>
    <row r="2457" ht="15" customHeight="1" s="783">
      <c r="B2457" s="901" t="n"/>
    </row>
    <row r="2458" ht="15" customHeight="1" s="783">
      <c r="B2458" s="901" t="n"/>
    </row>
    <row r="2459" ht="15" customHeight="1" s="783">
      <c r="B2459" s="901" t="n"/>
    </row>
    <row r="2460" ht="15" customHeight="1" s="783">
      <c r="B2460" s="901" t="n"/>
    </row>
    <row r="2461" ht="15" customHeight="1" s="783">
      <c r="B2461" s="901" t="n"/>
    </row>
    <row r="2462" ht="15" customHeight="1" s="783">
      <c r="B2462" s="901" t="n"/>
    </row>
    <row r="2463" ht="15" customHeight="1" s="783">
      <c r="B2463" s="901" t="n"/>
    </row>
    <row r="2464" ht="15" customHeight="1" s="783">
      <c r="B2464" s="901" t="n"/>
    </row>
    <row r="2465" ht="15" customHeight="1" s="783">
      <c r="B2465" s="901" t="n"/>
    </row>
    <row r="2466" ht="15" customHeight="1" s="783">
      <c r="B2466" s="901" t="n"/>
    </row>
    <row r="2467" ht="15" customHeight="1" s="783">
      <c r="B2467" s="901" t="n"/>
    </row>
    <row r="2468" ht="15" customHeight="1" s="783">
      <c r="B2468" s="901" t="n"/>
    </row>
    <row r="2469" ht="15" customHeight="1" s="783">
      <c r="B2469" s="901" t="n"/>
    </row>
    <row r="2470" ht="15" customHeight="1" s="783">
      <c r="B2470" s="901" t="n"/>
    </row>
    <row r="2471" ht="15" customHeight="1" s="783">
      <c r="B2471" s="901" t="n"/>
    </row>
    <row r="2472" ht="15" customHeight="1" s="783">
      <c r="B2472" s="901" t="n"/>
    </row>
    <row r="2473" ht="15" customHeight="1" s="783">
      <c r="B2473" s="901" t="n"/>
    </row>
    <row r="2474" ht="15" customHeight="1" s="783">
      <c r="B2474" s="901" t="n"/>
    </row>
    <row r="2475" ht="15" customHeight="1" s="783">
      <c r="B2475" s="901" t="n"/>
    </row>
    <row r="2476" ht="15" customHeight="1" s="783">
      <c r="B2476" s="901" t="n"/>
    </row>
    <row r="2477" ht="15" customHeight="1" s="783">
      <c r="B2477" s="901" t="n"/>
    </row>
    <row r="2478" ht="15" customHeight="1" s="783">
      <c r="B2478" s="901" t="n"/>
    </row>
    <row r="2479" ht="15" customHeight="1" s="783">
      <c r="B2479" s="901" t="n"/>
    </row>
    <row r="2480" ht="15" customHeight="1" s="783">
      <c r="B2480" s="901" t="n"/>
    </row>
    <row r="2481" ht="15" customHeight="1" s="783">
      <c r="B2481" s="901" t="n"/>
    </row>
    <row r="2482" ht="15" customHeight="1" s="783">
      <c r="B2482" s="901" t="n"/>
    </row>
    <row r="2483" ht="15" customHeight="1" s="783">
      <c r="B2483" s="901" t="n"/>
    </row>
    <row r="2484" ht="15" customHeight="1" s="783">
      <c r="B2484" s="901" t="n"/>
    </row>
    <row r="2485" ht="15" customHeight="1" s="783">
      <c r="B2485" s="901" t="n"/>
    </row>
    <row r="2486" ht="15" customHeight="1" s="783">
      <c r="B2486" s="901" t="n"/>
    </row>
    <row r="2487" ht="15" customHeight="1" s="783">
      <c r="B2487" s="901" t="n"/>
    </row>
    <row r="2488" ht="15" customHeight="1" s="783">
      <c r="B2488" s="901" t="n"/>
    </row>
    <row r="2489" ht="15" customHeight="1" s="783">
      <c r="B2489" s="901" t="n"/>
    </row>
    <row r="2490" ht="15" customHeight="1" s="783">
      <c r="B2490" s="901" t="n"/>
    </row>
    <row r="2491" ht="15" customHeight="1" s="783">
      <c r="B2491" s="901" t="n"/>
    </row>
    <row r="2492" ht="15" customHeight="1" s="783">
      <c r="B2492" s="901" t="n"/>
    </row>
    <row r="2493" ht="15" customHeight="1" s="783">
      <c r="B2493" s="901" t="n"/>
    </row>
    <row r="2494" ht="15" customHeight="1" s="783">
      <c r="B2494" s="901" t="n"/>
    </row>
    <row r="2495" ht="15" customHeight="1" s="783">
      <c r="B2495" s="901" t="n"/>
    </row>
    <row r="2496" ht="15" customHeight="1" s="783">
      <c r="B2496" s="901" t="n"/>
    </row>
    <row r="2497" ht="15" customHeight="1" s="783">
      <c r="B2497" s="901" t="n"/>
    </row>
    <row r="2498" ht="15" customHeight="1" s="783">
      <c r="B2498" s="901" t="n"/>
    </row>
    <row r="2499" ht="15" customHeight="1" s="783">
      <c r="B2499" s="901" t="n"/>
    </row>
    <row r="2500" ht="15" customHeight="1" s="783">
      <c r="B2500" s="901" t="n"/>
    </row>
    <row r="2501" ht="15" customHeight="1" s="783">
      <c r="B2501" s="901" t="n"/>
    </row>
    <row r="2502" ht="15" customHeight="1" s="783">
      <c r="B2502" s="901" t="n"/>
    </row>
    <row r="2503" ht="15" customHeight="1" s="783">
      <c r="B2503" s="901" t="n"/>
    </row>
    <row r="2504" ht="15" customHeight="1" s="783">
      <c r="B2504" s="901" t="n"/>
    </row>
    <row r="2505" ht="15" customHeight="1" s="783">
      <c r="B2505" s="901" t="n"/>
    </row>
    <row r="2506" ht="15" customHeight="1" s="783">
      <c r="B2506" s="901" t="n"/>
    </row>
    <row r="2507" ht="15" customHeight="1" s="783">
      <c r="B2507" s="901" t="n"/>
    </row>
    <row r="2508" ht="15" customHeight="1" s="783">
      <c r="B2508" s="901" t="n"/>
    </row>
    <row r="2509" ht="15" customHeight="1" s="783">
      <c r="B2509" s="901" t="n"/>
    </row>
    <row r="2510" ht="15" customHeight="1" s="783">
      <c r="B2510" s="901" t="n"/>
    </row>
    <row r="2511" ht="15" customHeight="1" s="783">
      <c r="B2511" s="901" t="n"/>
    </row>
    <row r="2512" ht="15" customHeight="1" s="783">
      <c r="B2512" s="901" t="n"/>
    </row>
    <row r="2513" ht="15" customHeight="1" s="783">
      <c r="B2513" s="901" t="n"/>
    </row>
    <row r="2514" ht="15" customHeight="1" s="783">
      <c r="B2514" s="901" t="n"/>
    </row>
    <row r="2515" ht="15" customHeight="1" s="783">
      <c r="B2515" s="901" t="n"/>
    </row>
    <row r="2516" ht="15" customHeight="1" s="783">
      <c r="B2516" s="901" t="n"/>
    </row>
    <row r="2517" ht="15" customHeight="1" s="783">
      <c r="B2517" s="901" t="n"/>
    </row>
    <row r="2518" ht="15" customHeight="1" s="783">
      <c r="B2518" s="901" t="n"/>
    </row>
    <row r="2519" ht="15" customHeight="1" s="783">
      <c r="B2519" s="901" t="n"/>
    </row>
    <row r="2520" ht="15" customHeight="1" s="783">
      <c r="B2520" s="901" t="n"/>
    </row>
    <row r="2521" ht="15" customHeight="1" s="783">
      <c r="B2521" s="901" t="n"/>
    </row>
    <row r="2522" ht="15" customHeight="1" s="783">
      <c r="B2522" s="901" t="n"/>
    </row>
    <row r="2523" ht="15" customHeight="1" s="783">
      <c r="B2523" s="901" t="n"/>
    </row>
    <row r="2524" ht="15" customHeight="1" s="783">
      <c r="B2524" s="901" t="n"/>
    </row>
    <row r="2525" ht="15" customHeight="1" s="783">
      <c r="B2525" s="901" t="n"/>
    </row>
    <row r="2526" ht="15" customHeight="1" s="783">
      <c r="B2526" s="901" t="n"/>
    </row>
    <row r="2527" ht="15" customHeight="1" s="783">
      <c r="B2527" s="901" t="n"/>
    </row>
    <row r="2528" ht="15" customHeight="1" s="783">
      <c r="B2528" s="901" t="n"/>
    </row>
    <row r="2529" ht="15" customHeight="1" s="783">
      <c r="B2529" s="901" t="n"/>
    </row>
    <row r="2530" ht="15" customHeight="1" s="783">
      <c r="B2530" s="901" t="n"/>
    </row>
    <row r="2531" ht="15" customHeight="1" s="783">
      <c r="B2531" s="901" t="n"/>
    </row>
    <row r="2532" ht="15" customHeight="1" s="783">
      <c r="B2532" s="901" t="n"/>
    </row>
    <row r="2533" ht="15" customHeight="1" s="783">
      <c r="B2533" s="901" t="n"/>
    </row>
    <row r="2534" ht="15" customHeight="1" s="783">
      <c r="B2534" s="901" t="n"/>
    </row>
    <row r="2535" ht="15" customHeight="1" s="783">
      <c r="B2535" s="901" t="n"/>
    </row>
    <row r="2536" ht="15" customHeight="1" s="783">
      <c r="B2536" s="901" t="n"/>
    </row>
    <row r="2537" ht="15" customHeight="1" s="783">
      <c r="B2537" s="901" t="n"/>
    </row>
    <row r="2538" ht="15" customHeight="1" s="783">
      <c r="B2538" s="901" t="n"/>
    </row>
    <row r="2539" ht="15" customHeight="1" s="783">
      <c r="B2539" s="901" t="n"/>
    </row>
    <row r="2540" ht="15" customHeight="1" s="783">
      <c r="B2540" s="901" t="n"/>
    </row>
    <row r="2541" ht="15" customHeight="1" s="783">
      <c r="B2541" s="901" t="n"/>
    </row>
    <row r="2542" ht="15" customHeight="1" s="783">
      <c r="B2542" s="901" t="n"/>
    </row>
    <row r="2543" ht="15" customHeight="1" s="783">
      <c r="B2543" s="901" t="n"/>
    </row>
    <row r="2544" ht="15" customHeight="1" s="783">
      <c r="B2544" s="901" t="n"/>
    </row>
    <row r="2545" ht="15" customHeight="1" s="783">
      <c r="B2545" s="901" t="n"/>
    </row>
    <row r="2546" ht="15" customHeight="1" s="783">
      <c r="B2546" s="901" t="n"/>
    </row>
    <row r="2547" ht="15" customHeight="1" s="783">
      <c r="B2547" s="901" t="n"/>
    </row>
    <row r="2548" ht="15" customHeight="1" s="783">
      <c r="B2548" s="901" t="n"/>
    </row>
    <row r="2549" ht="15" customHeight="1" s="783">
      <c r="B2549" s="901" t="n"/>
    </row>
    <row r="2550" ht="15" customHeight="1" s="783">
      <c r="B2550" s="901" t="n"/>
    </row>
    <row r="2551" ht="15" customHeight="1" s="783">
      <c r="B2551" s="901" t="n"/>
    </row>
    <row r="2552" ht="15" customHeight="1" s="783">
      <c r="B2552" s="901" t="n"/>
    </row>
    <row r="2553" ht="15" customHeight="1" s="783">
      <c r="B2553" s="901" t="n"/>
    </row>
    <row r="2554" ht="15" customHeight="1" s="783">
      <c r="B2554" s="901" t="n"/>
    </row>
    <row r="2555" ht="15" customHeight="1" s="783">
      <c r="B2555" s="901" t="n"/>
    </row>
    <row r="2556" ht="15" customHeight="1" s="783">
      <c r="B2556" s="901" t="n"/>
    </row>
    <row r="2557" ht="15" customHeight="1" s="783">
      <c r="B2557" s="901" t="n"/>
    </row>
    <row r="2558" ht="15" customHeight="1" s="783">
      <c r="B2558" s="901" t="n"/>
    </row>
    <row r="2559" ht="15" customHeight="1" s="783">
      <c r="B2559" s="901" t="n"/>
    </row>
    <row r="2560" ht="15" customHeight="1" s="783">
      <c r="B2560" s="901" t="n"/>
    </row>
    <row r="2561" ht="15" customHeight="1" s="783">
      <c r="B2561" s="901" t="n"/>
    </row>
    <row r="2562" ht="15" customHeight="1" s="783">
      <c r="B2562" s="901" t="n"/>
    </row>
    <row r="2563" ht="15" customHeight="1" s="783">
      <c r="B2563" s="901" t="n"/>
    </row>
    <row r="2564" ht="15" customHeight="1" s="783">
      <c r="B2564" s="901" t="n"/>
    </row>
    <row r="2565" ht="15" customHeight="1" s="783">
      <c r="B2565" s="901" t="n"/>
    </row>
    <row r="2566" ht="15" customHeight="1" s="783">
      <c r="B2566" s="901" t="n"/>
    </row>
    <row r="2567" ht="15" customHeight="1" s="783">
      <c r="B2567" s="901" t="n"/>
    </row>
    <row r="2568" ht="15" customHeight="1" s="783">
      <c r="B2568" s="901" t="n"/>
    </row>
    <row r="2569" ht="15" customHeight="1" s="783">
      <c r="B2569" s="901" t="n"/>
    </row>
    <row r="2570" ht="15" customHeight="1" s="783">
      <c r="B2570" s="901" t="n"/>
    </row>
    <row r="2571" ht="15" customHeight="1" s="783">
      <c r="B2571" s="901" t="n"/>
    </row>
    <row r="2572" ht="15" customHeight="1" s="783">
      <c r="B2572" s="901" t="n"/>
    </row>
    <row r="2573" ht="15" customHeight="1" s="783">
      <c r="B2573" s="901" t="n"/>
    </row>
    <row r="2574" ht="15" customHeight="1" s="783">
      <c r="B2574" s="901" t="n"/>
    </row>
    <row r="2575" ht="15" customHeight="1" s="783">
      <c r="B2575" s="901" t="n"/>
    </row>
    <row r="2576" ht="15" customHeight="1" s="783">
      <c r="B2576" s="901" t="n"/>
    </row>
    <row r="2577" ht="15" customHeight="1" s="783">
      <c r="B2577" s="901" t="n"/>
    </row>
    <row r="2578" ht="15" customHeight="1" s="783">
      <c r="B2578" s="901" t="n"/>
    </row>
    <row r="2579" ht="15" customHeight="1" s="783">
      <c r="B2579" s="901" t="n"/>
    </row>
    <row r="2580" ht="15" customHeight="1" s="783">
      <c r="B2580" s="901" t="n"/>
    </row>
    <row r="2581" ht="15" customHeight="1" s="783">
      <c r="B2581" s="901" t="n"/>
    </row>
    <row r="2582" ht="15" customHeight="1" s="783">
      <c r="B2582" s="901" t="n"/>
    </row>
    <row r="2583" ht="15" customHeight="1" s="783">
      <c r="B2583" s="901" t="n"/>
    </row>
    <row r="2584" ht="15" customHeight="1" s="783">
      <c r="B2584" s="901" t="n"/>
    </row>
    <row r="2585" ht="15" customHeight="1" s="783">
      <c r="B2585" s="901" t="n"/>
    </row>
    <row r="2586" ht="15" customHeight="1" s="783">
      <c r="B2586" s="901" t="n"/>
    </row>
    <row r="2587" ht="15" customHeight="1" s="783">
      <c r="B2587" s="901" t="n"/>
    </row>
    <row r="2588" ht="15" customHeight="1" s="783">
      <c r="B2588" s="901" t="n"/>
    </row>
    <row r="2589" ht="15" customHeight="1" s="783">
      <c r="B2589" s="901" t="n"/>
    </row>
    <row r="2590" ht="15" customHeight="1" s="783">
      <c r="B2590" s="901" t="n"/>
    </row>
    <row r="2591" ht="15" customHeight="1" s="783">
      <c r="B2591" s="901" t="n"/>
    </row>
    <row r="2592" ht="15" customHeight="1" s="783">
      <c r="B2592" s="901" t="n"/>
    </row>
    <row r="2593" ht="15" customHeight="1" s="783">
      <c r="B2593" s="901" t="n"/>
    </row>
    <row r="2594" ht="15" customHeight="1" s="783">
      <c r="B2594" s="901" t="n"/>
    </row>
    <row r="2595" ht="15" customHeight="1" s="783">
      <c r="B2595" s="901" t="n"/>
    </row>
    <row r="2596" ht="15" customHeight="1" s="783">
      <c r="B2596" s="901" t="n"/>
    </row>
    <row r="2597" ht="15" customHeight="1" s="783">
      <c r="B2597" s="901" t="n"/>
    </row>
    <row r="2598" ht="15" customHeight="1" s="783">
      <c r="B2598" s="901" t="n"/>
    </row>
    <row r="2599" ht="15" customHeight="1" s="783">
      <c r="B2599" s="901" t="n"/>
    </row>
    <row r="2600" ht="15" customHeight="1" s="783">
      <c r="B2600" s="901" t="n"/>
    </row>
    <row r="2601" ht="15" customHeight="1" s="783">
      <c r="B2601" s="901" t="n"/>
    </row>
    <row r="2602" ht="15" customHeight="1" s="783">
      <c r="B2602" s="901" t="n"/>
    </row>
    <row r="2603" ht="15" customHeight="1" s="783">
      <c r="B2603" s="901" t="n"/>
    </row>
    <row r="2604" ht="15" customHeight="1" s="783">
      <c r="B2604" s="901" t="n"/>
    </row>
    <row r="2605" ht="15" customHeight="1" s="783">
      <c r="B2605" s="901" t="n"/>
    </row>
    <row r="2606" ht="15" customHeight="1" s="783">
      <c r="B2606" s="901" t="n"/>
    </row>
    <row r="2607" ht="15" customHeight="1" s="783">
      <c r="B2607" s="901" t="n"/>
    </row>
    <row r="2608" ht="15" customHeight="1" s="783">
      <c r="B2608" s="901" t="n"/>
    </row>
    <row r="2609" ht="15" customHeight="1" s="783">
      <c r="B2609" s="901" t="n"/>
    </row>
    <row r="2610" ht="15" customHeight="1" s="783">
      <c r="B2610" s="901" t="n"/>
    </row>
    <row r="2611" ht="15" customHeight="1" s="783">
      <c r="B2611" s="901" t="n"/>
    </row>
    <row r="2612" ht="15" customHeight="1" s="783">
      <c r="B2612" s="901" t="n"/>
    </row>
    <row r="2613" ht="15" customHeight="1" s="783">
      <c r="B2613" s="901" t="n"/>
    </row>
    <row r="2614" ht="15" customHeight="1" s="783">
      <c r="B2614" s="901" t="n"/>
    </row>
    <row r="2615" ht="15" customHeight="1" s="783">
      <c r="B2615" s="901" t="n"/>
    </row>
    <row r="2616" ht="15" customHeight="1" s="783">
      <c r="B2616" s="901" t="n"/>
    </row>
    <row r="2617" ht="15" customHeight="1" s="783">
      <c r="B2617" s="901" t="n"/>
    </row>
    <row r="2618" ht="15" customHeight="1" s="783">
      <c r="B2618" s="901" t="n"/>
    </row>
    <row r="2619" ht="15" customHeight="1" s="783">
      <c r="B2619" s="901" t="n"/>
    </row>
    <row r="2620" ht="15" customHeight="1" s="783">
      <c r="B2620" s="901" t="n"/>
    </row>
    <row r="2621" ht="15" customHeight="1" s="783">
      <c r="B2621" s="901" t="n"/>
    </row>
    <row r="2622" ht="15" customHeight="1" s="783">
      <c r="B2622" s="901" t="n"/>
    </row>
    <row r="2623" ht="15" customHeight="1" s="783">
      <c r="B2623" s="901" t="n"/>
    </row>
    <row r="2624" ht="15" customHeight="1" s="783">
      <c r="B2624" s="901" t="n"/>
    </row>
    <row r="2625" ht="15" customHeight="1" s="783">
      <c r="B2625" s="901" t="n"/>
    </row>
    <row r="2626" ht="15" customHeight="1" s="783">
      <c r="B2626" s="901" t="n"/>
    </row>
    <row r="2627" ht="15" customHeight="1" s="783">
      <c r="B2627" s="901" t="n"/>
    </row>
    <row r="2628" ht="15" customHeight="1" s="783">
      <c r="B2628" s="901" t="n"/>
    </row>
    <row r="2629" ht="15" customHeight="1" s="783">
      <c r="B2629" s="901" t="n"/>
    </row>
    <row r="2630" ht="15" customHeight="1" s="783">
      <c r="B2630" s="901" t="n"/>
    </row>
    <row r="2631" ht="15" customHeight="1" s="783">
      <c r="B2631" s="901" t="n"/>
    </row>
    <row r="2632" ht="15" customHeight="1" s="783">
      <c r="B2632" s="901" t="n"/>
    </row>
    <row r="2633" ht="15" customHeight="1" s="783">
      <c r="B2633" s="901" t="n"/>
    </row>
    <row r="2634" ht="15" customHeight="1" s="783">
      <c r="B2634" s="901" t="n"/>
    </row>
    <row r="2635" ht="15" customHeight="1" s="783">
      <c r="B2635" s="901" t="n"/>
    </row>
    <row r="2636" ht="15" customHeight="1" s="783">
      <c r="B2636" s="901" t="n"/>
    </row>
    <row r="2637" ht="15" customHeight="1" s="783">
      <c r="B2637" s="901" t="n"/>
    </row>
    <row r="2638" ht="15" customHeight="1" s="783">
      <c r="B2638" s="901" t="n"/>
    </row>
    <row r="2639" ht="15" customHeight="1" s="783">
      <c r="B2639" s="901" t="n"/>
    </row>
    <row r="2640" ht="15" customHeight="1" s="783">
      <c r="B2640" s="901" t="n"/>
    </row>
    <row r="2641" ht="15" customHeight="1" s="783">
      <c r="B2641" s="901" t="n"/>
    </row>
    <row r="2642" ht="15" customHeight="1" s="783">
      <c r="B2642" s="901" t="n"/>
    </row>
    <row r="2643" ht="15" customHeight="1" s="783">
      <c r="B2643" s="901" t="n"/>
    </row>
    <row r="2644" ht="15" customHeight="1" s="783">
      <c r="B2644" s="901" t="n"/>
    </row>
    <row r="2645" ht="15" customHeight="1" s="783">
      <c r="B2645" s="901" t="n"/>
    </row>
    <row r="2646" ht="15" customHeight="1" s="783">
      <c r="B2646" s="901" t="n"/>
    </row>
    <row r="2647" ht="15" customHeight="1" s="783">
      <c r="B2647" s="901" t="n"/>
    </row>
    <row r="2648" ht="15" customHeight="1" s="783">
      <c r="B2648" s="901" t="n"/>
    </row>
    <row r="2649" ht="15" customHeight="1" s="783">
      <c r="B2649" s="901" t="n"/>
    </row>
    <row r="2650" ht="15" customHeight="1" s="783">
      <c r="B2650" s="901" t="n"/>
    </row>
    <row r="2651" ht="15" customHeight="1" s="783">
      <c r="B2651" s="901" t="n"/>
    </row>
    <row r="2652" ht="15" customHeight="1" s="783">
      <c r="B2652" s="901" t="n"/>
    </row>
    <row r="2653" ht="15" customHeight="1" s="783">
      <c r="B2653" s="901" t="n"/>
    </row>
    <row r="2654" ht="15" customHeight="1" s="783">
      <c r="B2654" s="901" t="n"/>
    </row>
    <row r="2655" ht="15" customHeight="1" s="783">
      <c r="B2655" s="901" t="n"/>
    </row>
    <row r="2656" ht="15" customHeight="1" s="783">
      <c r="B2656" s="901" t="n"/>
    </row>
    <row r="2657" ht="15" customHeight="1" s="783">
      <c r="B2657" s="901" t="n"/>
    </row>
    <row r="2658" ht="15" customHeight="1" s="783">
      <c r="B2658" s="901" t="n"/>
    </row>
    <row r="2659" ht="15" customHeight="1" s="783">
      <c r="B2659" s="901" t="n"/>
    </row>
    <row r="2660" ht="15" customHeight="1" s="783">
      <c r="B2660" s="901" t="n"/>
    </row>
    <row r="2661" ht="15" customHeight="1" s="783">
      <c r="B2661" s="901" t="n"/>
    </row>
    <row r="2662" ht="15" customHeight="1" s="783">
      <c r="B2662" s="901" t="n"/>
    </row>
    <row r="2663" ht="15" customHeight="1" s="783">
      <c r="B2663" s="901" t="n"/>
    </row>
    <row r="2664" ht="15" customHeight="1" s="783">
      <c r="B2664" s="901" t="n"/>
    </row>
    <row r="2665" ht="15" customHeight="1" s="783">
      <c r="B2665" s="901" t="n"/>
    </row>
    <row r="2666" ht="15" customHeight="1" s="783">
      <c r="B2666" s="901" t="n"/>
    </row>
    <row r="2667" ht="15" customHeight="1" s="783">
      <c r="B2667" s="901" t="n"/>
    </row>
    <row r="2668" ht="15" customHeight="1" s="783">
      <c r="B2668" s="901" t="n"/>
    </row>
    <row r="2669" ht="15" customHeight="1" s="783">
      <c r="B2669" s="901" t="n"/>
    </row>
    <row r="2670" ht="15" customHeight="1" s="783">
      <c r="B2670" s="901" t="n"/>
    </row>
    <row r="2671" ht="15" customHeight="1" s="783">
      <c r="B2671" s="901" t="n"/>
    </row>
    <row r="2672" ht="15" customHeight="1" s="783">
      <c r="B2672" s="901" t="n"/>
    </row>
    <row r="2673" ht="15" customHeight="1" s="783">
      <c r="B2673" s="901" t="n"/>
    </row>
    <row r="2674" ht="15" customHeight="1" s="783">
      <c r="B2674" s="901" t="n"/>
    </row>
    <row r="2675" ht="15" customHeight="1" s="783">
      <c r="B2675" s="901" t="n"/>
    </row>
    <row r="2676" ht="15" customHeight="1" s="783">
      <c r="B2676" s="901" t="n"/>
    </row>
    <row r="2677" ht="15" customHeight="1" s="783">
      <c r="B2677" s="901" t="n"/>
    </row>
    <row r="2678" ht="15" customHeight="1" s="783">
      <c r="B2678" s="901" t="n"/>
    </row>
    <row r="2679" ht="15" customHeight="1" s="783">
      <c r="B2679" s="901" t="n"/>
    </row>
    <row r="2680" ht="15" customHeight="1" s="783">
      <c r="B2680" s="901" t="n"/>
    </row>
    <row r="2681" ht="15" customHeight="1" s="783">
      <c r="B2681" s="901" t="n"/>
    </row>
    <row r="2682" ht="15" customHeight="1" s="783">
      <c r="B2682" s="901" t="n"/>
    </row>
    <row r="2683" ht="15" customHeight="1" s="783">
      <c r="B2683" s="901" t="n"/>
    </row>
    <row r="2684" ht="15" customHeight="1" s="783">
      <c r="B2684" s="901" t="n"/>
    </row>
    <row r="2685" ht="15" customHeight="1" s="783">
      <c r="B2685" s="901" t="n"/>
    </row>
    <row r="2686" ht="15" customHeight="1" s="783">
      <c r="B2686" s="901" t="n"/>
    </row>
    <row r="2687" ht="15" customHeight="1" s="783">
      <c r="B2687" s="901" t="n"/>
    </row>
    <row r="2688" ht="15" customHeight="1" s="783">
      <c r="B2688" s="901" t="n"/>
    </row>
    <row r="2689" ht="15" customHeight="1" s="783">
      <c r="B2689" s="901" t="n"/>
    </row>
    <row r="2690" ht="15" customHeight="1" s="783">
      <c r="B2690" s="901" t="n"/>
    </row>
    <row r="2691" ht="15" customHeight="1" s="783">
      <c r="B2691" s="901" t="n"/>
    </row>
    <row r="2692" ht="15" customHeight="1" s="783">
      <c r="B2692" s="901" t="n"/>
    </row>
    <row r="2693" ht="15" customHeight="1" s="783">
      <c r="B2693" s="901" t="n"/>
    </row>
    <row r="2694" ht="15" customHeight="1" s="783">
      <c r="B2694" s="901" t="n"/>
    </row>
    <row r="2695" ht="15" customHeight="1" s="783">
      <c r="B2695" s="901" t="n"/>
    </row>
    <row r="2696" ht="15" customHeight="1" s="783">
      <c r="B2696" s="901" t="n"/>
    </row>
    <row r="2697" ht="15" customHeight="1" s="783">
      <c r="B2697" s="901" t="n"/>
    </row>
    <row r="2698" ht="15" customHeight="1" s="783">
      <c r="B2698" s="901" t="n"/>
    </row>
    <row r="2699" ht="15" customHeight="1" s="783">
      <c r="B2699" s="901" t="n"/>
    </row>
    <row r="2700" ht="15" customHeight="1" s="783">
      <c r="B2700" s="901" t="n"/>
    </row>
    <row r="2701" ht="15" customHeight="1" s="783">
      <c r="B2701" s="901" t="n"/>
    </row>
    <row r="2702" ht="15" customHeight="1" s="783">
      <c r="B2702" s="901" t="n"/>
    </row>
    <row r="2703" ht="15" customHeight="1" s="783">
      <c r="B2703" s="901" t="n"/>
    </row>
    <row r="2704" ht="15" customHeight="1" s="783">
      <c r="B2704" s="901" t="n"/>
    </row>
    <row r="2705" ht="15" customHeight="1" s="783">
      <c r="B2705" s="901" t="n"/>
    </row>
    <row r="2706" ht="15" customHeight="1" s="783">
      <c r="B2706" s="901" t="n"/>
    </row>
    <row r="2707" ht="15" customHeight="1" s="783">
      <c r="B2707" s="901" t="n"/>
    </row>
    <row r="2708" ht="15" customHeight="1" s="783">
      <c r="B2708" s="901" t="n"/>
    </row>
    <row r="2709" ht="15" customHeight="1" s="783">
      <c r="B2709" s="901" t="n"/>
    </row>
    <row r="2710" ht="15" customHeight="1" s="783">
      <c r="B2710" s="901" t="n"/>
    </row>
    <row r="2711" ht="15" customHeight="1" s="783">
      <c r="B2711" s="901" t="n"/>
    </row>
    <row r="2712" ht="15" customHeight="1" s="783">
      <c r="B2712" s="901" t="n"/>
    </row>
    <row r="2713" ht="15" customHeight="1" s="783">
      <c r="B2713" s="901" t="n"/>
    </row>
    <row r="2714" ht="15" customHeight="1" s="783">
      <c r="B2714" s="901" t="n"/>
    </row>
    <row r="2715" ht="15" customHeight="1" s="783">
      <c r="B2715" s="901" t="n"/>
    </row>
    <row r="2716" ht="15" customHeight="1" s="783">
      <c r="B2716" s="901" t="n"/>
    </row>
    <row r="2717" ht="15" customHeight="1" s="783">
      <c r="B2717" s="901" t="n"/>
    </row>
    <row r="2718" ht="15" customHeight="1" s="783">
      <c r="B2718" s="901" t="n"/>
    </row>
    <row r="2719" ht="15" customHeight="1" s="783">
      <c r="B2719" s="901" t="n"/>
    </row>
    <row r="2720" ht="15" customHeight="1" s="783">
      <c r="B2720" s="901" t="n"/>
    </row>
    <row r="2721" ht="15" customHeight="1" s="783">
      <c r="B2721" s="901" t="n"/>
    </row>
    <row r="2722" ht="15" customHeight="1" s="783">
      <c r="B2722" s="901" t="n"/>
    </row>
    <row r="2723" ht="15" customHeight="1" s="783">
      <c r="B2723" s="901" t="n"/>
    </row>
    <row r="2724" ht="15" customHeight="1" s="783">
      <c r="B2724" s="901" t="n"/>
    </row>
    <row r="2725" ht="15" customHeight="1" s="783">
      <c r="B2725" s="901" t="n"/>
    </row>
    <row r="2726" ht="15" customHeight="1" s="783">
      <c r="B2726" s="901" t="n"/>
    </row>
    <row r="2727" ht="15" customHeight="1" s="783">
      <c r="B2727" s="901" t="n"/>
    </row>
    <row r="2728" ht="15" customHeight="1" s="783">
      <c r="B2728" s="901" t="n"/>
    </row>
    <row r="2729" ht="15" customHeight="1" s="783">
      <c r="B2729" s="901" t="n"/>
    </row>
    <row r="2730" ht="15" customHeight="1" s="783">
      <c r="B2730" s="901" t="n"/>
    </row>
    <row r="2731" ht="15" customHeight="1" s="783">
      <c r="B2731" s="901" t="n"/>
    </row>
    <row r="2732" ht="15" customHeight="1" s="783">
      <c r="B2732" s="901" t="n"/>
    </row>
    <row r="2733" ht="15" customHeight="1" s="783">
      <c r="B2733" s="901" t="n"/>
    </row>
    <row r="2734" ht="15" customHeight="1" s="783">
      <c r="B2734" s="901" t="n"/>
    </row>
    <row r="2735" ht="15" customHeight="1" s="783">
      <c r="B2735" s="901" t="n"/>
    </row>
    <row r="2736" ht="15" customHeight="1" s="783">
      <c r="B2736" s="901" t="n"/>
    </row>
    <row r="2737" ht="15" customHeight="1" s="783">
      <c r="B2737" s="901" t="n"/>
    </row>
    <row r="2738" ht="15" customHeight="1" s="783">
      <c r="B2738" s="901" t="n"/>
    </row>
    <row r="2739" ht="15" customHeight="1" s="783">
      <c r="B2739" s="901" t="n"/>
    </row>
    <row r="2740" ht="15" customHeight="1" s="783">
      <c r="B2740" s="901" t="n"/>
    </row>
    <row r="2741" ht="15" customHeight="1" s="783">
      <c r="B2741" s="901" t="n"/>
    </row>
    <row r="2742" ht="15" customHeight="1" s="783">
      <c r="B2742" s="901" t="n"/>
    </row>
    <row r="2743" ht="15" customHeight="1" s="783">
      <c r="B2743" s="901" t="n"/>
    </row>
    <row r="2744" ht="15" customHeight="1" s="783">
      <c r="B2744" s="901" t="n"/>
    </row>
    <row r="2745" ht="15" customHeight="1" s="783">
      <c r="B2745" s="901" t="n"/>
    </row>
    <row r="2746" ht="15" customHeight="1" s="783">
      <c r="B2746" s="901" t="n"/>
    </row>
    <row r="2747" ht="15" customHeight="1" s="783">
      <c r="B2747" s="901" t="n"/>
    </row>
    <row r="2748" ht="15" customHeight="1" s="783">
      <c r="B2748" s="901" t="n"/>
    </row>
    <row r="2749" ht="15" customHeight="1" s="783">
      <c r="B2749" s="901" t="n"/>
    </row>
    <row r="2750" ht="15" customHeight="1" s="783">
      <c r="B2750" s="901" t="n"/>
    </row>
    <row r="2751" ht="15" customHeight="1" s="783">
      <c r="B2751" s="901" t="n"/>
    </row>
    <row r="2752" ht="15" customHeight="1" s="783">
      <c r="B2752" s="901" t="n"/>
    </row>
    <row r="2753" ht="15" customHeight="1" s="783">
      <c r="B2753" s="901" t="n"/>
    </row>
    <row r="2754" ht="15" customHeight="1" s="783">
      <c r="B2754" s="901" t="n"/>
    </row>
    <row r="2755" ht="15" customHeight="1" s="783">
      <c r="B2755" s="901" t="n"/>
    </row>
    <row r="2756" ht="15" customHeight="1" s="783">
      <c r="B2756" s="901" t="n"/>
    </row>
    <row r="2757" ht="15" customHeight="1" s="783">
      <c r="B2757" s="901" t="n"/>
    </row>
    <row r="2758" ht="15" customHeight="1" s="783">
      <c r="B2758" s="901" t="n"/>
    </row>
    <row r="2759" ht="15" customHeight="1" s="783">
      <c r="B2759" s="901" t="n"/>
    </row>
    <row r="2760" ht="15" customHeight="1" s="783">
      <c r="B2760" s="901" t="n"/>
    </row>
    <row r="2761" ht="15" customHeight="1" s="783">
      <c r="B2761" s="901" t="n"/>
    </row>
    <row r="2762" ht="15" customHeight="1" s="783">
      <c r="B2762" s="901" t="n"/>
    </row>
    <row r="2763" ht="15" customHeight="1" s="783">
      <c r="B2763" s="901" t="n"/>
    </row>
    <row r="2764" ht="15" customHeight="1" s="783">
      <c r="B2764" s="901" t="n"/>
    </row>
    <row r="2765" ht="15" customHeight="1" s="783">
      <c r="B2765" s="901" t="n"/>
    </row>
    <row r="2766" ht="15" customHeight="1" s="783">
      <c r="B2766" s="901" t="n"/>
    </row>
    <row r="2767" ht="15" customHeight="1" s="783">
      <c r="B2767" s="901" t="n"/>
    </row>
    <row r="2768" ht="15" customHeight="1" s="783">
      <c r="B2768" s="901" t="n"/>
    </row>
    <row r="2769" ht="15" customHeight="1" s="783">
      <c r="B2769" s="901" t="n"/>
    </row>
    <row r="2770" ht="15" customHeight="1" s="783">
      <c r="B2770" s="901" t="n"/>
    </row>
    <row r="2771" ht="15" customHeight="1" s="783">
      <c r="B2771" s="901" t="n"/>
    </row>
    <row r="2772" ht="15" customHeight="1" s="783">
      <c r="B2772" s="901" t="n"/>
    </row>
    <row r="2773" ht="15" customHeight="1" s="783">
      <c r="B2773" s="901" t="n"/>
    </row>
    <row r="2774" ht="15" customHeight="1" s="783">
      <c r="B2774" s="901" t="n"/>
    </row>
    <row r="2775" ht="15" customHeight="1" s="783">
      <c r="B2775" s="901" t="n"/>
    </row>
    <row r="2776" ht="15" customHeight="1" s="783">
      <c r="B2776" s="901" t="n"/>
    </row>
    <row r="2777" ht="15" customHeight="1" s="783">
      <c r="B2777" s="901" t="n"/>
    </row>
    <row r="2778" ht="15" customHeight="1" s="783">
      <c r="B2778" s="901" t="n"/>
    </row>
    <row r="2779" ht="15" customHeight="1" s="783">
      <c r="B2779" s="901" t="n"/>
    </row>
    <row r="2780" ht="15" customHeight="1" s="783">
      <c r="B2780" s="901" t="n"/>
    </row>
    <row r="2781" ht="15" customHeight="1" s="783">
      <c r="B2781" s="901" t="n"/>
    </row>
    <row r="2782" ht="15" customHeight="1" s="783">
      <c r="B2782" s="901" t="n"/>
    </row>
    <row r="2783" ht="15" customHeight="1" s="783">
      <c r="B2783" s="901" t="n"/>
    </row>
    <row r="2784" ht="15" customHeight="1" s="783">
      <c r="B2784" s="901" t="n"/>
    </row>
    <row r="2785" ht="15" customHeight="1" s="783">
      <c r="B2785" s="901" t="n"/>
    </row>
    <row r="2786" ht="15" customHeight="1" s="783">
      <c r="B2786" s="901" t="n"/>
    </row>
    <row r="2787" ht="15" customHeight="1" s="783">
      <c r="B2787" s="901" t="n"/>
    </row>
    <row r="2788" ht="15" customHeight="1" s="783">
      <c r="B2788" s="901" t="n"/>
    </row>
    <row r="2789" ht="15" customHeight="1" s="783">
      <c r="B2789" s="901" t="n"/>
    </row>
    <row r="2790" ht="15" customHeight="1" s="783">
      <c r="B2790" s="901" t="n"/>
    </row>
    <row r="2791" ht="15" customHeight="1" s="783">
      <c r="B2791" s="901" t="n"/>
    </row>
    <row r="2792" ht="15" customHeight="1" s="783">
      <c r="B2792" s="901" t="n"/>
    </row>
    <row r="2793" ht="15" customHeight="1" s="783">
      <c r="B2793" s="901" t="n"/>
    </row>
    <row r="2794" ht="15" customHeight="1" s="783">
      <c r="B2794" s="901" t="n"/>
    </row>
    <row r="2795" ht="15" customHeight="1" s="783">
      <c r="B2795" s="901" t="n"/>
    </row>
    <row r="2796" ht="15" customHeight="1" s="783">
      <c r="B2796" s="901" t="n"/>
    </row>
    <row r="2797" ht="15" customHeight="1" s="783">
      <c r="B2797" s="901" t="n"/>
    </row>
    <row r="2798" ht="15" customHeight="1" s="783">
      <c r="B2798" s="901" t="n"/>
    </row>
    <row r="2799" ht="15" customHeight="1" s="783">
      <c r="B2799" s="901" t="n"/>
    </row>
    <row r="2800" ht="15" customHeight="1" s="783">
      <c r="B2800" s="901" t="n"/>
    </row>
    <row r="2801" ht="15" customHeight="1" s="783">
      <c r="B2801" s="901" t="n"/>
    </row>
    <row r="2802" ht="15" customHeight="1" s="783">
      <c r="B2802" s="901" t="n"/>
    </row>
    <row r="2803" ht="15" customHeight="1" s="783">
      <c r="B2803" s="901" t="n"/>
    </row>
    <row r="2804" ht="15" customHeight="1" s="783">
      <c r="B2804" s="901" t="n"/>
    </row>
    <row r="2805" ht="15" customHeight="1" s="783">
      <c r="B2805" s="901" t="n"/>
    </row>
    <row r="2806" ht="15" customHeight="1" s="783">
      <c r="B2806" s="901" t="n"/>
    </row>
    <row r="2807" ht="15" customHeight="1" s="783">
      <c r="B2807" s="901" t="n"/>
    </row>
    <row r="2808" ht="15" customHeight="1" s="783">
      <c r="B2808" s="901" t="n"/>
    </row>
    <row r="2809" ht="15" customHeight="1" s="783">
      <c r="B2809" s="901" t="n"/>
    </row>
    <row r="2810" ht="15" customHeight="1" s="783">
      <c r="B2810" s="901" t="n"/>
    </row>
    <row r="2811" ht="15" customHeight="1" s="783">
      <c r="B2811" s="901" t="n"/>
    </row>
    <row r="2812" ht="15" customHeight="1" s="783">
      <c r="B2812" s="901" t="n"/>
    </row>
    <row r="2813" ht="15" customHeight="1" s="783">
      <c r="B2813" s="901" t="n"/>
    </row>
    <row r="2814" ht="15" customHeight="1" s="783">
      <c r="B2814" s="901" t="n"/>
    </row>
    <row r="2815" ht="15" customHeight="1" s="783">
      <c r="B2815" s="901" t="n"/>
    </row>
    <row r="2816" ht="15" customHeight="1" s="783">
      <c r="B2816" s="901" t="n"/>
    </row>
    <row r="2817" ht="15" customHeight="1" s="783">
      <c r="B2817" s="901" t="n"/>
    </row>
    <row r="2818" ht="15" customHeight="1" s="783">
      <c r="B2818" s="901" t="n"/>
    </row>
    <row r="2819" ht="15" customHeight="1" s="783">
      <c r="B2819" s="901" t="n"/>
    </row>
    <row r="2820" ht="15" customHeight="1" s="783">
      <c r="B2820" s="901" t="n"/>
    </row>
    <row r="2821" ht="15" customHeight="1" s="783">
      <c r="B2821" s="901" t="n"/>
    </row>
    <row r="2822" ht="15" customHeight="1" s="783">
      <c r="B2822" s="901" t="n"/>
    </row>
    <row r="2823" ht="15" customHeight="1" s="783">
      <c r="B2823" s="901" t="n"/>
    </row>
    <row r="2824" ht="15" customHeight="1" s="783">
      <c r="B2824" s="901" t="n"/>
    </row>
    <row r="2825" ht="15" customHeight="1" s="783">
      <c r="B2825" s="901" t="n"/>
    </row>
    <row r="2826" ht="15" customHeight="1" s="783">
      <c r="B2826" s="901" t="n"/>
    </row>
    <row r="2827" ht="15" customHeight="1" s="783">
      <c r="B2827" s="901" t="n"/>
    </row>
    <row r="2828" ht="15" customHeight="1" s="783">
      <c r="B2828" s="901" t="n"/>
    </row>
    <row r="2829" ht="15" customHeight="1" s="783">
      <c r="B2829" s="901" t="n"/>
    </row>
    <row r="2830" ht="15" customHeight="1" s="783">
      <c r="B2830" s="901" t="n"/>
    </row>
    <row r="2831" ht="15" customHeight="1" s="783">
      <c r="B2831" s="901" t="n"/>
    </row>
    <row r="2832" ht="15" customHeight="1" s="783">
      <c r="B2832" s="901" t="n"/>
    </row>
    <row r="2833" ht="15" customHeight="1" s="783">
      <c r="B2833" s="901" t="n"/>
    </row>
    <row r="2834" ht="15" customHeight="1" s="783">
      <c r="B2834" s="901" t="n"/>
    </row>
    <row r="2835" ht="15" customHeight="1" s="783">
      <c r="B2835" s="901" t="n"/>
    </row>
    <row r="2836" ht="15" customHeight="1" s="783">
      <c r="B2836" s="901" t="n"/>
    </row>
    <row r="2837" ht="15" customHeight="1" s="783">
      <c r="B2837" s="901" t="n"/>
    </row>
    <row r="2838" ht="15" customHeight="1" s="783">
      <c r="B2838" s="901" t="n"/>
    </row>
    <row r="2839" ht="15" customHeight="1" s="783">
      <c r="B2839" s="901" t="n"/>
    </row>
    <row r="2840" ht="15" customHeight="1" s="783">
      <c r="B2840" s="901" t="n"/>
    </row>
    <row r="2841" ht="15" customHeight="1" s="783">
      <c r="B2841" s="901" t="n"/>
    </row>
    <row r="2842" ht="15" customHeight="1" s="783">
      <c r="B2842" s="901" t="n"/>
    </row>
    <row r="2843" ht="15" customHeight="1" s="783">
      <c r="B2843" s="901" t="n"/>
    </row>
    <row r="2844" ht="15" customHeight="1" s="783">
      <c r="B2844" s="901" t="n"/>
    </row>
    <row r="2845" ht="15" customHeight="1" s="783">
      <c r="B2845" s="901" t="n"/>
    </row>
    <row r="2846" ht="15" customHeight="1" s="783">
      <c r="B2846" s="901" t="n"/>
    </row>
    <row r="2847" ht="15" customHeight="1" s="783">
      <c r="B2847" s="901" t="n"/>
    </row>
    <row r="2848" ht="15" customHeight="1" s="783">
      <c r="B2848" s="901" t="n"/>
    </row>
    <row r="2849" ht="15" customHeight="1" s="783">
      <c r="B2849" s="901" t="n"/>
    </row>
    <row r="2850" ht="15" customHeight="1" s="783">
      <c r="B2850" s="901" t="n"/>
    </row>
    <row r="2851" ht="15" customHeight="1" s="783">
      <c r="B2851" s="901" t="n"/>
    </row>
    <row r="2852" ht="15" customHeight="1" s="783">
      <c r="B2852" s="901" t="n"/>
    </row>
    <row r="2853" ht="15" customHeight="1" s="783">
      <c r="B2853" s="901" t="n"/>
    </row>
    <row r="2854" ht="15" customHeight="1" s="783">
      <c r="B2854" s="901" t="n"/>
    </row>
    <row r="2855" ht="15" customHeight="1" s="783">
      <c r="B2855" s="901" t="n"/>
    </row>
    <row r="2856" ht="15" customHeight="1" s="783">
      <c r="B2856" s="901" t="n"/>
    </row>
    <row r="2857" ht="15" customHeight="1" s="783">
      <c r="B2857" s="901" t="n"/>
    </row>
    <row r="2858" ht="15" customHeight="1" s="783">
      <c r="B2858" s="901" t="n"/>
    </row>
    <row r="2859" ht="15" customHeight="1" s="783">
      <c r="B2859" s="901" t="n"/>
    </row>
    <row r="2860" ht="15" customHeight="1" s="783">
      <c r="B2860" s="901" t="n"/>
    </row>
    <row r="2861" ht="15" customHeight="1" s="783">
      <c r="B2861" s="901" t="n"/>
    </row>
    <row r="2862" ht="15" customHeight="1" s="783">
      <c r="B2862" s="901" t="n"/>
    </row>
    <row r="2863" ht="15" customHeight="1" s="783">
      <c r="B2863" s="901" t="n"/>
    </row>
    <row r="2864" ht="15" customHeight="1" s="783">
      <c r="B2864" s="901" t="n"/>
    </row>
    <row r="2865" ht="15" customHeight="1" s="783">
      <c r="B2865" s="901" t="n"/>
    </row>
    <row r="2866" ht="15" customHeight="1" s="783">
      <c r="B2866" s="901" t="n"/>
    </row>
    <row r="2867" ht="15" customHeight="1" s="783">
      <c r="B2867" s="901" t="n"/>
    </row>
    <row r="2868" ht="15" customHeight="1" s="783">
      <c r="B2868" s="901" t="n"/>
    </row>
    <row r="2869" ht="15" customHeight="1" s="783">
      <c r="B2869" s="901" t="n"/>
    </row>
    <row r="2870" ht="15" customHeight="1" s="783">
      <c r="B2870" s="901" t="n"/>
    </row>
    <row r="2871" ht="15" customHeight="1" s="783">
      <c r="B2871" s="901" t="n"/>
    </row>
    <row r="2872" ht="15" customHeight="1" s="783">
      <c r="B2872" s="901" t="n"/>
    </row>
    <row r="2873" ht="15" customHeight="1" s="783">
      <c r="B2873" s="901" t="n"/>
    </row>
    <row r="2874" ht="15" customHeight="1" s="783">
      <c r="B2874" s="901" t="n"/>
    </row>
    <row r="2875" ht="15" customHeight="1" s="783">
      <c r="B2875" s="901" t="n"/>
    </row>
    <row r="2876" ht="15" customHeight="1" s="783">
      <c r="B2876" s="901" t="n"/>
    </row>
    <row r="2877" ht="15" customHeight="1" s="783">
      <c r="B2877" s="901" t="n"/>
    </row>
    <row r="2878" ht="15" customHeight="1" s="783">
      <c r="B2878" s="901" t="n"/>
    </row>
    <row r="2879" ht="15" customHeight="1" s="783">
      <c r="B2879" s="901" t="n"/>
    </row>
    <row r="2880" ht="15" customHeight="1" s="783">
      <c r="B2880" s="901" t="n"/>
    </row>
    <row r="2881" ht="15" customHeight="1" s="783">
      <c r="B2881" s="901" t="n"/>
    </row>
    <row r="2882" ht="15" customHeight="1" s="783">
      <c r="B2882" s="901" t="n"/>
    </row>
    <row r="2883" ht="15" customHeight="1" s="783">
      <c r="B2883" s="901" t="n"/>
    </row>
    <row r="2884" ht="15" customHeight="1" s="783">
      <c r="B2884" s="901" t="n"/>
    </row>
    <row r="2885" ht="15" customHeight="1" s="783">
      <c r="B2885" s="901" t="n"/>
    </row>
    <row r="2886" ht="15" customHeight="1" s="783">
      <c r="B2886" s="901" t="n"/>
    </row>
    <row r="2887" ht="15" customHeight="1" s="783">
      <c r="B2887" s="901" t="n"/>
    </row>
    <row r="2888" ht="15" customHeight="1" s="783">
      <c r="B2888" s="901" t="n"/>
    </row>
    <row r="2889" ht="15" customHeight="1" s="783">
      <c r="B2889" s="901" t="n"/>
    </row>
    <row r="2890" ht="15" customHeight="1" s="783">
      <c r="B2890" s="901" t="n"/>
    </row>
    <row r="2891" ht="15" customHeight="1" s="783">
      <c r="B2891" s="901" t="n"/>
    </row>
    <row r="2892" ht="15" customHeight="1" s="783">
      <c r="B2892" s="901" t="n"/>
    </row>
    <row r="2893" ht="15" customHeight="1" s="783">
      <c r="B2893" s="901" t="n"/>
    </row>
    <row r="2894" ht="15" customHeight="1" s="783">
      <c r="B2894" s="901" t="n"/>
    </row>
    <row r="2895" ht="15" customHeight="1" s="783">
      <c r="B2895" s="901" t="n"/>
    </row>
    <row r="2896" ht="15" customHeight="1" s="783">
      <c r="B2896" s="901" t="n"/>
    </row>
    <row r="2897" ht="15" customHeight="1" s="783">
      <c r="B2897" s="901" t="n"/>
    </row>
    <row r="2898" ht="15" customHeight="1" s="783">
      <c r="B2898" s="901" t="n"/>
    </row>
    <row r="2899" ht="15" customHeight="1" s="783">
      <c r="B2899" s="901" t="n"/>
    </row>
    <row r="2900" ht="15" customHeight="1" s="783">
      <c r="B2900" s="901" t="n"/>
    </row>
    <row r="2901" ht="15" customHeight="1" s="783">
      <c r="B2901" s="901" t="n"/>
    </row>
    <row r="2902" ht="15" customHeight="1" s="783">
      <c r="B2902" s="901" t="n"/>
    </row>
    <row r="2903" ht="15" customHeight="1" s="783">
      <c r="B2903" s="901" t="n"/>
    </row>
    <row r="2904" ht="15" customHeight="1" s="783">
      <c r="B2904" s="901" t="n"/>
    </row>
    <row r="2905" ht="15" customHeight="1" s="783">
      <c r="B2905" s="901" t="n"/>
    </row>
    <row r="2906" ht="15" customHeight="1" s="783">
      <c r="B2906" s="901" t="n"/>
    </row>
    <row r="2907" ht="15" customHeight="1" s="783">
      <c r="B2907" s="901" t="n"/>
    </row>
    <row r="2908" ht="15" customHeight="1" s="783">
      <c r="B2908" s="901" t="n"/>
    </row>
    <row r="2909" ht="15" customHeight="1" s="783">
      <c r="B2909" s="901" t="n"/>
    </row>
    <row r="2910" ht="15" customHeight="1" s="783">
      <c r="B2910" s="901" t="n"/>
    </row>
    <row r="2911" ht="15" customHeight="1" s="783">
      <c r="B2911" s="901" t="n"/>
    </row>
    <row r="2912" ht="15" customHeight="1" s="783">
      <c r="B2912" s="901" t="n"/>
    </row>
    <row r="2913" ht="15" customHeight="1" s="783">
      <c r="B2913" s="901" t="n"/>
    </row>
    <row r="2914" ht="15" customHeight="1" s="783">
      <c r="B2914" s="901" t="n"/>
    </row>
    <row r="2915" ht="15" customHeight="1" s="783">
      <c r="B2915" s="901" t="n"/>
    </row>
    <row r="2916" ht="15" customHeight="1" s="783">
      <c r="B2916" s="901" t="n"/>
    </row>
    <row r="2917" ht="15" customHeight="1" s="783">
      <c r="B2917" s="901" t="n"/>
    </row>
    <row r="2918" ht="15" customHeight="1" s="783">
      <c r="B2918" s="901" t="n"/>
    </row>
    <row r="2919" ht="15" customHeight="1" s="783">
      <c r="B2919" s="901" t="n"/>
    </row>
    <row r="2920" ht="15" customHeight="1" s="783">
      <c r="B2920" s="901" t="n"/>
    </row>
    <row r="2921" ht="15" customHeight="1" s="783">
      <c r="B2921" s="901" t="n"/>
    </row>
    <row r="2922" ht="15" customHeight="1" s="783">
      <c r="B2922" s="901" t="n"/>
    </row>
    <row r="2923" ht="15" customHeight="1" s="783">
      <c r="B2923" s="901" t="n"/>
    </row>
    <row r="2924" ht="15" customHeight="1" s="783">
      <c r="B2924" s="901" t="n"/>
    </row>
    <row r="2925" ht="15" customHeight="1" s="783">
      <c r="B2925" s="901" t="n"/>
    </row>
    <row r="2926" ht="15" customHeight="1" s="783">
      <c r="B2926" s="901" t="n"/>
    </row>
    <row r="2927" ht="15" customHeight="1" s="783">
      <c r="B2927" s="901" t="n"/>
    </row>
    <row r="2928" ht="15" customHeight="1" s="783">
      <c r="B2928" s="901" t="n"/>
    </row>
    <row r="2929" ht="15" customHeight="1" s="783">
      <c r="B2929" s="901" t="n"/>
    </row>
    <row r="2930" ht="15" customHeight="1" s="783">
      <c r="B2930" s="901" t="n"/>
    </row>
    <row r="2931" ht="15" customHeight="1" s="783">
      <c r="B2931" s="901" t="n"/>
    </row>
    <row r="2932" ht="15" customHeight="1" s="783">
      <c r="B2932" s="901" t="n"/>
    </row>
    <row r="2933" ht="15" customHeight="1" s="783">
      <c r="B2933" s="901" t="n"/>
    </row>
    <row r="2934" ht="15" customHeight="1" s="783">
      <c r="B2934" s="901" t="n"/>
    </row>
    <row r="2935" ht="15" customHeight="1" s="783">
      <c r="B2935" s="901" t="n"/>
    </row>
    <row r="2936" ht="15" customHeight="1" s="783">
      <c r="B2936" s="901" t="n"/>
    </row>
    <row r="2937" ht="15" customHeight="1" s="783">
      <c r="B2937" s="901" t="n"/>
    </row>
    <row r="2938" ht="15" customHeight="1" s="783">
      <c r="B2938" s="901" t="n"/>
    </row>
    <row r="2939" ht="15" customHeight="1" s="783">
      <c r="B2939" s="901" t="n"/>
    </row>
    <row r="2940" ht="15" customHeight="1" s="783">
      <c r="B2940" s="901" t="n"/>
    </row>
    <row r="2941" ht="15" customHeight="1" s="783">
      <c r="B2941" s="901" t="n"/>
    </row>
    <row r="2942" ht="15" customHeight="1" s="783">
      <c r="B2942" s="901" t="n"/>
    </row>
    <row r="2943" ht="15" customHeight="1" s="783">
      <c r="B2943" s="901" t="n"/>
    </row>
    <row r="2944" ht="15" customHeight="1" s="783">
      <c r="B2944" s="901" t="n"/>
    </row>
    <row r="2945" ht="15" customHeight="1" s="783">
      <c r="B2945" s="901" t="n"/>
    </row>
    <row r="2946" ht="15" customHeight="1" s="783">
      <c r="B2946" s="901" t="n"/>
    </row>
    <row r="2947" ht="15" customHeight="1" s="783">
      <c r="B2947" s="901" t="n"/>
    </row>
    <row r="2948" ht="15" customHeight="1" s="783">
      <c r="B2948" s="901" t="n"/>
    </row>
    <row r="2949" ht="15" customHeight="1" s="783">
      <c r="B2949" s="901" t="n"/>
    </row>
    <row r="2950" ht="15" customHeight="1" s="783">
      <c r="B2950" s="901" t="n"/>
    </row>
    <row r="2951" ht="15" customHeight="1" s="783">
      <c r="B2951" s="901" t="n"/>
    </row>
    <row r="2952" ht="15" customHeight="1" s="783">
      <c r="B2952" s="901" t="n"/>
    </row>
    <row r="2953" ht="15" customHeight="1" s="783">
      <c r="B2953" s="901" t="n"/>
    </row>
    <row r="2954" ht="15" customHeight="1" s="783">
      <c r="B2954" s="901" t="n"/>
    </row>
    <row r="2955" ht="15" customHeight="1" s="783">
      <c r="B2955" s="901" t="n"/>
    </row>
    <row r="2956" ht="15" customHeight="1" s="783">
      <c r="B2956" s="901" t="n"/>
    </row>
    <row r="2957" ht="15" customHeight="1" s="783">
      <c r="B2957" s="901" t="n"/>
    </row>
    <row r="2958" ht="15" customHeight="1" s="783">
      <c r="B2958" s="901" t="n"/>
    </row>
    <row r="2959" ht="15" customHeight="1" s="783">
      <c r="B2959" s="901" t="n"/>
    </row>
    <row r="2960" ht="15" customHeight="1" s="783">
      <c r="B2960" s="901" t="n"/>
    </row>
    <row r="2961" ht="15" customHeight="1" s="783">
      <c r="B2961" s="901" t="n"/>
    </row>
    <row r="2962" ht="15" customHeight="1" s="783">
      <c r="B2962" s="901" t="n"/>
    </row>
    <row r="2963" ht="15" customHeight="1" s="783">
      <c r="B2963" s="901" t="n"/>
    </row>
    <row r="2964" ht="15" customHeight="1" s="783">
      <c r="B2964" s="901" t="n"/>
    </row>
    <row r="2965" ht="15" customHeight="1" s="783">
      <c r="B2965" s="901" t="n"/>
    </row>
    <row r="2966" ht="15" customHeight="1" s="783">
      <c r="B2966" s="901" t="n"/>
    </row>
    <row r="2967" ht="15" customHeight="1" s="783">
      <c r="B2967" s="901" t="n"/>
    </row>
    <row r="2968" ht="15" customHeight="1" s="783">
      <c r="B2968" s="901" t="n"/>
    </row>
    <row r="2969" ht="15" customHeight="1" s="783">
      <c r="B2969" s="901" t="n"/>
    </row>
    <row r="2970" ht="15" customHeight="1" s="783">
      <c r="B2970" s="901" t="n"/>
    </row>
    <row r="2971" ht="15" customHeight="1" s="783">
      <c r="B2971" s="901" t="n"/>
    </row>
    <row r="2972" ht="15" customHeight="1" s="783">
      <c r="B2972" s="901" t="n"/>
    </row>
    <row r="2973" ht="15" customHeight="1" s="783">
      <c r="B2973" s="901" t="n"/>
    </row>
    <row r="2974" ht="15" customHeight="1" s="783">
      <c r="B2974" s="901" t="n"/>
    </row>
    <row r="2975" ht="15" customHeight="1" s="783">
      <c r="B2975" s="901" t="n"/>
    </row>
    <row r="2976" ht="15" customHeight="1" s="783">
      <c r="B2976" s="901" t="n"/>
    </row>
    <row r="2977" ht="15" customHeight="1" s="783">
      <c r="B2977" s="901" t="n"/>
    </row>
    <row r="2978" ht="15" customHeight="1" s="783">
      <c r="B2978" s="901" t="n"/>
    </row>
    <row r="2979" ht="15" customHeight="1" s="783">
      <c r="B2979" s="901" t="n"/>
    </row>
    <row r="2980" ht="15" customHeight="1" s="783">
      <c r="B2980" s="901" t="n"/>
    </row>
    <row r="2981" ht="15" customHeight="1" s="783">
      <c r="B2981" s="901" t="n"/>
    </row>
    <row r="2982" ht="15" customHeight="1" s="783">
      <c r="B2982" s="901" t="n"/>
    </row>
    <row r="2983" ht="15" customHeight="1" s="783">
      <c r="B2983" s="901" t="n"/>
    </row>
    <row r="2984" ht="15" customHeight="1" s="783">
      <c r="B2984" s="901" t="n"/>
    </row>
    <row r="2985" ht="15" customHeight="1" s="783">
      <c r="B2985" s="901" t="n"/>
    </row>
    <row r="2986" ht="15" customHeight="1" s="783">
      <c r="B2986" s="901" t="n"/>
    </row>
    <row r="2987" ht="15" customHeight="1" s="783">
      <c r="B2987" s="901" t="n"/>
    </row>
    <row r="2988" ht="15" customHeight="1" s="783">
      <c r="B2988" s="901" t="n"/>
    </row>
    <row r="2989" ht="15" customHeight="1" s="783">
      <c r="B2989" s="901" t="n"/>
    </row>
    <row r="2990" ht="15" customHeight="1" s="783">
      <c r="B2990" s="901" t="n"/>
    </row>
    <row r="2991" ht="15" customHeight="1" s="783">
      <c r="B2991" s="901" t="n"/>
    </row>
    <row r="2992" ht="15" customHeight="1" s="783">
      <c r="B2992" s="901" t="n"/>
    </row>
    <row r="2993" ht="15" customHeight="1" s="783">
      <c r="B2993" s="901" t="n"/>
    </row>
    <row r="2994" ht="15" customHeight="1" s="783">
      <c r="B2994" s="901" t="n"/>
    </row>
    <row r="2995" ht="15" customHeight="1" s="783">
      <c r="B2995" s="901" t="n"/>
    </row>
    <row r="2996" ht="15" customHeight="1" s="783">
      <c r="B2996" s="901" t="n"/>
    </row>
    <row r="2997" ht="15" customHeight="1" s="783">
      <c r="B2997" s="901" t="n"/>
    </row>
    <row r="2998" ht="15" customHeight="1" s="783">
      <c r="B2998" s="901" t="n"/>
    </row>
    <row r="2999" ht="15" customHeight="1" s="783">
      <c r="B2999" s="901" t="n"/>
    </row>
    <row r="3000" ht="15" customHeight="1" s="783">
      <c r="B3000" s="901" t="n"/>
    </row>
    <row r="3001" ht="15" customHeight="1" s="783">
      <c r="B3001" s="901" t="n"/>
    </row>
    <row r="3002" ht="15" customHeight="1" s="783">
      <c r="B3002" s="901" t="n"/>
    </row>
    <row r="3003" ht="15" customHeight="1" s="783">
      <c r="B3003" s="901" t="n"/>
    </row>
    <row r="3004" ht="15" customHeight="1" s="783">
      <c r="B3004" s="901" t="n"/>
    </row>
    <row r="3005" ht="15" customHeight="1" s="783">
      <c r="B3005" s="901" t="n"/>
    </row>
    <row r="3006" ht="15" customHeight="1" s="783">
      <c r="B3006" s="901" t="n"/>
    </row>
    <row r="3007" ht="15" customHeight="1" s="783">
      <c r="B3007" s="901" t="n"/>
    </row>
    <row r="3008" ht="15" customHeight="1" s="783">
      <c r="B3008" s="901" t="n"/>
    </row>
    <row r="3009" ht="15" customHeight="1" s="783">
      <c r="B3009" s="901" t="n"/>
    </row>
    <row r="3010" ht="15" customHeight="1" s="783">
      <c r="B3010" s="901" t="n"/>
    </row>
    <row r="3011" ht="15" customHeight="1" s="783">
      <c r="B3011" s="901" t="n"/>
    </row>
    <row r="3012" ht="15" customHeight="1" s="783">
      <c r="B3012" s="901" t="n"/>
    </row>
    <row r="3013" ht="15" customHeight="1" s="783">
      <c r="B3013" s="901" t="n"/>
    </row>
    <row r="3014" ht="15" customHeight="1" s="783">
      <c r="B3014" s="901" t="n"/>
    </row>
    <row r="3015" ht="15" customHeight="1" s="783">
      <c r="B3015" s="901" t="n"/>
    </row>
    <row r="3016" ht="15" customHeight="1" s="783">
      <c r="B3016" s="901" t="n"/>
    </row>
    <row r="3017" ht="15" customHeight="1" s="783">
      <c r="B3017" s="901" t="n"/>
    </row>
    <row r="3018" ht="15" customHeight="1" s="783">
      <c r="B3018" s="901" t="n"/>
    </row>
    <row r="3019" ht="15" customHeight="1" s="783">
      <c r="B3019" s="901" t="n"/>
    </row>
    <row r="3020" ht="15" customHeight="1" s="783">
      <c r="B3020" s="901" t="n"/>
    </row>
    <row r="3021" ht="15" customHeight="1" s="783">
      <c r="B3021" s="901" t="n"/>
    </row>
    <row r="3022" ht="15" customHeight="1" s="783">
      <c r="B3022" s="901" t="n"/>
    </row>
    <row r="3023" ht="15" customHeight="1" s="783">
      <c r="B3023" s="901" t="n"/>
    </row>
    <row r="3024" ht="15" customHeight="1" s="783">
      <c r="B3024" s="901" t="n"/>
    </row>
    <row r="3025" ht="15" customHeight="1" s="783">
      <c r="B3025" s="901" t="n"/>
    </row>
    <row r="3026" ht="15" customHeight="1" s="783">
      <c r="B3026" s="901" t="n"/>
    </row>
    <row r="3027" ht="15" customHeight="1" s="783">
      <c r="B3027" s="901" t="n"/>
    </row>
    <row r="3028" ht="15" customHeight="1" s="783">
      <c r="B3028" s="901" t="n"/>
    </row>
    <row r="3029" ht="15" customHeight="1" s="783">
      <c r="B3029" s="901" t="n"/>
    </row>
    <row r="3030" ht="15" customHeight="1" s="783">
      <c r="B3030" s="901" t="n"/>
    </row>
    <row r="3031" ht="15" customHeight="1" s="783">
      <c r="B3031" s="901" t="n"/>
    </row>
    <row r="3032" ht="15" customHeight="1" s="783">
      <c r="B3032" s="901" t="n"/>
    </row>
    <row r="3033" ht="15" customHeight="1" s="783">
      <c r="B3033" s="901" t="n"/>
    </row>
    <row r="3034" ht="15" customHeight="1" s="783">
      <c r="B3034" s="901" t="n"/>
    </row>
    <row r="3035" ht="15" customHeight="1" s="783">
      <c r="B3035" s="901" t="n"/>
    </row>
    <row r="3036" ht="15" customHeight="1" s="783">
      <c r="B3036" s="901" t="n"/>
    </row>
    <row r="3037" ht="15" customHeight="1" s="783">
      <c r="B3037" s="901" t="n"/>
    </row>
    <row r="3038" ht="15" customHeight="1" s="783">
      <c r="B3038" s="901" t="n"/>
    </row>
    <row r="3039" ht="15" customHeight="1" s="783">
      <c r="B3039" s="901" t="n"/>
    </row>
    <row r="3040" ht="15" customHeight="1" s="783">
      <c r="B3040" s="901" t="n"/>
    </row>
    <row r="3041" ht="15" customHeight="1" s="783">
      <c r="B3041" s="901" t="n"/>
    </row>
    <row r="3042" ht="15" customHeight="1" s="783">
      <c r="B3042" s="901" t="n"/>
    </row>
    <row r="3043" ht="15" customHeight="1" s="783">
      <c r="B3043" s="901" t="n"/>
    </row>
    <row r="3044" ht="15" customHeight="1" s="783">
      <c r="B3044" s="901" t="n"/>
    </row>
    <row r="3045" ht="15" customHeight="1" s="783">
      <c r="B3045" s="901" t="n"/>
    </row>
    <row r="3046" ht="15" customHeight="1" s="783">
      <c r="B3046" s="901" t="n"/>
    </row>
    <row r="3047" ht="15" customHeight="1" s="783">
      <c r="B3047" s="901" t="n"/>
    </row>
    <row r="3048" ht="15" customHeight="1" s="783">
      <c r="B3048" s="901" t="n"/>
    </row>
    <row r="3049" ht="15" customHeight="1" s="783">
      <c r="B3049" s="901" t="n"/>
    </row>
    <row r="3050" ht="15" customHeight="1" s="783">
      <c r="B3050" s="901" t="n"/>
    </row>
    <row r="3051" ht="15" customHeight="1" s="783">
      <c r="B3051" s="901" t="n"/>
    </row>
    <row r="3052" ht="15" customHeight="1" s="783">
      <c r="B3052" s="901" t="n"/>
    </row>
    <row r="3053" ht="15" customHeight="1" s="783">
      <c r="B3053" s="901" t="n"/>
    </row>
    <row r="3054" ht="15" customHeight="1" s="783">
      <c r="B3054" s="901" t="n"/>
    </row>
    <row r="3055" ht="15" customHeight="1" s="783">
      <c r="B3055" s="901" t="n"/>
    </row>
    <row r="3056" ht="15" customHeight="1" s="783">
      <c r="B3056" s="901" t="n"/>
    </row>
    <row r="3057" ht="15" customHeight="1" s="783">
      <c r="B3057" s="901" t="n"/>
    </row>
    <row r="3058" ht="15" customHeight="1" s="783">
      <c r="B3058" s="901" t="n"/>
    </row>
    <row r="3059" ht="15" customHeight="1" s="783">
      <c r="B3059" s="901" t="n"/>
    </row>
    <row r="3060" ht="15" customHeight="1" s="783">
      <c r="B3060" s="901" t="n"/>
    </row>
    <row r="3061" ht="15" customHeight="1" s="783">
      <c r="B3061" s="901" t="n"/>
    </row>
    <row r="3062" ht="15" customHeight="1" s="783">
      <c r="B3062" s="901" t="n"/>
    </row>
    <row r="3063" ht="15" customHeight="1" s="783">
      <c r="B3063" s="901" t="n"/>
    </row>
    <row r="3064" ht="15" customHeight="1" s="783">
      <c r="B3064" s="901" t="n"/>
    </row>
    <row r="3065" ht="15" customHeight="1" s="783">
      <c r="B3065" s="901" t="n"/>
    </row>
    <row r="3066" ht="15" customHeight="1" s="783">
      <c r="B3066" s="901" t="n"/>
    </row>
    <row r="3067" ht="15" customHeight="1" s="783">
      <c r="B3067" s="901" t="n"/>
    </row>
    <row r="3068" ht="15" customHeight="1" s="783">
      <c r="B3068" s="901" t="n"/>
    </row>
    <row r="3069" ht="15" customHeight="1" s="783">
      <c r="B3069" s="901" t="n"/>
    </row>
    <row r="3070" ht="15" customHeight="1" s="783">
      <c r="B3070" s="901" t="n"/>
    </row>
    <row r="3071" ht="15" customHeight="1" s="783">
      <c r="B3071" s="901" t="n"/>
    </row>
    <row r="3072" ht="15" customHeight="1" s="783">
      <c r="B3072" s="901" t="n"/>
    </row>
    <row r="3073" ht="15" customHeight="1" s="783">
      <c r="B3073" s="901" t="n"/>
    </row>
    <row r="3074" ht="15" customHeight="1" s="783">
      <c r="B3074" s="901" t="n"/>
    </row>
    <row r="3075" ht="15" customHeight="1" s="783">
      <c r="B3075" s="901" t="n"/>
    </row>
    <row r="3076" ht="15" customHeight="1" s="783">
      <c r="B3076" s="901" t="n"/>
    </row>
    <row r="3077" ht="15" customHeight="1" s="783">
      <c r="B3077" s="901" t="n"/>
    </row>
    <row r="3078" ht="15" customHeight="1" s="783">
      <c r="B3078" s="901" t="n"/>
    </row>
    <row r="3079" ht="15" customHeight="1" s="783">
      <c r="B3079" s="901" t="n"/>
    </row>
    <row r="3080" ht="15" customHeight="1" s="783">
      <c r="B3080" s="901" t="n"/>
    </row>
    <row r="3081" ht="15" customHeight="1" s="783">
      <c r="B3081" s="901" t="n"/>
    </row>
    <row r="3082" ht="15" customHeight="1" s="783">
      <c r="B3082" s="901" t="n"/>
    </row>
    <row r="3083" ht="15" customHeight="1" s="783">
      <c r="B3083" s="901" t="n"/>
    </row>
    <row r="3084" ht="15" customHeight="1" s="783">
      <c r="B3084" s="901" t="n"/>
    </row>
    <row r="3085" ht="15" customHeight="1" s="783">
      <c r="B3085" s="901" t="n"/>
    </row>
    <row r="3086" ht="15" customHeight="1" s="783">
      <c r="B3086" s="901" t="n"/>
    </row>
    <row r="3087" ht="15" customHeight="1" s="783">
      <c r="B3087" s="901" t="n"/>
    </row>
    <row r="3088" ht="15" customHeight="1" s="783">
      <c r="B3088" s="901" t="n"/>
    </row>
    <row r="3089" ht="15" customHeight="1" s="783">
      <c r="B3089" s="901" t="n"/>
    </row>
    <row r="3090" ht="15" customHeight="1" s="783">
      <c r="B3090" s="901" t="n"/>
    </row>
    <row r="3091" ht="15" customHeight="1" s="783">
      <c r="B3091" s="901" t="n"/>
    </row>
    <row r="3092" ht="15" customHeight="1" s="783">
      <c r="B3092" s="901" t="n"/>
    </row>
    <row r="3093" ht="15" customHeight="1" s="783">
      <c r="B3093" s="901" t="n"/>
    </row>
    <row r="3094" ht="15" customHeight="1" s="783">
      <c r="B3094" s="901" t="n"/>
    </row>
    <row r="3095" ht="15" customHeight="1" s="783">
      <c r="B3095" s="901" t="n"/>
    </row>
    <row r="3096" ht="15" customHeight="1" s="783">
      <c r="B3096" s="901" t="n"/>
    </row>
    <row r="3097" ht="15" customHeight="1" s="783">
      <c r="B3097" s="901" t="n"/>
    </row>
    <row r="3098" ht="15" customHeight="1" s="783">
      <c r="B3098" s="901" t="n"/>
    </row>
    <row r="3099" ht="15" customHeight="1" s="783">
      <c r="B3099" s="901" t="n"/>
    </row>
    <row r="3100" ht="15" customHeight="1" s="783">
      <c r="B3100" s="901" t="n"/>
    </row>
    <row r="3101" ht="15" customHeight="1" s="783">
      <c r="B3101" s="901" t="n"/>
    </row>
    <row r="3102" ht="15" customHeight="1" s="783">
      <c r="B3102" s="901" t="n"/>
    </row>
    <row r="3103" ht="15" customHeight="1" s="783">
      <c r="B3103" s="901" t="n"/>
    </row>
    <row r="3104" ht="15" customHeight="1" s="783">
      <c r="B3104" s="901" t="n"/>
    </row>
    <row r="3105" ht="15" customHeight="1" s="783">
      <c r="B3105" s="901" t="n"/>
    </row>
    <row r="3106" ht="15" customHeight="1" s="783">
      <c r="B3106" s="901" t="n"/>
    </row>
    <row r="3107" ht="15" customHeight="1" s="783">
      <c r="B3107" s="901" t="n"/>
    </row>
    <row r="3108" ht="15" customHeight="1" s="783">
      <c r="B3108" s="901" t="n"/>
    </row>
    <row r="3109" ht="15" customHeight="1" s="783">
      <c r="B3109" s="901" t="n"/>
    </row>
    <row r="3110" ht="15" customHeight="1" s="783">
      <c r="B3110" s="901" t="n"/>
    </row>
    <row r="3111" ht="15" customHeight="1" s="783">
      <c r="B3111" s="901" t="n"/>
    </row>
    <row r="3112" ht="15" customHeight="1" s="783">
      <c r="B3112" s="901" t="n"/>
    </row>
    <row r="3113" ht="15" customHeight="1" s="783">
      <c r="B3113" s="901" t="n"/>
    </row>
    <row r="3114" ht="15" customHeight="1" s="783">
      <c r="B3114" s="901" t="n"/>
    </row>
    <row r="3115" ht="15" customHeight="1" s="783">
      <c r="B3115" s="901" t="n"/>
    </row>
    <row r="3116" ht="15" customHeight="1" s="783">
      <c r="B3116" s="901" t="n"/>
    </row>
    <row r="3117" ht="15" customHeight="1" s="783">
      <c r="B3117" s="901" t="n"/>
    </row>
    <row r="3118" ht="15" customHeight="1" s="783">
      <c r="B3118" s="901" t="n"/>
    </row>
    <row r="3119" ht="15" customHeight="1" s="783">
      <c r="B3119" s="901" t="n"/>
    </row>
    <row r="3120" ht="15" customHeight="1" s="783">
      <c r="B3120" s="901" t="n"/>
    </row>
    <row r="3121" ht="15" customHeight="1" s="783">
      <c r="B3121" s="901" t="n"/>
    </row>
    <row r="3122" ht="15" customHeight="1" s="783">
      <c r="B3122" s="901" t="n"/>
    </row>
    <row r="3123" ht="15" customHeight="1" s="783">
      <c r="B3123" s="901" t="n"/>
    </row>
    <row r="3124" ht="15" customHeight="1" s="783">
      <c r="B3124" s="901" t="n"/>
    </row>
    <row r="3125" ht="15" customHeight="1" s="783">
      <c r="B3125" s="901" t="n"/>
    </row>
    <row r="3126" ht="15" customHeight="1" s="783">
      <c r="B3126" s="901" t="n"/>
    </row>
    <row r="3127" ht="15" customHeight="1" s="783">
      <c r="B3127" s="901" t="n"/>
    </row>
    <row r="3128" ht="15" customHeight="1" s="783">
      <c r="B3128" s="901" t="n"/>
    </row>
    <row r="3129" ht="15" customHeight="1" s="783">
      <c r="B3129" s="901" t="n"/>
    </row>
    <row r="3130" ht="15" customHeight="1" s="783">
      <c r="B3130" s="901" t="n"/>
    </row>
    <row r="3131" ht="15" customHeight="1" s="783">
      <c r="B3131" s="901" t="n"/>
    </row>
    <row r="3132" ht="15" customHeight="1" s="783">
      <c r="B3132" s="901" t="n"/>
    </row>
    <row r="3133" ht="15" customHeight="1" s="783">
      <c r="B3133" s="901" t="n"/>
    </row>
    <row r="3134" ht="15" customHeight="1" s="783">
      <c r="B3134" s="901" t="n"/>
    </row>
    <row r="3135" ht="15" customHeight="1" s="783">
      <c r="B3135" s="901" t="n"/>
    </row>
    <row r="3136" ht="15" customHeight="1" s="783">
      <c r="B3136" s="901" t="n"/>
    </row>
    <row r="3137" ht="15" customHeight="1" s="783">
      <c r="B3137" s="901" t="n"/>
    </row>
    <row r="3138" ht="15" customHeight="1" s="783">
      <c r="B3138" s="901" t="n"/>
    </row>
    <row r="3139" ht="15" customHeight="1" s="783">
      <c r="B3139" s="901" t="n"/>
    </row>
    <row r="3140" ht="15" customHeight="1" s="783">
      <c r="B3140" s="901" t="n"/>
    </row>
    <row r="3141" ht="15" customHeight="1" s="783">
      <c r="B3141" s="901" t="n"/>
    </row>
    <row r="3142" ht="15" customHeight="1" s="783">
      <c r="B3142" s="901" t="n"/>
    </row>
    <row r="3143" ht="15" customHeight="1" s="783">
      <c r="B3143" s="901" t="n"/>
    </row>
    <row r="3144" ht="15" customHeight="1" s="783">
      <c r="B3144" s="901" t="n"/>
    </row>
    <row r="3145" ht="15" customHeight="1" s="783">
      <c r="B3145" s="901" t="n"/>
    </row>
    <row r="3146" ht="15" customHeight="1" s="783">
      <c r="B3146" s="901" t="n"/>
    </row>
    <row r="3147" ht="15" customHeight="1" s="783">
      <c r="B3147" s="901" t="n"/>
    </row>
    <row r="3148" ht="15" customHeight="1" s="783">
      <c r="B3148" s="901" t="n"/>
    </row>
    <row r="3149" ht="15" customHeight="1" s="783">
      <c r="B3149" s="901" t="n"/>
    </row>
    <row r="3150" ht="15" customHeight="1" s="783">
      <c r="B3150" s="901" t="n"/>
    </row>
    <row r="3151" ht="15" customHeight="1" s="783">
      <c r="B3151" s="901" t="n"/>
    </row>
    <row r="3152" ht="15" customHeight="1" s="783">
      <c r="B3152" s="901" t="n"/>
    </row>
    <row r="3153" ht="15" customHeight="1" s="783">
      <c r="B3153" s="901" t="n"/>
    </row>
    <row r="3154" ht="15" customHeight="1" s="783">
      <c r="B3154" s="901" t="n"/>
    </row>
    <row r="3155" ht="15" customHeight="1" s="783">
      <c r="B3155" s="901" t="n"/>
    </row>
    <row r="3156" ht="15" customHeight="1" s="783">
      <c r="B3156" s="901" t="n"/>
    </row>
    <row r="3157" ht="15" customHeight="1" s="783">
      <c r="B3157" s="901" t="n"/>
    </row>
    <row r="3158" ht="15" customHeight="1" s="783">
      <c r="B3158" s="901" t="n"/>
    </row>
    <row r="3159" ht="15" customHeight="1" s="783">
      <c r="B3159" s="901" t="n"/>
    </row>
    <row r="3160" ht="15" customHeight="1" s="783">
      <c r="B3160" s="901" t="n"/>
    </row>
    <row r="3161" ht="15" customHeight="1" s="783">
      <c r="B3161" s="901" t="n"/>
    </row>
    <row r="3162" ht="15" customHeight="1" s="783">
      <c r="B3162" s="901" t="n"/>
    </row>
    <row r="3163" ht="15" customHeight="1" s="783">
      <c r="B3163" s="901" t="n"/>
    </row>
    <row r="3164" ht="15" customHeight="1" s="783">
      <c r="B3164" s="901" t="n"/>
    </row>
    <row r="3165" ht="15" customHeight="1" s="783">
      <c r="B3165" s="901" t="n"/>
    </row>
    <row r="3166" ht="15" customHeight="1" s="783">
      <c r="B3166" s="901" t="n"/>
    </row>
    <row r="3167" ht="15" customHeight="1" s="783">
      <c r="B3167" s="901" t="n"/>
    </row>
    <row r="3168" ht="15" customHeight="1" s="783">
      <c r="B3168" s="901" t="n"/>
    </row>
    <row r="3169" ht="15" customHeight="1" s="783">
      <c r="B3169" s="901" t="n"/>
    </row>
    <row r="3170" ht="15" customHeight="1" s="783">
      <c r="B3170" s="901" t="n"/>
    </row>
    <row r="3171" ht="15" customHeight="1" s="783">
      <c r="B3171" s="901" t="n"/>
    </row>
    <row r="3172" ht="15" customHeight="1" s="783">
      <c r="B3172" s="901" t="n"/>
    </row>
    <row r="3173" ht="15" customHeight="1" s="783">
      <c r="B3173" s="901" t="n"/>
    </row>
    <row r="3174" ht="15" customHeight="1" s="783">
      <c r="B3174" s="901" t="n"/>
    </row>
    <row r="3175" ht="15" customHeight="1" s="783">
      <c r="B3175" s="901" t="n"/>
    </row>
    <row r="3176" ht="15" customHeight="1" s="783">
      <c r="B3176" s="901" t="n"/>
    </row>
    <row r="3177" ht="15" customHeight="1" s="783">
      <c r="B3177" s="901" t="n"/>
    </row>
    <row r="3178" ht="15" customHeight="1" s="783">
      <c r="B3178" s="901" t="n"/>
    </row>
    <row r="3179" ht="15" customHeight="1" s="783">
      <c r="B3179" s="901" t="n"/>
    </row>
    <row r="3180" ht="15" customHeight="1" s="783">
      <c r="B3180" s="901" t="n"/>
    </row>
    <row r="3181" ht="15" customHeight="1" s="783">
      <c r="B3181" s="901" t="n"/>
    </row>
    <row r="3182" ht="15" customHeight="1" s="783">
      <c r="B3182" s="901" t="n"/>
    </row>
    <row r="3183" ht="15" customHeight="1" s="783">
      <c r="B3183" s="901" t="n"/>
    </row>
    <row r="3184" ht="15" customHeight="1" s="783">
      <c r="B3184" s="901" t="n"/>
    </row>
    <row r="3185" ht="15" customHeight="1" s="783">
      <c r="B3185" s="901" t="n"/>
    </row>
    <row r="3186" ht="15" customHeight="1" s="783">
      <c r="B3186" s="901" t="n"/>
    </row>
    <row r="3187" ht="15" customHeight="1" s="783">
      <c r="B3187" s="901" t="n"/>
    </row>
    <row r="3188" ht="15" customHeight="1" s="783">
      <c r="B3188" s="901" t="n"/>
    </row>
    <row r="3189" ht="15" customHeight="1" s="783">
      <c r="B3189" s="901" t="n"/>
    </row>
    <row r="3190" ht="15" customHeight="1" s="783">
      <c r="B3190" s="901" t="n"/>
    </row>
    <row r="3191" ht="15" customHeight="1" s="783">
      <c r="B3191" s="901" t="n"/>
    </row>
    <row r="3192" ht="15" customHeight="1" s="783">
      <c r="B3192" s="901" t="n"/>
    </row>
    <row r="3193" ht="15" customHeight="1" s="783">
      <c r="B3193" s="901" t="n"/>
    </row>
    <row r="3194" ht="15" customHeight="1" s="783">
      <c r="B3194" s="901" t="n"/>
    </row>
    <row r="3195" ht="15" customHeight="1" s="783">
      <c r="B3195" s="901" t="n"/>
    </row>
    <row r="3196" ht="15" customHeight="1" s="783">
      <c r="B3196" s="901" t="n"/>
    </row>
    <row r="3197" ht="15" customHeight="1" s="783">
      <c r="B3197" s="901" t="n"/>
    </row>
    <row r="3198" ht="15" customHeight="1" s="783">
      <c r="B3198" s="901" t="n"/>
    </row>
    <row r="3199" ht="15" customHeight="1" s="783">
      <c r="B3199" s="901" t="n"/>
    </row>
    <row r="3200" ht="15" customHeight="1" s="783">
      <c r="B3200" s="901" t="n"/>
    </row>
    <row r="3201" ht="15" customHeight="1" s="783">
      <c r="B3201" s="901" t="n"/>
    </row>
    <row r="3202" ht="15" customHeight="1" s="783">
      <c r="B3202" s="901" t="n"/>
    </row>
    <row r="3203" ht="15" customHeight="1" s="783">
      <c r="B3203" s="901" t="n"/>
    </row>
    <row r="3204" ht="15" customHeight="1" s="783">
      <c r="B3204" s="901" t="n"/>
    </row>
    <row r="3205" ht="15" customHeight="1" s="783">
      <c r="B3205" s="901" t="n"/>
    </row>
    <row r="3206" ht="15" customHeight="1" s="783">
      <c r="B3206" s="901" t="n"/>
    </row>
    <row r="3207" ht="15" customHeight="1" s="783">
      <c r="B3207" s="901" t="n"/>
    </row>
    <row r="3208" ht="15" customHeight="1" s="783">
      <c r="B3208" s="901" t="n"/>
    </row>
    <row r="3209" ht="15" customHeight="1" s="783">
      <c r="B3209" s="901" t="n"/>
    </row>
    <row r="3210" ht="15" customHeight="1" s="783">
      <c r="B3210" s="901" t="n"/>
    </row>
    <row r="3211" ht="15" customHeight="1" s="783">
      <c r="B3211" s="901" t="n"/>
    </row>
    <row r="3212" ht="15" customHeight="1" s="783">
      <c r="B3212" s="901" t="n"/>
    </row>
    <row r="3213" ht="15" customHeight="1" s="783">
      <c r="B3213" s="901" t="n"/>
    </row>
    <row r="3214" ht="15" customHeight="1" s="783">
      <c r="B3214" s="901" t="n"/>
    </row>
    <row r="3215" ht="15" customHeight="1" s="783">
      <c r="B3215" s="901" t="n"/>
    </row>
    <row r="3216" ht="15" customHeight="1" s="783">
      <c r="B3216" s="901" t="n"/>
    </row>
    <row r="3217" ht="15" customHeight="1" s="783">
      <c r="B3217" s="901" t="n"/>
    </row>
    <row r="3218" ht="15" customHeight="1" s="783">
      <c r="B3218" s="901" t="n"/>
    </row>
    <row r="3219" ht="15" customHeight="1" s="783">
      <c r="B3219" s="901" t="n"/>
    </row>
    <row r="3220" ht="15" customHeight="1" s="783">
      <c r="B3220" s="901" t="n"/>
    </row>
    <row r="3221" ht="15" customHeight="1" s="783">
      <c r="B3221" s="901" t="n"/>
    </row>
    <row r="3222" ht="15" customHeight="1" s="783">
      <c r="B3222" s="901" t="n"/>
    </row>
    <row r="3223" ht="15" customHeight="1" s="783">
      <c r="B3223" s="901" t="n"/>
    </row>
    <row r="3224" ht="15" customHeight="1" s="783">
      <c r="B3224" s="901" t="n"/>
    </row>
    <row r="3225" ht="15" customHeight="1" s="783">
      <c r="B3225" s="901" t="n"/>
    </row>
    <row r="3226" ht="15" customHeight="1" s="783">
      <c r="B3226" s="901" t="n"/>
    </row>
    <row r="3227" ht="15" customHeight="1" s="783">
      <c r="B3227" s="901" t="n"/>
    </row>
    <row r="3228" ht="15" customHeight="1" s="783">
      <c r="B3228" s="901" t="n"/>
    </row>
    <row r="3229" ht="15" customHeight="1" s="783">
      <c r="B3229" s="901" t="n"/>
    </row>
    <row r="3230" ht="15" customHeight="1" s="783">
      <c r="B3230" s="901" t="n"/>
    </row>
    <row r="3231" ht="15" customHeight="1" s="783">
      <c r="B3231" s="901" t="n"/>
    </row>
    <row r="3232" ht="15" customHeight="1" s="783">
      <c r="B3232" s="901" t="n"/>
    </row>
    <row r="3233" ht="15" customHeight="1" s="783">
      <c r="B3233" s="901" t="n"/>
    </row>
    <row r="3234" ht="15" customHeight="1" s="783">
      <c r="B3234" s="901" t="n"/>
    </row>
    <row r="3235" ht="15" customHeight="1" s="783">
      <c r="B3235" s="901" t="n"/>
    </row>
    <row r="3236" ht="15" customHeight="1" s="783">
      <c r="B3236" s="901" t="n"/>
    </row>
    <row r="3237" ht="15" customHeight="1" s="783">
      <c r="B3237" s="901" t="n"/>
    </row>
    <row r="3238" ht="15" customHeight="1" s="783">
      <c r="B3238" s="901" t="n"/>
    </row>
    <row r="3239" ht="15" customHeight="1" s="783">
      <c r="B3239" s="901" t="n"/>
    </row>
    <row r="3240" ht="15" customHeight="1" s="783">
      <c r="B3240" s="901" t="n"/>
    </row>
    <row r="3241" ht="15" customHeight="1" s="783">
      <c r="B3241" s="901" t="n"/>
    </row>
    <row r="3242" ht="15" customHeight="1" s="783">
      <c r="B3242" s="901" t="n"/>
    </row>
    <row r="3243" ht="15" customHeight="1" s="783">
      <c r="B3243" s="901" t="n"/>
    </row>
    <row r="3244" ht="15" customHeight="1" s="783">
      <c r="B3244" s="901" t="n"/>
    </row>
    <row r="3245" ht="15" customHeight="1" s="783">
      <c r="B3245" s="901" t="n"/>
    </row>
    <row r="3246" ht="15" customHeight="1" s="783">
      <c r="B3246" s="901" t="n"/>
    </row>
    <row r="3247" ht="15" customHeight="1" s="783">
      <c r="B3247" s="901" t="n"/>
    </row>
    <row r="3248" ht="15" customHeight="1" s="783">
      <c r="B3248" s="901" t="n"/>
    </row>
    <row r="3249" ht="15" customHeight="1" s="783">
      <c r="B3249" s="901" t="n"/>
    </row>
    <row r="3250" ht="15" customHeight="1" s="783">
      <c r="B3250" s="901" t="n"/>
    </row>
    <row r="3251" ht="15" customHeight="1" s="783">
      <c r="B3251" s="901" t="n"/>
    </row>
    <row r="3252" ht="15" customHeight="1" s="783">
      <c r="B3252" s="901" t="n"/>
    </row>
    <row r="3253" ht="15" customHeight="1" s="783">
      <c r="B3253" s="901" t="n"/>
    </row>
    <row r="3254" ht="15" customHeight="1" s="783">
      <c r="B3254" s="901" t="n"/>
    </row>
    <row r="3255" ht="15" customHeight="1" s="783">
      <c r="B3255" s="901" t="n"/>
    </row>
    <row r="3256" ht="15" customHeight="1" s="783">
      <c r="B3256" s="901" t="n"/>
    </row>
    <row r="3257" ht="15" customHeight="1" s="783">
      <c r="B3257" s="901" t="n"/>
    </row>
    <row r="3258" ht="15" customHeight="1" s="783">
      <c r="B3258" s="901" t="n"/>
    </row>
    <row r="3259" ht="15" customHeight="1" s="783">
      <c r="B3259" s="901" t="n"/>
    </row>
    <row r="3260" ht="15" customHeight="1" s="783">
      <c r="B3260" s="901" t="n"/>
    </row>
    <row r="3261" ht="15" customHeight="1" s="783">
      <c r="B3261" s="901" t="n"/>
    </row>
    <row r="3262" ht="15" customHeight="1" s="783">
      <c r="B3262" s="901" t="n"/>
    </row>
    <row r="3263" ht="15" customHeight="1" s="783">
      <c r="B3263" s="901" t="n"/>
    </row>
    <row r="3264" ht="15" customHeight="1" s="783">
      <c r="B3264" s="901" t="n"/>
    </row>
    <row r="3265" ht="15" customHeight="1" s="783">
      <c r="B3265" s="901" t="n"/>
    </row>
    <row r="3266" ht="15" customHeight="1" s="783">
      <c r="B3266" s="901" t="n"/>
    </row>
    <row r="3267" ht="15" customHeight="1" s="783">
      <c r="B3267" s="901" t="n"/>
    </row>
    <row r="3268" ht="15" customHeight="1" s="783">
      <c r="B3268" s="901" t="n"/>
    </row>
    <row r="3269" ht="15" customHeight="1" s="783">
      <c r="B3269" s="901" t="n"/>
    </row>
    <row r="3270" ht="15" customHeight="1" s="783">
      <c r="B3270" s="901" t="n"/>
    </row>
    <row r="3271" ht="15" customHeight="1" s="783">
      <c r="B3271" s="901" t="n"/>
    </row>
    <row r="3272" ht="15" customHeight="1" s="783">
      <c r="B3272" s="901" t="n"/>
    </row>
    <row r="3273" ht="15" customHeight="1" s="783">
      <c r="B3273" s="901" t="n"/>
    </row>
    <row r="3274" ht="15" customHeight="1" s="783">
      <c r="B3274" s="901" t="n"/>
    </row>
    <row r="3275" ht="15" customHeight="1" s="783">
      <c r="B3275" s="901" t="n"/>
    </row>
    <row r="3276" ht="15" customHeight="1" s="783">
      <c r="B3276" s="901" t="n"/>
    </row>
    <row r="3277" ht="15" customHeight="1" s="783">
      <c r="B3277" s="901" t="n"/>
    </row>
    <row r="3278" ht="15" customHeight="1" s="783">
      <c r="B3278" s="901" t="n"/>
    </row>
    <row r="3279" ht="15" customHeight="1" s="783">
      <c r="B3279" s="901" t="n"/>
    </row>
    <row r="3280" ht="15" customHeight="1" s="783">
      <c r="B3280" s="901" t="n"/>
    </row>
    <row r="3281" ht="15" customHeight="1" s="783">
      <c r="B3281" s="901" t="n"/>
    </row>
    <row r="3282" ht="15" customHeight="1" s="783">
      <c r="B3282" s="901" t="n"/>
    </row>
    <row r="3283" ht="15" customHeight="1" s="783">
      <c r="B3283" s="901" t="n"/>
    </row>
    <row r="3284" ht="15" customHeight="1" s="783">
      <c r="B3284" s="901" t="n"/>
    </row>
    <row r="3285" ht="15" customHeight="1" s="783">
      <c r="B3285" s="901" t="n"/>
    </row>
    <row r="3286" ht="15" customHeight="1" s="783">
      <c r="B3286" s="901" t="n"/>
    </row>
    <row r="3287" ht="15" customHeight="1" s="783">
      <c r="B3287" s="901" t="n"/>
    </row>
    <row r="3288" ht="15" customHeight="1" s="783">
      <c r="B3288" s="901" t="n"/>
    </row>
    <row r="3289" ht="15" customHeight="1" s="783">
      <c r="B3289" s="901" t="n"/>
    </row>
    <row r="3290" ht="15" customHeight="1" s="783">
      <c r="B3290" s="901" t="n"/>
    </row>
    <row r="3291" ht="15" customHeight="1" s="783">
      <c r="B3291" s="901" t="n"/>
    </row>
    <row r="3292" ht="15" customHeight="1" s="783">
      <c r="B3292" s="901" t="n"/>
    </row>
    <row r="3293" ht="15" customHeight="1" s="783">
      <c r="B3293" s="901" t="n"/>
    </row>
    <row r="3294" ht="15" customHeight="1" s="783">
      <c r="B3294" s="901" t="n"/>
    </row>
    <row r="3295" ht="15" customHeight="1" s="783">
      <c r="B3295" s="901" t="n"/>
    </row>
    <row r="3296" ht="15" customHeight="1" s="783">
      <c r="B3296" s="901" t="n"/>
    </row>
    <row r="3297" ht="15" customHeight="1" s="783">
      <c r="B3297" s="901" t="n"/>
    </row>
    <row r="3298" ht="15" customHeight="1" s="783">
      <c r="B3298" s="901" t="n"/>
    </row>
    <row r="3299" ht="15" customHeight="1" s="783">
      <c r="B3299" s="901" t="n"/>
    </row>
    <row r="3300" ht="15" customHeight="1" s="783">
      <c r="B3300" s="901" t="n"/>
    </row>
    <row r="3301" ht="15" customHeight="1" s="783">
      <c r="B3301" s="901" t="n"/>
    </row>
    <row r="3302" ht="15" customHeight="1" s="783">
      <c r="B3302" s="901" t="n"/>
    </row>
    <row r="3303" ht="15" customHeight="1" s="783">
      <c r="B3303" s="901" t="n"/>
    </row>
    <row r="3304" ht="15" customHeight="1" s="783">
      <c r="B3304" s="901" t="n"/>
    </row>
    <row r="3305" ht="15" customHeight="1" s="783">
      <c r="B3305" s="901" t="n"/>
    </row>
    <row r="3306" ht="15" customHeight="1" s="783">
      <c r="B3306" s="901" t="n"/>
    </row>
    <row r="3307" ht="15" customHeight="1" s="783">
      <c r="B3307" s="901" t="n"/>
    </row>
    <row r="3308" ht="15" customHeight="1" s="783">
      <c r="B3308" s="901" t="n"/>
    </row>
    <row r="3309" ht="15" customHeight="1" s="783">
      <c r="B3309" s="901" t="n"/>
    </row>
    <row r="3310" ht="15" customHeight="1" s="783">
      <c r="B3310" s="901" t="n"/>
    </row>
    <row r="3311" ht="15" customHeight="1" s="783">
      <c r="B3311" s="901" t="n"/>
    </row>
    <row r="3312" ht="15" customHeight="1" s="783">
      <c r="B3312" s="901" t="n"/>
    </row>
    <row r="3313" ht="15" customHeight="1" s="783">
      <c r="B3313" s="901" t="n"/>
    </row>
    <row r="3314" ht="15" customHeight="1" s="783">
      <c r="B3314" s="901" t="n"/>
    </row>
    <row r="3315" ht="15" customHeight="1" s="783">
      <c r="B3315" s="901" t="n"/>
    </row>
    <row r="3316" ht="15" customHeight="1" s="783">
      <c r="B3316" s="901" t="n"/>
    </row>
    <row r="3317" ht="15" customHeight="1" s="783">
      <c r="B3317" s="901" t="n"/>
    </row>
    <row r="3318" ht="15" customHeight="1" s="783">
      <c r="B3318" s="901" t="n"/>
    </row>
    <row r="3319" ht="15" customHeight="1" s="783">
      <c r="B3319" s="901" t="n"/>
    </row>
    <row r="3320" ht="15" customHeight="1" s="783">
      <c r="B3320" s="901" t="n"/>
    </row>
    <row r="3321" ht="15" customHeight="1" s="783">
      <c r="B3321" s="901" t="n"/>
    </row>
    <row r="3322" ht="15" customHeight="1" s="783">
      <c r="B3322" s="901" t="n"/>
    </row>
    <row r="3323" ht="15" customHeight="1" s="783">
      <c r="B3323" s="901" t="n"/>
    </row>
    <row r="3324" ht="15" customHeight="1" s="783">
      <c r="B3324" s="901" t="n"/>
    </row>
    <row r="3325" ht="15" customHeight="1" s="783">
      <c r="B3325" s="901" t="n"/>
    </row>
    <row r="3326" ht="15" customHeight="1" s="783">
      <c r="B3326" s="901" t="n"/>
    </row>
    <row r="3327" ht="15" customHeight="1" s="783">
      <c r="B3327" s="901" t="n"/>
    </row>
    <row r="3328" ht="15" customHeight="1" s="783">
      <c r="B3328" s="901" t="n"/>
    </row>
    <row r="3329" ht="15" customHeight="1" s="783">
      <c r="B3329" s="901" t="n"/>
    </row>
    <row r="3330" ht="15" customHeight="1" s="783">
      <c r="B3330" s="901" t="n"/>
    </row>
    <row r="3331" ht="15" customHeight="1" s="783">
      <c r="B3331" s="901" t="n"/>
    </row>
    <row r="3332" ht="15" customHeight="1" s="783">
      <c r="B3332" s="901" t="n"/>
    </row>
    <row r="3333" ht="15" customHeight="1" s="783">
      <c r="B3333" s="901" t="n"/>
    </row>
    <row r="3334" ht="15" customHeight="1" s="783">
      <c r="B3334" s="901" t="n"/>
    </row>
    <row r="3335" ht="15" customHeight="1" s="783">
      <c r="B3335" s="901" t="n"/>
    </row>
    <row r="3336" ht="15" customHeight="1" s="783">
      <c r="B3336" s="901" t="n"/>
    </row>
    <row r="3337" ht="15" customHeight="1" s="783">
      <c r="B3337" s="901" t="n"/>
    </row>
    <row r="3338" ht="15" customHeight="1" s="783">
      <c r="B3338" s="901" t="n"/>
    </row>
    <row r="3339" ht="15" customHeight="1" s="783">
      <c r="B3339" s="901" t="n"/>
    </row>
    <row r="3340" ht="15" customHeight="1" s="783">
      <c r="B3340" s="901" t="n"/>
    </row>
    <row r="3341" ht="15" customHeight="1" s="783">
      <c r="B3341" s="901" t="n"/>
    </row>
    <row r="3342" ht="15" customHeight="1" s="783">
      <c r="B3342" s="901" t="n"/>
    </row>
    <row r="3343" ht="15" customHeight="1" s="783">
      <c r="B3343" s="901" t="n"/>
    </row>
    <row r="3344" ht="15" customHeight="1" s="783">
      <c r="B3344" s="901" t="n"/>
    </row>
    <row r="3345" ht="15" customHeight="1" s="783">
      <c r="B3345" s="901" t="n"/>
    </row>
    <row r="3346" ht="15" customHeight="1" s="783">
      <c r="B3346" s="901" t="n"/>
    </row>
    <row r="3347" ht="15" customHeight="1" s="783">
      <c r="B3347" s="901" t="n"/>
    </row>
    <row r="3348" ht="15" customHeight="1" s="783">
      <c r="B3348" s="901" t="n"/>
    </row>
    <row r="3349" ht="15" customHeight="1" s="783">
      <c r="B3349" s="901" t="n"/>
    </row>
    <row r="3350" ht="15" customHeight="1" s="783">
      <c r="B3350" s="901" t="n"/>
    </row>
    <row r="3351" ht="15" customHeight="1" s="783">
      <c r="B3351" s="901" t="n"/>
    </row>
    <row r="3352" ht="15" customHeight="1" s="783">
      <c r="B3352" s="901" t="n"/>
    </row>
    <row r="3353" ht="15" customHeight="1" s="783">
      <c r="B3353" s="901" t="n"/>
    </row>
    <row r="3354" ht="15" customHeight="1" s="783">
      <c r="B3354" s="901" t="n"/>
    </row>
    <row r="3355" ht="15" customHeight="1" s="783">
      <c r="B3355" s="901" t="n"/>
    </row>
    <row r="3356" ht="15" customHeight="1" s="783">
      <c r="B3356" s="901" t="n"/>
    </row>
    <row r="3357" ht="15" customHeight="1" s="783">
      <c r="B3357" s="901" t="n"/>
    </row>
    <row r="3358" ht="15" customHeight="1" s="783">
      <c r="B3358" s="901" t="n"/>
    </row>
    <row r="3359" ht="15" customHeight="1" s="783">
      <c r="B3359" s="901" t="n"/>
    </row>
    <row r="3360" ht="15" customHeight="1" s="783">
      <c r="B3360" s="901" t="n"/>
    </row>
    <row r="3361" ht="15" customHeight="1" s="783">
      <c r="B3361" s="901" t="n"/>
    </row>
    <row r="3362" ht="15" customHeight="1" s="783">
      <c r="B3362" s="901" t="n"/>
    </row>
    <row r="3363" ht="15" customHeight="1" s="783">
      <c r="B3363" s="901" t="n"/>
    </row>
    <row r="3364" ht="15" customHeight="1" s="783">
      <c r="B3364" s="901" t="n"/>
    </row>
    <row r="3365" ht="15" customHeight="1" s="783">
      <c r="B3365" s="901" t="n"/>
    </row>
    <row r="3366" ht="15" customHeight="1" s="783">
      <c r="B3366" s="901" t="n"/>
    </row>
    <row r="3367" ht="15" customHeight="1" s="783">
      <c r="B3367" s="901" t="n"/>
    </row>
    <row r="3368" ht="15" customHeight="1" s="783">
      <c r="B3368" s="901" t="n"/>
    </row>
    <row r="3369" ht="15" customHeight="1" s="783">
      <c r="B3369" s="901" t="n"/>
    </row>
    <row r="3370" ht="15" customHeight="1" s="783">
      <c r="B3370" s="901" t="n"/>
    </row>
    <row r="3371" ht="15" customHeight="1" s="783">
      <c r="B3371" s="901" t="n"/>
    </row>
    <row r="3372" ht="15" customHeight="1" s="783">
      <c r="B3372" s="901" t="n"/>
    </row>
    <row r="3373" ht="15" customHeight="1" s="783">
      <c r="B3373" s="901" t="n"/>
    </row>
    <row r="3374" ht="15" customHeight="1" s="783">
      <c r="B3374" s="901" t="n"/>
    </row>
    <row r="3375" ht="15" customHeight="1" s="783">
      <c r="B3375" s="901" t="n"/>
    </row>
    <row r="3376" ht="15" customHeight="1" s="783">
      <c r="B3376" s="901" t="n"/>
    </row>
    <row r="3377" ht="15" customHeight="1" s="783">
      <c r="B3377" s="901" t="n"/>
    </row>
    <row r="3378" ht="15" customHeight="1" s="783">
      <c r="B3378" s="901" t="n"/>
    </row>
    <row r="3379" ht="15" customHeight="1" s="783">
      <c r="B3379" s="901" t="n"/>
    </row>
    <row r="3380" ht="15" customHeight="1" s="783">
      <c r="B3380" s="901" t="n"/>
    </row>
    <row r="3381" ht="15" customHeight="1" s="783">
      <c r="B3381" s="901" t="n"/>
    </row>
    <row r="3382" ht="15" customHeight="1" s="783">
      <c r="B3382" s="901" t="n"/>
    </row>
    <row r="3383" ht="15" customHeight="1" s="783">
      <c r="B3383" s="901" t="n"/>
    </row>
    <row r="3384" ht="15" customHeight="1" s="783">
      <c r="B3384" s="901" t="n"/>
    </row>
    <row r="3385" ht="15" customHeight="1" s="783">
      <c r="B3385" s="901" t="n"/>
    </row>
    <row r="3386" ht="15" customHeight="1" s="783">
      <c r="B3386" s="901" t="n"/>
    </row>
    <row r="3387" ht="15" customHeight="1" s="783">
      <c r="B3387" s="901" t="n"/>
    </row>
    <row r="3388" ht="15" customHeight="1" s="783">
      <c r="B3388" s="901" t="n"/>
    </row>
    <row r="3389" ht="15" customHeight="1" s="783">
      <c r="B3389" s="901" t="n"/>
    </row>
    <row r="3390" ht="15" customHeight="1" s="783">
      <c r="B3390" s="901" t="n"/>
    </row>
    <row r="3391" ht="15" customHeight="1" s="783">
      <c r="B3391" s="901" t="n"/>
    </row>
    <row r="3392" ht="15" customHeight="1" s="783">
      <c r="B3392" s="901" t="n"/>
    </row>
    <row r="3393" ht="15" customHeight="1" s="783">
      <c r="B3393" s="901" t="n"/>
    </row>
    <row r="3394" ht="15" customHeight="1" s="783">
      <c r="B3394" s="901" t="n"/>
    </row>
    <row r="3395" ht="15" customHeight="1" s="783">
      <c r="B3395" s="901" t="n"/>
    </row>
    <row r="3396" ht="15" customHeight="1" s="783">
      <c r="B3396" s="901" t="n"/>
    </row>
    <row r="3397" ht="15" customHeight="1" s="783">
      <c r="B3397" s="901" t="n"/>
    </row>
    <row r="3398" ht="15" customHeight="1" s="783">
      <c r="B3398" s="901" t="n"/>
    </row>
    <row r="3399" ht="15" customHeight="1" s="783">
      <c r="B3399" s="901" t="n"/>
    </row>
    <row r="3400" ht="15" customHeight="1" s="783">
      <c r="B3400" s="901" t="n"/>
    </row>
    <row r="3401" ht="15" customHeight="1" s="783">
      <c r="B3401" s="901" t="n"/>
    </row>
    <row r="3402" ht="15" customHeight="1" s="783">
      <c r="B3402" s="901" t="n"/>
    </row>
    <row r="3403" ht="15" customHeight="1" s="783">
      <c r="B3403" s="901" t="n"/>
    </row>
    <row r="3404" ht="15" customHeight="1" s="783">
      <c r="B3404" s="901" t="n"/>
    </row>
    <row r="3405" ht="15" customHeight="1" s="783">
      <c r="B3405" s="901" t="n"/>
    </row>
    <row r="3406" ht="15" customHeight="1" s="783">
      <c r="B3406" s="901" t="n"/>
    </row>
    <row r="3407" ht="15" customHeight="1" s="783">
      <c r="B3407" s="901" t="n"/>
    </row>
    <row r="3408" ht="15" customHeight="1" s="783">
      <c r="B3408" s="901" t="n"/>
    </row>
    <row r="3409" ht="15" customHeight="1" s="783">
      <c r="B3409" s="901" t="n"/>
    </row>
    <row r="3410" ht="15" customHeight="1" s="783">
      <c r="B3410" s="901" t="n"/>
    </row>
    <row r="3411" ht="15" customHeight="1" s="783">
      <c r="B3411" s="901" t="n"/>
    </row>
    <row r="3412" ht="15" customHeight="1" s="783">
      <c r="B3412" s="901" t="n"/>
    </row>
    <row r="3413" ht="15" customHeight="1" s="783">
      <c r="B3413" s="901" t="n"/>
    </row>
    <row r="3414" ht="15" customHeight="1" s="783">
      <c r="B3414" s="901" t="n"/>
    </row>
    <row r="3415" ht="15" customHeight="1" s="783">
      <c r="B3415" s="901" t="n"/>
    </row>
    <row r="3416" ht="15" customHeight="1" s="783">
      <c r="B3416" s="901" t="n"/>
    </row>
    <row r="3417" ht="15" customHeight="1" s="783">
      <c r="B3417" s="901" t="n"/>
    </row>
    <row r="3418" ht="15" customHeight="1" s="783">
      <c r="B3418" s="901" t="n"/>
    </row>
    <row r="3419" ht="15" customHeight="1" s="783">
      <c r="B3419" s="901" t="n"/>
    </row>
    <row r="3420" ht="15" customHeight="1" s="783">
      <c r="B3420" s="901" t="n"/>
    </row>
    <row r="3421" ht="15" customHeight="1" s="783">
      <c r="B3421" s="901" t="n"/>
    </row>
    <row r="3422" ht="15" customHeight="1" s="783">
      <c r="B3422" s="901" t="n"/>
    </row>
    <row r="3423" ht="15" customHeight="1" s="783">
      <c r="B3423" s="901" t="n"/>
    </row>
    <row r="3424" ht="15" customHeight="1" s="783">
      <c r="B3424" s="901" t="n"/>
    </row>
    <row r="3425" ht="15" customHeight="1" s="783">
      <c r="B3425" s="901" t="n"/>
    </row>
    <row r="3426" ht="15" customHeight="1" s="783">
      <c r="B3426" s="901" t="n"/>
    </row>
    <row r="3427" ht="15" customHeight="1" s="783">
      <c r="B3427" s="901" t="n"/>
    </row>
    <row r="3428" ht="15" customHeight="1" s="783">
      <c r="B3428" s="901" t="n"/>
    </row>
    <row r="3429" ht="15" customHeight="1" s="783">
      <c r="B3429" s="901" t="n"/>
    </row>
    <row r="3430" ht="15" customHeight="1" s="783">
      <c r="B3430" s="901" t="n"/>
    </row>
    <row r="3431" ht="15" customHeight="1" s="783">
      <c r="B3431" s="901" t="n"/>
    </row>
    <row r="3432" ht="15" customHeight="1" s="783">
      <c r="B3432" s="901" t="n"/>
    </row>
    <row r="3433" ht="15" customHeight="1" s="783">
      <c r="B3433" s="901" t="n"/>
    </row>
    <row r="3434" ht="15" customHeight="1" s="783">
      <c r="B3434" s="901" t="n"/>
    </row>
    <row r="3435" ht="15" customHeight="1" s="783">
      <c r="B3435" s="901" t="n"/>
    </row>
    <row r="3436" ht="15" customHeight="1" s="783">
      <c r="B3436" s="901" t="n"/>
    </row>
    <row r="3437" ht="15" customHeight="1" s="783">
      <c r="B3437" s="901" t="n"/>
    </row>
    <row r="3438" ht="15" customHeight="1" s="783">
      <c r="B3438" s="901" t="n"/>
    </row>
    <row r="3439" ht="15" customHeight="1" s="783">
      <c r="B3439" s="901" t="n"/>
    </row>
    <row r="3440" ht="15" customHeight="1" s="783">
      <c r="B3440" s="901" t="n"/>
    </row>
    <row r="3441" ht="15" customHeight="1" s="783">
      <c r="B3441" s="901" t="n"/>
    </row>
    <row r="3442" ht="15" customHeight="1" s="783">
      <c r="B3442" s="901" t="n"/>
    </row>
    <row r="3443" ht="15" customHeight="1" s="783">
      <c r="B3443" s="901" t="n"/>
    </row>
    <row r="3444" ht="15" customHeight="1" s="783">
      <c r="B3444" s="901" t="n"/>
    </row>
    <row r="3445" ht="15" customHeight="1" s="783">
      <c r="B3445" s="901" t="n"/>
    </row>
    <row r="3446" ht="15" customHeight="1" s="783">
      <c r="B3446" s="901" t="n"/>
    </row>
    <row r="3447" ht="15" customHeight="1" s="783">
      <c r="B3447" s="901" t="n"/>
    </row>
    <row r="3448" ht="15" customHeight="1" s="783">
      <c r="B3448" s="901" t="n"/>
    </row>
    <row r="3449" ht="15" customHeight="1" s="783">
      <c r="B3449" s="901" t="n"/>
    </row>
    <row r="3450" ht="15" customHeight="1" s="783">
      <c r="B3450" s="901" t="n"/>
    </row>
    <row r="3451" ht="15" customHeight="1" s="783">
      <c r="B3451" s="901" t="n"/>
    </row>
    <row r="3452" ht="15" customHeight="1" s="783">
      <c r="B3452" s="901" t="n"/>
    </row>
    <row r="3453" ht="15" customHeight="1" s="783">
      <c r="B3453" s="901" t="n"/>
    </row>
    <row r="3454" ht="15" customHeight="1" s="783">
      <c r="B3454" s="901" t="n"/>
    </row>
    <row r="3455" ht="15" customHeight="1" s="783">
      <c r="B3455" s="901" t="n"/>
    </row>
    <row r="3456" ht="15" customHeight="1" s="783">
      <c r="B3456" s="901" t="n"/>
    </row>
    <row r="3457" ht="15" customHeight="1" s="783">
      <c r="B3457" s="901" t="n"/>
    </row>
    <row r="3458" ht="15" customHeight="1" s="783">
      <c r="B3458" s="901" t="n"/>
    </row>
    <row r="3459" ht="15" customHeight="1" s="783">
      <c r="B3459" s="901" t="n"/>
    </row>
    <row r="3460" ht="15" customHeight="1" s="783">
      <c r="B3460" s="901" t="n"/>
    </row>
    <row r="3461" ht="15" customHeight="1" s="783">
      <c r="B3461" s="901" t="n"/>
    </row>
    <row r="3462" ht="15" customHeight="1" s="783">
      <c r="B3462" s="901" t="n"/>
    </row>
    <row r="3463" ht="15" customHeight="1" s="783">
      <c r="B3463" s="901" t="n"/>
    </row>
    <row r="3464" ht="15" customHeight="1" s="783">
      <c r="B3464" s="901" t="n"/>
    </row>
    <row r="3465" ht="15" customHeight="1" s="783">
      <c r="B3465" s="901" t="n"/>
    </row>
    <row r="3466" ht="15" customHeight="1" s="783">
      <c r="B3466" s="901" t="n"/>
    </row>
    <row r="3467" ht="15" customHeight="1" s="783">
      <c r="B3467" s="901" t="n"/>
    </row>
    <row r="3468" ht="15" customHeight="1" s="783">
      <c r="B3468" s="901" t="n"/>
    </row>
    <row r="3469" ht="15" customHeight="1" s="783">
      <c r="B3469" s="901" t="n"/>
    </row>
    <row r="3470" ht="15" customHeight="1" s="783">
      <c r="B3470" s="901" t="n"/>
    </row>
    <row r="3471" ht="15" customHeight="1" s="783">
      <c r="B3471" s="901" t="n"/>
    </row>
    <row r="3472" ht="15" customHeight="1" s="783">
      <c r="B3472" s="901" t="n"/>
    </row>
    <row r="3473" ht="15" customHeight="1" s="783">
      <c r="B3473" s="901" t="n"/>
    </row>
    <row r="3474" ht="15" customHeight="1" s="783">
      <c r="B3474" s="901" t="n"/>
    </row>
    <row r="3475" ht="15" customHeight="1" s="783">
      <c r="B3475" s="901" t="n"/>
    </row>
    <row r="3476" ht="15" customHeight="1" s="783">
      <c r="B3476" s="901" t="n"/>
    </row>
    <row r="3477" ht="15" customHeight="1" s="783">
      <c r="B3477" s="901" t="n"/>
    </row>
    <row r="3478" ht="15" customHeight="1" s="783">
      <c r="B3478" s="901" t="n"/>
    </row>
    <row r="3479" ht="15" customHeight="1" s="783">
      <c r="B3479" s="901" t="n"/>
    </row>
    <row r="3480" ht="15" customHeight="1" s="783">
      <c r="B3480" s="901" t="n"/>
    </row>
    <row r="3481" ht="15" customHeight="1" s="783">
      <c r="B3481" s="901" t="n"/>
    </row>
    <row r="3482" ht="15" customHeight="1" s="783">
      <c r="B3482" s="901" t="n"/>
    </row>
    <row r="3483" ht="15" customHeight="1" s="783">
      <c r="B3483" s="901" t="n"/>
    </row>
    <row r="3484" ht="15" customHeight="1" s="783">
      <c r="B3484" s="901" t="n"/>
    </row>
    <row r="3485" ht="15" customHeight="1" s="783">
      <c r="B3485" s="901" t="n"/>
    </row>
    <row r="3486" ht="15" customHeight="1" s="783">
      <c r="B3486" s="901" t="n"/>
    </row>
    <row r="3487" ht="15" customHeight="1" s="783">
      <c r="B3487" s="901" t="n"/>
    </row>
    <row r="3488" ht="15" customHeight="1" s="783">
      <c r="B3488" s="901" t="n"/>
    </row>
    <row r="3489" ht="15" customHeight="1" s="783">
      <c r="B3489" s="901" t="n"/>
    </row>
    <row r="3490" ht="15" customHeight="1" s="783">
      <c r="B3490" s="901" t="n"/>
    </row>
    <row r="3491" ht="15" customHeight="1" s="783">
      <c r="B3491" s="901" t="n"/>
    </row>
    <row r="3492" ht="15" customHeight="1" s="783">
      <c r="B3492" s="901" t="n"/>
    </row>
    <row r="3493" ht="15" customHeight="1" s="783">
      <c r="B3493" s="901" t="n"/>
    </row>
    <row r="3494" ht="15" customHeight="1" s="783">
      <c r="B3494" s="901" t="n"/>
    </row>
    <row r="3495" ht="15" customHeight="1" s="783">
      <c r="B3495" s="901" t="n"/>
    </row>
    <row r="3496" ht="15" customHeight="1" s="783">
      <c r="B3496" s="901" t="n"/>
    </row>
    <row r="3497" ht="15" customHeight="1" s="783">
      <c r="B3497" s="901" t="n"/>
    </row>
    <row r="3498" ht="15" customHeight="1" s="783">
      <c r="B3498" s="901" t="n"/>
    </row>
    <row r="3499" ht="15" customHeight="1" s="783">
      <c r="B3499" s="901" t="n"/>
    </row>
    <row r="3500" ht="15" customHeight="1" s="783">
      <c r="B3500" s="901" t="n"/>
    </row>
    <row r="3501" ht="15" customHeight="1" s="783">
      <c r="B3501" s="901" t="n"/>
    </row>
    <row r="3502" ht="15" customHeight="1" s="783">
      <c r="B3502" s="901" t="n"/>
    </row>
    <row r="3503" ht="15" customHeight="1" s="783">
      <c r="B3503" s="901" t="n"/>
    </row>
    <row r="3504" ht="15" customHeight="1" s="783">
      <c r="B3504" s="901" t="n"/>
    </row>
    <row r="3505" ht="15" customHeight="1" s="783">
      <c r="B3505" s="901" t="n"/>
    </row>
    <row r="3506" ht="15" customHeight="1" s="783">
      <c r="B3506" s="901" t="n"/>
    </row>
    <row r="3507" ht="15" customHeight="1" s="783">
      <c r="B3507" s="901" t="n"/>
    </row>
    <row r="3508" ht="15" customHeight="1" s="783">
      <c r="B3508" s="901" t="n"/>
    </row>
    <row r="3509" ht="15" customHeight="1" s="783">
      <c r="B3509" s="901" t="n"/>
    </row>
    <row r="3510" ht="15" customHeight="1" s="783">
      <c r="B3510" s="901" t="n"/>
    </row>
    <row r="3511" ht="15" customHeight="1" s="783">
      <c r="B3511" s="901" t="n"/>
    </row>
    <row r="3512" ht="15" customHeight="1" s="783">
      <c r="B3512" s="901" t="n"/>
    </row>
    <row r="3513" ht="15" customHeight="1" s="783">
      <c r="B3513" s="901" t="n"/>
    </row>
    <row r="3514" ht="15" customHeight="1" s="783">
      <c r="B3514" s="901" t="n"/>
    </row>
    <row r="3515" ht="15" customHeight="1" s="783">
      <c r="B3515" s="901" t="n"/>
    </row>
    <row r="3516" ht="15" customHeight="1" s="783">
      <c r="B3516" s="901" t="n"/>
    </row>
    <row r="3517" ht="15" customHeight="1" s="783">
      <c r="B3517" s="901" t="n"/>
    </row>
    <row r="3518" ht="15" customHeight="1" s="783">
      <c r="B3518" s="901" t="n"/>
    </row>
    <row r="3519" ht="15" customHeight="1" s="783">
      <c r="B3519" s="901" t="n"/>
    </row>
    <row r="3520" ht="15" customHeight="1" s="783">
      <c r="B3520" s="901" t="n"/>
    </row>
    <row r="3521" ht="15" customHeight="1" s="783">
      <c r="B3521" s="901" t="n"/>
    </row>
    <row r="3522" ht="15" customHeight="1" s="783">
      <c r="B3522" s="901" t="n"/>
    </row>
    <row r="3523" ht="15" customHeight="1" s="783">
      <c r="B3523" s="901" t="n"/>
    </row>
    <row r="3524" ht="15" customHeight="1" s="783">
      <c r="B3524" s="901" t="n"/>
    </row>
    <row r="3525" ht="15" customHeight="1" s="783">
      <c r="B3525" s="901" t="n"/>
    </row>
    <row r="3526" ht="15" customHeight="1" s="783">
      <c r="B3526" s="901" t="n"/>
    </row>
    <row r="3527" ht="15" customHeight="1" s="783">
      <c r="B3527" s="901" t="n"/>
    </row>
    <row r="3528" ht="15" customHeight="1" s="783">
      <c r="B3528" s="901" t="n"/>
    </row>
    <row r="3529" ht="15" customHeight="1" s="783">
      <c r="B3529" s="901" t="n"/>
    </row>
    <row r="3530" ht="15" customHeight="1" s="783">
      <c r="B3530" s="901" t="n"/>
    </row>
    <row r="3531" ht="15" customHeight="1" s="783">
      <c r="B3531" s="901" t="n"/>
    </row>
    <row r="3532" ht="15" customHeight="1" s="783">
      <c r="B3532" s="901" t="n"/>
    </row>
    <row r="3533" ht="15" customHeight="1" s="783">
      <c r="B3533" s="901" t="n"/>
    </row>
    <row r="3534" ht="15" customHeight="1" s="783">
      <c r="B3534" s="901" t="n"/>
    </row>
    <row r="3535" ht="15" customHeight="1" s="783">
      <c r="B3535" s="901" t="n"/>
    </row>
    <row r="3536" ht="15" customHeight="1" s="783">
      <c r="B3536" s="901" t="n"/>
    </row>
    <row r="3537" ht="15" customHeight="1" s="783">
      <c r="B3537" s="901" t="n"/>
    </row>
    <row r="3538" ht="15" customHeight="1" s="783">
      <c r="B3538" s="901" t="n"/>
    </row>
    <row r="3539" ht="15" customHeight="1" s="783">
      <c r="B3539" s="901" t="n"/>
    </row>
    <row r="3540" ht="15" customHeight="1" s="783">
      <c r="B3540" s="901" t="n"/>
    </row>
    <row r="3541" ht="15" customHeight="1" s="783">
      <c r="B3541" s="901" t="n"/>
    </row>
    <row r="3542" ht="15" customHeight="1" s="783">
      <c r="B3542" s="901" t="n"/>
    </row>
    <row r="3543" ht="15" customHeight="1" s="783">
      <c r="B3543" s="901" t="n"/>
    </row>
    <row r="3544" ht="15" customHeight="1" s="783">
      <c r="B3544" s="901" t="n"/>
    </row>
    <row r="3545" ht="15" customHeight="1" s="783">
      <c r="B3545" s="901" t="n"/>
    </row>
    <row r="3546" ht="15" customHeight="1" s="783">
      <c r="B3546" s="901" t="n"/>
    </row>
    <row r="3547" ht="15" customHeight="1" s="783">
      <c r="B3547" s="901" t="n"/>
    </row>
    <row r="3548" ht="15" customHeight="1" s="783">
      <c r="B3548" s="901" t="n"/>
    </row>
    <row r="3549" ht="15" customHeight="1" s="783">
      <c r="B3549" s="901" t="n"/>
    </row>
    <row r="3550" ht="15" customHeight="1" s="783">
      <c r="B3550" s="901" t="n"/>
    </row>
    <row r="3551" ht="15" customHeight="1" s="783">
      <c r="B3551" s="901" t="n"/>
    </row>
    <row r="3552" ht="15" customHeight="1" s="783">
      <c r="B3552" s="901" t="n"/>
    </row>
    <row r="3553" ht="15" customHeight="1" s="783">
      <c r="B3553" s="901" t="n"/>
    </row>
    <row r="3554" ht="15" customHeight="1" s="783">
      <c r="B3554" s="901" t="n"/>
    </row>
    <row r="3555" ht="15" customHeight="1" s="783">
      <c r="B3555" s="901" t="n"/>
    </row>
    <row r="3556" ht="15" customHeight="1" s="783">
      <c r="B3556" s="901" t="n"/>
    </row>
    <row r="3557" ht="15" customHeight="1" s="783">
      <c r="B3557" s="901" t="n"/>
    </row>
    <row r="3558" ht="15" customHeight="1" s="783">
      <c r="B3558" s="901" t="n"/>
    </row>
    <row r="3559" ht="15" customHeight="1" s="783">
      <c r="B3559" s="901" t="n"/>
    </row>
    <row r="3560" ht="15" customHeight="1" s="783">
      <c r="B3560" s="901" t="n"/>
    </row>
    <row r="3561" ht="15" customHeight="1" s="783">
      <c r="B3561" s="901" t="n"/>
    </row>
    <row r="3562" ht="15" customHeight="1" s="783">
      <c r="B3562" s="901" t="n"/>
    </row>
    <row r="3563" ht="15" customHeight="1" s="783">
      <c r="B3563" s="901" t="n"/>
    </row>
    <row r="3564" ht="15" customHeight="1" s="783">
      <c r="B3564" s="901" t="n"/>
    </row>
    <row r="3565" ht="15" customHeight="1" s="783">
      <c r="B3565" s="901" t="n"/>
    </row>
    <row r="3566" ht="15" customHeight="1" s="783">
      <c r="B3566" s="901" t="n"/>
    </row>
    <row r="3567" ht="15" customHeight="1" s="783">
      <c r="B3567" s="901" t="n"/>
    </row>
    <row r="3568" ht="15" customHeight="1" s="783">
      <c r="B3568" s="901" t="n"/>
    </row>
    <row r="3569" ht="15" customHeight="1" s="783">
      <c r="B3569" s="901" t="n"/>
    </row>
    <row r="3570" ht="15" customHeight="1" s="783">
      <c r="B3570" s="901" t="n"/>
    </row>
    <row r="3571" ht="15" customHeight="1" s="783">
      <c r="B3571" s="901" t="n"/>
    </row>
    <row r="3572" ht="15" customHeight="1" s="783">
      <c r="B3572" s="901" t="n"/>
    </row>
    <row r="3573" ht="15" customHeight="1" s="783">
      <c r="B3573" s="901" t="n"/>
    </row>
    <row r="3574" ht="15" customHeight="1" s="783">
      <c r="B3574" s="901" t="n"/>
    </row>
    <row r="3575" ht="15" customHeight="1" s="783">
      <c r="B3575" s="901" t="n"/>
    </row>
    <row r="3576" ht="15" customHeight="1" s="783">
      <c r="B3576" s="901" t="n"/>
    </row>
    <row r="3577" ht="15" customHeight="1" s="783">
      <c r="B3577" s="901" t="n"/>
    </row>
    <row r="3578" ht="15" customHeight="1" s="783">
      <c r="B3578" s="901" t="n"/>
    </row>
    <row r="3579" ht="15" customHeight="1" s="783">
      <c r="B3579" s="901" t="n"/>
    </row>
    <row r="3580" ht="15" customHeight="1" s="783">
      <c r="B3580" s="901" t="n"/>
    </row>
    <row r="3581" ht="15" customHeight="1" s="783">
      <c r="B3581" s="901" t="n"/>
    </row>
    <row r="3582" ht="15" customHeight="1" s="783">
      <c r="B3582" s="901" t="n"/>
    </row>
    <row r="3583" ht="15" customHeight="1" s="783">
      <c r="B3583" s="901" t="n"/>
    </row>
    <row r="3584" ht="15" customHeight="1" s="783">
      <c r="B3584" s="901" t="n"/>
    </row>
    <row r="3585" ht="15" customHeight="1" s="783">
      <c r="B3585" s="901" t="n"/>
    </row>
    <row r="3586" ht="15" customHeight="1" s="783">
      <c r="B3586" s="901" t="n"/>
    </row>
    <row r="3587" ht="15" customHeight="1" s="783">
      <c r="B3587" s="901" t="n"/>
    </row>
    <row r="3588" ht="15" customHeight="1" s="783">
      <c r="B3588" s="901" t="n"/>
    </row>
    <row r="3589" ht="15" customHeight="1" s="783">
      <c r="B3589" s="901" t="n"/>
    </row>
    <row r="3590" ht="15" customHeight="1" s="783">
      <c r="B3590" s="901" t="n"/>
    </row>
    <row r="3591" ht="15" customHeight="1" s="783">
      <c r="B3591" s="901" t="n"/>
    </row>
    <row r="3592" ht="15" customHeight="1" s="783">
      <c r="B3592" s="901" t="n"/>
    </row>
    <row r="3593" ht="15" customHeight="1" s="783">
      <c r="B3593" s="901" t="n"/>
    </row>
    <row r="3594" ht="15" customHeight="1" s="783">
      <c r="B3594" s="901" t="n"/>
    </row>
    <row r="3595" ht="15" customHeight="1" s="783">
      <c r="B3595" s="901" t="n"/>
    </row>
    <row r="3596" ht="15" customHeight="1" s="783">
      <c r="B3596" s="901" t="n"/>
    </row>
    <row r="3597" ht="15" customHeight="1" s="783">
      <c r="B3597" s="901" t="n"/>
    </row>
    <row r="3598" ht="15" customHeight="1" s="783">
      <c r="B3598" s="901" t="n"/>
    </row>
    <row r="3599" ht="15" customHeight="1" s="783">
      <c r="B3599" s="901" t="n"/>
    </row>
    <row r="3600" ht="15" customHeight="1" s="783">
      <c r="B3600" s="901" t="n"/>
    </row>
    <row r="3601" ht="15" customHeight="1" s="783">
      <c r="B3601" s="901" t="n"/>
    </row>
    <row r="3602" ht="15" customHeight="1" s="783">
      <c r="B3602" s="901" t="n"/>
    </row>
    <row r="3603" ht="15" customHeight="1" s="783">
      <c r="B3603" s="901" t="n"/>
    </row>
    <row r="3604" ht="15" customHeight="1" s="783">
      <c r="B3604" s="901" t="n"/>
    </row>
    <row r="3605" ht="15" customHeight="1" s="783">
      <c r="B3605" s="901" t="n"/>
    </row>
    <row r="3606" ht="15" customHeight="1" s="783">
      <c r="B3606" s="901" t="n"/>
    </row>
    <row r="3607" ht="15" customHeight="1" s="783">
      <c r="B3607" s="901" t="n"/>
    </row>
    <row r="3608" ht="15" customHeight="1" s="783">
      <c r="B3608" s="901" t="n"/>
    </row>
    <row r="3609" ht="15" customHeight="1" s="783">
      <c r="B3609" s="901" t="n"/>
    </row>
    <row r="3610" ht="15" customHeight="1" s="783">
      <c r="B3610" s="901" t="n"/>
    </row>
    <row r="3611" ht="15" customHeight="1" s="783">
      <c r="B3611" s="901" t="n"/>
    </row>
    <row r="3612" ht="15" customHeight="1" s="783">
      <c r="B3612" s="901" t="n"/>
    </row>
    <row r="3613" ht="15" customHeight="1" s="783">
      <c r="B3613" s="901" t="n"/>
    </row>
    <row r="3614" ht="15" customHeight="1" s="783">
      <c r="B3614" s="901" t="n"/>
    </row>
    <row r="3615" ht="15" customHeight="1" s="783">
      <c r="B3615" s="901" t="n"/>
    </row>
    <row r="3616" ht="15" customHeight="1" s="783">
      <c r="B3616" s="901" t="n"/>
    </row>
    <row r="3617" ht="15" customHeight="1" s="783">
      <c r="B3617" s="901" t="n"/>
    </row>
    <row r="3618" ht="15" customHeight="1" s="783">
      <c r="B3618" s="901" t="n"/>
    </row>
    <row r="3619" ht="15" customHeight="1" s="783">
      <c r="B3619" s="901" t="n"/>
    </row>
    <row r="3620" ht="15" customHeight="1" s="783">
      <c r="B3620" s="901" t="n"/>
    </row>
    <row r="3621" ht="15" customHeight="1" s="783">
      <c r="B3621" s="901" t="n"/>
    </row>
    <row r="3622" ht="15" customHeight="1" s="783">
      <c r="B3622" s="901" t="n"/>
    </row>
    <row r="3623" ht="15" customHeight="1" s="783">
      <c r="B3623" s="901" t="n"/>
    </row>
    <row r="3624" ht="15" customHeight="1" s="783">
      <c r="B3624" s="901" t="n"/>
    </row>
    <row r="3625" ht="15" customHeight="1" s="783">
      <c r="B3625" s="901" t="n"/>
    </row>
    <row r="3626" ht="15" customHeight="1" s="783">
      <c r="B3626" s="901" t="n"/>
    </row>
    <row r="3627" ht="15" customHeight="1" s="783">
      <c r="B3627" s="901" t="n"/>
    </row>
    <row r="3628" ht="15" customHeight="1" s="783">
      <c r="B3628" s="901" t="n"/>
    </row>
    <row r="3629" ht="15" customHeight="1" s="783">
      <c r="B3629" s="901" t="n"/>
    </row>
    <row r="3630" ht="15" customHeight="1" s="783">
      <c r="B3630" s="901" t="n"/>
    </row>
    <row r="3631" ht="15" customHeight="1" s="783">
      <c r="B3631" s="901" t="n"/>
    </row>
    <row r="3632" ht="15" customHeight="1" s="783">
      <c r="B3632" s="901" t="n"/>
    </row>
    <row r="3633" ht="15" customHeight="1" s="783">
      <c r="B3633" s="901" t="n"/>
    </row>
    <row r="3634" ht="15" customHeight="1" s="783">
      <c r="B3634" s="901" t="n"/>
    </row>
    <row r="3635" ht="15" customHeight="1" s="783">
      <c r="B3635" s="901" t="n"/>
    </row>
    <row r="3636" ht="15" customHeight="1" s="783">
      <c r="B3636" s="901" t="n"/>
    </row>
    <row r="3637" ht="15" customHeight="1" s="783">
      <c r="B3637" s="901" t="n"/>
    </row>
    <row r="3638" ht="15" customHeight="1" s="783">
      <c r="B3638" s="901" t="n"/>
    </row>
    <row r="3639" ht="15" customHeight="1" s="783">
      <c r="B3639" s="901" t="n"/>
    </row>
    <row r="3640" ht="15" customHeight="1" s="783">
      <c r="B3640" s="901" t="n"/>
    </row>
    <row r="3641" ht="15" customHeight="1" s="783">
      <c r="B3641" s="901" t="n"/>
    </row>
    <row r="3642" ht="15" customHeight="1" s="783">
      <c r="B3642" s="901" t="n"/>
    </row>
    <row r="3643" ht="15" customHeight="1" s="783">
      <c r="B3643" s="901" t="n"/>
    </row>
    <row r="3644" ht="15" customHeight="1" s="783">
      <c r="B3644" s="901" t="n"/>
    </row>
    <row r="3645" ht="15" customHeight="1" s="783">
      <c r="B3645" s="901" t="n"/>
    </row>
    <row r="3646" ht="15" customHeight="1" s="783">
      <c r="B3646" s="901" t="n"/>
    </row>
    <row r="3647" ht="15" customHeight="1" s="783">
      <c r="B3647" s="901" t="n"/>
    </row>
    <row r="3648" ht="15" customHeight="1" s="783">
      <c r="B3648" s="901" t="n"/>
    </row>
    <row r="3649" ht="15" customHeight="1" s="783">
      <c r="B3649" s="901" t="n"/>
    </row>
    <row r="3650" ht="15" customHeight="1" s="783">
      <c r="B3650" s="901" t="n"/>
    </row>
    <row r="3651" ht="15" customHeight="1" s="783">
      <c r="B3651" s="901" t="n"/>
    </row>
    <row r="3652" ht="15" customHeight="1" s="783">
      <c r="B3652" s="901" t="n"/>
    </row>
    <row r="3653" ht="15" customHeight="1" s="783">
      <c r="B3653" s="901" t="n"/>
    </row>
    <row r="3654" ht="15" customHeight="1" s="783">
      <c r="B3654" s="901" t="n"/>
    </row>
    <row r="3655" ht="15" customHeight="1" s="783">
      <c r="B3655" s="901" t="n"/>
    </row>
    <row r="3656" ht="15" customHeight="1" s="783">
      <c r="B3656" s="901" t="n"/>
    </row>
    <row r="3657" ht="15" customHeight="1" s="783">
      <c r="B3657" s="901" t="n"/>
    </row>
    <row r="3658" ht="15" customHeight="1" s="783">
      <c r="B3658" s="901" t="n"/>
    </row>
    <row r="3659" ht="15" customHeight="1" s="783">
      <c r="B3659" s="901" t="n"/>
    </row>
    <row r="3660" ht="15" customHeight="1" s="783">
      <c r="B3660" s="901" t="n"/>
    </row>
    <row r="3661" ht="15" customHeight="1" s="783">
      <c r="B3661" s="901" t="n"/>
    </row>
    <row r="3662" ht="15" customHeight="1" s="783">
      <c r="B3662" s="901" t="n"/>
    </row>
    <row r="3663" ht="15" customHeight="1" s="783">
      <c r="B3663" s="901" t="n"/>
    </row>
    <row r="3664" ht="15" customHeight="1" s="783">
      <c r="B3664" s="901" t="n"/>
    </row>
    <row r="3665" ht="15" customHeight="1" s="783">
      <c r="B3665" s="901" t="n"/>
    </row>
    <row r="3666" ht="15" customHeight="1" s="783">
      <c r="B3666" s="901" t="n"/>
    </row>
    <row r="3667" ht="15" customHeight="1" s="783">
      <c r="B3667" s="901" t="n"/>
    </row>
    <row r="3668" ht="15" customHeight="1" s="783">
      <c r="B3668" s="901" t="n"/>
    </row>
    <row r="3669" ht="15" customHeight="1" s="783">
      <c r="B3669" s="901" t="n"/>
    </row>
    <row r="3670" ht="15" customHeight="1" s="783">
      <c r="B3670" s="901" t="n"/>
    </row>
    <row r="3671" ht="15" customHeight="1" s="783">
      <c r="B3671" s="901" t="n"/>
    </row>
    <row r="3672" ht="15" customHeight="1" s="783">
      <c r="B3672" s="901" t="n"/>
    </row>
    <row r="3673" ht="15" customHeight="1" s="783">
      <c r="B3673" s="901" t="n"/>
    </row>
    <row r="3674" ht="15" customHeight="1" s="783">
      <c r="B3674" s="901" t="n"/>
    </row>
    <row r="3675" ht="15" customHeight="1" s="783">
      <c r="B3675" s="901" t="n"/>
    </row>
    <row r="3676" ht="15" customHeight="1" s="783">
      <c r="B3676" s="901" t="n"/>
    </row>
    <row r="3677" ht="15" customHeight="1" s="783">
      <c r="B3677" s="901" t="n"/>
    </row>
    <row r="3678" ht="15" customHeight="1" s="783">
      <c r="B3678" s="901" t="n"/>
    </row>
    <row r="3679" ht="15" customHeight="1" s="783">
      <c r="B3679" s="901" t="n"/>
    </row>
    <row r="3680" ht="15" customHeight="1" s="783">
      <c r="B3680" s="901" t="n"/>
    </row>
    <row r="3681" ht="15" customHeight="1" s="783">
      <c r="B3681" s="901" t="n"/>
    </row>
    <row r="3682" ht="15" customHeight="1" s="783">
      <c r="B3682" s="901" t="n"/>
    </row>
    <row r="3683" ht="15" customHeight="1" s="783">
      <c r="B3683" s="901" t="n"/>
    </row>
    <row r="3684" ht="15" customHeight="1" s="783">
      <c r="B3684" s="901" t="n"/>
    </row>
    <row r="3685" ht="15" customHeight="1" s="783">
      <c r="B3685" s="901" t="n"/>
    </row>
    <row r="3686" ht="15" customHeight="1" s="783">
      <c r="B3686" s="901" t="n"/>
    </row>
    <row r="3687" ht="15" customHeight="1" s="783">
      <c r="B3687" s="901" t="n"/>
    </row>
    <row r="3688" ht="15" customHeight="1" s="783">
      <c r="B3688" s="901" t="n"/>
    </row>
    <row r="3689" ht="15" customHeight="1" s="783">
      <c r="B3689" s="901" t="n"/>
    </row>
    <row r="3690" ht="15" customHeight="1" s="783">
      <c r="B3690" s="901" t="n"/>
    </row>
    <row r="3691" ht="15" customHeight="1" s="783">
      <c r="B3691" s="901" t="n"/>
    </row>
    <row r="3692" ht="15" customHeight="1" s="783">
      <c r="B3692" s="901" t="n"/>
    </row>
    <row r="3693" ht="15" customHeight="1" s="783">
      <c r="B3693" s="901" t="n"/>
    </row>
    <row r="3694" ht="15" customHeight="1" s="783">
      <c r="B3694" s="901" t="n"/>
    </row>
    <row r="3695" ht="15" customHeight="1" s="783">
      <c r="B3695" s="901" t="n"/>
    </row>
    <row r="3696" ht="15" customHeight="1" s="783">
      <c r="B3696" s="901" t="n"/>
    </row>
    <row r="3697" ht="15" customHeight="1" s="783">
      <c r="B3697" s="901" t="n"/>
    </row>
    <row r="3698" ht="15" customHeight="1" s="783">
      <c r="B3698" s="901" t="n"/>
    </row>
    <row r="3699" ht="15" customHeight="1" s="783">
      <c r="B3699" s="901" t="n"/>
    </row>
    <row r="3700" ht="15" customHeight="1" s="783">
      <c r="B3700" s="901" t="n"/>
    </row>
    <row r="3701" ht="15" customHeight="1" s="783">
      <c r="B3701" s="901" t="n"/>
    </row>
    <row r="3702" ht="15" customHeight="1" s="783">
      <c r="B3702" s="901" t="n"/>
    </row>
    <row r="3703" ht="15" customHeight="1" s="783">
      <c r="B3703" s="901" t="n"/>
    </row>
    <row r="3704" ht="15" customHeight="1" s="783">
      <c r="B3704" s="901" t="n"/>
    </row>
    <row r="3705" ht="15" customHeight="1" s="783">
      <c r="B3705" s="901" t="n"/>
    </row>
    <row r="3706" ht="15" customHeight="1" s="783">
      <c r="B3706" s="901" t="n"/>
    </row>
    <row r="3707" ht="15" customHeight="1" s="783">
      <c r="B3707" s="901" t="n"/>
    </row>
    <row r="3708" ht="15" customHeight="1" s="783">
      <c r="B3708" s="901" t="n"/>
    </row>
    <row r="3709" ht="15" customHeight="1" s="783">
      <c r="B3709" s="901" t="n"/>
    </row>
    <row r="3710" ht="15" customHeight="1" s="783">
      <c r="B3710" s="901" t="n"/>
    </row>
    <row r="3711" ht="15" customHeight="1" s="783">
      <c r="B3711" s="901" t="n"/>
    </row>
    <row r="3712" ht="15" customHeight="1" s="783">
      <c r="B3712" s="901" t="n"/>
    </row>
    <row r="3713" ht="15" customHeight="1" s="783">
      <c r="B3713" s="901" t="n"/>
    </row>
    <row r="3714" ht="15" customHeight="1" s="783">
      <c r="B3714" s="901" t="n"/>
    </row>
    <row r="3715" ht="15" customHeight="1" s="783">
      <c r="B3715" s="901" t="n"/>
    </row>
    <row r="3716" ht="15" customHeight="1" s="783">
      <c r="B3716" s="901" t="n"/>
    </row>
    <row r="3717" ht="15" customHeight="1" s="783">
      <c r="B3717" s="901" t="n"/>
    </row>
    <row r="3718" ht="15" customHeight="1" s="783">
      <c r="B3718" s="901" t="n"/>
    </row>
    <row r="3719" ht="15" customHeight="1" s="783">
      <c r="B3719" s="901" t="n"/>
    </row>
    <row r="3720" ht="15" customHeight="1" s="783">
      <c r="B3720" s="901" t="n"/>
    </row>
    <row r="3721" ht="15" customHeight="1" s="783">
      <c r="B3721" s="901" t="n"/>
    </row>
    <row r="3722" ht="15" customHeight="1" s="783">
      <c r="B3722" s="901" t="n"/>
    </row>
    <row r="3723" ht="15" customHeight="1" s="783">
      <c r="B3723" s="901" t="n"/>
    </row>
    <row r="3724" ht="15" customHeight="1" s="783">
      <c r="B3724" s="901" t="n"/>
    </row>
    <row r="3725" ht="15" customHeight="1" s="783">
      <c r="B3725" s="901" t="n"/>
    </row>
    <row r="3726" ht="15" customHeight="1" s="783">
      <c r="B3726" s="901" t="n"/>
    </row>
    <row r="3727" ht="15" customHeight="1" s="783">
      <c r="B3727" s="901" t="n"/>
    </row>
    <row r="3728" ht="15" customHeight="1" s="783">
      <c r="B3728" s="901" t="n"/>
    </row>
    <row r="3729" ht="15" customHeight="1" s="783">
      <c r="B3729" s="901" t="n"/>
    </row>
    <row r="3730" ht="15" customHeight="1" s="783">
      <c r="B3730" s="901" t="n"/>
    </row>
    <row r="3731" ht="15" customHeight="1" s="783">
      <c r="B3731" s="901" t="n"/>
    </row>
    <row r="3732" ht="15" customHeight="1" s="783">
      <c r="B3732" s="901" t="n"/>
    </row>
    <row r="3733" ht="15" customHeight="1" s="783">
      <c r="B3733" s="901" t="n"/>
    </row>
    <row r="3734" ht="15" customHeight="1" s="783">
      <c r="B3734" s="901" t="n"/>
    </row>
    <row r="3735" ht="15" customHeight="1" s="783">
      <c r="B3735" s="901" t="n"/>
    </row>
    <row r="3736" ht="15" customHeight="1" s="783">
      <c r="B3736" s="901" t="n"/>
    </row>
    <row r="3737" ht="15" customHeight="1" s="783">
      <c r="B3737" s="901" t="n"/>
    </row>
    <row r="3738" ht="15" customHeight="1" s="783">
      <c r="B3738" s="901" t="n"/>
    </row>
    <row r="3739" ht="15" customHeight="1" s="783">
      <c r="B3739" s="901" t="n"/>
    </row>
    <row r="3740" ht="15" customHeight="1" s="783">
      <c r="B3740" s="901" t="n"/>
    </row>
    <row r="3741" ht="15" customHeight="1" s="783">
      <c r="B3741" s="901" t="n"/>
    </row>
    <row r="3742" ht="15" customHeight="1" s="783">
      <c r="B3742" s="901" t="n"/>
    </row>
    <row r="3743" ht="15" customHeight="1" s="783">
      <c r="B3743" s="901" t="n"/>
    </row>
    <row r="3744" ht="15" customHeight="1" s="783">
      <c r="B3744" s="901" t="n"/>
    </row>
    <row r="3745" ht="15" customHeight="1" s="783">
      <c r="B3745" s="901" t="n"/>
    </row>
    <row r="3746" ht="15" customHeight="1" s="783">
      <c r="B3746" s="901" t="n"/>
    </row>
    <row r="3747" ht="15" customHeight="1" s="783">
      <c r="B3747" s="901" t="n"/>
    </row>
    <row r="3748" ht="15" customHeight="1" s="783">
      <c r="B3748" s="901" t="n"/>
    </row>
    <row r="3749" ht="15" customHeight="1" s="783">
      <c r="B3749" s="901" t="n"/>
    </row>
    <row r="3750" ht="15" customHeight="1" s="783">
      <c r="B3750" s="901" t="n"/>
    </row>
    <row r="3751" ht="15" customHeight="1" s="783">
      <c r="B3751" s="901" t="n"/>
    </row>
    <row r="3752" ht="15" customHeight="1" s="783">
      <c r="B3752" s="901" t="n"/>
    </row>
    <row r="3753" ht="15" customHeight="1" s="783">
      <c r="B3753" s="901" t="n"/>
    </row>
    <row r="3754" ht="15" customHeight="1" s="783">
      <c r="B3754" s="901" t="n"/>
    </row>
    <row r="3755" ht="15" customHeight="1" s="783">
      <c r="B3755" s="901" t="n"/>
    </row>
    <row r="3756" ht="15" customHeight="1" s="783">
      <c r="B3756" s="901" t="n"/>
    </row>
    <row r="3757" ht="15" customHeight="1" s="783">
      <c r="B3757" s="901" t="n"/>
    </row>
    <row r="3758" ht="15" customHeight="1" s="783">
      <c r="B3758" s="901" t="n"/>
    </row>
    <row r="3759" ht="15" customHeight="1" s="783">
      <c r="B3759" s="901" t="n"/>
    </row>
    <row r="3760" ht="15" customHeight="1" s="783">
      <c r="B3760" s="901" t="n"/>
    </row>
    <row r="3761" ht="15" customHeight="1" s="783">
      <c r="B3761" s="901" t="n"/>
    </row>
    <row r="3762" ht="15" customHeight="1" s="783">
      <c r="B3762" s="901" t="n"/>
    </row>
    <row r="3763" ht="15" customHeight="1" s="783">
      <c r="B3763" s="901" t="n"/>
    </row>
    <row r="3764" ht="15" customHeight="1" s="783">
      <c r="B3764" s="901" t="n"/>
    </row>
    <row r="3765" ht="15" customHeight="1" s="783">
      <c r="B3765" s="901" t="n"/>
    </row>
    <row r="3766" ht="15" customHeight="1" s="783">
      <c r="B3766" s="901" t="n"/>
    </row>
    <row r="3767" ht="15" customHeight="1" s="783">
      <c r="B3767" s="901" t="n"/>
    </row>
    <row r="3768" ht="15" customHeight="1" s="783">
      <c r="B3768" s="901" t="n"/>
    </row>
    <row r="3769" ht="15" customHeight="1" s="783">
      <c r="B3769" s="901" t="n"/>
    </row>
    <row r="3770" ht="15" customHeight="1" s="783">
      <c r="B3770" s="901" t="n"/>
    </row>
    <row r="3771" ht="15" customHeight="1" s="783">
      <c r="B3771" s="901" t="n"/>
    </row>
    <row r="3772" ht="15" customHeight="1" s="783">
      <c r="B3772" s="901" t="n"/>
    </row>
    <row r="3773" ht="15" customHeight="1" s="783">
      <c r="B3773" s="901" t="n"/>
    </row>
    <row r="3774" ht="15" customHeight="1" s="783">
      <c r="B3774" s="901" t="n"/>
    </row>
    <row r="3775" ht="15" customHeight="1" s="783">
      <c r="B3775" s="901" t="n"/>
    </row>
    <row r="3776" ht="15" customHeight="1" s="783">
      <c r="B3776" s="901" t="n"/>
    </row>
    <row r="3777" ht="15" customHeight="1" s="783">
      <c r="B3777" s="901" t="n"/>
    </row>
    <row r="3778" ht="15" customHeight="1" s="783">
      <c r="B3778" s="901" t="n"/>
    </row>
    <row r="3779" ht="15" customHeight="1" s="783">
      <c r="B3779" s="901" t="n"/>
    </row>
    <row r="3780" ht="15" customHeight="1" s="783">
      <c r="B3780" s="901" t="n"/>
    </row>
    <row r="3781" ht="15" customHeight="1" s="783">
      <c r="B3781" s="901" t="n"/>
    </row>
    <row r="3782" ht="15" customHeight="1" s="783">
      <c r="B3782" s="901" t="n"/>
    </row>
    <row r="3783" ht="15" customHeight="1" s="783">
      <c r="B3783" s="901" t="n"/>
    </row>
    <row r="3784" ht="15" customHeight="1" s="783">
      <c r="B3784" s="901" t="n"/>
    </row>
    <row r="3785" ht="15" customHeight="1" s="783">
      <c r="B3785" s="901" t="n"/>
    </row>
    <row r="3786" ht="15" customHeight="1" s="783">
      <c r="B3786" s="901" t="n"/>
    </row>
    <row r="3787" ht="15" customHeight="1" s="783">
      <c r="B3787" s="901" t="n"/>
    </row>
    <row r="3788" ht="15" customHeight="1" s="783">
      <c r="B3788" s="901" t="n"/>
    </row>
    <row r="3789" ht="15" customHeight="1" s="783">
      <c r="B3789" s="901" t="n"/>
    </row>
    <row r="3790" ht="15" customHeight="1" s="783">
      <c r="B3790" s="901" t="n"/>
    </row>
    <row r="3791" ht="15" customHeight="1" s="783">
      <c r="B3791" s="901" t="n"/>
    </row>
    <row r="3792" ht="15" customHeight="1" s="783">
      <c r="B3792" s="901" t="n"/>
    </row>
    <row r="3793" ht="15" customHeight="1" s="783">
      <c r="B3793" s="901" t="n"/>
    </row>
    <row r="3794" ht="15" customHeight="1" s="783">
      <c r="B3794" s="901" t="n"/>
    </row>
    <row r="3795" ht="15" customHeight="1" s="783">
      <c r="B3795" s="901" t="n"/>
    </row>
    <row r="3796" ht="15" customHeight="1" s="783">
      <c r="B3796" s="901" t="n"/>
    </row>
    <row r="3797" ht="15" customHeight="1" s="783">
      <c r="B3797" s="901" t="n"/>
    </row>
    <row r="3798" ht="15" customHeight="1" s="783">
      <c r="B3798" s="901" t="n"/>
    </row>
    <row r="3799" ht="15" customHeight="1" s="783">
      <c r="B3799" s="901" t="n"/>
    </row>
    <row r="3800" ht="15" customHeight="1" s="783">
      <c r="B3800" s="901" t="n"/>
    </row>
    <row r="3801" ht="15" customHeight="1" s="783">
      <c r="B3801" s="901" t="n"/>
    </row>
    <row r="3802" ht="15" customHeight="1" s="783">
      <c r="B3802" s="901" t="n"/>
    </row>
    <row r="3803" ht="15" customHeight="1" s="783">
      <c r="B3803" s="901" t="n"/>
    </row>
    <row r="3804" ht="15" customHeight="1" s="783">
      <c r="B3804" s="901" t="n"/>
    </row>
    <row r="3805" ht="15" customHeight="1" s="783">
      <c r="B3805" s="901" t="n"/>
    </row>
    <row r="3806" ht="15" customHeight="1" s="783">
      <c r="B3806" s="901" t="n"/>
    </row>
    <row r="3807" ht="15" customHeight="1" s="783">
      <c r="B3807" s="901" t="n"/>
    </row>
    <row r="3808" ht="15" customHeight="1" s="783">
      <c r="B3808" s="901" t="n"/>
    </row>
    <row r="3809" ht="15" customHeight="1" s="783">
      <c r="B3809" s="901" t="n"/>
    </row>
    <row r="3810" ht="15" customHeight="1" s="783">
      <c r="B3810" s="901" t="n"/>
    </row>
    <row r="3811" ht="15" customHeight="1" s="783">
      <c r="B3811" s="901" t="n"/>
    </row>
    <row r="3812" ht="15" customHeight="1" s="783">
      <c r="B3812" s="901" t="n"/>
    </row>
    <row r="3813" ht="15" customHeight="1" s="783">
      <c r="B3813" s="901" t="n"/>
    </row>
    <row r="3814" ht="15" customHeight="1" s="783">
      <c r="B3814" s="901" t="n"/>
    </row>
    <row r="3815" ht="15" customHeight="1" s="783">
      <c r="B3815" s="901" t="n"/>
    </row>
    <row r="3816" ht="15" customHeight="1" s="783">
      <c r="B3816" s="901" t="n"/>
    </row>
    <row r="3817" ht="15" customHeight="1" s="783">
      <c r="B3817" s="901" t="n"/>
    </row>
    <row r="3818" ht="15" customHeight="1" s="783">
      <c r="B3818" s="901" t="n"/>
    </row>
    <row r="3819" ht="15" customHeight="1" s="783">
      <c r="B3819" s="901" t="n"/>
    </row>
    <row r="3820" ht="15" customHeight="1" s="783">
      <c r="B3820" s="901" t="n"/>
    </row>
    <row r="3821" ht="15" customHeight="1" s="783">
      <c r="B3821" s="901" t="n"/>
    </row>
    <row r="3822" ht="15" customHeight="1" s="783">
      <c r="B3822" s="901" t="n"/>
    </row>
    <row r="3823" ht="15" customHeight="1" s="783">
      <c r="B3823" s="901" t="n"/>
    </row>
    <row r="3824" ht="15" customHeight="1" s="783">
      <c r="B3824" s="901" t="n"/>
    </row>
    <row r="3825" ht="15" customHeight="1" s="783">
      <c r="B3825" s="901" t="n"/>
    </row>
    <row r="3826" ht="15" customHeight="1" s="783">
      <c r="B3826" s="901" t="n"/>
    </row>
    <row r="3827" ht="15" customHeight="1" s="783">
      <c r="B3827" s="901" t="n"/>
    </row>
    <row r="3828" ht="15" customHeight="1" s="783">
      <c r="B3828" s="901" t="n"/>
    </row>
    <row r="3829" ht="15" customHeight="1" s="783">
      <c r="B3829" s="901" t="n"/>
    </row>
    <row r="3830" ht="15" customHeight="1" s="783">
      <c r="B3830" s="901" t="n"/>
    </row>
    <row r="3831" ht="15" customHeight="1" s="783">
      <c r="B3831" s="901" t="n"/>
    </row>
    <row r="3832" ht="15" customHeight="1" s="783">
      <c r="B3832" s="901" t="n"/>
    </row>
    <row r="3833" ht="15" customHeight="1" s="783">
      <c r="B3833" s="901" t="n"/>
    </row>
    <row r="3834" ht="15" customHeight="1" s="783">
      <c r="B3834" s="901" t="n"/>
    </row>
    <row r="3835" ht="15" customHeight="1" s="783">
      <c r="B3835" s="901" t="n"/>
    </row>
    <row r="3836" ht="15" customHeight="1" s="783">
      <c r="B3836" s="901" t="n"/>
    </row>
    <row r="3837" ht="15" customHeight="1" s="783">
      <c r="B3837" s="901" t="n"/>
    </row>
    <row r="3838" ht="15" customHeight="1" s="783">
      <c r="B3838" s="901" t="n"/>
    </row>
    <row r="3839" ht="15" customHeight="1" s="783">
      <c r="B3839" s="901" t="n"/>
    </row>
    <row r="3840" ht="15" customHeight="1" s="783">
      <c r="B3840" s="901" t="n"/>
    </row>
    <row r="3841" ht="15" customHeight="1" s="783">
      <c r="B3841" s="901" t="n"/>
    </row>
    <row r="3842" ht="15" customHeight="1" s="783">
      <c r="B3842" s="901" t="n"/>
    </row>
    <row r="3843" ht="15" customHeight="1" s="783">
      <c r="B3843" s="901" t="n"/>
    </row>
    <row r="3844" ht="15" customHeight="1" s="783">
      <c r="B3844" s="901" t="n"/>
    </row>
    <row r="3845" ht="15" customHeight="1" s="783">
      <c r="B3845" s="901" t="n"/>
    </row>
    <row r="3846" ht="15" customHeight="1" s="783">
      <c r="B3846" s="901" t="n"/>
    </row>
    <row r="3847" ht="15" customHeight="1" s="783">
      <c r="B3847" s="901" t="n"/>
    </row>
    <row r="3848" ht="15" customHeight="1" s="783">
      <c r="B3848" s="901" t="n"/>
    </row>
    <row r="3849" ht="15" customHeight="1" s="783">
      <c r="B3849" s="901" t="n"/>
    </row>
    <row r="3850" ht="15" customHeight="1" s="783">
      <c r="B3850" s="901" t="n"/>
    </row>
    <row r="3851" ht="15" customHeight="1" s="783">
      <c r="B3851" s="901" t="n"/>
    </row>
    <row r="3852" ht="15" customHeight="1" s="783">
      <c r="B3852" s="901" t="n"/>
    </row>
    <row r="3853" ht="15" customHeight="1" s="783">
      <c r="B3853" s="901" t="n"/>
    </row>
    <row r="3854" ht="15" customHeight="1" s="783">
      <c r="B3854" s="901" t="n"/>
    </row>
    <row r="3855" ht="15" customHeight="1" s="783">
      <c r="B3855" s="901" t="n"/>
    </row>
    <row r="3856" ht="15" customHeight="1" s="783">
      <c r="B3856" s="901" t="n"/>
    </row>
    <row r="3857" ht="15" customHeight="1" s="783">
      <c r="B3857" s="901" t="n"/>
    </row>
    <row r="3858" ht="15" customHeight="1" s="783">
      <c r="B3858" s="901" t="n"/>
    </row>
    <row r="3859" ht="15" customHeight="1" s="783">
      <c r="B3859" s="901" t="n"/>
    </row>
    <row r="3860" ht="15" customHeight="1" s="783">
      <c r="B3860" s="901" t="n"/>
    </row>
    <row r="3861" ht="15" customHeight="1" s="783">
      <c r="B3861" s="901" t="n"/>
    </row>
    <row r="3862" ht="15" customHeight="1" s="783">
      <c r="B3862" s="901" t="n"/>
    </row>
    <row r="3863" ht="15" customHeight="1" s="783">
      <c r="B3863" s="901" t="n"/>
    </row>
    <row r="3864" ht="15" customHeight="1" s="783">
      <c r="B3864" s="901" t="n"/>
    </row>
    <row r="3865" ht="15" customHeight="1" s="783">
      <c r="B3865" s="901" t="n"/>
    </row>
    <row r="3866" ht="15" customHeight="1" s="783">
      <c r="B3866" s="901" t="n"/>
    </row>
    <row r="3867" ht="15" customHeight="1" s="783">
      <c r="B3867" s="901" t="n"/>
    </row>
    <row r="3868" ht="15" customHeight="1" s="783">
      <c r="B3868" s="901" t="n"/>
    </row>
    <row r="3869" ht="15" customHeight="1" s="783">
      <c r="B3869" s="901" t="n"/>
    </row>
    <row r="3870" ht="15" customHeight="1" s="783">
      <c r="B3870" s="901" t="n"/>
    </row>
    <row r="3871" ht="15" customHeight="1" s="783">
      <c r="B3871" s="901" t="n"/>
    </row>
    <row r="3872" ht="15" customHeight="1" s="783">
      <c r="B3872" s="901" t="n"/>
    </row>
    <row r="3873" ht="15" customHeight="1" s="783">
      <c r="B3873" s="901" t="n"/>
    </row>
    <row r="3874" ht="15" customHeight="1" s="783">
      <c r="B3874" s="901" t="n"/>
    </row>
    <row r="3875" ht="15" customHeight="1" s="783">
      <c r="B3875" s="901" t="n"/>
    </row>
    <row r="3876" ht="15" customHeight="1" s="783">
      <c r="B3876" s="901" t="n"/>
    </row>
    <row r="3877" ht="15" customHeight="1" s="783">
      <c r="B3877" s="901" t="n"/>
    </row>
    <row r="3878" ht="15" customHeight="1" s="783">
      <c r="B3878" s="901" t="n"/>
    </row>
    <row r="3879" ht="15" customHeight="1" s="783">
      <c r="B3879" s="901" t="n"/>
    </row>
    <row r="3880" ht="15" customHeight="1" s="783">
      <c r="B3880" s="901" t="n"/>
    </row>
    <row r="3881" ht="15" customHeight="1" s="783">
      <c r="B3881" s="901" t="n"/>
    </row>
    <row r="3882" ht="15" customHeight="1" s="783">
      <c r="B3882" s="901" t="n"/>
    </row>
    <row r="3883" ht="15" customHeight="1" s="783">
      <c r="B3883" s="901" t="n"/>
    </row>
    <row r="3884" ht="15" customHeight="1" s="783">
      <c r="B3884" s="901" t="n"/>
    </row>
    <row r="3885" ht="15" customHeight="1" s="783">
      <c r="B3885" s="901" t="n"/>
    </row>
    <row r="3886" ht="15" customHeight="1" s="783">
      <c r="B3886" s="901" t="n"/>
    </row>
    <row r="3887" ht="15" customHeight="1" s="783">
      <c r="B3887" s="901" t="n"/>
    </row>
    <row r="3888" ht="15" customHeight="1" s="783">
      <c r="B3888" s="901" t="n"/>
    </row>
    <row r="3889" ht="15" customHeight="1" s="783">
      <c r="B3889" s="901" t="n"/>
    </row>
    <row r="3890" ht="15" customHeight="1" s="783">
      <c r="B3890" s="901" t="n"/>
    </row>
    <row r="3891" ht="15" customHeight="1" s="783">
      <c r="B3891" s="901" t="n"/>
    </row>
    <row r="3892" ht="15" customHeight="1" s="783">
      <c r="B3892" s="901" t="n"/>
    </row>
    <row r="3893" ht="15" customHeight="1" s="783">
      <c r="B3893" s="901" t="n"/>
    </row>
    <row r="3894" ht="15" customHeight="1" s="783">
      <c r="B3894" s="901" t="n"/>
    </row>
    <row r="3895" ht="15" customHeight="1" s="783">
      <c r="B3895" s="901" t="n"/>
    </row>
    <row r="3896" ht="15" customHeight="1" s="783">
      <c r="B3896" s="901" t="n"/>
    </row>
    <row r="3897" ht="15" customHeight="1" s="783">
      <c r="B3897" s="901" t="n"/>
    </row>
    <row r="3898" ht="15" customHeight="1" s="783">
      <c r="B3898" s="901" t="n"/>
    </row>
    <row r="3899" ht="15" customHeight="1" s="783">
      <c r="B3899" s="901" t="n"/>
    </row>
    <row r="3900" ht="15" customHeight="1" s="783">
      <c r="B3900" s="901" t="n"/>
    </row>
    <row r="3901" ht="15" customHeight="1" s="783">
      <c r="B3901" s="901" t="n"/>
    </row>
    <row r="3902" ht="15" customHeight="1" s="783">
      <c r="B3902" s="901" t="n"/>
    </row>
    <row r="3903" ht="15" customHeight="1" s="783">
      <c r="B3903" s="901" t="n"/>
    </row>
    <row r="3904" ht="15" customHeight="1" s="783">
      <c r="B3904" s="901" t="n"/>
    </row>
    <row r="3905" ht="15" customHeight="1" s="783">
      <c r="B3905" s="901" t="n"/>
    </row>
    <row r="3906" ht="15" customHeight="1" s="783">
      <c r="B3906" s="901" t="n"/>
    </row>
    <row r="3907" ht="15" customHeight="1" s="783">
      <c r="B3907" s="901" t="n"/>
    </row>
    <row r="3908" ht="15" customHeight="1" s="783">
      <c r="B3908" s="901" t="n"/>
    </row>
    <row r="3909" ht="15" customHeight="1" s="783">
      <c r="B3909" s="901" t="n"/>
    </row>
    <row r="3910" ht="15" customHeight="1" s="783">
      <c r="B3910" s="901" t="n"/>
    </row>
    <row r="3911" ht="15" customHeight="1" s="783">
      <c r="B3911" s="901" t="n"/>
    </row>
    <row r="3912" ht="15" customHeight="1" s="783">
      <c r="B3912" s="901" t="n"/>
    </row>
    <row r="3913" ht="15" customHeight="1" s="783">
      <c r="B3913" s="901" t="n"/>
    </row>
    <row r="3914" ht="15" customHeight="1" s="783">
      <c r="B3914" s="901" t="n"/>
    </row>
    <row r="3915" ht="15" customHeight="1" s="783">
      <c r="B3915" s="901" t="n"/>
    </row>
    <row r="3916" ht="15" customHeight="1" s="783">
      <c r="B3916" s="901" t="n"/>
    </row>
    <row r="3917" ht="15" customHeight="1" s="783">
      <c r="B3917" s="901" t="n"/>
    </row>
    <row r="3918" ht="15" customHeight="1" s="783">
      <c r="B3918" s="901" t="n"/>
    </row>
    <row r="3919" ht="15" customHeight="1" s="783">
      <c r="B3919" s="901" t="n"/>
    </row>
    <row r="3920" ht="15" customHeight="1" s="783">
      <c r="B3920" s="901" t="n"/>
    </row>
    <row r="3921" ht="15" customHeight="1" s="783">
      <c r="B3921" s="901" t="n"/>
    </row>
    <row r="3922" ht="15" customHeight="1" s="783">
      <c r="B3922" s="901" t="n"/>
    </row>
    <row r="3923" ht="15" customHeight="1" s="783">
      <c r="B3923" s="901" t="n"/>
    </row>
    <row r="3924" ht="15" customHeight="1" s="783">
      <c r="B3924" s="901" t="n"/>
    </row>
    <row r="3925" ht="15" customHeight="1" s="783">
      <c r="B3925" s="901" t="n"/>
    </row>
    <row r="3926" ht="15" customHeight="1" s="783">
      <c r="B3926" s="901" t="n"/>
    </row>
    <row r="3927" ht="15" customHeight="1" s="783">
      <c r="B3927" s="901" t="n"/>
    </row>
    <row r="3928" ht="15" customHeight="1" s="783">
      <c r="B3928" s="901" t="n"/>
    </row>
    <row r="3929" ht="15" customHeight="1" s="783">
      <c r="B3929" s="901" t="n"/>
    </row>
    <row r="3930" ht="15" customHeight="1" s="783">
      <c r="B3930" s="901" t="n"/>
    </row>
    <row r="3931" ht="15" customHeight="1" s="783">
      <c r="B3931" s="901" t="n"/>
    </row>
    <row r="3932" ht="15" customHeight="1" s="783">
      <c r="B3932" s="901" t="n"/>
    </row>
    <row r="3933" ht="15" customHeight="1" s="783">
      <c r="B3933" s="901" t="n"/>
    </row>
    <row r="3934" ht="15" customHeight="1" s="783">
      <c r="B3934" s="901" t="n"/>
    </row>
    <row r="3935" ht="15" customHeight="1" s="783">
      <c r="B3935" s="901" t="n"/>
    </row>
    <row r="3936" ht="15" customHeight="1" s="783">
      <c r="B3936" s="901" t="n"/>
    </row>
    <row r="3937" ht="15" customHeight="1" s="783">
      <c r="B3937" s="901" t="n"/>
    </row>
    <row r="3938" ht="15" customHeight="1" s="783">
      <c r="B3938" s="901" t="n"/>
    </row>
    <row r="3939" ht="15" customHeight="1" s="783">
      <c r="B3939" s="901" t="n"/>
    </row>
    <row r="3940" ht="15" customHeight="1" s="783">
      <c r="B3940" s="901" t="n"/>
    </row>
    <row r="3941" ht="15" customHeight="1" s="783">
      <c r="B3941" s="901" t="n"/>
    </row>
    <row r="3942" ht="15" customHeight="1" s="783">
      <c r="B3942" s="901" t="n"/>
    </row>
    <row r="3943" ht="15" customHeight="1" s="783">
      <c r="B3943" s="901" t="n"/>
    </row>
    <row r="3944" ht="15" customHeight="1" s="783">
      <c r="B3944" s="901" t="n"/>
    </row>
    <row r="3945" ht="15" customHeight="1" s="783">
      <c r="B3945" s="901" t="n"/>
    </row>
    <row r="3946" ht="15" customHeight="1" s="783">
      <c r="B3946" s="901" t="n"/>
    </row>
    <row r="3947" ht="15" customHeight="1" s="783">
      <c r="B3947" s="901" t="n"/>
    </row>
    <row r="3948" ht="15" customHeight="1" s="783">
      <c r="B3948" s="901" t="n"/>
    </row>
    <row r="3949" ht="15" customHeight="1" s="783">
      <c r="B3949" s="901" t="n"/>
    </row>
    <row r="3950" ht="15" customHeight="1" s="783">
      <c r="B3950" s="901" t="n"/>
    </row>
    <row r="3951" ht="15" customHeight="1" s="783">
      <c r="B3951" s="901" t="n"/>
    </row>
    <row r="3952" ht="15" customHeight="1" s="783">
      <c r="B3952" s="901" t="n"/>
    </row>
    <row r="3953" ht="15" customHeight="1" s="783">
      <c r="B3953" s="901" t="n"/>
    </row>
    <row r="3954" ht="15" customHeight="1" s="783">
      <c r="B3954" s="901" t="n"/>
    </row>
    <row r="3955" ht="15" customHeight="1" s="783">
      <c r="B3955" s="901" t="n"/>
    </row>
    <row r="3956" ht="15" customHeight="1" s="783">
      <c r="B3956" s="901" t="n"/>
    </row>
    <row r="3957" ht="15" customHeight="1" s="783">
      <c r="B3957" s="901" t="n"/>
    </row>
    <row r="3958" ht="15" customHeight="1" s="783">
      <c r="B3958" s="901" t="n"/>
    </row>
    <row r="3959" ht="15" customHeight="1" s="783">
      <c r="B3959" s="901" t="n"/>
    </row>
    <row r="3960" ht="15" customHeight="1" s="783">
      <c r="B3960" s="901" t="n"/>
    </row>
    <row r="3961" ht="15" customHeight="1" s="783">
      <c r="B3961" s="901" t="n"/>
    </row>
    <row r="3962" ht="15" customHeight="1" s="783">
      <c r="B3962" s="901" t="n"/>
    </row>
    <row r="3963" ht="15" customHeight="1" s="783">
      <c r="B3963" s="901" t="n"/>
    </row>
    <row r="3964" ht="15" customHeight="1" s="783">
      <c r="B3964" s="901" t="n"/>
    </row>
    <row r="3965" ht="15" customHeight="1" s="783">
      <c r="B3965" s="901" t="n"/>
    </row>
    <row r="3966" ht="15" customHeight="1" s="783">
      <c r="B3966" s="901" t="n"/>
    </row>
    <row r="3967" ht="15" customHeight="1" s="783">
      <c r="B3967" s="901" t="n"/>
    </row>
    <row r="3968" ht="15" customHeight="1" s="783">
      <c r="B3968" s="901" t="n"/>
    </row>
    <row r="3969" ht="15" customHeight="1" s="783">
      <c r="B3969" s="901" t="n"/>
    </row>
    <row r="3970" ht="15" customHeight="1" s="783">
      <c r="B3970" s="901" t="n"/>
    </row>
    <row r="3971" ht="15" customHeight="1" s="783">
      <c r="B3971" s="901" t="n"/>
    </row>
    <row r="3972" ht="15" customHeight="1" s="783">
      <c r="B3972" s="901" t="n"/>
    </row>
    <row r="3973" ht="15" customHeight="1" s="783">
      <c r="B3973" s="901" t="n"/>
    </row>
    <row r="3974" ht="15" customHeight="1" s="783">
      <c r="B3974" s="901" t="n"/>
    </row>
    <row r="3975" ht="15" customHeight="1" s="783">
      <c r="B3975" s="901" t="n"/>
    </row>
    <row r="3976" ht="15" customHeight="1" s="783">
      <c r="B3976" s="901" t="n"/>
    </row>
    <row r="3977" ht="15" customHeight="1" s="783">
      <c r="B3977" s="901" t="n"/>
    </row>
    <row r="3978" ht="15" customHeight="1" s="783">
      <c r="B3978" s="901" t="n"/>
    </row>
    <row r="3979" ht="15" customHeight="1" s="783">
      <c r="B3979" s="901" t="n"/>
    </row>
    <row r="3980" ht="15" customHeight="1" s="783">
      <c r="B3980" s="901" t="n"/>
    </row>
    <row r="3981" ht="15" customHeight="1" s="783">
      <c r="B3981" s="901" t="n"/>
    </row>
    <row r="3982" ht="15" customHeight="1" s="783">
      <c r="B3982" s="901" t="n"/>
    </row>
    <row r="3983" ht="15" customHeight="1" s="783">
      <c r="B3983" s="901" t="n"/>
    </row>
    <row r="3984" ht="15" customHeight="1" s="783">
      <c r="B3984" s="901" t="n"/>
    </row>
    <row r="3985" ht="15" customHeight="1" s="783">
      <c r="B3985" s="901" t="n"/>
    </row>
    <row r="3986" ht="15" customHeight="1" s="783">
      <c r="B3986" s="901" t="n"/>
    </row>
    <row r="3987" ht="15" customHeight="1" s="783">
      <c r="B3987" s="901" t="n"/>
    </row>
    <row r="3988" ht="15" customHeight="1" s="783">
      <c r="B3988" s="901" t="n"/>
    </row>
    <row r="3989" ht="15" customHeight="1" s="783">
      <c r="B3989" s="901" t="n"/>
    </row>
    <row r="3990" ht="15" customHeight="1" s="783">
      <c r="B3990" s="901" t="n"/>
    </row>
    <row r="3991" ht="15" customHeight="1" s="783">
      <c r="B3991" s="901" t="n"/>
    </row>
    <row r="3992" ht="15" customHeight="1" s="783">
      <c r="B3992" s="901" t="n"/>
    </row>
    <row r="3993" ht="15" customHeight="1" s="783">
      <c r="B3993" s="901" t="n"/>
    </row>
    <row r="3994" ht="15" customHeight="1" s="783">
      <c r="B3994" s="901" t="n"/>
    </row>
    <row r="3995" ht="15" customHeight="1" s="783">
      <c r="B3995" s="901" t="n"/>
    </row>
    <row r="3996" ht="15" customHeight="1" s="783">
      <c r="B3996" s="901" t="n"/>
    </row>
    <row r="3997" ht="15" customHeight="1" s="783">
      <c r="B3997" s="901" t="n"/>
    </row>
    <row r="3998" ht="15" customHeight="1" s="783">
      <c r="B3998" s="901" t="n"/>
    </row>
    <row r="3999" ht="15" customHeight="1" s="783">
      <c r="B3999" s="901" t="n"/>
    </row>
    <row r="4000" ht="15" customHeight="1" s="783">
      <c r="B4000" s="901" t="n"/>
    </row>
    <row r="4001" ht="15" customHeight="1" s="783">
      <c r="B4001" s="901" t="n"/>
    </row>
    <row r="4002" ht="15" customHeight="1" s="783">
      <c r="B4002" s="901" t="n"/>
    </row>
    <row r="4003" ht="15" customHeight="1" s="783">
      <c r="B4003" s="901" t="n"/>
    </row>
    <row r="4004" ht="15" customHeight="1" s="783">
      <c r="B4004" s="901" t="n"/>
    </row>
    <row r="4005" ht="15" customHeight="1" s="783">
      <c r="B4005" s="901" t="n"/>
    </row>
    <row r="4006" ht="15" customHeight="1" s="783">
      <c r="B4006" s="901" t="n"/>
    </row>
    <row r="4007" ht="15" customHeight="1" s="783">
      <c r="B4007" s="901" t="n"/>
    </row>
    <row r="4008" ht="15" customHeight="1" s="783">
      <c r="B4008" s="901" t="n"/>
    </row>
    <row r="4009" ht="15" customHeight="1" s="783">
      <c r="B4009" s="901" t="n"/>
    </row>
    <row r="4010" ht="15" customHeight="1" s="783">
      <c r="B4010" s="901" t="n"/>
    </row>
    <row r="4011" ht="15" customHeight="1" s="783">
      <c r="B4011" s="901" t="n"/>
    </row>
    <row r="4012" ht="15" customHeight="1" s="783">
      <c r="B4012" s="901" t="n"/>
    </row>
    <row r="4013" ht="15" customHeight="1" s="783">
      <c r="B4013" s="901" t="n"/>
    </row>
    <row r="4014" ht="15" customHeight="1" s="783">
      <c r="B4014" s="901" t="n"/>
    </row>
    <row r="4015" ht="15" customHeight="1" s="783">
      <c r="B4015" s="901" t="n"/>
    </row>
    <row r="4016" ht="15" customHeight="1" s="783">
      <c r="B4016" s="901" t="n"/>
    </row>
    <row r="4017" ht="15" customHeight="1" s="783">
      <c r="B4017" s="901" t="n"/>
    </row>
    <row r="4018" ht="15" customHeight="1" s="783">
      <c r="B4018" s="901" t="n"/>
    </row>
    <row r="4019" ht="15" customHeight="1" s="783">
      <c r="B4019" s="901" t="n"/>
    </row>
    <row r="4020" ht="15" customHeight="1" s="783">
      <c r="B4020" s="901" t="n"/>
    </row>
    <row r="4021" ht="15" customHeight="1" s="783">
      <c r="B4021" s="901" t="n"/>
    </row>
    <row r="4022" ht="15" customHeight="1" s="783">
      <c r="B4022" s="901" t="n"/>
    </row>
    <row r="4023" ht="15" customHeight="1" s="783">
      <c r="B4023" s="901" t="n"/>
    </row>
    <row r="4024" ht="15" customHeight="1" s="783">
      <c r="B4024" s="901" t="n"/>
    </row>
    <row r="4025" ht="15" customHeight="1" s="783">
      <c r="B4025" s="901" t="n"/>
    </row>
    <row r="4026" ht="15" customHeight="1" s="783">
      <c r="B4026" s="901" t="n"/>
    </row>
    <row r="4027" ht="15" customHeight="1" s="783">
      <c r="B4027" s="901" t="n"/>
    </row>
    <row r="4028" ht="15" customHeight="1" s="783">
      <c r="B4028" s="901" t="n"/>
    </row>
    <row r="4029" ht="15" customHeight="1" s="783">
      <c r="B4029" s="901" t="n"/>
    </row>
    <row r="4030" ht="15" customHeight="1" s="783">
      <c r="B4030" s="901" t="n"/>
    </row>
    <row r="4031" ht="15" customHeight="1" s="783">
      <c r="B4031" s="901" t="n"/>
    </row>
    <row r="4032" ht="15" customHeight="1" s="783">
      <c r="B4032" s="901" t="n"/>
    </row>
    <row r="4033" ht="15" customHeight="1" s="783">
      <c r="B4033" s="901" t="n"/>
    </row>
    <row r="4034" ht="15" customHeight="1" s="783">
      <c r="B4034" s="901" t="n"/>
    </row>
    <row r="4035" ht="15" customHeight="1" s="783">
      <c r="B4035" s="901" t="n"/>
    </row>
    <row r="4036" ht="15" customHeight="1" s="783">
      <c r="B4036" s="901" t="n"/>
    </row>
    <row r="4037" ht="15" customHeight="1" s="783">
      <c r="B4037" s="901" t="n"/>
    </row>
    <row r="4038" ht="15" customHeight="1" s="783">
      <c r="B4038" s="901" t="n"/>
    </row>
    <row r="4039" ht="15" customHeight="1" s="783">
      <c r="B4039" s="901" t="n"/>
    </row>
    <row r="4040" ht="15" customHeight="1" s="783">
      <c r="B4040" s="901" t="n"/>
    </row>
    <row r="4041" ht="15" customHeight="1" s="783">
      <c r="B4041" s="901" t="n"/>
    </row>
    <row r="4042" ht="15" customHeight="1" s="783">
      <c r="B4042" s="901" t="n"/>
    </row>
    <row r="4043" ht="15" customHeight="1" s="783">
      <c r="B4043" s="901" t="n"/>
    </row>
    <row r="4044" ht="15" customHeight="1" s="783">
      <c r="B4044" s="901" t="n"/>
    </row>
    <row r="4045" ht="15" customHeight="1" s="783">
      <c r="B4045" s="901" t="n"/>
    </row>
    <row r="4046" ht="15" customHeight="1" s="783">
      <c r="B4046" s="901" t="n"/>
    </row>
    <row r="4047" ht="15" customHeight="1" s="783">
      <c r="B4047" s="901" t="n"/>
    </row>
    <row r="4048" ht="15" customHeight="1" s="783">
      <c r="B4048" s="901" t="n"/>
    </row>
    <row r="4049" ht="15" customHeight="1" s="783">
      <c r="B4049" s="901" t="n"/>
    </row>
    <row r="4050" ht="15" customHeight="1" s="783">
      <c r="B4050" s="901" t="n"/>
    </row>
    <row r="4051" ht="15" customHeight="1" s="783">
      <c r="B4051" s="901" t="n"/>
    </row>
    <row r="4052" ht="15" customHeight="1" s="783">
      <c r="B4052" s="901" t="n"/>
    </row>
    <row r="4053" ht="15" customHeight="1" s="783">
      <c r="B4053" s="901" t="n"/>
    </row>
    <row r="4054" ht="15" customHeight="1" s="783">
      <c r="B4054" s="901" t="n"/>
    </row>
    <row r="4055" ht="15" customHeight="1" s="783">
      <c r="B4055" s="901" t="n"/>
    </row>
    <row r="4056" ht="15" customHeight="1" s="783">
      <c r="B4056" s="901" t="n"/>
    </row>
    <row r="4057" ht="15" customHeight="1" s="783">
      <c r="B4057" s="901" t="n"/>
    </row>
    <row r="4058" ht="15" customHeight="1" s="783">
      <c r="B4058" s="901" t="n"/>
    </row>
    <row r="4059" ht="15" customHeight="1" s="783">
      <c r="B4059" s="901" t="n"/>
    </row>
    <row r="4060" ht="15" customHeight="1" s="783">
      <c r="B4060" s="901" t="n"/>
    </row>
    <row r="4061" ht="15" customHeight="1" s="783">
      <c r="B4061" s="901" t="n"/>
    </row>
    <row r="4062" ht="15" customHeight="1" s="783">
      <c r="B4062" s="901" t="n"/>
    </row>
    <row r="4063" ht="15" customHeight="1" s="783">
      <c r="B4063" s="901" t="n"/>
    </row>
    <row r="4064" ht="15" customHeight="1" s="783">
      <c r="B4064" s="901" t="n"/>
    </row>
    <row r="4065" ht="15" customHeight="1" s="783">
      <c r="B4065" s="901" t="n"/>
    </row>
    <row r="4066" ht="15" customHeight="1" s="783">
      <c r="B4066" s="901" t="n"/>
    </row>
    <row r="4067" ht="15" customHeight="1" s="783">
      <c r="B4067" s="901" t="n"/>
    </row>
    <row r="4068" ht="15" customHeight="1" s="783">
      <c r="B4068" s="901" t="n"/>
    </row>
    <row r="4069" ht="15" customHeight="1" s="783">
      <c r="B4069" s="901" t="n"/>
    </row>
    <row r="4070" ht="15" customHeight="1" s="783">
      <c r="B4070" s="901" t="n"/>
    </row>
    <row r="4071" ht="15" customHeight="1" s="783">
      <c r="B4071" s="901" t="n"/>
    </row>
    <row r="4072" ht="15" customHeight="1" s="783">
      <c r="B4072" s="901" t="n"/>
    </row>
    <row r="4073" ht="15" customHeight="1" s="783">
      <c r="B4073" s="901" t="n"/>
    </row>
    <row r="4074" ht="15" customHeight="1" s="783">
      <c r="B4074" s="901" t="n"/>
    </row>
    <row r="4075" ht="15" customHeight="1" s="783">
      <c r="B4075" s="901" t="n"/>
    </row>
    <row r="4076" ht="15" customHeight="1" s="783">
      <c r="B4076" s="901" t="n"/>
    </row>
    <row r="4077" ht="15" customHeight="1" s="783">
      <c r="B4077" s="901" t="n"/>
    </row>
    <row r="4078" ht="15" customHeight="1" s="783">
      <c r="B4078" s="901" t="n"/>
    </row>
    <row r="4079" ht="15" customHeight="1" s="783">
      <c r="B4079" s="901" t="n"/>
    </row>
    <row r="4080" ht="15" customHeight="1" s="783">
      <c r="B4080" s="901" t="n"/>
    </row>
    <row r="4081" ht="15" customHeight="1" s="783">
      <c r="B4081" s="901" t="n"/>
    </row>
    <row r="4082" ht="15" customHeight="1" s="783">
      <c r="B4082" s="901" t="n"/>
    </row>
    <row r="4083" ht="15" customHeight="1" s="783">
      <c r="B4083" s="901" t="n"/>
    </row>
    <row r="4084" ht="15" customHeight="1" s="783">
      <c r="B4084" s="901" t="n"/>
    </row>
    <row r="4085" ht="15" customHeight="1" s="783">
      <c r="B4085" s="901" t="n"/>
    </row>
    <row r="4086" ht="15" customHeight="1" s="783">
      <c r="B4086" s="901" t="n"/>
    </row>
    <row r="4087" ht="15" customHeight="1" s="783">
      <c r="B4087" s="901" t="n"/>
    </row>
    <row r="4088" ht="15" customHeight="1" s="783">
      <c r="B4088" s="901" t="n"/>
    </row>
    <row r="4089" ht="15" customHeight="1" s="783">
      <c r="B4089" s="901" t="n"/>
    </row>
    <row r="4090" ht="15" customHeight="1" s="783">
      <c r="B4090" s="901" t="n"/>
    </row>
    <row r="4091" ht="15" customHeight="1" s="783">
      <c r="B4091" s="901" t="n"/>
    </row>
    <row r="4092" ht="15" customHeight="1" s="783">
      <c r="B4092" s="901" t="n"/>
    </row>
    <row r="4093" ht="15" customHeight="1" s="783">
      <c r="B4093" s="901" t="n"/>
    </row>
    <row r="4094" ht="15" customHeight="1" s="783">
      <c r="B4094" s="901" t="n"/>
    </row>
    <row r="4095" ht="15" customHeight="1" s="783">
      <c r="B4095" s="901" t="n"/>
    </row>
    <row r="4096" ht="15" customHeight="1" s="783">
      <c r="B4096" s="901" t="n"/>
    </row>
    <row r="4097" ht="15" customHeight="1" s="783">
      <c r="B4097" s="901" t="n"/>
    </row>
    <row r="4098" ht="15" customHeight="1" s="783">
      <c r="B4098" s="901" t="n"/>
    </row>
    <row r="4099" ht="15" customHeight="1" s="783">
      <c r="B4099" s="901" t="n"/>
    </row>
    <row r="4100" ht="15" customHeight="1" s="783">
      <c r="B4100" s="901" t="n"/>
    </row>
    <row r="4101" ht="15" customHeight="1" s="783">
      <c r="B4101" s="901" t="n"/>
    </row>
    <row r="4102" ht="15" customHeight="1" s="783">
      <c r="B4102" s="901" t="n"/>
    </row>
    <row r="4103" ht="15" customHeight="1" s="783">
      <c r="B4103" s="901" t="n"/>
    </row>
    <row r="4104" ht="15" customHeight="1" s="783">
      <c r="B4104" s="901" t="n"/>
    </row>
    <row r="4105" ht="15" customHeight="1" s="783">
      <c r="B4105" s="901" t="n"/>
    </row>
    <row r="4106" ht="15" customHeight="1" s="783">
      <c r="B4106" s="901" t="n"/>
    </row>
    <row r="4107" ht="15" customHeight="1" s="783">
      <c r="B4107" s="901" t="n"/>
    </row>
    <row r="4108" ht="15" customHeight="1" s="783">
      <c r="B4108" s="901" t="n"/>
    </row>
    <row r="4109" ht="15" customHeight="1" s="783">
      <c r="B4109" s="901" t="n"/>
    </row>
    <row r="4110" ht="15" customHeight="1" s="783">
      <c r="B4110" s="901" t="n"/>
    </row>
    <row r="4111" ht="15" customHeight="1" s="783">
      <c r="B4111" s="901" t="n"/>
    </row>
    <row r="4112" ht="15" customHeight="1" s="783">
      <c r="B4112" s="901" t="n"/>
    </row>
    <row r="4113" ht="15" customHeight="1" s="783">
      <c r="B4113" s="901" t="n"/>
    </row>
    <row r="4114" ht="15" customHeight="1" s="783">
      <c r="B4114" s="901" t="n"/>
    </row>
    <row r="4115" ht="15" customHeight="1" s="783">
      <c r="B4115" s="901" t="n"/>
    </row>
    <row r="4116" ht="15" customHeight="1" s="783">
      <c r="B4116" s="901" t="n"/>
    </row>
    <row r="4117" ht="15" customHeight="1" s="783">
      <c r="B4117" s="901" t="n"/>
    </row>
    <row r="4118" ht="15" customHeight="1" s="783">
      <c r="B4118" s="901" t="n"/>
    </row>
    <row r="4119" ht="15" customHeight="1" s="783">
      <c r="B4119" s="901" t="n"/>
    </row>
    <row r="4120" ht="15" customHeight="1" s="783">
      <c r="B4120" s="901" t="n"/>
    </row>
    <row r="4121" ht="15" customHeight="1" s="783">
      <c r="B4121" s="901" t="n"/>
    </row>
    <row r="4122" ht="15" customHeight="1" s="783">
      <c r="B4122" s="901" t="n"/>
    </row>
    <row r="4123" ht="15" customHeight="1" s="783">
      <c r="B4123" s="901" t="n"/>
    </row>
    <row r="4124" ht="15" customHeight="1" s="783">
      <c r="B4124" s="901" t="n"/>
    </row>
    <row r="4125" ht="15" customHeight="1" s="783">
      <c r="B4125" s="901" t="n"/>
    </row>
    <row r="4126" ht="15" customHeight="1" s="783">
      <c r="B4126" s="901" t="n"/>
    </row>
    <row r="4127" ht="15" customHeight="1" s="783">
      <c r="B4127" s="901" t="n"/>
    </row>
    <row r="4128" ht="15" customHeight="1" s="783">
      <c r="B4128" s="901" t="n"/>
    </row>
    <row r="4129" ht="15" customHeight="1" s="783">
      <c r="B4129" s="901" t="n"/>
    </row>
    <row r="4130" ht="15" customHeight="1" s="783">
      <c r="B4130" s="901" t="n"/>
    </row>
    <row r="4131" ht="15" customHeight="1" s="783">
      <c r="B4131" s="901" t="n"/>
    </row>
    <row r="4132" ht="15" customHeight="1" s="783">
      <c r="B4132" s="901" t="n"/>
    </row>
    <row r="4133" ht="15" customHeight="1" s="783">
      <c r="B4133" s="901" t="n"/>
    </row>
    <row r="4134" ht="15" customHeight="1" s="783">
      <c r="B4134" s="901" t="n"/>
    </row>
    <row r="4135" ht="15" customHeight="1" s="783">
      <c r="B4135" s="901" t="n"/>
    </row>
    <row r="4136" ht="15" customHeight="1" s="783">
      <c r="B4136" s="901" t="n"/>
    </row>
    <row r="4137" ht="15" customHeight="1" s="783">
      <c r="B4137" s="901" t="n"/>
    </row>
    <row r="4138" ht="15" customHeight="1" s="783">
      <c r="B4138" s="901" t="n"/>
    </row>
    <row r="4139" ht="15" customHeight="1" s="783">
      <c r="B4139" s="901" t="n"/>
    </row>
    <row r="4140" ht="15" customHeight="1" s="783">
      <c r="B4140" s="901" t="n"/>
    </row>
    <row r="4141" ht="15" customHeight="1" s="783">
      <c r="B4141" s="901" t="n"/>
    </row>
    <row r="4142" ht="15" customHeight="1" s="783">
      <c r="B4142" s="901" t="n"/>
    </row>
    <row r="4143" ht="15" customHeight="1" s="783">
      <c r="B4143" s="901" t="n"/>
    </row>
    <row r="4144" ht="15" customHeight="1" s="783">
      <c r="B4144" s="901" t="n"/>
    </row>
    <row r="4145" ht="15" customHeight="1" s="783">
      <c r="B4145" s="901" t="n"/>
    </row>
    <row r="4146" ht="15" customHeight="1" s="783">
      <c r="B4146" s="901" t="n"/>
    </row>
    <row r="4147" ht="15" customHeight="1" s="783">
      <c r="B4147" s="901" t="n"/>
    </row>
    <row r="4148" ht="15" customHeight="1" s="783">
      <c r="B4148" s="901" t="n"/>
    </row>
    <row r="4149" ht="15" customHeight="1" s="783">
      <c r="B4149" s="901" t="n"/>
    </row>
    <row r="4150" ht="15" customHeight="1" s="783">
      <c r="B4150" s="901" t="n"/>
    </row>
    <row r="4151" ht="15" customHeight="1" s="783">
      <c r="B4151" s="901" t="n"/>
    </row>
    <row r="4152" ht="15" customHeight="1" s="783">
      <c r="B4152" s="901" t="n"/>
    </row>
    <row r="4153" ht="15" customHeight="1" s="783">
      <c r="B4153" s="901" t="n"/>
    </row>
    <row r="4154" ht="15" customHeight="1" s="783">
      <c r="B4154" s="901" t="n"/>
    </row>
    <row r="4155" ht="15" customHeight="1" s="783">
      <c r="B4155" s="901" t="n"/>
    </row>
    <row r="4156" ht="15" customHeight="1" s="783">
      <c r="B4156" s="901" t="n"/>
    </row>
    <row r="4157" ht="15" customHeight="1" s="783">
      <c r="B4157" s="901" t="n"/>
    </row>
    <row r="4158" ht="15" customHeight="1" s="783">
      <c r="B4158" s="901" t="n"/>
    </row>
    <row r="4159" ht="15" customHeight="1" s="783">
      <c r="B4159" s="901" t="n"/>
    </row>
    <row r="4160" ht="15" customHeight="1" s="783">
      <c r="B4160" s="901" t="n"/>
    </row>
    <row r="4161" ht="15" customHeight="1" s="783">
      <c r="B4161" s="901" t="n"/>
    </row>
    <row r="4162" ht="15" customHeight="1" s="783">
      <c r="B4162" s="901" t="n"/>
    </row>
    <row r="4163" ht="15" customHeight="1" s="783">
      <c r="B4163" s="901" t="n"/>
    </row>
    <row r="4164" ht="15" customHeight="1" s="783">
      <c r="B4164" s="901" t="n"/>
    </row>
    <row r="4165" ht="15" customHeight="1" s="783">
      <c r="B4165" s="901" t="n"/>
    </row>
    <row r="4166" ht="15" customHeight="1" s="783">
      <c r="B4166" s="901" t="n"/>
    </row>
    <row r="4167" ht="15" customHeight="1" s="783">
      <c r="B4167" s="901" t="n"/>
    </row>
    <row r="4168" ht="15" customHeight="1" s="783">
      <c r="B4168" s="901" t="n"/>
    </row>
    <row r="4169" ht="15" customHeight="1" s="783">
      <c r="B4169" s="901" t="n"/>
    </row>
    <row r="4170" ht="15" customHeight="1" s="783">
      <c r="B4170" s="901" t="n"/>
    </row>
    <row r="4171" ht="15" customHeight="1" s="783">
      <c r="B4171" s="901" t="n"/>
    </row>
    <row r="4172" ht="15" customHeight="1" s="783">
      <c r="B4172" s="901" t="n"/>
    </row>
    <row r="4173" ht="15" customHeight="1" s="783">
      <c r="B4173" s="901" t="n"/>
    </row>
    <row r="4174" ht="15" customHeight="1" s="783">
      <c r="B4174" s="901" t="n"/>
    </row>
    <row r="4175" ht="15" customHeight="1" s="783">
      <c r="B4175" s="901" t="n"/>
    </row>
    <row r="4176" ht="15" customHeight="1" s="783">
      <c r="B4176" s="901" t="n"/>
    </row>
    <row r="4177" ht="15" customHeight="1" s="783">
      <c r="B4177" s="901" t="n"/>
    </row>
    <row r="4178" ht="15" customHeight="1" s="783">
      <c r="B4178" s="901" t="n"/>
    </row>
    <row r="4179" ht="15" customHeight="1" s="783">
      <c r="B4179" s="901" t="n"/>
    </row>
    <row r="4180" ht="15" customHeight="1" s="783">
      <c r="B4180" s="901" t="n"/>
    </row>
    <row r="4181" ht="15" customHeight="1" s="783">
      <c r="B4181" s="901" t="n"/>
    </row>
    <row r="4182" ht="15" customHeight="1" s="783">
      <c r="B4182" s="901" t="n"/>
    </row>
    <row r="4183" ht="15" customHeight="1" s="783">
      <c r="B4183" s="901" t="n"/>
    </row>
    <row r="4184" ht="15" customHeight="1" s="783">
      <c r="B4184" s="901" t="n"/>
    </row>
    <row r="4185" ht="15" customHeight="1" s="783">
      <c r="B4185" s="901" t="n"/>
    </row>
    <row r="4186" ht="15" customHeight="1" s="783">
      <c r="B4186" s="901" t="n"/>
    </row>
    <row r="4187" ht="15" customHeight="1" s="783">
      <c r="B4187" s="901" t="n"/>
    </row>
    <row r="4188" ht="15" customHeight="1" s="783">
      <c r="B4188" s="901" t="n"/>
    </row>
    <row r="4189" ht="15" customHeight="1" s="783">
      <c r="B4189" s="901" t="n"/>
    </row>
    <row r="4190" ht="15" customHeight="1" s="783">
      <c r="B4190" s="901" t="n"/>
    </row>
    <row r="4191" ht="15" customHeight="1" s="783">
      <c r="B4191" s="901" t="n"/>
    </row>
    <row r="4192" ht="15" customHeight="1" s="783">
      <c r="B4192" s="901" t="n"/>
    </row>
    <row r="4193" ht="15" customHeight="1" s="783">
      <c r="B4193" s="901" t="n"/>
    </row>
    <row r="4194" ht="15" customHeight="1" s="783">
      <c r="B4194" s="901" t="n"/>
    </row>
    <row r="4195" ht="15" customHeight="1" s="783">
      <c r="B4195" s="901" t="n"/>
    </row>
    <row r="4196" ht="15" customHeight="1" s="783">
      <c r="B4196" s="901" t="n"/>
    </row>
    <row r="4197" ht="15" customHeight="1" s="783">
      <c r="B4197" s="901" t="n"/>
    </row>
    <row r="4198" ht="15" customHeight="1" s="783">
      <c r="B4198" s="901" t="n"/>
    </row>
    <row r="4199" ht="15" customHeight="1" s="783">
      <c r="B4199" s="901" t="n"/>
    </row>
    <row r="4200" ht="15" customHeight="1" s="783">
      <c r="B4200" s="901" t="n"/>
    </row>
    <row r="4201" ht="15" customHeight="1" s="783">
      <c r="B4201" s="901" t="n"/>
    </row>
    <row r="4202" ht="15" customHeight="1" s="783">
      <c r="B4202" s="901" t="n"/>
    </row>
    <row r="4203" ht="15" customHeight="1" s="783">
      <c r="B4203" s="901" t="n"/>
    </row>
    <row r="4204" ht="15" customHeight="1" s="783">
      <c r="B4204" s="901" t="n"/>
    </row>
    <row r="4205" ht="15" customHeight="1" s="783">
      <c r="B4205" s="901" t="n"/>
    </row>
    <row r="4206" ht="15" customHeight="1" s="783">
      <c r="B4206" s="901" t="n"/>
    </row>
    <row r="4207" ht="15" customHeight="1" s="783">
      <c r="B4207" s="901" t="n"/>
    </row>
    <row r="4208" ht="15" customHeight="1" s="783">
      <c r="B4208" s="901" t="n"/>
    </row>
    <row r="4209" ht="15" customHeight="1" s="783">
      <c r="B4209" s="901" t="n"/>
    </row>
    <row r="4210" ht="15" customHeight="1" s="783">
      <c r="B4210" s="901" t="n"/>
    </row>
    <row r="4211" ht="15" customHeight="1" s="783">
      <c r="B4211" s="901" t="n"/>
    </row>
    <row r="4212" ht="15" customHeight="1" s="783">
      <c r="B4212" s="901" t="n"/>
    </row>
    <row r="4213" ht="15" customHeight="1" s="783">
      <c r="B4213" s="901" t="n"/>
    </row>
    <row r="4214" ht="15" customHeight="1" s="783">
      <c r="B4214" s="901" t="n"/>
    </row>
    <row r="4215" ht="15" customHeight="1" s="783">
      <c r="B4215" s="901" t="n"/>
    </row>
    <row r="4216" ht="15" customHeight="1" s="783">
      <c r="B4216" s="901" t="n"/>
    </row>
    <row r="4217" ht="15" customHeight="1" s="783">
      <c r="B4217" s="901" t="n"/>
    </row>
    <row r="4218" ht="15" customHeight="1" s="783">
      <c r="B4218" s="901" t="n"/>
    </row>
    <row r="4219" ht="15" customHeight="1" s="783">
      <c r="B4219" s="901" t="n"/>
    </row>
    <row r="4220" ht="15" customHeight="1" s="783">
      <c r="B4220" s="901" t="n"/>
    </row>
    <row r="4221" ht="15" customHeight="1" s="783">
      <c r="B4221" s="901" t="n"/>
    </row>
    <row r="4222" ht="15" customHeight="1" s="783">
      <c r="B4222" s="901" t="n"/>
    </row>
    <row r="4223" ht="15" customHeight="1" s="783">
      <c r="B4223" s="901" t="n"/>
    </row>
    <row r="4224" ht="15" customHeight="1" s="783">
      <c r="B4224" s="901" t="n"/>
    </row>
    <row r="4225" ht="15" customHeight="1" s="783">
      <c r="B4225" s="901" t="n"/>
    </row>
    <row r="4226" ht="15" customHeight="1" s="783">
      <c r="B4226" s="901" t="n"/>
    </row>
    <row r="4227" ht="15" customHeight="1" s="783">
      <c r="B4227" s="901" t="n"/>
    </row>
    <row r="4228" ht="15" customHeight="1" s="783">
      <c r="B4228" s="901" t="n"/>
    </row>
    <row r="4229" ht="15" customHeight="1" s="783">
      <c r="B4229" s="901" t="n"/>
    </row>
    <row r="4230" ht="15" customHeight="1" s="783">
      <c r="B4230" s="901" t="n"/>
    </row>
    <row r="4231" ht="15" customHeight="1" s="783">
      <c r="B4231" s="901" t="n"/>
    </row>
    <row r="4232" ht="15" customHeight="1" s="783">
      <c r="B4232" s="901" t="n"/>
    </row>
    <row r="4233" ht="15" customHeight="1" s="783">
      <c r="B4233" s="901" t="n"/>
    </row>
    <row r="4234" ht="15" customHeight="1" s="783">
      <c r="B4234" s="901" t="n"/>
    </row>
    <row r="4235" ht="15" customHeight="1" s="783">
      <c r="B4235" s="901" t="n"/>
    </row>
    <row r="4236" ht="15" customHeight="1" s="783">
      <c r="B4236" s="901" t="n"/>
    </row>
    <row r="4237" ht="15" customHeight="1" s="783">
      <c r="B4237" s="901" t="n"/>
    </row>
    <row r="4238" ht="15" customHeight="1" s="783">
      <c r="B4238" s="901" t="n"/>
    </row>
    <row r="4239" ht="15" customHeight="1" s="783">
      <c r="B4239" s="901" t="n"/>
    </row>
    <row r="4240" ht="15" customHeight="1" s="783">
      <c r="B4240" s="901" t="n"/>
    </row>
    <row r="4241" ht="15" customHeight="1" s="783">
      <c r="B4241" s="901" t="n"/>
    </row>
    <row r="4242" ht="15" customHeight="1" s="783">
      <c r="B4242" s="901" t="n"/>
    </row>
    <row r="4243" ht="15" customHeight="1" s="783">
      <c r="B4243" s="901" t="n"/>
    </row>
    <row r="4244" ht="15" customHeight="1" s="783">
      <c r="B4244" s="901" t="n"/>
    </row>
    <row r="4245" ht="15" customHeight="1" s="783">
      <c r="B4245" s="901" t="n"/>
    </row>
    <row r="4246" ht="15" customHeight="1" s="783">
      <c r="B4246" s="901" t="n"/>
    </row>
    <row r="4247" ht="15" customHeight="1" s="783">
      <c r="B4247" s="901" t="n"/>
    </row>
    <row r="4248" ht="15" customHeight="1" s="783">
      <c r="B4248" s="901" t="n"/>
    </row>
    <row r="4249" ht="15" customHeight="1" s="783">
      <c r="B4249" s="901" t="n"/>
    </row>
    <row r="4250" ht="15" customHeight="1" s="783">
      <c r="B4250" s="901" t="n"/>
    </row>
    <row r="4251" ht="15" customHeight="1" s="783">
      <c r="B4251" s="901" t="n"/>
    </row>
    <row r="4252" ht="15" customHeight="1" s="783">
      <c r="B4252" s="901" t="n"/>
    </row>
    <row r="4253" ht="15" customHeight="1" s="783">
      <c r="B4253" s="901" t="n"/>
    </row>
    <row r="4254" ht="15" customHeight="1" s="783">
      <c r="B4254" s="901" t="n"/>
    </row>
    <row r="4255" ht="15" customHeight="1" s="783">
      <c r="B4255" s="901" t="n"/>
    </row>
    <row r="4256" ht="15" customHeight="1" s="783">
      <c r="B4256" s="901" t="n"/>
    </row>
    <row r="4257" ht="15" customHeight="1" s="783">
      <c r="B4257" s="901" t="n"/>
    </row>
    <row r="4258" ht="15" customHeight="1" s="783">
      <c r="B4258" s="901" t="n"/>
    </row>
    <row r="4259" ht="15" customHeight="1" s="783">
      <c r="B4259" s="901" t="n"/>
    </row>
    <row r="4260" ht="15" customHeight="1" s="783">
      <c r="B4260" s="901" t="n"/>
    </row>
    <row r="4261" ht="15" customHeight="1" s="783">
      <c r="B4261" s="901" t="n"/>
    </row>
    <row r="4262" ht="15" customHeight="1" s="783">
      <c r="B4262" s="901" t="n"/>
    </row>
    <row r="4263" ht="15" customHeight="1" s="783">
      <c r="B4263" s="901" t="n"/>
    </row>
    <row r="4264" ht="15" customHeight="1" s="783">
      <c r="B4264" s="901" t="n"/>
    </row>
    <row r="4265" ht="15" customHeight="1" s="783">
      <c r="B4265" s="901" t="n"/>
    </row>
    <row r="4266" ht="15" customHeight="1" s="783">
      <c r="B4266" s="901" t="n"/>
    </row>
    <row r="4267" ht="15" customHeight="1" s="783">
      <c r="B4267" s="901" t="n"/>
    </row>
    <row r="4268" ht="15" customHeight="1" s="783">
      <c r="B4268" s="901" t="n"/>
    </row>
    <row r="4269" ht="15" customHeight="1" s="783">
      <c r="B4269" s="901" t="n"/>
    </row>
    <row r="4270" ht="15" customHeight="1" s="783">
      <c r="B4270" s="901" t="n"/>
    </row>
    <row r="4271" ht="15" customHeight="1" s="783">
      <c r="B4271" s="901" t="n"/>
    </row>
    <row r="4272" ht="15" customHeight="1" s="783">
      <c r="B4272" s="901" t="n"/>
    </row>
    <row r="4273" ht="15" customHeight="1" s="783">
      <c r="B4273" s="901" t="n"/>
    </row>
    <row r="4274" ht="15" customHeight="1" s="783">
      <c r="B4274" s="901" t="n"/>
    </row>
    <row r="4275" ht="15" customHeight="1" s="783">
      <c r="B4275" s="901" t="n"/>
    </row>
    <row r="4276" ht="15" customHeight="1" s="783">
      <c r="B4276" s="901" t="n"/>
    </row>
    <row r="4277" ht="15" customHeight="1" s="783">
      <c r="B4277" s="901" t="n"/>
    </row>
    <row r="4278" ht="15" customHeight="1" s="783">
      <c r="B4278" s="901" t="n"/>
    </row>
    <row r="4279" ht="15" customHeight="1" s="783">
      <c r="B4279" s="901" t="n"/>
    </row>
    <row r="4280" ht="15" customHeight="1" s="783">
      <c r="B4280" s="901" t="n"/>
    </row>
    <row r="4281" ht="15" customHeight="1" s="783">
      <c r="B4281" s="901" t="n"/>
    </row>
    <row r="4282" ht="15" customHeight="1" s="783">
      <c r="B4282" s="901" t="n"/>
    </row>
    <row r="4283" ht="15" customHeight="1" s="783">
      <c r="B4283" s="901" t="n"/>
    </row>
    <row r="4284" ht="15" customHeight="1" s="783">
      <c r="B4284" s="901" t="n"/>
    </row>
    <row r="4285" ht="15" customHeight="1" s="783">
      <c r="B4285" s="901" t="n"/>
    </row>
    <row r="4286" ht="15" customHeight="1" s="783">
      <c r="B4286" s="901" t="n"/>
    </row>
    <row r="4287" ht="15" customHeight="1" s="783">
      <c r="B4287" s="901" t="n"/>
    </row>
    <row r="4288" ht="15" customHeight="1" s="783">
      <c r="B4288" s="901" t="n"/>
    </row>
    <row r="4289" ht="15" customHeight="1" s="783">
      <c r="B4289" s="901" t="n"/>
    </row>
    <row r="4290" ht="15" customHeight="1" s="783">
      <c r="B4290" s="901" t="n"/>
    </row>
    <row r="4291" ht="15" customHeight="1" s="783">
      <c r="B4291" s="901" t="n"/>
    </row>
    <row r="4292" ht="15" customHeight="1" s="783">
      <c r="B4292" s="901" t="n"/>
    </row>
    <row r="4293" ht="15" customHeight="1" s="783">
      <c r="B4293" s="901" t="n"/>
    </row>
    <row r="4294" ht="15" customHeight="1" s="783">
      <c r="B4294" s="901" t="n"/>
    </row>
    <row r="4295" ht="15" customHeight="1" s="783">
      <c r="B4295" s="901" t="n"/>
    </row>
    <row r="4296" ht="15" customHeight="1" s="783">
      <c r="B4296" s="901" t="n"/>
    </row>
    <row r="4297" ht="15" customHeight="1" s="783">
      <c r="B4297" s="901" t="n"/>
    </row>
    <row r="4298" ht="15" customHeight="1" s="783">
      <c r="B4298" s="901" t="n"/>
    </row>
    <row r="4299" ht="15" customHeight="1" s="783">
      <c r="B4299" s="901" t="n"/>
    </row>
    <row r="4300" ht="15" customHeight="1" s="783">
      <c r="B4300" s="901" t="n"/>
    </row>
    <row r="4301" ht="15" customHeight="1" s="783">
      <c r="B4301" s="901" t="n"/>
    </row>
    <row r="4302" ht="15" customHeight="1" s="783">
      <c r="B4302" s="901" t="n"/>
    </row>
    <row r="4303" ht="15" customHeight="1" s="783">
      <c r="B4303" s="901" t="n"/>
    </row>
    <row r="4304" ht="15" customHeight="1" s="783">
      <c r="B4304" s="901" t="n"/>
    </row>
    <row r="4305" ht="15" customHeight="1" s="783">
      <c r="B4305" s="901" t="n"/>
    </row>
    <row r="4306" ht="15" customHeight="1" s="783">
      <c r="B4306" s="901" t="n"/>
    </row>
    <row r="4307" ht="15" customHeight="1" s="783">
      <c r="B4307" s="901" t="n"/>
    </row>
    <row r="4308" ht="15" customHeight="1" s="783">
      <c r="B4308" s="901" t="n"/>
    </row>
    <row r="4309" ht="15" customHeight="1" s="783">
      <c r="B4309" s="901" t="n"/>
    </row>
    <row r="4310" ht="15" customHeight="1" s="783">
      <c r="B4310" s="901" t="n"/>
    </row>
    <row r="4311" ht="15" customHeight="1" s="783">
      <c r="B4311" s="901" t="n"/>
    </row>
    <row r="4312" ht="15" customHeight="1" s="783">
      <c r="B4312" s="901" t="n"/>
    </row>
    <row r="4313" ht="15" customHeight="1" s="783">
      <c r="B4313" s="901" t="n"/>
    </row>
    <row r="4314" ht="15" customHeight="1" s="783">
      <c r="B4314" s="901" t="n"/>
    </row>
    <row r="4315" ht="15" customHeight="1" s="783">
      <c r="B4315" s="901" t="n"/>
    </row>
    <row r="4316" ht="15" customHeight="1" s="783">
      <c r="B4316" s="901" t="n"/>
    </row>
    <row r="4317" ht="15" customHeight="1" s="783">
      <c r="B4317" s="901" t="n"/>
    </row>
    <row r="4318" ht="15" customHeight="1" s="783">
      <c r="B4318" s="901" t="n"/>
    </row>
    <row r="4319" ht="15" customHeight="1" s="783">
      <c r="B4319" s="901" t="n"/>
    </row>
    <row r="4320" ht="15" customHeight="1" s="783">
      <c r="B4320" s="901" t="n"/>
    </row>
    <row r="4321" ht="15" customHeight="1" s="783">
      <c r="B4321" s="901" t="n"/>
    </row>
    <row r="4322" ht="15" customHeight="1" s="783">
      <c r="B4322" s="901" t="n"/>
    </row>
    <row r="4323" ht="15" customHeight="1" s="783">
      <c r="B4323" s="901" t="n"/>
    </row>
    <row r="4324" ht="15" customHeight="1" s="783">
      <c r="B4324" s="901" t="n"/>
    </row>
    <row r="4325" ht="15" customHeight="1" s="783">
      <c r="B4325" s="901" t="n"/>
    </row>
    <row r="4326" ht="15" customHeight="1" s="783">
      <c r="B4326" s="901" t="n"/>
    </row>
    <row r="4327" ht="15" customHeight="1" s="783">
      <c r="B4327" s="901" t="n"/>
    </row>
    <row r="4328" ht="15" customHeight="1" s="783">
      <c r="B4328" s="901" t="n"/>
    </row>
    <row r="4329" ht="15" customHeight="1" s="783">
      <c r="B4329" s="901" t="n"/>
    </row>
    <row r="4330" ht="15" customHeight="1" s="783">
      <c r="B4330" s="901" t="n"/>
    </row>
    <row r="4331" ht="15" customHeight="1" s="783">
      <c r="B4331" s="901" t="n"/>
    </row>
    <row r="4332" ht="15" customHeight="1" s="783">
      <c r="B4332" s="901" t="n"/>
    </row>
    <row r="4333" ht="15" customHeight="1" s="783">
      <c r="B4333" s="901" t="n"/>
    </row>
    <row r="4334" ht="15" customHeight="1" s="783">
      <c r="B4334" s="901" t="n"/>
    </row>
    <row r="4335" ht="15" customHeight="1" s="783">
      <c r="B4335" s="901" t="n"/>
    </row>
    <row r="4336" ht="15" customHeight="1" s="783">
      <c r="B4336" s="901" t="n"/>
    </row>
    <row r="4337" ht="15" customHeight="1" s="783">
      <c r="B4337" s="901" t="n"/>
    </row>
    <row r="4338" ht="15" customHeight="1" s="783">
      <c r="B4338" s="901" t="n"/>
    </row>
    <row r="4339" ht="15" customHeight="1" s="783">
      <c r="B4339" s="901" t="n"/>
    </row>
    <row r="4340" ht="15" customHeight="1" s="783">
      <c r="B4340" s="901" t="n"/>
    </row>
    <row r="4341" ht="15" customHeight="1" s="783">
      <c r="B4341" s="901" t="n"/>
    </row>
    <row r="4342" ht="15" customHeight="1" s="783">
      <c r="B4342" s="901" t="n"/>
    </row>
    <row r="4343" ht="15" customHeight="1" s="783">
      <c r="B4343" s="901" t="n"/>
    </row>
    <row r="4344" ht="15" customHeight="1" s="783">
      <c r="B4344" s="901" t="n"/>
    </row>
    <row r="4345" ht="15" customHeight="1" s="783">
      <c r="B4345" s="901" t="n"/>
    </row>
    <row r="4346" ht="15" customHeight="1" s="783">
      <c r="B4346" s="901" t="n"/>
    </row>
    <row r="4347" ht="15" customHeight="1" s="783">
      <c r="B4347" s="901" t="n"/>
    </row>
    <row r="4348" ht="15" customHeight="1" s="783">
      <c r="B4348" s="901" t="n"/>
    </row>
    <row r="4349" ht="15" customHeight="1" s="783">
      <c r="B4349" s="901" t="n"/>
    </row>
    <row r="4350" ht="15" customHeight="1" s="783">
      <c r="B4350" s="901" t="n"/>
    </row>
    <row r="4351" ht="15" customHeight="1" s="783">
      <c r="B4351" s="901" t="n"/>
    </row>
    <row r="4352" ht="15" customHeight="1" s="783">
      <c r="B4352" s="901" t="n"/>
    </row>
    <row r="4353" ht="15" customHeight="1" s="783">
      <c r="B4353" s="901" t="n"/>
    </row>
    <row r="4354" ht="15" customHeight="1" s="783">
      <c r="B4354" s="901" t="n"/>
    </row>
    <row r="4355" ht="15" customHeight="1" s="783">
      <c r="B4355" s="901" t="n"/>
    </row>
    <row r="4356" ht="15" customHeight="1" s="783">
      <c r="B4356" s="901" t="n"/>
    </row>
    <row r="4357" ht="15" customHeight="1" s="783">
      <c r="B4357" s="901" t="n"/>
    </row>
    <row r="4358" ht="15" customHeight="1" s="783">
      <c r="B4358" s="901" t="n"/>
    </row>
    <row r="4359" ht="15" customHeight="1" s="783">
      <c r="B4359" s="901" t="n"/>
    </row>
    <row r="4360" ht="15" customHeight="1" s="783">
      <c r="B4360" s="901" t="n"/>
    </row>
    <row r="4361" ht="15" customHeight="1" s="783">
      <c r="B4361" s="901" t="n"/>
    </row>
    <row r="4362" ht="15" customHeight="1" s="783">
      <c r="B4362" s="901" t="n"/>
    </row>
    <row r="4363" ht="15" customHeight="1" s="783">
      <c r="B4363" s="901" t="n"/>
    </row>
    <row r="4364" ht="15" customHeight="1" s="783">
      <c r="B4364" s="901" t="n"/>
    </row>
    <row r="4365" ht="15" customHeight="1" s="783">
      <c r="B4365" s="901" t="n"/>
    </row>
    <row r="4366" ht="15" customHeight="1" s="783">
      <c r="B4366" s="901" t="n"/>
    </row>
    <row r="4367" ht="15" customHeight="1" s="783">
      <c r="B4367" s="901" t="n"/>
    </row>
    <row r="4368" ht="15" customHeight="1" s="783">
      <c r="B4368" s="901" t="n"/>
    </row>
    <row r="4369" ht="15" customHeight="1" s="783">
      <c r="B4369" s="901" t="n"/>
    </row>
    <row r="4370" ht="15" customHeight="1" s="783">
      <c r="B4370" s="901" t="n"/>
    </row>
    <row r="4371" ht="15" customHeight="1" s="783">
      <c r="B4371" s="901" t="n"/>
    </row>
    <row r="4372" ht="15" customHeight="1" s="783">
      <c r="B4372" s="901" t="n"/>
    </row>
    <row r="4373" ht="15" customHeight="1" s="783">
      <c r="B4373" s="901" t="n"/>
    </row>
    <row r="4374" ht="15" customHeight="1" s="783">
      <c r="B4374" s="901" t="n"/>
    </row>
    <row r="4375" ht="15" customHeight="1" s="783">
      <c r="B4375" s="901" t="n"/>
    </row>
    <row r="4376" ht="15" customHeight="1" s="783">
      <c r="B4376" s="901" t="n"/>
    </row>
    <row r="4377" ht="15" customHeight="1" s="783">
      <c r="B4377" s="901" t="n"/>
    </row>
    <row r="4378" ht="15" customHeight="1" s="783">
      <c r="B4378" s="901" t="n"/>
    </row>
    <row r="4379" ht="15" customHeight="1" s="783">
      <c r="B4379" s="901" t="n"/>
    </row>
    <row r="4380" ht="15" customHeight="1" s="783">
      <c r="B4380" s="901" t="n"/>
    </row>
    <row r="4381" ht="15" customHeight="1" s="783">
      <c r="B4381" s="901" t="n"/>
    </row>
    <row r="4382" ht="15" customHeight="1" s="783">
      <c r="B4382" s="901" t="n"/>
    </row>
    <row r="4383" ht="15" customHeight="1" s="783">
      <c r="B4383" s="901" t="n"/>
    </row>
    <row r="4384" ht="15" customHeight="1" s="783">
      <c r="B4384" s="901" t="n"/>
    </row>
    <row r="4385" ht="15" customHeight="1" s="783">
      <c r="B4385" s="901" t="n"/>
    </row>
    <row r="4386" ht="15" customHeight="1" s="783">
      <c r="B4386" s="901" t="n"/>
    </row>
    <row r="4387" ht="15" customHeight="1" s="783">
      <c r="B4387" s="901" t="n"/>
    </row>
    <row r="4388" ht="15" customHeight="1" s="783">
      <c r="B4388" s="901" t="n"/>
    </row>
    <row r="4389" ht="15" customHeight="1" s="783">
      <c r="B4389" s="901" t="n"/>
    </row>
    <row r="4390" ht="15" customHeight="1" s="783">
      <c r="B4390" s="901" t="n"/>
    </row>
    <row r="4391" ht="15" customHeight="1" s="783">
      <c r="B4391" s="901" t="n"/>
    </row>
    <row r="4392" ht="15" customHeight="1" s="783">
      <c r="B4392" s="901" t="n"/>
    </row>
    <row r="4393" ht="15" customHeight="1" s="783">
      <c r="B4393" s="901" t="n"/>
    </row>
    <row r="4394" ht="15" customHeight="1" s="783">
      <c r="B4394" s="901" t="n"/>
    </row>
    <row r="4395" ht="15" customHeight="1" s="783">
      <c r="B4395" s="901" t="n"/>
    </row>
    <row r="4396" ht="15" customHeight="1" s="783">
      <c r="B4396" s="901" t="n"/>
    </row>
    <row r="4397" ht="15" customHeight="1" s="783">
      <c r="B4397" s="901" t="n"/>
    </row>
    <row r="4398" ht="15" customHeight="1" s="783">
      <c r="B4398" s="901" t="n"/>
    </row>
    <row r="4399" ht="15" customHeight="1" s="783">
      <c r="B4399" s="901" t="n"/>
    </row>
    <row r="4400" ht="15" customHeight="1" s="783">
      <c r="B4400" s="901" t="n"/>
    </row>
    <row r="4401" ht="15" customHeight="1" s="783">
      <c r="B4401" s="901" t="n"/>
    </row>
    <row r="4402" ht="15" customHeight="1" s="783">
      <c r="B4402" s="901" t="n"/>
    </row>
    <row r="4403" ht="15" customHeight="1" s="783">
      <c r="B4403" s="901" t="n"/>
    </row>
    <row r="4404" ht="15" customHeight="1" s="783">
      <c r="B4404" s="901" t="n"/>
    </row>
    <row r="4405" ht="15" customHeight="1" s="783">
      <c r="B4405" s="901" t="n"/>
    </row>
    <row r="4406" ht="15" customHeight="1" s="783">
      <c r="B4406" s="901" t="n"/>
    </row>
    <row r="4407" ht="15" customHeight="1" s="783">
      <c r="B4407" s="901" t="n"/>
    </row>
    <row r="4408" ht="15" customHeight="1" s="783">
      <c r="B4408" s="901" t="n"/>
    </row>
    <row r="4409" ht="15" customHeight="1" s="783">
      <c r="B4409" s="901" t="n"/>
    </row>
    <row r="4410" ht="15" customHeight="1" s="783">
      <c r="B4410" s="901" t="n"/>
    </row>
    <row r="4411" ht="15" customHeight="1" s="783">
      <c r="B4411" s="901" t="n"/>
    </row>
    <row r="4412" ht="15" customHeight="1" s="783">
      <c r="B4412" s="901" t="n"/>
    </row>
    <row r="4413" ht="15" customHeight="1" s="783">
      <c r="B4413" s="901" t="n"/>
    </row>
    <row r="4414" ht="15" customHeight="1" s="783">
      <c r="B4414" s="901" t="n"/>
    </row>
    <row r="4415" ht="15" customHeight="1" s="783">
      <c r="B4415" s="901" t="n"/>
    </row>
    <row r="4416" ht="15" customHeight="1" s="783">
      <c r="B4416" s="901" t="n"/>
    </row>
    <row r="4417" ht="15" customHeight="1" s="783">
      <c r="B4417" s="901" t="n"/>
    </row>
    <row r="4418" ht="15" customHeight="1" s="783">
      <c r="B4418" s="901" t="n"/>
    </row>
    <row r="4419" ht="15" customHeight="1" s="783">
      <c r="B4419" s="901" t="n"/>
    </row>
    <row r="4420" ht="15" customHeight="1" s="783">
      <c r="B4420" s="901" t="n"/>
    </row>
    <row r="4421" ht="15" customHeight="1" s="783">
      <c r="B4421" s="901" t="n"/>
    </row>
    <row r="4422" ht="15" customHeight="1" s="783">
      <c r="B4422" s="901" t="n"/>
    </row>
    <row r="4423" ht="15" customHeight="1" s="783">
      <c r="B4423" s="901" t="n"/>
    </row>
    <row r="4424" ht="15" customHeight="1" s="783">
      <c r="B4424" s="901" t="n"/>
    </row>
    <row r="4425" ht="15" customHeight="1" s="783">
      <c r="B4425" s="901" t="n"/>
    </row>
    <row r="4426" ht="15" customHeight="1" s="783">
      <c r="B4426" s="901" t="n"/>
    </row>
    <row r="4427" ht="15" customHeight="1" s="783">
      <c r="B4427" s="901" t="n"/>
    </row>
    <row r="4428" ht="15" customHeight="1" s="783">
      <c r="B4428" s="901" t="n"/>
    </row>
    <row r="4429" ht="15" customHeight="1" s="783">
      <c r="B4429" s="901" t="n"/>
    </row>
    <row r="4430" ht="15" customHeight="1" s="783">
      <c r="B4430" s="901" t="n"/>
    </row>
    <row r="4431" ht="15" customHeight="1" s="783">
      <c r="B4431" s="901" t="n"/>
    </row>
    <row r="4432" ht="15" customHeight="1" s="783">
      <c r="B4432" s="901" t="n"/>
    </row>
    <row r="4433" ht="15" customHeight="1" s="783">
      <c r="B4433" s="901" t="n"/>
    </row>
    <row r="4434" ht="15" customHeight="1" s="783">
      <c r="B4434" s="901" t="n"/>
    </row>
    <row r="4435" ht="15" customHeight="1" s="783">
      <c r="B4435" s="901" t="n"/>
    </row>
    <row r="4436" ht="15" customHeight="1" s="783">
      <c r="B4436" s="901" t="n"/>
    </row>
    <row r="4437" ht="15" customHeight="1" s="783">
      <c r="B4437" s="901" t="n"/>
    </row>
    <row r="4438" ht="15" customHeight="1" s="783">
      <c r="B4438" s="901" t="n"/>
    </row>
    <row r="4439" ht="15" customHeight="1" s="783">
      <c r="B4439" s="901" t="n"/>
    </row>
    <row r="4440" ht="15" customHeight="1" s="783">
      <c r="B4440" s="901" t="n"/>
    </row>
    <row r="4441" ht="15" customHeight="1" s="783">
      <c r="B4441" s="901" t="n"/>
    </row>
    <row r="4442" ht="15" customHeight="1" s="783">
      <c r="B4442" s="901" t="n"/>
    </row>
    <row r="4443" ht="15" customHeight="1" s="783">
      <c r="B4443" s="901" t="n"/>
    </row>
    <row r="4444" ht="15" customHeight="1" s="783">
      <c r="B4444" s="901" t="n"/>
    </row>
    <row r="4445" ht="15" customHeight="1" s="783">
      <c r="B4445" s="901" t="n"/>
    </row>
    <row r="4446" ht="15" customHeight="1" s="783">
      <c r="B4446" s="901" t="n"/>
    </row>
    <row r="4447" ht="15" customHeight="1" s="783">
      <c r="B4447" s="901" t="n"/>
    </row>
    <row r="4448" ht="15" customHeight="1" s="783">
      <c r="B4448" s="901" t="n"/>
    </row>
    <row r="4449" ht="15" customHeight="1" s="783">
      <c r="B4449" s="901" t="n"/>
    </row>
    <row r="4450" ht="15" customHeight="1" s="783">
      <c r="B4450" s="901" t="n"/>
    </row>
    <row r="4451" ht="15" customHeight="1" s="783">
      <c r="B4451" s="901" t="n"/>
    </row>
    <row r="4452" ht="15" customHeight="1" s="783">
      <c r="B4452" s="901" t="n"/>
    </row>
    <row r="4453" ht="15" customHeight="1" s="783">
      <c r="B4453" s="901" t="n"/>
    </row>
    <row r="4454" ht="15" customHeight="1" s="783">
      <c r="B4454" s="901" t="n"/>
    </row>
    <row r="4455" ht="15" customHeight="1" s="783">
      <c r="B4455" s="901" t="n"/>
    </row>
    <row r="4456" ht="15" customHeight="1" s="783">
      <c r="B4456" s="901" t="n"/>
    </row>
    <row r="4457" ht="15" customHeight="1" s="783">
      <c r="B4457" s="901" t="n"/>
    </row>
    <row r="4458" ht="15" customHeight="1" s="783">
      <c r="B4458" s="901" t="n"/>
    </row>
    <row r="4459" ht="15" customHeight="1" s="783">
      <c r="B4459" s="901" t="n"/>
    </row>
    <row r="4460" ht="15" customHeight="1" s="783">
      <c r="B4460" s="901" t="n"/>
    </row>
    <row r="4461" ht="15" customHeight="1" s="783">
      <c r="B4461" s="901" t="n"/>
    </row>
    <row r="4462" ht="15" customHeight="1" s="783">
      <c r="B4462" s="901" t="n"/>
    </row>
    <row r="4463" ht="15" customHeight="1" s="783">
      <c r="B4463" s="901" t="n"/>
    </row>
    <row r="4464" ht="15" customHeight="1" s="783">
      <c r="B4464" s="901" t="n"/>
    </row>
    <row r="4465" ht="15" customHeight="1" s="783">
      <c r="B4465" s="901" t="n"/>
    </row>
    <row r="4466" ht="15" customHeight="1" s="783">
      <c r="B4466" s="901" t="n"/>
    </row>
    <row r="4467" ht="15" customHeight="1" s="783">
      <c r="B4467" s="901" t="n"/>
    </row>
    <row r="4468" ht="15" customHeight="1" s="783">
      <c r="B4468" s="901" t="n"/>
    </row>
    <row r="4469" ht="15" customHeight="1" s="783">
      <c r="B4469" s="901" t="n"/>
    </row>
    <row r="4470" ht="15" customHeight="1" s="783">
      <c r="B4470" s="901" t="n"/>
    </row>
    <row r="4471" ht="15" customHeight="1" s="783">
      <c r="B4471" s="901" t="n"/>
    </row>
    <row r="4472" ht="15" customHeight="1" s="783">
      <c r="B4472" s="901" t="n"/>
    </row>
    <row r="4473" ht="15" customHeight="1" s="783">
      <c r="B4473" s="901" t="n"/>
    </row>
    <row r="4474" ht="15" customHeight="1" s="783">
      <c r="B4474" s="901" t="n"/>
    </row>
    <row r="4475" ht="15" customHeight="1" s="783">
      <c r="B4475" s="901" t="n"/>
    </row>
    <row r="4476" ht="15" customHeight="1" s="783">
      <c r="B4476" s="901" t="n"/>
    </row>
    <row r="4477" ht="15" customHeight="1" s="783">
      <c r="B4477" s="901" t="n"/>
    </row>
    <row r="4478" ht="15" customHeight="1" s="783">
      <c r="B4478" s="901" t="n"/>
    </row>
    <row r="4479" ht="15" customHeight="1" s="783">
      <c r="B4479" s="901" t="n"/>
    </row>
    <row r="4480" ht="15" customHeight="1" s="783">
      <c r="B4480" s="901" t="n"/>
    </row>
    <row r="4481" ht="15" customHeight="1" s="783">
      <c r="B4481" s="901" t="n"/>
    </row>
    <row r="4482" ht="15" customHeight="1" s="783">
      <c r="B4482" s="901" t="n"/>
    </row>
    <row r="4483" ht="15" customHeight="1" s="783">
      <c r="B4483" s="901" t="n"/>
    </row>
    <row r="4484" ht="15" customHeight="1" s="783">
      <c r="B4484" s="901" t="n"/>
    </row>
    <row r="4485" ht="15" customHeight="1" s="783">
      <c r="B4485" s="901" t="n"/>
    </row>
    <row r="4486" ht="15" customHeight="1" s="783">
      <c r="B4486" s="901" t="n"/>
    </row>
    <row r="4487" ht="15" customHeight="1" s="783">
      <c r="B4487" s="901" t="n"/>
    </row>
    <row r="4488" ht="15" customHeight="1" s="783">
      <c r="B4488" s="901" t="n"/>
    </row>
    <row r="4489" ht="15" customHeight="1" s="783">
      <c r="B4489" s="901" t="n"/>
    </row>
    <row r="4490" ht="15" customHeight="1" s="783">
      <c r="B4490" s="901" t="n"/>
    </row>
    <row r="4491" ht="15" customHeight="1" s="783">
      <c r="B4491" s="901" t="n"/>
    </row>
    <row r="4492" ht="15" customHeight="1" s="783">
      <c r="B4492" s="901" t="n"/>
    </row>
    <row r="4493" ht="15" customHeight="1" s="783">
      <c r="B4493" s="901" t="n"/>
    </row>
    <row r="4494" ht="15" customHeight="1" s="783">
      <c r="B4494" s="901" t="n"/>
    </row>
    <row r="4495" ht="15" customHeight="1" s="783">
      <c r="B4495" s="901" t="n"/>
    </row>
    <row r="4496" ht="15" customHeight="1" s="783">
      <c r="B4496" s="901" t="n"/>
    </row>
    <row r="4497" ht="15" customHeight="1" s="783">
      <c r="B4497" s="901" t="n"/>
    </row>
    <row r="4498" ht="15" customHeight="1" s="783">
      <c r="B4498" s="901" t="n"/>
    </row>
    <row r="4499" ht="15" customHeight="1" s="783">
      <c r="B4499" s="901" t="n"/>
    </row>
    <row r="4500" ht="15" customHeight="1" s="783">
      <c r="B4500" s="901" t="n"/>
    </row>
    <row r="4501" ht="15" customHeight="1" s="783">
      <c r="B4501" s="901" t="n"/>
    </row>
    <row r="4502" ht="15" customHeight="1" s="783">
      <c r="B4502" s="901" t="n"/>
    </row>
    <row r="4503" ht="15" customHeight="1" s="783">
      <c r="B4503" s="901" t="n"/>
    </row>
    <row r="4504" ht="15" customHeight="1" s="783">
      <c r="B4504" s="901" t="n"/>
    </row>
    <row r="4505" ht="15" customHeight="1" s="783">
      <c r="B4505" s="901" t="n"/>
    </row>
    <row r="4506" ht="15" customHeight="1" s="783">
      <c r="B4506" s="901" t="n"/>
    </row>
    <row r="4507" ht="15" customHeight="1" s="783">
      <c r="B4507" s="901" t="n"/>
    </row>
    <row r="4508" ht="15" customHeight="1" s="783">
      <c r="B4508" s="901" t="n"/>
    </row>
    <row r="4509" ht="15" customHeight="1" s="783">
      <c r="B4509" s="901" t="n"/>
    </row>
    <row r="4510" ht="15" customHeight="1" s="783">
      <c r="B4510" s="901" t="n"/>
    </row>
    <row r="4511" ht="15" customHeight="1" s="783">
      <c r="B4511" s="901" t="n"/>
    </row>
    <row r="4512" ht="15" customHeight="1" s="783">
      <c r="B4512" s="901" t="n"/>
    </row>
    <row r="4513" ht="15" customHeight="1" s="783">
      <c r="B4513" s="901" t="n"/>
    </row>
    <row r="4514" ht="15" customHeight="1" s="783">
      <c r="B4514" s="901" t="n"/>
    </row>
    <row r="4515" ht="15" customHeight="1" s="783">
      <c r="B4515" s="901" t="n"/>
    </row>
    <row r="4516" ht="15" customHeight="1" s="783">
      <c r="B4516" s="901" t="n"/>
    </row>
    <row r="4517" ht="15" customHeight="1" s="783">
      <c r="B4517" s="901" t="n"/>
    </row>
    <row r="4518" ht="15" customHeight="1" s="783">
      <c r="B4518" s="901" t="n"/>
    </row>
    <row r="4519" ht="15" customHeight="1" s="783">
      <c r="B4519" s="901" t="n"/>
    </row>
    <row r="4520" ht="15" customHeight="1" s="783">
      <c r="B4520" s="901" t="n"/>
    </row>
    <row r="4521" ht="15" customHeight="1" s="783">
      <c r="B4521" s="901" t="n"/>
    </row>
    <row r="4522" ht="15" customHeight="1" s="783">
      <c r="B4522" s="901" t="n"/>
    </row>
    <row r="4523" ht="15" customHeight="1" s="783">
      <c r="B4523" s="901" t="n"/>
    </row>
    <row r="4524" ht="15" customHeight="1" s="783">
      <c r="B4524" s="901" t="n"/>
    </row>
    <row r="4525" ht="15" customHeight="1" s="783">
      <c r="B4525" s="901" t="n"/>
    </row>
    <row r="4526" ht="15" customHeight="1" s="783">
      <c r="B4526" s="901" t="n"/>
    </row>
    <row r="4527" ht="15" customHeight="1" s="783">
      <c r="B4527" s="901" t="n"/>
    </row>
    <row r="4528" ht="15" customHeight="1" s="783">
      <c r="B4528" s="901" t="n"/>
    </row>
    <row r="4529" ht="15" customHeight="1" s="783">
      <c r="B4529" s="901" t="n"/>
    </row>
    <row r="4530" ht="15" customHeight="1" s="783">
      <c r="B4530" s="901" t="n"/>
    </row>
    <row r="4531" ht="15" customHeight="1" s="783">
      <c r="B4531" s="901" t="n"/>
    </row>
    <row r="4532" ht="15" customHeight="1" s="783">
      <c r="B4532" s="901" t="n"/>
    </row>
    <row r="4533" ht="15" customHeight="1" s="783">
      <c r="B4533" s="901" t="n"/>
    </row>
    <row r="4534" ht="15" customHeight="1" s="783">
      <c r="B4534" s="901" t="n"/>
    </row>
    <row r="4535" ht="15" customHeight="1" s="783">
      <c r="B4535" s="901" t="n"/>
    </row>
    <row r="4536" ht="15" customHeight="1" s="783">
      <c r="B4536" s="901" t="n"/>
    </row>
    <row r="4537" ht="15" customHeight="1" s="783">
      <c r="B4537" s="901" t="n"/>
    </row>
    <row r="4538" ht="15" customHeight="1" s="783">
      <c r="B4538" s="901" t="n"/>
    </row>
    <row r="4539" ht="15" customHeight="1" s="783">
      <c r="B4539" s="901" t="n"/>
    </row>
    <row r="4540" ht="15" customHeight="1" s="783">
      <c r="B4540" s="901" t="n"/>
    </row>
    <row r="4541" ht="15" customHeight="1" s="783">
      <c r="B4541" s="901" t="n"/>
    </row>
    <row r="4542" ht="15" customHeight="1" s="783">
      <c r="B4542" s="901" t="n"/>
    </row>
    <row r="4543" ht="15" customHeight="1" s="783">
      <c r="B4543" s="901" t="n"/>
    </row>
    <row r="4544" ht="15" customHeight="1" s="783">
      <c r="B4544" s="901" t="n"/>
    </row>
    <row r="4545" ht="15" customHeight="1" s="783">
      <c r="B4545" s="901" t="n"/>
    </row>
    <row r="4546" ht="15" customHeight="1" s="783">
      <c r="B4546" s="901" t="n"/>
    </row>
    <row r="4547" ht="15" customHeight="1" s="783">
      <c r="B4547" s="901" t="n"/>
    </row>
    <row r="4548" ht="15" customHeight="1" s="783">
      <c r="B4548" s="901" t="n"/>
    </row>
    <row r="4549" ht="15" customHeight="1" s="783">
      <c r="B4549" s="901" t="n"/>
    </row>
    <row r="4550" ht="15" customHeight="1" s="783">
      <c r="B4550" s="901" t="n"/>
    </row>
    <row r="4551" ht="15" customHeight="1" s="783">
      <c r="B4551" s="901" t="n"/>
    </row>
    <row r="4552" ht="15" customHeight="1" s="783">
      <c r="B4552" s="901" t="n"/>
    </row>
    <row r="4553" ht="15" customHeight="1" s="783">
      <c r="B4553" s="901" t="n"/>
    </row>
    <row r="4554" ht="15" customHeight="1" s="783">
      <c r="B4554" s="901" t="n"/>
    </row>
    <row r="4555" ht="15" customHeight="1" s="783">
      <c r="B4555" s="901" t="n"/>
    </row>
    <row r="4556" ht="15" customHeight="1" s="783">
      <c r="B4556" s="901" t="n"/>
    </row>
    <row r="4557" ht="15" customHeight="1" s="783">
      <c r="B4557" s="901" t="n"/>
    </row>
    <row r="4558" ht="15" customHeight="1" s="783">
      <c r="B4558" s="901" t="n"/>
    </row>
    <row r="4559" ht="15" customHeight="1" s="783">
      <c r="B4559" s="901" t="n"/>
    </row>
    <row r="4560" ht="15" customHeight="1" s="783">
      <c r="B4560" s="901" t="n"/>
    </row>
    <row r="4561" ht="15" customHeight="1" s="783">
      <c r="B4561" s="901" t="n"/>
    </row>
    <row r="4562" ht="15" customHeight="1" s="783">
      <c r="B4562" s="901" t="n"/>
    </row>
    <row r="4563" ht="15" customHeight="1" s="783">
      <c r="B4563" s="901" t="n"/>
    </row>
    <row r="4564" ht="15" customHeight="1" s="783">
      <c r="B4564" s="901" t="n"/>
    </row>
    <row r="4565" ht="15" customHeight="1" s="783">
      <c r="B4565" s="901" t="n"/>
    </row>
    <row r="4566" ht="15" customHeight="1" s="783">
      <c r="B4566" s="901" t="n"/>
    </row>
    <row r="4567" ht="15" customHeight="1" s="783">
      <c r="B4567" s="901" t="n"/>
    </row>
    <row r="4568" ht="15" customHeight="1" s="783">
      <c r="B4568" s="901" t="n"/>
    </row>
    <row r="4569" ht="15" customHeight="1" s="783">
      <c r="B4569" s="901" t="n"/>
    </row>
    <row r="4570" ht="15" customHeight="1" s="783">
      <c r="B4570" s="901" t="n"/>
    </row>
    <row r="4571" ht="15" customHeight="1" s="783">
      <c r="B4571" s="901" t="n"/>
    </row>
    <row r="4572" ht="15" customHeight="1" s="783">
      <c r="B4572" s="901" t="n"/>
    </row>
    <row r="4573" ht="15" customHeight="1" s="783">
      <c r="B4573" s="901" t="n"/>
    </row>
    <row r="4574" ht="15" customHeight="1" s="783">
      <c r="B4574" s="901" t="n"/>
    </row>
    <row r="4575" ht="15" customHeight="1" s="783">
      <c r="B4575" s="901" t="n"/>
    </row>
    <row r="4576" ht="15" customHeight="1" s="783">
      <c r="B4576" s="901" t="n"/>
    </row>
    <row r="4577" ht="15" customHeight="1" s="783">
      <c r="B4577" s="901" t="n"/>
    </row>
    <row r="4578" ht="15" customHeight="1" s="783">
      <c r="B4578" s="901" t="n"/>
    </row>
    <row r="4579" ht="15" customHeight="1" s="783">
      <c r="B4579" s="901" t="n"/>
    </row>
    <row r="4580" ht="15" customHeight="1" s="783">
      <c r="B4580" s="901" t="n"/>
    </row>
    <row r="4581" ht="15" customHeight="1" s="783">
      <c r="B4581" s="901" t="n"/>
    </row>
    <row r="4582" ht="15" customHeight="1" s="783">
      <c r="B4582" s="901" t="n"/>
    </row>
    <row r="4583" ht="15" customHeight="1" s="783">
      <c r="B4583" s="901" t="n"/>
    </row>
    <row r="4584" ht="15" customHeight="1" s="783">
      <c r="B4584" s="901" t="n"/>
    </row>
    <row r="4585" ht="15" customHeight="1" s="783">
      <c r="B4585" s="901" t="n"/>
    </row>
    <row r="4586" ht="15" customHeight="1" s="783">
      <c r="B4586" s="901" t="n"/>
    </row>
    <row r="4587" ht="15" customHeight="1" s="783">
      <c r="B4587" s="901" t="n"/>
    </row>
    <row r="4588" ht="15" customHeight="1" s="783">
      <c r="B4588" s="901" t="n"/>
    </row>
    <row r="4589" ht="15" customHeight="1" s="783">
      <c r="B4589" s="901" t="n"/>
    </row>
    <row r="4590" ht="15" customHeight="1" s="783">
      <c r="B4590" s="901" t="n"/>
    </row>
    <row r="4591" ht="15" customHeight="1" s="783">
      <c r="B4591" s="901" t="n"/>
    </row>
    <row r="4592" ht="15" customHeight="1" s="783">
      <c r="B4592" s="901" t="n"/>
    </row>
    <row r="4593" ht="15" customHeight="1" s="783">
      <c r="B4593" s="901" t="n"/>
    </row>
    <row r="4594" ht="15" customHeight="1" s="783">
      <c r="B4594" s="901" t="n"/>
    </row>
    <row r="4595" ht="15" customHeight="1" s="783">
      <c r="B4595" s="901" t="n"/>
    </row>
    <row r="4596" ht="15" customHeight="1" s="783">
      <c r="B4596" s="901" t="n"/>
    </row>
    <row r="4597" ht="15" customHeight="1" s="783">
      <c r="B4597" s="901" t="n"/>
    </row>
    <row r="4598" ht="15" customHeight="1" s="783">
      <c r="B4598" s="901" t="n"/>
    </row>
    <row r="4599" ht="15" customHeight="1" s="783">
      <c r="B4599" s="901" t="n"/>
    </row>
    <row r="4600" ht="15" customHeight="1" s="783">
      <c r="B4600" s="901" t="n"/>
    </row>
    <row r="4601" ht="15" customHeight="1" s="783">
      <c r="B4601" s="901" t="n"/>
    </row>
    <row r="4602" ht="15" customHeight="1" s="783">
      <c r="B4602" s="901" t="n"/>
    </row>
    <row r="4603" ht="15" customHeight="1" s="783">
      <c r="B4603" s="901" t="n"/>
    </row>
    <row r="4604" ht="15" customHeight="1" s="783">
      <c r="B4604" s="901" t="n"/>
    </row>
    <row r="4605" ht="15" customHeight="1" s="783">
      <c r="B4605" s="901" t="n"/>
    </row>
    <row r="4606" ht="15" customHeight="1" s="783">
      <c r="B4606" s="901" t="n"/>
    </row>
    <row r="4607" ht="15" customHeight="1" s="783">
      <c r="B4607" s="901" t="n"/>
    </row>
    <row r="4608" ht="15" customHeight="1" s="783">
      <c r="B4608" s="901" t="n"/>
    </row>
    <row r="4609" ht="15" customHeight="1" s="783">
      <c r="B4609" s="901" t="n"/>
    </row>
    <row r="4610" ht="15" customHeight="1" s="783">
      <c r="B4610" s="901" t="n"/>
    </row>
    <row r="4611" ht="15" customHeight="1" s="783">
      <c r="B4611" s="901" t="n"/>
    </row>
    <row r="4612" ht="15" customHeight="1" s="783">
      <c r="B4612" s="901" t="n"/>
    </row>
    <row r="4613" ht="15" customHeight="1" s="783">
      <c r="B4613" s="901" t="n"/>
    </row>
    <row r="4614" ht="15" customHeight="1" s="783">
      <c r="B4614" s="901" t="n"/>
    </row>
    <row r="4615" ht="15" customHeight="1" s="783">
      <c r="B4615" s="901" t="n"/>
    </row>
    <row r="4616" ht="15" customHeight="1" s="783">
      <c r="B4616" s="901" t="n"/>
    </row>
    <row r="4617" ht="15" customHeight="1" s="783">
      <c r="B4617" s="901" t="n"/>
    </row>
    <row r="4618" ht="15" customHeight="1" s="783">
      <c r="B4618" s="901" t="n"/>
    </row>
    <row r="4619" ht="15" customHeight="1" s="783">
      <c r="B4619" s="901" t="n"/>
    </row>
    <row r="4620" ht="15" customHeight="1" s="783">
      <c r="B4620" s="901" t="n"/>
    </row>
    <row r="4621" ht="15" customHeight="1" s="783">
      <c r="B4621" s="901" t="n"/>
    </row>
    <row r="4622" ht="15" customHeight="1" s="783">
      <c r="B4622" s="901" t="n"/>
    </row>
    <row r="4623" ht="15" customHeight="1" s="783">
      <c r="B4623" s="901" t="n"/>
    </row>
    <row r="4624" ht="15" customHeight="1" s="783">
      <c r="B4624" s="901" t="n"/>
    </row>
    <row r="4625" ht="15" customHeight="1" s="783">
      <c r="B4625" s="901" t="n"/>
    </row>
    <row r="4626" ht="15" customHeight="1" s="783">
      <c r="B4626" s="901" t="n"/>
    </row>
    <row r="4627" ht="15" customHeight="1" s="783">
      <c r="B4627" s="901" t="n"/>
    </row>
    <row r="4628" ht="15" customHeight="1" s="783">
      <c r="B4628" s="901" t="n"/>
    </row>
    <row r="4629" ht="15" customHeight="1" s="783">
      <c r="B4629" s="901" t="n"/>
    </row>
    <row r="4630" ht="15" customHeight="1" s="783">
      <c r="B4630" s="901" t="n"/>
    </row>
    <row r="4631" ht="15" customHeight="1" s="783">
      <c r="B4631" s="901" t="n"/>
    </row>
    <row r="4632" ht="15" customHeight="1" s="783">
      <c r="B4632" s="901" t="n"/>
    </row>
    <row r="4633" ht="15" customHeight="1" s="783">
      <c r="B4633" s="901" t="n"/>
    </row>
    <row r="4634" ht="15" customHeight="1" s="783">
      <c r="B4634" s="901" t="n"/>
    </row>
    <row r="4635" ht="15" customHeight="1" s="783">
      <c r="B4635" s="901" t="n"/>
    </row>
    <row r="4636" ht="15" customHeight="1" s="783">
      <c r="B4636" s="901" t="n"/>
    </row>
    <row r="4637" ht="15" customHeight="1" s="783">
      <c r="B4637" s="901" t="n"/>
    </row>
    <row r="4638" ht="15" customHeight="1" s="783">
      <c r="B4638" s="901" t="n"/>
    </row>
    <row r="4639" ht="15" customHeight="1" s="783">
      <c r="B4639" s="901" t="n"/>
    </row>
    <row r="4640" ht="15" customHeight="1" s="783">
      <c r="B4640" s="901" t="n"/>
    </row>
    <row r="4641" ht="15" customHeight="1" s="783">
      <c r="B4641" s="901" t="n"/>
    </row>
    <row r="4642" ht="15" customHeight="1" s="783">
      <c r="B4642" s="901" t="n"/>
    </row>
    <row r="4643" ht="15" customHeight="1" s="783">
      <c r="B4643" s="901" t="n"/>
    </row>
    <row r="4644" ht="15" customHeight="1" s="783">
      <c r="B4644" s="901" t="n"/>
    </row>
    <row r="4645" ht="15" customHeight="1" s="783">
      <c r="B4645" s="901" t="n"/>
    </row>
    <row r="4646" ht="15" customHeight="1" s="783">
      <c r="B4646" s="901" t="n"/>
    </row>
    <row r="4647" ht="15" customHeight="1" s="783">
      <c r="B4647" s="901" t="n"/>
    </row>
    <row r="4648" ht="15" customHeight="1" s="783">
      <c r="B4648" s="901" t="n"/>
    </row>
    <row r="4649" ht="15" customHeight="1" s="783">
      <c r="B4649" s="901" t="n"/>
    </row>
    <row r="4650" ht="15" customHeight="1" s="783">
      <c r="B4650" s="901" t="n"/>
    </row>
    <row r="4651" ht="15" customHeight="1" s="783">
      <c r="B4651" s="901" t="n"/>
    </row>
    <row r="4652" ht="15" customHeight="1" s="783">
      <c r="B4652" s="901" t="n"/>
    </row>
    <row r="4653" ht="15" customHeight="1" s="783">
      <c r="B4653" s="901" t="n"/>
    </row>
    <row r="4654" ht="15" customHeight="1" s="783">
      <c r="B4654" s="901" t="n"/>
    </row>
    <row r="4655" ht="15" customHeight="1" s="783">
      <c r="B4655" s="901" t="n"/>
    </row>
    <row r="4656" ht="15" customHeight="1" s="783">
      <c r="B4656" s="901" t="n"/>
    </row>
    <row r="4657" ht="15" customHeight="1" s="783">
      <c r="B4657" s="901" t="n"/>
    </row>
    <row r="4658" ht="15" customHeight="1" s="783">
      <c r="B4658" s="901" t="n"/>
    </row>
    <row r="4659" ht="15" customHeight="1" s="783">
      <c r="B4659" s="901" t="n"/>
    </row>
    <row r="4660" ht="15" customHeight="1" s="783">
      <c r="B4660" s="901" t="n"/>
    </row>
    <row r="4661" ht="15" customHeight="1" s="783">
      <c r="B4661" s="901" t="n"/>
    </row>
    <row r="4662" ht="15" customHeight="1" s="783">
      <c r="B4662" s="901" t="n"/>
    </row>
    <row r="4663" ht="15" customHeight="1" s="783">
      <c r="B4663" s="901" t="n"/>
    </row>
    <row r="4664" ht="15" customHeight="1" s="783">
      <c r="B4664" s="901" t="n"/>
    </row>
    <row r="4665" ht="15" customHeight="1" s="783">
      <c r="B4665" s="901" t="n"/>
    </row>
    <row r="4666" ht="15" customHeight="1" s="783">
      <c r="B4666" s="901" t="n"/>
    </row>
    <row r="4667" ht="15" customHeight="1" s="783">
      <c r="B4667" s="901" t="n"/>
    </row>
    <row r="4668" ht="15" customHeight="1" s="783">
      <c r="B4668" s="901" t="n"/>
    </row>
    <row r="4669" ht="15" customHeight="1" s="783">
      <c r="B4669" s="901" t="n"/>
    </row>
    <row r="4670" ht="15" customHeight="1" s="783">
      <c r="B4670" s="901" t="n"/>
    </row>
    <row r="4671" ht="15" customHeight="1" s="783">
      <c r="B4671" s="901" t="n"/>
    </row>
    <row r="4672" ht="15" customHeight="1" s="783">
      <c r="B4672" s="901" t="n"/>
    </row>
    <row r="4673" ht="15" customHeight="1" s="783">
      <c r="B4673" s="901" t="n"/>
    </row>
    <row r="4674" ht="15" customHeight="1" s="783">
      <c r="B4674" s="901" t="n"/>
    </row>
    <row r="4675" ht="15" customHeight="1" s="783">
      <c r="B4675" s="901" t="n"/>
    </row>
    <row r="4676" ht="15" customHeight="1" s="783">
      <c r="B4676" s="901" t="n"/>
    </row>
    <row r="4677" ht="15" customHeight="1" s="783">
      <c r="B4677" s="901" t="n"/>
    </row>
    <row r="4678" ht="15" customHeight="1" s="783">
      <c r="B4678" s="901" t="n"/>
    </row>
    <row r="4679" ht="15" customHeight="1" s="783">
      <c r="B4679" s="901" t="n"/>
    </row>
    <row r="4680" ht="15" customHeight="1" s="783">
      <c r="B4680" s="901" t="n"/>
    </row>
    <row r="4681" ht="15" customHeight="1" s="783">
      <c r="B4681" s="901" t="n"/>
    </row>
    <row r="4682" ht="15" customHeight="1" s="783">
      <c r="B4682" s="901" t="n"/>
    </row>
    <row r="4683" ht="15" customHeight="1" s="783">
      <c r="B4683" s="901" t="n"/>
    </row>
    <row r="4684" ht="15" customHeight="1" s="783">
      <c r="B4684" s="901" t="n"/>
    </row>
    <row r="4685" ht="15" customHeight="1" s="783">
      <c r="B4685" s="901" t="n"/>
    </row>
    <row r="4686" ht="15" customHeight="1" s="783">
      <c r="B4686" s="901" t="n"/>
    </row>
    <row r="4687" ht="15" customHeight="1" s="783">
      <c r="B4687" s="901" t="n"/>
    </row>
    <row r="4688" ht="15" customHeight="1" s="783">
      <c r="B4688" s="901" t="n"/>
    </row>
    <row r="4689" ht="15" customHeight="1" s="783">
      <c r="B4689" s="901" t="n"/>
    </row>
    <row r="4690" ht="15" customHeight="1" s="783">
      <c r="B4690" s="901" t="n"/>
    </row>
    <row r="4691" ht="15" customHeight="1" s="783">
      <c r="B4691" s="901" t="n"/>
    </row>
    <row r="4692" ht="15" customHeight="1" s="783">
      <c r="B4692" s="901" t="n"/>
    </row>
    <row r="4693" ht="15" customHeight="1" s="783">
      <c r="B4693" s="901" t="n"/>
    </row>
    <row r="4694" ht="15" customHeight="1" s="783">
      <c r="B4694" s="901" t="n"/>
    </row>
    <row r="4695" ht="15" customHeight="1" s="783">
      <c r="B4695" s="901" t="n"/>
    </row>
    <row r="4696" ht="15" customHeight="1" s="783">
      <c r="B4696" s="901" t="n"/>
    </row>
    <row r="4697" ht="15" customHeight="1" s="783">
      <c r="B4697" s="901" t="n"/>
    </row>
    <row r="4698" ht="15" customHeight="1" s="783">
      <c r="B4698" s="901" t="n"/>
    </row>
    <row r="4699" ht="15" customHeight="1" s="783">
      <c r="B4699" s="901" t="n"/>
    </row>
    <row r="4700" ht="15" customHeight="1" s="783">
      <c r="B4700" s="901" t="n"/>
    </row>
    <row r="4701" ht="15" customHeight="1" s="783">
      <c r="B4701" s="901" t="n"/>
    </row>
    <row r="4702" ht="15" customHeight="1" s="783">
      <c r="B4702" s="901" t="n"/>
    </row>
    <row r="4703" ht="15" customHeight="1" s="783">
      <c r="B4703" s="901" t="n"/>
    </row>
    <row r="4704" ht="15" customHeight="1" s="783">
      <c r="B4704" s="901" t="n"/>
    </row>
    <row r="4705" ht="15" customHeight="1" s="783">
      <c r="B4705" s="901" t="n"/>
    </row>
    <row r="4706" ht="15" customHeight="1" s="783">
      <c r="B4706" s="901" t="n"/>
    </row>
    <row r="4707" ht="15" customHeight="1" s="783">
      <c r="B4707" s="901" t="n"/>
    </row>
    <row r="4708" ht="15" customHeight="1" s="783">
      <c r="B4708" s="901" t="n"/>
    </row>
    <row r="4709" ht="15" customHeight="1" s="783">
      <c r="B4709" s="901" t="n"/>
    </row>
    <row r="4710" ht="15" customHeight="1" s="783">
      <c r="B4710" s="901" t="n"/>
    </row>
    <row r="4711" ht="15" customHeight="1" s="783">
      <c r="B4711" s="901" t="n"/>
    </row>
    <row r="4712" ht="15" customHeight="1" s="783">
      <c r="B4712" s="901" t="n"/>
    </row>
    <row r="4713" ht="15" customHeight="1" s="783">
      <c r="B4713" s="901" t="n"/>
    </row>
    <row r="4714" ht="15" customHeight="1" s="783">
      <c r="B4714" s="901" t="n"/>
    </row>
    <row r="4715" ht="15" customHeight="1" s="783">
      <c r="B4715" s="901" t="n"/>
    </row>
    <row r="4716" ht="15" customHeight="1" s="783">
      <c r="B4716" s="901" t="n"/>
    </row>
    <row r="4717" ht="15" customHeight="1" s="783">
      <c r="B4717" s="901" t="n"/>
    </row>
    <row r="4718" ht="15" customHeight="1" s="783">
      <c r="B4718" s="901" t="n"/>
    </row>
    <row r="4719" ht="15" customHeight="1" s="783">
      <c r="B4719" s="901" t="n"/>
    </row>
    <row r="4720" ht="15" customHeight="1" s="783">
      <c r="B4720" s="901" t="n"/>
    </row>
    <row r="4721" ht="15" customHeight="1" s="783">
      <c r="B4721" s="901" t="n"/>
    </row>
    <row r="4722" ht="15" customHeight="1" s="783">
      <c r="B4722" s="901" t="n"/>
    </row>
    <row r="4723" ht="15" customHeight="1" s="783">
      <c r="B4723" s="901" t="n"/>
    </row>
    <row r="4724" ht="15" customHeight="1" s="783">
      <c r="B4724" s="901" t="n"/>
    </row>
    <row r="4725" ht="15" customHeight="1" s="783">
      <c r="B4725" s="901" t="n"/>
    </row>
    <row r="4726" ht="15" customHeight="1" s="783">
      <c r="B4726" s="901" t="n"/>
    </row>
    <row r="4727" ht="15" customHeight="1" s="783">
      <c r="B4727" s="901" t="n"/>
    </row>
    <row r="4728" ht="15" customHeight="1" s="783">
      <c r="B4728" s="901" t="n"/>
    </row>
    <row r="4729" ht="15" customHeight="1" s="783">
      <c r="B4729" s="901" t="n"/>
    </row>
    <row r="4730" ht="15" customHeight="1" s="783">
      <c r="B4730" s="901" t="n"/>
    </row>
    <row r="4731" ht="15" customHeight="1" s="783">
      <c r="B4731" s="901" t="n"/>
    </row>
    <row r="4732" ht="15" customHeight="1" s="783">
      <c r="B4732" s="901" t="n"/>
    </row>
    <row r="4733" ht="15" customHeight="1" s="783">
      <c r="B4733" s="901" t="n"/>
    </row>
    <row r="4734" ht="15" customHeight="1" s="783">
      <c r="B4734" s="901" t="n"/>
    </row>
    <row r="4735" ht="15" customHeight="1" s="783">
      <c r="B4735" s="901" t="n"/>
    </row>
    <row r="4736" ht="15" customHeight="1" s="783">
      <c r="B4736" s="901" t="n"/>
    </row>
    <row r="4737" ht="15" customHeight="1" s="783">
      <c r="B4737" s="901" t="n"/>
    </row>
    <row r="4738" ht="15" customHeight="1" s="783">
      <c r="B4738" s="901" t="n"/>
    </row>
    <row r="4739" ht="15" customHeight="1" s="783">
      <c r="B4739" s="901" t="n"/>
    </row>
    <row r="4740" ht="15" customHeight="1" s="783">
      <c r="B4740" s="901" t="n"/>
    </row>
    <row r="4741" ht="15" customHeight="1" s="783">
      <c r="B4741" s="901" t="n"/>
    </row>
    <row r="4742" ht="15" customHeight="1" s="783">
      <c r="B4742" s="901" t="n"/>
    </row>
    <row r="4743" ht="15" customHeight="1" s="783">
      <c r="B4743" s="901" t="n"/>
    </row>
    <row r="4744" ht="15" customHeight="1" s="783">
      <c r="B4744" s="901" t="n"/>
    </row>
    <row r="4745" ht="15" customHeight="1" s="783">
      <c r="B4745" s="901" t="n"/>
    </row>
    <row r="4746" ht="15" customHeight="1" s="783">
      <c r="B4746" s="901" t="n"/>
    </row>
    <row r="4747" ht="15" customHeight="1" s="783">
      <c r="B4747" s="901" t="n"/>
    </row>
    <row r="4748" ht="15" customHeight="1" s="783">
      <c r="B4748" s="901" t="n"/>
    </row>
    <row r="4749" ht="15" customHeight="1" s="783">
      <c r="B4749" s="901" t="n"/>
    </row>
    <row r="4750" ht="15" customHeight="1" s="783">
      <c r="B4750" s="901" t="n"/>
    </row>
    <row r="4751" ht="15" customHeight="1" s="783">
      <c r="B4751" s="901" t="n"/>
    </row>
    <row r="4752" ht="15" customHeight="1" s="783">
      <c r="B4752" s="901" t="n"/>
    </row>
    <row r="4753" ht="15" customHeight="1" s="783">
      <c r="B4753" s="901" t="n"/>
    </row>
    <row r="4754" ht="15" customHeight="1" s="783">
      <c r="B4754" s="901" t="n"/>
    </row>
    <row r="4755" ht="15" customHeight="1" s="783">
      <c r="B4755" s="901" t="n"/>
    </row>
    <row r="4756" ht="15" customHeight="1" s="783">
      <c r="B4756" s="901" t="n"/>
    </row>
    <row r="4757" ht="15" customHeight="1" s="783">
      <c r="B4757" s="901" t="n"/>
    </row>
    <row r="4758" ht="15" customHeight="1" s="783">
      <c r="B4758" s="901" t="n"/>
    </row>
    <row r="4759" ht="15" customHeight="1" s="783">
      <c r="B4759" s="901" t="n"/>
    </row>
    <row r="4760" ht="15" customHeight="1" s="783">
      <c r="B4760" s="901" t="n"/>
    </row>
    <row r="4761" ht="15" customHeight="1" s="783">
      <c r="B4761" s="901" t="n"/>
    </row>
    <row r="4762" ht="15" customHeight="1" s="783">
      <c r="B4762" s="901" t="n"/>
    </row>
    <row r="4763" ht="15" customHeight="1" s="783">
      <c r="B4763" s="901" t="n"/>
    </row>
    <row r="4764" ht="15" customHeight="1" s="783">
      <c r="B4764" s="901" t="n"/>
    </row>
    <row r="4765" ht="15" customHeight="1" s="783">
      <c r="B4765" s="901" t="n"/>
    </row>
    <row r="4766" ht="15" customHeight="1" s="783">
      <c r="B4766" s="901" t="n"/>
    </row>
    <row r="4767" ht="15" customHeight="1" s="783">
      <c r="B4767" s="901" t="n"/>
    </row>
    <row r="4768" ht="15" customHeight="1" s="783">
      <c r="B4768" s="901" t="n"/>
    </row>
    <row r="4769" ht="15" customHeight="1" s="783">
      <c r="B4769" s="901" t="n"/>
    </row>
    <row r="4770" ht="15" customHeight="1" s="783">
      <c r="B4770" s="901" t="n"/>
    </row>
    <row r="4771" ht="15" customHeight="1" s="783">
      <c r="B4771" s="901" t="n"/>
    </row>
    <row r="4772" ht="15" customHeight="1" s="783">
      <c r="B4772" s="901" t="n"/>
    </row>
    <row r="4773" ht="15" customHeight="1" s="783">
      <c r="B4773" s="901" t="n"/>
    </row>
    <row r="4774" ht="15" customHeight="1" s="783">
      <c r="B4774" s="901" t="n"/>
    </row>
    <row r="4775" ht="15" customHeight="1" s="783">
      <c r="B4775" s="901" t="n"/>
    </row>
    <row r="4776" ht="15" customHeight="1" s="783">
      <c r="B4776" s="901" t="n"/>
    </row>
    <row r="4777" ht="15" customHeight="1" s="783">
      <c r="B4777" s="901" t="n"/>
    </row>
    <row r="4778" ht="15" customHeight="1" s="783">
      <c r="B4778" s="901" t="n"/>
    </row>
    <row r="4779" ht="15" customHeight="1" s="783">
      <c r="B4779" s="901" t="n"/>
    </row>
    <row r="4780" ht="15" customHeight="1" s="783">
      <c r="B4780" s="901" t="n"/>
    </row>
    <row r="4781" ht="15" customHeight="1" s="783">
      <c r="B4781" s="901" t="n"/>
    </row>
    <row r="4782" ht="15" customHeight="1" s="783">
      <c r="B4782" s="901" t="n"/>
    </row>
    <row r="4783" ht="15" customHeight="1" s="783">
      <c r="B4783" s="901" t="n"/>
    </row>
    <row r="4784" ht="15" customHeight="1" s="783">
      <c r="B4784" s="901" t="n"/>
    </row>
    <row r="4785" ht="15" customHeight="1" s="783">
      <c r="B4785" s="901" t="n"/>
    </row>
    <row r="4786" ht="15" customHeight="1" s="783">
      <c r="B4786" s="901" t="n"/>
    </row>
    <row r="4787" ht="15" customHeight="1" s="783">
      <c r="B4787" s="901" t="n"/>
    </row>
    <row r="4788" ht="15" customHeight="1" s="783">
      <c r="B4788" s="901" t="n"/>
    </row>
    <row r="4789" ht="15" customHeight="1" s="783">
      <c r="B4789" s="901" t="n"/>
    </row>
    <row r="4790" ht="15" customHeight="1" s="783">
      <c r="B4790" s="901" t="n"/>
    </row>
    <row r="4791" ht="15" customHeight="1" s="783">
      <c r="B4791" s="901" t="n"/>
    </row>
    <row r="4792" ht="15" customHeight="1" s="783">
      <c r="B4792" s="901" t="n"/>
    </row>
    <row r="4793" ht="15" customHeight="1" s="783">
      <c r="B4793" s="901" t="n"/>
    </row>
    <row r="4794" ht="15" customHeight="1" s="783">
      <c r="B4794" s="901" t="n"/>
    </row>
    <row r="4795" ht="15" customHeight="1" s="783">
      <c r="B4795" s="901" t="n"/>
    </row>
    <row r="4796" ht="15" customHeight="1" s="783">
      <c r="B4796" s="901" t="n"/>
    </row>
    <row r="4797" ht="15" customHeight="1" s="783">
      <c r="B4797" s="901" t="n"/>
    </row>
    <row r="4798" ht="15" customHeight="1" s="783">
      <c r="B4798" s="901" t="n"/>
    </row>
    <row r="4799" ht="15" customHeight="1" s="783">
      <c r="B4799" s="901" t="n"/>
    </row>
    <row r="4800" ht="15" customHeight="1" s="783">
      <c r="B4800" s="901" t="n"/>
    </row>
    <row r="4801" ht="15" customHeight="1" s="783">
      <c r="B4801" s="901" t="n"/>
    </row>
    <row r="4802" ht="15" customHeight="1" s="783">
      <c r="B4802" s="901" t="n"/>
    </row>
    <row r="4803" ht="15" customHeight="1" s="783">
      <c r="B4803" s="901" t="n"/>
    </row>
    <row r="4804" ht="15" customHeight="1" s="783">
      <c r="B4804" s="901" t="n"/>
    </row>
    <row r="4805" ht="15" customHeight="1" s="783">
      <c r="B4805" s="901" t="n"/>
    </row>
    <row r="4806" ht="15" customHeight="1" s="783">
      <c r="B4806" s="901" t="n"/>
    </row>
    <row r="4807" ht="15" customHeight="1" s="783">
      <c r="B4807" s="901" t="n"/>
    </row>
    <row r="4808" ht="15" customHeight="1" s="783">
      <c r="B4808" s="901" t="n"/>
    </row>
    <row r="4809" ht="15" customHeight="1" s="783">
      <c r="B4809" s="901" t="n"/>
    </row>
    <row r="4810" ht="15" customHeight="1" s="783">
      <c r="B4810" s="901" t="n"/>
    </row>
    <row r="4811" ht="15" customHeight="1" s="783">
      <c r="B4811" s="901" t="n"/>
    </row>
    <row r="4812" ht="15" customHeight="1" s="783">
      <c r="B4812" s="901" t="n"/>
    </row>
    <row r="4813" ht="15" customHeight="1" s="783">
      <c r="B4813" s="901" t="n"/>
    </row>
    <row r="4814" ht="15" customHeight="1" s="783">
      <c r="B4814" s="901" t="n"/>
    </row>
    <row r="4815" ht="15" customHeight="1" s="783">
      <c r="B4815" s="901" t="n"/>
    </row>
    <row r="4816" ht="15" customHeight="1" s="783">
      <c r="B4816" s="901" t="n"/>
    </row>
    <row r="4817" ht="15" customHeight="1" s="783">
      <c r="B4817" s="901" t="n"/>
    </row>
    <row r="4818" ht="15" customHeight="1" s="783">
      <c r="B4818" s="901" t="n"/>
    </row>
    <row r="4819" ht="15" customHeight="1" s="783">
      <c r="B4819" s="901" t="n"/>
    </row>
    <row r="4820" ht="15" customHeight="1" s="783">
      <c r="B4820" s="901" t="n"/>
    </row>
    <row r="4821" ht="15" customHeight="1" s="783">
      <c r="B4821" s="901" t="n"/>
    </row>
    <row r="4822" ht="15" customHeight="1" s="783">
      <c r="B4822" s="901" t="n"/>
    </row>
    <row r="4823" ht="15" customHeight="1" s="783">
      <c r="B4823" s="901" t="n"/>
    </row>
    <row r="4824" ht="15" customHeight="1" s="783">
      <c r="B4824" s="901" t="n"/>
    </row>
    <row r="4825" ht="15" customHeight="1" s="783">
      <c r="B4825" s="901" t="n"/>
    </row>
    <row r="4826" ht="15" customHeight="1" s="783">
      <c r="B4826" s="901" t="n"/>
    </row>
    <row r="4827" ht="15" customHeight="1" s="783">
      <c r="B4827" s="901" t="n"/>
    </row>
    <row r="4828" ht="15" customHeight="1" s="783">
      <c r="B4828" s="901" t="n"/>
    </row>
    <row r="4829" ht="15" customHeight="1" s="783">
      <c r="B4829" s="901" t="n"/>
    </row>
    <row r="4830" ht="15" customHeight="1" s="783">
      <c r="B4830" s="901" t="n"/>
    </row>
    <row r="4831" ht="15" customHeight="1" s="783">
      <c r="B4831" s="901" t="n"/>
    </row>
    <row r="4832" ht="15" customHeight="1" s="783">
      <c r="B4832" s="901" t="n"/>
    </row>
    <row r="4833" ht="15" customHeight="1" s="783">
      <c r="B4833" s="901" t="n"/>
    </row>
    <row r="4834" ht="15" customHeight="1" s="783">
      <c r="B4834" s="901" t="n"/>
    </row>
    <row r="4835" ht="15" customHeight="1" s="783">
      <c r="B4835" s="901" t="n"/>
    </row>
    <row r="4836" ht="15" customHeight="1" s="783">
      <c r="B4836" s="901" t="n"/>
    </row>
    <row r="4837" ht="15" customHeight="1" s="783">
      <c r="B4837" s="901" t="n"/>
    </row>
    <row r="4838" ht="15" customHeight="1" s="783">
      <c r="B4838" s="901" t="n"/>
    </row>
    <row r="4839" ht="15" customHeight="1" s="783">
      <c r="B4839" s="901" t="n"/>
    </row>
    <row r="4840" ht="15" customHeight="1" s="783">
      <c r="B4840" s="901" t="n"/>
    </row>
    <row r="4841" ht="15" customHeight="1" s="783">
      <c r="B4841" s="901" t="n"/>
    </row>
    <row r="4842" ht="15" customHeight="1" s="783">
      <c r="B4842" s="901" t="n"/>
    </row>
    <row r="4843" ht="15" customHeight="1" s="783">
      <c r="B4843" s="901" t="n"/>
    </row>
    <row r="4844" ht="15" customHeight="1" s="783">
      <c r="B4844" s="901" t="n"/>
    </row>
    <row r="4845" ht="15" customHeight="1" s="783">
      <c r="B4845" s="901" t="n"/>
    </row>
    <row r="4846" ht="15" customHeight="1" s="783">
      <c r="B4846" s="901" t="n"/>
    </row>
    <row r="4847" ht="15" customHeight="1" s="783">
      <c r="B4847" s="901" t="n"/>
    </row>
    <row r="4848" ht="15" customHeight="1" s="783">
      <c r="B4848" s="901" t="n"/>
    </row>
    <row r="4849" ht="15" customHeight="1" s="783">
      <c r="B4849" s="901" t="n"/>
    </row>
    <row r="4850" ht="15" customHeight="1" s="783">
      <c r="B4850" s="901" t="n"/>
    </row>
    <row r="4851" ht="15" customHeight="1" s="783">
      <c r="B4851" s="901" t="n"/>
    </row>
    <row r="4852" ht="15" customHeight="1" s="783">
      <c r="B4852" s="901" t="n"/>
    </row>
    <row r="4853" ht="15" customHeight="1" s="783">
      <c r="B4853" s="901" t="n"/>
    </row>
    <row r="4854" ht="15" customHeight="1" s="783">
      <c r="B4854" s="901" t="n"/>
    </row>
    <row r="4855" ht="15" customHeight="1" s="783">
      <c r="B4855" s="901" t="n"/>
    </row>
    <row r="4856" ht="15" customHeight="1" s="783">
      <c r="B4856" s="901" t="n"/>
    </row>
    <row r="4857" ht="15" customHeight="1" s="783">
      <c r="B4857" s="901" t="n"/>
    </row>
    <row r="4858" ht="15" customHeight="1" s="783">
      <c r="B4858" s="901" t="n"/>
    </row>
    <row r="4859" ht="15" customHeight="1" s="783">
      <c r="B4859" s="901" t="n"/>
    </row>
    <row r="4860" ht="15" customHeight="1" s="783">
      <c r="B4860" s="901" t="n"/>
    </row>
    <row r="4861" ht="15" customHeight="1" s="783">
      <c r="B4861" s="901" t="n"/>
    </row>
    <row r="4862" ht="15" customHeight="1" s="783">
      <c r="B4862" s="901" t="n"/>
    </row>
    <row r="4863" ht="15" customHeight="1" s="783">
      <c r="B4863" s="901" t="n"/>
    </row>
    <row r="4864" ht="15" customHeight="1" s="783">
      <c r="B4864" s="901" t="n"/>
    </row>
    <row r="4865" ht="15" customHeight="1" s="783">
      <c r="B4865" s="901" t="n"/>
    </row>
    <row r="4866" ht="15" customHeight="1" s="783">
      <c r="B4866" s="901" t="n"/>
    </row>
    <row r="4867" ht="15" customHeight="1" s="783">
      <c r="B4867" s="901" t="n"/>
    </row>
    <row r="4868" ht="15" customHeight="1" s="783">
      <c r="B4868" s="901" t="n"/>
    </row>
    <row r="4869" ht="15" customHeight="1" s="783">
      <c r="B4869" s="901" t="n"/>
    </row>
    <row r="4870" ht="15" customHeight="1" s="783">
      <c r="B4870" s="901" t="n"/>
    </row>
    <row r="4871" ht="15" customHeight="1" s="783">
      <c r="B4871" s="901" t="n"/>
    </row>
    <row r="4872" ht="15" customHeight="1" s="783">
      <c r="B4872" s="901" t="n"/>
    </row>
    <row r="4873" ht="15" customHeight="1" s="783">
      <c r="B4873" s="901" t="n"/>
    </row>
    <row r="4874" ht="15" customHeight="1" s="783">
      <c r="B4874" s="901" t="n"/>
    </row>
    <row r="4875" ht="15" customHeight="1" s="783">
      <c r="B4875" s="901" t="n"/>
    </row>
    <row r="4876" ht="15" customHeight="1" s="783">
      <c r="B4876" s="901" t="n"/>
    </row>
    <row r="4877" ht="15" customHeight="1" s="783">
      <c r="B4877" s="901" t="n"/>
    </row>
    <row r="4878" ht="15" customHeight="1" s="783">
      <c r="B4878" s="901" t="n"/>
    </row>
    <row r="4879" ht="15" customHeight="1" s="783">
      <c r="B4879" s="901" t="n"/>
    </row>
    <row r="4880" ht="15" customHeight="1" s="783">
      <c r="B4880" s="901" t="n"/>
    </row>
    <row r="4881" ht="15" customHeight="1" s="783">
      <c r="B4881" s="901" t="n"/>
    </row>
    <row r="4882" ht="15" customHeight="1" s="783">
      <c r="B4882" s="901" t="n"/>
    </row>
    <row r="4883" ht="15" customHeight="1" s="783">
      <c r="B4883" s="901" t="n"/>
    </row>
    <row r="4884" ht="15" customHeight="1" s="783">
      <c r="B4884" s="901" t="n"/>
    </row>
    <row r="4885" ht="15" customHeight="1" s="783">
      <c r="B4885" s="901" t="n"/>
    </row>
    <row r="4886" ht="15" customHeight="1" s="783">
      <c r="B4886" s="901" t="n"/>
    </row>
    <row r="4887" ht="15" customHeight="1" s="783">
      <c r="B4887" s="901" t="n"/>
    </row>
    <row r="4888" ht="15" customHeight="1" s="783">
      <c r="B4888" s="901" t="n"/>
    </row>
    <row r="4889" ht="15" customHeight="1" s="783">
      <c r="B4889" s="901" t="n"/>
    </row>
    <row r="4890" ht="15" customHeight="1" s="783">
      <c r="B4890" s="901" t="n"/>
    </row>
    <row r="4891" ht="15" customHeight="1" s="783">
      <c r="B4891" s="901" t="n"/>
    </row>
    <row r="4892" ht="15" customHeight="1" s="783">
      <c r="B4892" s="901" t="n"/>
    </row>
    <row r="4893" ht="15" customHeight="1" s="783">
      <c r="B4893" s="901" t="n"/>
    </row>
    <row r="4894" ht="15" customHeight="1" s="783">
      <c r="B4894" s="901" t="n"/>
    </row>
    <row r="4895" ht="15" customHeight="1" s="783">
      <c r="B4895" s="901" t="n"/>
    </row>
    <row r="4896" ht="15" customHeight="1" s="783">
      <c r="B4896" s="901" t="n"/>
    </row>
    <row r="4897" ht="15" customHeight="1" s="783">
      <c r="B4897" s="901" t="n"/>
    </row>
    <row r="4898" ht="15" customHeight="1" s="783">
      <c r="B4898" s="901" t="n"/>
    </row>
    <row r="4899" ht="15" customHeight="1" s="783">
      <c r="B4899" s="901" t="n"/>
    </row>
    <row r="4900" ht="15" customHeight="1" s="783">
      <c r="B4900" s="901" t="n"/>
    </row>
    <row r="4901" ht="15" customHeight="1" s="783">
      <c r="B4901" s="901" t="n"/>
    </row>
    <row r="4902" ht="15" customHeight="1" s="783">
      <c r="B4902" s="901" t="n"/>
    </row>
    <row r="4903" ht="15" customHeight="1" s="783">
      <c r="B4903" s="901" t="n"/>
    </row>
    <row r="4904" ht="15" customHeight="1" s="783">
      <c r="B4904" s="901" t="n"/>
    </row>
    <row r="4905" ht="15" customHeight="1" s="783">
      <c r="B4905" s="901" t="n"/>
    </row>
    <row r="4906" ht="15" customHeight="1" s="783">
      <c r="B4906" s="901" t="n"/>
    </row>
    <row r="4907" ht="15" customHeight="1" s="783">
      <c r="B4907" s="901" t="n"/>
    </row>
    <row r="4908" ht="15" customHeight="1" s="783">
      <c r="B4908" s="901" t="n"/>
    </row>
    <row r="4909" ht="15" customHeight="1" s="783">
      <c r="B4909" s="901" t="n"/>
    </row>
    <row r="4910" ht="15" customHeight="1" s="783">
      <c r="B4910" s="901" t="n"/>
    </row>
    <row r="4911" ht="15" customHeight="1" s="783">
      <c r="B4911" s="901" t="n"/>
    </row>
    <row r="4912" ht="15" customHeight="1" s="783">
      <c r="B4912" s="901" t="n"/>
    </row>
    <row r="4913" ht="15" customHeight="1" s="783">
      <c r="B4913" s="901" t="n"/>
    </row>
    <row r="4914" ht="15" customHeight="1" s="783">
      <c r="B4914" s="901" t="n"/>
    </row>
    <row r="4915" ht="15" customHeight="1" s="783">
      <c r="B4915" s="901" t="n"/>
    </row>
    <row r="4916" ht="15" customHeight="1" s="783">
      <c r="B4916" s="901" t="n"/>
    </row>
    <row r="4917" ht="15" customHeight="1" s="783">
      <c r="B4917" s="901" t="n"/>
    </row>
    <row r="4918" ht="15" customHeight="1" s="783">
      <c r="B4918" s="901" t="n"/>
    </row>
    <row r="4919" ht="15" customHeight="1" s="783">
      <c r="B4919" s="901" t="n"/>
    </row>
    <row r="4920" ht="15" customHeight="1" s="783">
      <c r="B4920" s="901" t="n"/>
    </row>
    <row r="4921" ht="15" customHeight="1" s="783">
      <c r="B4921" s="901" t="n"/>
    </row>
    <row r="4922" ht="15" customHeight="1" s="783">
      <c r="B4922" s="901" t="n"/>
    </row>
    <row r="4923" ht="15" customHeight="1" s="783">
      <c r="B4923" s="901" t="n"/>
    </row>
    <row r="4924" ht="15" customHeight="1" s="783">
      <c r="B4924" s="901" t="n"/>
    </row>
    <row r="4925" ht="15" customHeight="1" s="783">
      <c r="B4925" s="901" t="n"/>
    </row>
    <row r="4926" ht="15" customHeight="1" s="783">
      <c r="B4926" s="901" t="n"/>
    </row>
    <row r="4927" ht="15" customHeight="1" s="783">
      <c r="B4927" s="901" t="n"/>
    </row>
    <row r="4928" ht="15" customHeight="1" s="783">
      <c r="B4928" s="901" t="n"/>
    </row>
    <row r="4929" ht="15" customHeight="1" s="783">
      <c r="B4929" s="901" t="n"/>
    </row>
    <row r="4930" ht="15" customHeight="1" s="783">
      <c r="B4930" s="901" t="n"/>
    </row>
    <row r="4931" ht="15" customHeight="1" s="783">
      <c r="B4931" s="901" t="n"/>
    </row>
    <row r="4932" ht="15" customHeight="1" s="783">
      <c r="B4932" s="901" t="n"/>
    </row>
    <row r="4933" ht="15" customHeight="1" s="783">
      <c r="B4933" s="901" t="n"/>
    </row>
    <row r="4934" ht="15" customHeight="1" s="783">
      <c r="B4934" s="901" t="n"/>
    </row>
    <row r="4935" ht="15" customHeight="1" s="783">
      <c r="B4935" s="901" t="n"/>
    </row>
    <row r="4936" ht="15" customHeight="1" s="783">
      <c r="B4936" s="901" t="n"/>
    </row>
    <row r="4937" ht="15" customHeight="1" s="783">
      <c r="B4937" s="901" t="n"/>
    </row>
    <row r="4938" ht="15" customHeight="1" s="783">
      <c r="B4938" s="901" t="n"/>
    </row>
    <row r="4939" ht="15" customHeight="1" s="783">
      <c r="B4939" s="901" t="n"/>
    </row>
    <row r="4940" ht="15" customHeight="1" s="783">
      <c r="B4940" s="901" t="n"/>
    </row>
    <row r="4941" ht="15" customHeight="1" s="783">
      <c r="B4941" s="901" t="n"/>
    </row>
    <row r="4942" ht="15" customHeight="1" s="783">
      <c r="B4942" s="901" t="n"/>
    </row>
    <row r="4943" ht="15" customHeight="1" s="783">
      <c r="B4943" s="901" t="n"/>
    </row>
    <row r="4944" ht="15" customHeight="1" s="783">
      <c r="B4944" s="901" t="n"/>
    </row>
    <row r="4945" ht="15" customHeight="1" s="783">
      <c r="B4945" s="901" t="n"/>
    </row>
    <row r="4946" ht="15" customHeight="1" s="783">
      <c r="B4946" s="901" t="n"/>
    </row>
    <row r="4947" ht="15" customHeight="1" s="783">
      <c r="B4947" s="901" t="n"/>
    </row>
    <row r="4948" ht="15" customHeight="1" s="783">
      <c r="B4948" s="901" t="n"/>
    </row>
    <row r="4949" ht="15" customHeight="1" s="783">
      <c r="B4949" s="901" t="n"/>
    </row>
    <row r="4950" ht="15" customHeight="1" s="783">
      <c r="B4950" s="901" t="n"/>
    </row>
    <row r="4951" ht="15" customHeight="1" s="783">
      <c r="B4951" s="901" t="n"/>
    </row>
    <row r="4952" ht="15" customHeight="1" s="783">
      <c r="B4952" s="901" t="n"/>
    </row>
    <row r="4953" ht="15" customHeight="1" s="783">
      <c r="B4953" s="901" t="n"/>
    </row>
    <row r="4954" ht="15" customHeight="1" s="783">
      <c r="B4954" s="901" t="n"/>
    </row>
    <row r="4955" ht="15" customHeight="1" s="783">
      <c r="B4955" s="901" t="n"/>
    </row>
    <row r="4956" ht="15" customHeight="1" s="783">
      <c r="B4956" s="901" t="n"/>
    </row>
    <row r="4957" ht="15" customHeight="1" s="783">
      <c r="B4957" s="901" t="n"/>
    </row>
    <row r="4958" ht="15" customHeight="1" s="783">
      <c r="B4958" s="901" t="n"/>
    </row>
    <row r="4959" ht="15" customHeight="1" s="783">
      <c r="B4959" s="901" t="n"/>
    </row>
    <row r="4960" ht="15" customHeight="1" s="783">
      <c r="B4960" s="901" t="n"/>
    </row>
    <row r="4961" ht="15" customHeight="1" s="783">
      <c r="B4961" s="901" t="n"/>
    </row>
    <row r="4962" ht="15" customHeight="1" s="783">
      <c r="B4962" s="901" t="n"/>
    </row>
    <row r="4963" ht="15" customHeight="1" s="783">
      <c r="B4963" s="901" t="n"/>
    </row>
    <row r="4964" ht="15" customHeight="1" s="783">
      <c r="B4964" s="901" t="n"/>
    </row>
    <row r="4965" ht="15" customHeight="1" s="783">
      <c r="B4965" s="901" t="n"/>
    </row>
    <row r="4966" ht="15" customHeight="1" s="783">
      <c r="B4966" s="901" t="n"/>
    </row>
    <row r="4967" ht="15" customHeight="1" s="783">
      <c r="B4967" s="901" t="n"/>
    </row>
    <row r="4968" ht="15" customHeight="1" s="783">
      <c r="B4968" s="901" t="n"/>
    </row>
    <row r="4969" ht="15" customHeight="1" s="783">
      <c r="B4969" s="901" t="n"/>
    </row>
    <row r="4970" ht="15" customHeight="1" s="783">
      <c r="B4970" s="901" t="n"/>
    </row>
    <row r="4971" ht="15" customHeight="1" s="783">
      <c r="B4971" s="901" t="n"/>
    </row>
    <row r="4972" ht="15" customHeight="1" s="783">
      <c r="B4972" s="901" t="n"/>
    </row>
    <row r="4973" ht="15" customHeight="1" s="783">
      <c r="B4973" s="901" t="n"/>
    </row>
    <row r="4974" ht="15" customHeight="1" s="783">
      <c r="B4974" s="901" t="n"/>
    </row>
    <row r="4975" ht="15" customHeight="1" s="783">
      <c r="B4975" s="901" t="n"/>
    </row>
    <row r="4976" ht="15" customHeight="1" s="783">
      <c r="B4976" s="901" t="n"/>
    </row>
    <row r="4977" ht="15" customHeight="1" s="783">
      <c r="B4977" s="901" t="n"/>
    </row>
    <row r="4978" ht="15" customHeight="1" s="783">
      <c r="B4978" s="901" t="n"/>
    </row>
    <row r="4979" ht="15" customHeight="1" s="783">
      <c r="B4979" s="901" t="n"/>
    </row>
    <row r="4980" ht="15" customHeight="1" s="783">
      <c r="B4980" s="901" t="n"/>
    </row>
    <row r="4981" ht="15" customHeight="1" s="783">
      <c r="B4981" s="901" t="n"/>
    </row>
    <row r="4982" ht="15" customHeight="1" s="783">
      <c r="B4982" s="901" t="n"/>
    </row>
    <row r="4983" ht="15" customHeight="1" s="783">
      <c r="B4983" s="901" t="n"/>
    </row>
    <row r="4984" ht="15" customHeight="1" s="783">
      <c r="B4984" s="901" t="n"/>
    </row>
    <row r="4985" ht="15" customHeight="1" s="783">
      <c r="B4985" s="901" t="n"/>
    </row>
    <row r="4986" ht="15" customHeight="1" s="783">
      <c r="B4986" s="901" t="n"/>
    </row>
    <row r="4987" ht="15" customHeight="1" s="783">
      <c r="B4987" s="901" t="n"/>
    </row>
    <row r="4988" ht="15" customHeight="1" s="783">
      <c r="B4988" s="901" t="n"/>
    </row>
    <row r="4989" ht="15" customHeight="1" s="783">
      <c r="B4989" s="901" t="n"/>
    </row>
    <row r="4990" ht="15" customHeight="1" s="783">
      <c r="B4990" s="901" t="n"/>
    </row>
    <row r="4991" ht="15" customHeight="1" s="783">
      <c r="B4991" s="901" t="n"/>
    </row>
    <row r="4992" ht="15" customHeight="1" s="783">
      <c r="B4992" s="901" t="n"/>
    </row>
    <row r="4993" ht="15" customHeight="1" s="783">
      <c r="B4993" s="901" t="n"/>
    </row>
    <row r="4994" ht="15" customHeight="1" s="783">
      <c r="B4994" s="901" t="n"/>
    </row>
    <row r="4995" ht="15" customHeight="1" s="783">
      <c r="B4995" s="901" t="n"/>
    </row>
    <row r="4996" ht="15" customHeight="1" s="783">
      <c r="B4996" s="901" t="n"/>
    </row>
    <row r="4997" ht="15" customHeight="1" s="783">
      <c r="B4997" s="901" t="n"/>
    </row>
    <row r="4998" ht="15" customHeight="1" s="783">
      <c r="B4998" s="901" t="n"/>
    </row>
    <row r="4999" ht="15" customHeight="1" s="783">
      <c r="B4999" s="901" t="n"/>
    </row>
    <row r="5000" ht="15" customHeight="1" s="783">
      <c r="B5000" s="901" t="n"/>
    </row>
    <row r="5001" ht="15" customHeight="1" s="783">
      <c r="B5001" s="901" t="n"/>
    </row>
    <row r="5002" ht="15" customHeight="1" s="783">
      <c r="B5002" s="901" t="n"/>
    </row>
    <row r="5003" ht="15" customHeight="1" s="783">
      <c r="B5003" s="901" t="n"/>
    </row>
    <row r="5004" ht="15" customHeight="1" s="783">
      <c r="B5004" s="901" t="n"/>
    </row>
    <row r="5005" ht="15" customHeight="1" s="783">
      <c r="B5005" s="901" t="n"/>
    </row>
    <row r="5006" ht="15" customHeight="1" s="783">
      <c r="B5006" s="901" t="n"/>
    </row>
    <row r="5007" ht="15" customHeight="1" s="783">
      <c r="B5007" s="901" t="n"/>
    </row>
    <row r="5008" ht="15" customHeight="1" s="783">
      <c r="B5008" s="901" t="n"/>
    </row>
    <row r="5009" ht="15" customHeight="1" s="783">
      <c r="B5009" s="901" t="n"/>
    </row>
    <row r="5010" ht="15" customHeight="1" s="783">
      <c r="B5010" s="901" t="n"/>
    </row>
    <row r="5011" ht="15" customHeight="1" s="783">
      <c r="B5011" s="901" t="n"/>
    </row>
    <row r="5012" ht="15" customHeight="1" s="783">
      <c r="B5012" s="901" t="n"/>
    </row>
    <row r="5013" ht="15" customHeight="1" s="783">
      <c r="B5013" s="901" t="n"/>
    </row>
    <row r="5014" ht="15" customHeight="1" s="783">
      <c r="B5014" s="901" t="n"/>
    </row>
    <row r="5015" ht="15" customHeight="1" s="783">
      <c r="B5015" s="901" t="n"/>
    </row>
    <row r="5016" ht="15" customHeight="1" s="783">
      <c r="B5016" s="901" t="n"/>
    </row>
    <row r="5017" ht="15" customHeight="1" s="783">
      <c r="B5017" s="901" t="n"/>
    </row>
    <row r="5018" ht="15" customHeight="1" s="783">
      <c r="B5018" s="901" t="n"/>
    </row>
    <row r="5019" ht="15" customHeight="1" s="783">
      <c r="B5019" s="901" t="n"/>
    </row>
    <row r="5020" ht="15" customHeight="1" s="783">
      <c r="B5020" s="901" t="n"/>
    </row>
    <row r="5021" ht="15" customHeight="1" s="783">
      <c r="B5021" s="901" t="n"/>
    </row>
    <row r="5022" ht="15" customHeight="1" s="783">
      <c r="B5022" s="901" t="n"/>
    </row>
    <row r="5023" ht="15" customHeight="1" s="783">
      <c r="B5023" s="901" t="n"/>
    </row>
    <row r="5024" ht="15" customHeight="1" s="783">
      <c r="B5024" s="901" t="n"/>
    </row>
    <row r="5025" ht="15" customHeight="1" s="783">
      <c r="B5025" s="901" t="n"/>
    </row>
    <row r="5026" ht="15" customHeight="1" s="783">
      <c r="B5026" s="901" t="n"/>
    </row>
    <row r="5027" ht="15" customHeight="1" s="783">
      <c r="B5027" s="901" t="n"/>
    </row>
    <row r="5028" ht="15" customHeight="1" s="783">
      <c r="B5028" s="901" t="n"/>
    </row>
    <row r="5029" ht="15" customHeight="1" s="783">
      <c r="B5029" s="901" t="n"/>
    </row>
    <row r="5030" ht="15" customHeight="1" s="783">
      <c r="B5030" s="901" t="n"/>
    </row>
    <row r="5031" ht="15" customHeight="1" s="783">
      <c r="B5031" s="901" t="n"/>
    </row>
    <row r="5032" ht="15" customHeight="1" s="783">
      <c r="B5032" s="901" t="n"/>
    </row>
    <row r="5033" ht="15" customHeight="1" s="783">
      <c r="B5033" s="901" t="n"/>
    </row>
    <row r="5034" ht="15" customHeight="1" s="783">
      <c r="B5034" s="901" t="n"/>
    </row>
    <row r="5035" ht="15" customHeight="1" s="783">
      <c r="B5035" s="901" t="n"/>
    </row>
    <row r="5036" ht="15" customHeight="1" s="783">
      <c r="B5036" s="901" t="n"/>
    </row>
    <row r="5037" ht="15" customHeight="1" s="783">
      <c r="B5037" s="901" t="n"/>
    </row>
    <row r="5038" ht="15" customHeight="1" s="783">
      <c r="B5038" s="901" t="n"/>
    </row>
    <row r="5039" ht="15" customHeight="1" s="783">
      <c r="B5039" s="901" t="n"/>
    </row>
    <row r="5040" ht="15" customHeight="1" s="783">
      <c r="B5040" s="901" t="n"/>
    </row>
    <row r="5041" ht="15" customHeight="1" s="783">
      <c r="B5041" s="901" t="n"/>
    </row>
    <row r="5042" ht="15" customHeight="1" s="783">
      <c r="B5042" s="901" t="n"/>
    </row>
    <row r="5043" ht="15" customHeight="1" s="783">
      <c r="B5043" s="901" t="n"/>
    </row>
    <row r="5044" ht="15" customHeight="1" s="783">
      <c r="B5044" s="901" t="n"/>
    </row>
    <row r="5045" ht="15" customHeight="1" s="783">
      <c r="B5045" s="901" t="n"/>
    </row>
    <row r="5046" ht="15" customHeight="1" s="783">
      <c r="B5046" s="901" t="n"/>
    </row>
    <row r="5047" ht="15" customHeight="1" s="783">
      <c r="B5047" s="901" t="n"/>
    </row>
    <row r="5048" ht="15" customHeight="1" s="783">
      <c r="B5048" s="901" t="n"/>
    </row>
    <row r="5049" ht="15" customHeight="1" s="783">
      <c r="B5049" s="901" t="n"/>
    </row>
    <row r="5050" ht="15" customHeight="1" s="783">
      <c r="B5050" s="901" t="n"/>
    </row>
    <row r="5051" ht="15" customHeight="1" s="783">
      <c r="B5051" s="901" t="n"/>
    </row>
    <row r="5052" ht="15" customHeight="1" s="783">
      <c r="B5052" s="901" t="n"/>
    </row>
    <row r="5053" ht="15" customHeight="1" s="783">
      <c r="B5053" s="901" t="n"/>
    </row>
    <row r="5054" ht="15" customHeight="1" s="783">
      <c r="B5054" s="901" t="n"/>
    </row>
    <row r="5055" ht="15" customHeight="1" s="783">
      <c r="B5055" s="901" t="n"/>
    </row>
    <row r="5056" ht="15" customHeight="1" s="783">
      <c r="B5056" s="901" t="n"/>
    </row>
    <row r="5057" ht="15" customHeight="1" s="783">
      <c r="B5057" s="901" t="n"/>
    </row>
    <row r="5058" ht="15" customHeight="1" s="783">
      <c r="B5058" s="901" t="n"/>
    </row>
    <row r="5059" ht="15" customHeight="1" s="783">
      <c r="B5059" s="901" t="n"/>
    </row>
    <row r="5060" ht="15" customHeight="1" s="783">
      <c r="B5060" s="901" t="n"/>
    </row>
    <row r="5061" ht="15" customHeight="1" s="783">
      <c r="B5061" s="901" t="n"/>
    </row>
    <row r="5062" ht="15" customHeight="1" s="783">
      <c r="B5062" s="901" t="n"/>
    </row>
    <row r="5063" ht="15" customHeight="1" s="783">
      <c r="B5063" s="901" t="n"/>
    </row>
    <row r="5064" ht="15" customHeight="1" s="783">
      <c r="B5064" s="901" t="n"/>
    </row>
    <row r="5065" ht="15" customHeight="1" s="783">
      <c r="B5065" s="901" t="n"/>
    </row>
    <row r="5066" ht="15" customHeight="1" s="783">
      <c r="B5066" s="901" t="n"/>
    </row>
    <row r="5067" ht="15" customHeight="1" s="783">
      <c r="B5067" s="901" t="n"/>
    </row>
    <row r="5068" ht="15" customHeight="1" s="783">
      <c r="B5068" s="901" t="n"/>
    </row>
    <row r="5069" ht="15" customHeight="1" s="783">
      <c r="B5069" s="901" t="n"/>
    </row>
    <row r="5070" ht="15" customHeight="1" s="783">
      <c r="B5070" s="901" t="n"/>
    </row>
    <row r="5071" ht="15" customHeight="1" s="783">
      <c r="B5071" s="901" t="n"/>
    </row>
    <row r="5072" ht="15" customHeight="1" s="783">
      <c r="B5072" s="901" t="n"/>
    </row>
    <row r="5073" ht="15" customHeight="1" s="783">
      <c r="B5073" s="901" t="n"/>
    </row>
    <row r="5074" ht="15" customHeight="1" s="783">
      <c r="B5074" s="901" t="n"/>
    </row>
    <row r="5075" ht="15" customHeight="1" s="783">
      <c r="B5075" s="901" t="n"/>
    </row>
    <row r="5076" ht="15" customHeight="1" s="783">
      <c r="B5076" s="901" t="n"/>
    </row>
    <row r="5077" ht="15" customHeight="1" s="783">
      <c r="B5077" s="901" t="n"/>
    </row>
    <row r="5078" ht="15" customHeight="1" s="783">
      <c r="B5078" s="901" t="n"/>
    </row>
    <row r="5079" ht="15" customHeight="1" s="783">
      <c r="B5079" s="901" t="n"/>
    </row>
    <row r="5080" ht="15" customHeight="1" s="783">
      <c r="B5080" s="901" t="n"/>
    </row>
    <row r="5081" ht="15" customHeight="1" s="783">
      <c r="B5081" s="901" t="n"/>
    </row>
    <row r="5082" ht="15" customHeight="1" s="783">
      <c r="B5082" s="901" t="n"/>
    </row>
    <row r="5083" ht="15" customHeight="1" s="783">
      <c r="B5083" s="901" t="n"/>
    </row>
    <row r="5084" ht="15" customHeight="1" s="783">
      <c r="B5084" s="901" t="n"/>
    </row>
    <row r="5085" ht="15" customHeight="1" s="783">
      <c r="B5085" s="901" t="n"/>
    </row>
    <row r="5086" ht="15" customHeight="1" s="783">
      <c r="B5086" s="901" t="n"/>
    </row>
    <row r="5087" ht="15" customHeight="1" s="783">
      <c r="B5087" s="901" t="n"/>
    </row>
    <row r="5088" ht="15" customHeight="1" s="783">
      <c r="B5088" s="901" t="n"/>
    </row>
    <row r="5089" ht="15" customHeight="1" s="783">
      <c r="B5089" s="901" t="n"/>
    </row>
    <row r="5090" ht="15" customHeight="1" s="783">
      <c r="B5090" s="901" t="n"/>
    </row>
    <row r="5091" ht="15" customHeight="1" s="783">
      <c r="B5091" s="901" t="n"/>
    </row>
    <row r="5092" ht="15" customHeight="1" s="783">
      <c r="B5092" s="901" t="n"/>
    </row>
    <row r="5093" ht="15" customHeight="1" s="783">
      <c r="B5093" s="901" t="n"/>
    </row>
    <row r="5094" ht="15" customHeight="1" s="783">
      <c r="B5094" s="901" t="n"/>
    </row>
    <row r="5095" ht="15" customHeight="1" s="783">
      <c r="B5095" s="901" t="n"/>
    </row>
    <row r="5096" ht="15" customHeight="1" s="783">
      <c r="B5096" s="901" t="n"/>
    </row>
    <row r="5097" ht="15" customHeight="1" s="783">
      <c r="B5097" s="901" t="n"/>
    </row>
    <row r="5098" ht="15" customHeight="1" s="783">
      <c r="B5098" s="901" t="n"/>
    </row>
    <row r="5099" ht="15" customHeight="1" s="783">
      <c r="B5099" s="901" t="n"/>
    </row>
    <row r="5100" ht="15" customHeight="1" s="783">
      <c r="B5100" s="901" t="n"/>
    </row>
    <row r="5101" ht="15" customHeight="1" s="783">
      <c r="B5101" s="901" t="n"/>
    </row>
    <row r="5102" ht="15" customHeight="1" s="783">
      <c r="B5102" s="901" t="n"/>
    </row>
    <row r="5103" ht="15" customHeight="1" s="783">
      <c r="B5103" s="901" t="n"/>
    </row>
    <row r="5104" ht="15" customHeight="1" s="783">
      <c r="B5104" s="901" t="n"/>
    </row>
    <row r="5105" ht="15" customHeight="1" s="783">
      <c r="B5105" s="901" t="n"/>
    </row>
    <row r="5106" ht="15" customHeight="1" s="783">
      <c r="B5106" s="901" t="n"/>
    </row>
    <row r="5107" ht="15" customHeight="1" s="783">
      <c r="B5107" s="901" t="n"/>
    </row>
    <row r="5108" ht="15" customHeight="1" s="783">
      <c r="B5108" s="901" t="n"/>
    </row>
    <row r="5109" ht="15" customHeight="1" s="783">
      <c r="B5109" s="901" t="n"/>
    </row>
    <row r="5110" ht="15" customHeight="1" s="783">
      <c r="B5110" s="901" t="n"/>
    </row>
    <row r="5111" ht="15" customHeight="1" s="783">
      <c r="B5111" s="901" t="n"/>
    </row>
    <row r="5112" ht="15" customHeight="1" s="783">
      <c r="B5112" s="901" t="n"/>
    </row>
    <row r="5113" ht="15" customHeight="1" s="783">
      <c r="B5113" s="901" t="n"/>
    </row>
    <row r="5114" ht="15" customHeight="1" s="783">
      <c r="B5114" s="901" t="n"/>
    </row>
    <row r="5115" ht="15" customHeight="1" s="783">
      <c r="B5115" s="901" t="n"/>
    </row>
    <row r="5116" ht="15" customHeight="1" s="783">
      <c r="B5116" s="901" t="n"/>
    </row>
    <row r="5117" ht="15" customHeight="1" s="783">
      <c r="B5117" s="901" t="n"/>
    </row>
    <row r="5118" ht="15" customHeight="1" s="783">
      <c r="B5118" s="901" t="n"/>
    </row>
    <row r="5119" ht="15" customHeight="1" s="783">
      <c r="B5119" s="901" t="n"/>
    </row>
    <row r="5120" ht="15" customHeight="1" s="783">
      <c r="B5120" s="901" t="n"/>
    </row>
    <row r="5121" ht="15" customHeight="1" s="783">
      <c r="B5121" s="901" t="n"/>
    </row>
    <row r="5122" ht="15" customHeight="1" s="783">
      <c r="B5122" s="901" t="n"/>
    </row>
    <row r="5123" ht="15" customHeight="1" s="783">
      <c r="B5123" s="901" t="n"/>
    </row>
    <row r="5124" ht="15" customHeight="1" s="783">
      <c r="B5124" s="901" t="n"/>
    </row>
    <row r="5125" ht="15" customHeight="1" s="783">
      <c r="B5125" s="901" t="n"/>
    </row>
    <row r="5126" ht="15" customHeight="1" s="783">
      <c r="B5126" s="901" t="n"/>
    </row>
    <row r="5127" ht="15" customHeight="1" s="783">
      <c r="B5127" s="901" t="n"/>
    </row>
    <row r="5128" ht="15" customHeight="1" s="783">
      <c r="B5128" s="901" t="n"/>
    </row>
    <row r="5129" ht="15" customHeight="1" s="783">
      <c r="B5129" s="901" t="n"/>
    </row>
    <row r="5130" ht="15" customHeight="1" s="783">
      <c r="B5130" s="901" t="n"/>
    </row>
    <row r="5131" ht="15" customHeight="1" s="783">
      <c r="B5131" s="901" t="n"/>
    </row>
    <row r="5132" ht="15" customHeight="1" s="783">
      <c r="B5132" s="901" t="n"/>
    </row>
    <row r="5133" ht="15" customHeight="1" s="783">
      <c r="B5133" s="901" t="n"/>
    </row>
    <row r="5134" ht="15" customHeight="1" s="783">
      <c r="B5134" s="901" t="n"/>
    </row>
    <row r="5135" ht="15" customHeight="1" s="783">
      <c r="B5135" s="901" t="n"/>
    </row>
    <row r="5136" ht="15" customHeight="1" s="783">
      <c r="B5136" s="901" t="n"/>
    </row>
    <row r="5137" ht="15" customHeight="1" s="783">
      <c r="B5137" s="901" t="n"/>
    </row>
    <row r="5138" ht="15" customHeight="1" s="783">
      <c r="B5138" s="901" t="n"/>
    </row>
    <row r="5139" ht="15" customHeight="1" s="783">
      <c r="B5139" s="901" t="n"/>
    </row>
    <row r="5140" ht="15" customHeight="1" s="783">
      <c r="B5140" s="901" t="n"/>
    </row>
    <row r="5141" ht="15" customHeight="1" s="783">
      <c r="B5141" s="901" t="n"/>
    </row>
    <row r="5142" ht="15" customHeight="1" s="783">
      <c r="B5142" s="901" t="n"/>
    </row>
    <row r="5143" ht="15" customHeight="1" s="783">
      <c r="B5143" s="901" t="n"/>
    </row>
    <row r="5144" ht="15" customHeight="1" s="783">
      <c r="B5144" s="901" t="n"/>
    </row>
    <row r="5145" ht="15" customHeight="1" s="783">
      <c r="B5145" s="901" t="n"/>
    </row>
    <row r="5146" ht="15" customHeight="1" s="783">
      <c r="B5146" s="901" t="n"/>
    </row>
    <row r="5147" ht="15" customHeight="1" s="783">
      <c r="B5147" s="901" t="n"/>
    </row>
    <row r="5148" ht="15" customHeight="1" s="783">
      <c r="B5148" s="901" t="n"/>
    </row>
    <row r="5149" ht="15" customHeight="1" s="783">
      <c r="B5149" s="901" t="n"/>
    </row>
    <row r="5150" ht="15" customHeight="1" s="783">
      <c r="B5150" s="901" t="n"/>
    </row>
    <row r="5151" ht="15" customHeight="1" s="783">
      <c r="B5151" s="901" t="n"/>
    </row>
    <row r="5152" ht="15" customHeight="1" s="783">
      <c r="B5152" s="901" t="n"/>
    </row>
    <row r="5153" ht="15" customHeight="1" s="783">
      <c r="B5153" s="901" t="n"/>
    </row>
    <row r="5154" ht="15" customHeight="1" s="783">
      <c r="B5154" s="901" t="n"/>
    </row>
    <row r="5155" ht="15" customHeight="1" s="783">
      <c r="B5155" s="901" t="n"/>
    </row>
    <row r="5156" ht="15" customHeight="1" s="783">
      <c r="B5156" s="901" t="n"/>
    </row>
    <row r="5157" ht="15" customHeight="1" s="783">
      <c r="B5157" s="901" t="n"/>
    </row>
    <row r="5158" ht="15" customHeight="1" s="783">
      <c r="B5158" s="901" t="n"/>
    </row>
    <row r="5159" ht="15" customHeight="1" s="783">
      <c r="B5159" s="901" t="n"/>
    </row>
    <row r="5160" ht="15" customHeight="1" s="783">
      <c r="B5160" s="901" t="n"/>
    </row>
    <row r="5161" ht="15" customHeight="1" s="783">
      <c r="B5161" s="901" t="n"/>
    </row>
    <row r="5162" ht="15" customHeight="1" s="783">
      <c r="B5162" s="901" t="n"/>
    </row>
    <row r="5163" ht="15" customHeight="1" s="783">
      <c r="B5163" s="901" t="n"/>
    </row>
    <row r="5164" ht="15" customHeight="1" s="783">
      <c r="B5164" s="901" t="n"/>
    </row>
    <row r="5165" ht="15" customHeight="1" s="783">
      <c r="B5165" s="901" t="n"/>
    </row>
    <row r="5166" ht="15" customHeight="1" s="783">
      <c r="B5166" s="901" t="n"/>
    </row>
    <row r="5167" ht="15" customHeight="1" s="783">
      <c r="B5167" s="901" t="n"/>
    </row>
    <row r="5168" ht="15" customHeight="1" s="783">
      <c r="B5168" s="901" t="n"/>
    </row>
    <row r="5169" ht="15" customHeight="1" s="783">
      <c r="B5169" s="901" t="n"/>
    </row>
    <row r="5170" ht="15" customHeight="1" s="783">
      <c r="B5170" s="901" t="n"/>
    </row>
    <row r="5171" ht="15" customHeight="1" s="783">
      <c r="B5171" s="901" t="n"/>
    </row>
    <row r="5172" ht="15" customHeight="1" s="783">
      <c r="B5172" s="901" t="n"/>
    </row>
    <row r="5173" ht="15" customHeight="1" s="783">
      <c r="B5173" s="901" t="n"/>
    </row>
    <row r="5174" ht="15" customHeight="1" s="783">
      <c r="B5174" s="901" t="n"/>
    </row>
    <row r="5175" ht="15" customHeight="1" s="783">
      <c r="B5175" s="901" t="n"/>
    </row>
    <row r="5176" ht="15" customHeight="1" s="783">
      <c r="B5176" s="901" t="n"/>
    </row>
    <row r="5177" ht="15" customHeight="1" s="783">
      <c r="B5177" s="901" t="n"/>
    </row>
    <row r="5178" ht="15" customHeight="1" s="783">
      <c r="B5178" s="901" t="n"/>
    </row>
    <row r="5179" ht="15" customHeight="1" s="783">
      <c r="B5179" s="901" t="n"/>
    </row>
    <row r="5180" ht="15" customHeight="1" s="783">
      <c r="B5180" s="901" t="n"/>
    </row>
    <row r="5181" ht="15" customHeight="1" s="783">
      <c r="B5181" s="901" t="n"/>
    </row>
    <row r="5182" ht="15" customHeight="1" s="783">
      <c r="B5182" s="901" t="n"/>
    </row>
    <row r="5183" ht="15" customHeight="1" s="783">
      <c r="B5183" s="901" t="n"/>
    </row>
    <row r="5184" ht="15" customHeight="1" s="783">
      <c r="B5184" s="901" t="n"/>
    </row>
    <row r="5185" ht="15" customHeight="1" s="783">
      <c r="B5185" s="901" t="n"/>
    </row>
    <row r="5186" ht="15" customHeight="1" s="783">
      <c r="B5186" s="901" t="n"/>
    </row>
    <row r="5187" ht="15" customHeight="1" s="783">
      <c r="B5187" s="901" t="n"/>
    </row>
    <row r="5188" ht="15" customHeight="1" s="783">
      <c r="B5188" s="901" t="n"/>
    </row>
    <row r="5189" ht="15" customHeight="1" s="783">
      <c r="B5189" s="901" t="n"/>
    </row>
    <row r="5190" ht="15" customHeight="1" s="783">
      <c r="B5190" s="901" t="n"/>
    </row>
    <row r="5191" ht="15" customHeight="1" s="783">
      <c r="B5191" s="901" t="n"/>
    </row>
    <row r="5192" ht="15" customHeight="1" s="783">
      <c r="B5192" s="901" t="n"/>
    </row>
    <row r="5193" ht="15" customHeight="1" s="783">
      <c r="B5193" s="901" t="n"/>
    </row>
    <row r="5194" ht="15" customHeight="1" s="783">
      <c r="B5194" s="901" t="n"/>
    </row>
    <row r="5195" ht="15" customHeight="1" s="783">
      <c r="B5195" s="901" t="n"/>
    </row>
    <row r="5196" ht="15" customHeight="1" s="783">
      <c r="B5196" s="901" t="n"/>
    </row>
    <row r="5197" ht="15" customHeight="1" s="783">
      <c r="B5197" s="901" t="n"/>
    </row>
    <row r="5198" ht="15" customHeight="1" s="783">
      <c r="B5198" s="901" t="n"/>
    </row>
    <row r="5199" ht="15" customHeight="1" s="783">
      <c r="B5199" s="901" t="n"/>
    </row>
    <row r="5200" ht="15" customHeight="1" s="783">
      <c r="B5200" s="901" t="n"/>
    </row>
    <row r="5201" ht="15" customHeight="1" s="783">
      <c r="B5201" s="901" t="n"/>
    </row>
    <row r="5202" ht="15" customHeight="1" s="783">
      <c r="B5202" s="901" t="n"/>
    </row>
    <row r="5203" ht="15" customHeight="1" s="783">
      <c r="B5203" s="901" t="n"/>
    </row>
    <row r="5204" ht="15" customHeight="1" s="783">
      <c r="B5204" s="901" t="n"/>
    </row>
    <row r="5205" ht="15" customHeight="1" s="783">
      <c r="B5205" s="901" t="n"/>
    </row>
    <row r="5206" ht="15" customHeight="1" s="783">
      <c r="B5206" s="901" t="n"/>
    </row>
    <row r="5207" ht="15" customHeight="1" s="783">
      <c r="B5207" s="901" t="n"/>
    </row>
    <row r="5208" ht="15" customHeight="1" s="783">
      <c r="B5208" s="901" t="n"/>
    </row>
    <row r="5209" ht="15" customHeight="1" s="783">
      <c r="B5209" s="901" t="n"/>
    </row>
    <row r="5210" ht="15" customHeight="1" s="783">
      <c r="B5210" s="901" t="n"/>
    </row>
    <row r="5211" ht="15" customHeight="1" s="783">
      <c r="B5211" s="901" t="n"/>
    </row>
    <row r="5212" ht="15" customHeight="1" s="783">
      <c r="B5212" s="901" t="n"/>
    </row>
    <row r="5213" ht="15" customHeight="1" s="783">
      <c r="B5213" s="901" t="n"/>
    </row>
    <row r="5214" ht="15" customHeight="1" s="783">
      <c r="B5214" s="901" t="n"/>
    </row>
    <row r="5215" ht="15" customHeight="1" s="783">
      <c r="B5215" s="901" t="n"/>
    </row>
    <row r="5216" ht="15" customHeight="1" s="783">
      <c r="B5216" s="901" t="n"/>
    </row>
    <row r="5217" ht="15" customHeight="1" s="783">
      <c r="B5217" s="901" t="n"/>
    </row>
    <row r="5218" ht="15" customHeight="1" s="783">
      <c r="B5218" s="901" t="n"/>
    </row>
    <row r="5219" ht="15" customHeight="1" s="783">
      <c r="B5219" s="901" t="n"/>
    </row>
    <row r="5220" ht="15" customHeight="1" s="783">
      <c r="B5220" s="901" t="n"/>
    </row>
    <row r="5221" ht="15" customHeight="1" s="783">
      <c r="B5221" s="901" t="n"/>
    </row>
    <row r="5222" ht="15" customHeight="1" s="783">
      <c r="B5222" s="901" t="n"/>
    </row>
    <row r="5223" ht="15" customHeight="1" s="783">
      <c r="B5223" s="901" t="n"/>
    </row>
    <row r="5224" ht="15" customHeight="1" s="783">
      <c r="B5224" s="901" t="n"/>
    </row>
    <row r="5225" ht="15" customHeight="1" s="783">
      <c r="B5225" s="901" t="n"/>
    </row>
    <row r="5226" ht="15" customHeight="1" s="783">
      <c r="B5226" s="901" t="n"/>
    </row>
    <row r="5227" ht="15" customHeight="1" s="783">
      <c r="B5227" s="901" t="n"/>
    </row>
    <row r="5228" ht="15" customHeight="1" s="783">
      <c r="B5228" s="901" t="n"/>
    </row>
    <row r="5229" ht="15" customHeight="1" s="783">
      <c r="B5229" s="901" t="n"/>
    </row>
    <row r="5230" ht="15" customHeight="1" s="783">
      <c r="B5230" s="901" t="n"/>
    </row>
    <row r="5231" ht="15" customHeight="1" s="783">
      <c r="B5231" s="901" t="n"/>
    </row>
    <row r="5232" ht="15" customHeight="1" s="783">
      <c r="B5232" s="901" t="n"/>
    </row>
    <row r="5233" ht="15" customHeight="1" s="783">
      <c r="B5233" s="901" t="n"/>
    </row>
    <row r="5234" ht="15" customHeight="1" s="783">
      <c r="B5234" s="901" t="n"/>
    </row>
    <row r="5235" ht="15" customHeight="1" s="783">
      <c r="B5235" s="901" t="n"/>
    </row>
    <row r="5236" ht="15" customHeight="1" s="783">
      <c r="B5236" s="901" t="n"/>
    </row>
    <row r="5237" ht="15" customHeight="1" s="783">
      <c r="B5237" s="901" t="n"/>
    </row>
    <row r="5238" ht="15" customHeight="1" s="783">
      <c r="B5238" s="901" t="n"/>
    </row>
    <row r="5239" ht="15" customHeight="1" s="783">
      <c r="B5239" s="901" t="n"/>
    </row>
    <row r="5240" ht="15" customHeight="1" s="783">
      <c r="B5240" s="901" t="n"/>
    </row>
    <row r="5241" ht="15" customHeight="1" s="783">
      <c r="B5241" s="901" t="n"/>
    </row>
    <row r="5242" ht="15" customHeight="1" s="783">
      <c r="B5242" s="901" t="n"/>
    </row>
    <row r="5243" ht="15" customHeight="1" s="783">
      <c r="B5243" s="901" t="n"/>
    </row>
    <row r="5244" ht="15" customHeight="1" s="783">
      <c r="B5244" s="901" t="n"/>
    </row>
    <row r="5245" ht="15" customHeight="1" s="783">
      <c r="B5245" s="901" t="n"/>
    </row>
    <row r="5246" ht="15" customHeight="1" s="783">
      <c r="B5246" s="901" t="n"/>
    </row>
    <row r="5247" ht="15" customHeight="1" s="783">
      <c r="B5247" s="901" t="n"/>
    </row>
    <row r="5248" ht="15" customHeight="1" s="783">
      <c r="B5248" s="901" t="n"/>
    </row>
    <row r="5249" ht="15" customHeight="1" s="783">
      <c r="B5249" s="901" t="n"/>
    </row>
    <row r="5250" ht="15" customHeight="1" s="783">
      <c r="B5250" s="901" t="n"/>
    </row>
    <row r="5251" ht="15" customHeight="1" s="783">
      <c r="B5251" s="901" t="n"/>
    </row>
    <row r="5252" ht="15" customHeight="1" s="783">
      <c r="B5252" s="901" t="n"/>
    </row>
    <row r="5253" ht="15" customHeight="1" s="783">
      <c r="B5253" s="901" t="n"/>
    </row>
    <row r="5254" ht="15" customHeight="1" s="783">
      <c r="B5254" s="901" t="n"/>
    </row>
    <row r="5255" ht="15" customHeight="1" s="783">
      <c r="B5255" s="901" t="n"/>
    </row>
    <row r="5256" ht="15" customHeight="1" s="783">
      <c r="B5256" s="901" t="n"/>
    </row>
    <row r="5257" ht="15" customHeight="1" s="783">
      <c r="B5257" s="901" t="n"/>
    </row>
    <row r="5258" ht="15" customHeight="1" s="783">
      <c r="B5258" s="901" t="n"/>
    </row>
    <row r="5259" ht="15" customHeight="1" s="783">
      <c r="B5259" s="901" t="n"/>
    </row>
    <row r="5260" ht="15" customHeight="1" s="783">
      <c r="B5260" s="901" t="n"/>
    </row>
    <row r="5261" ht="15" customHeight="1" s="783">
      <c r="B5261" s="901" t="n"/>
    </row>
    <row r="5262" ht="15" customHeight="1" s="783">
      <c r="B5262" s="901" t="n"/>
    </row>
    <row r="5263" ht="15" customHeight="1" s="783">
      <c r="B5263" s="901" t="n"/>
    </row>
    <row r="5264" ht="15" customHeight="1" s="783">
      <c r="B5264" s="901" t="n"/>
    </row>
    <row r="5265" ht="15" customHeight="1" s="783">
      <c r="B5265" s="901" t="n"/>
    </row>
    <row r="5266" ht="15" customHeight="1" s="783">
      <c r="B5266" s="901" t="n"/>
    </row>
    <row r="5267" ht="15" customHeight="1" s="783">
      <c r="B5267" s="901" t="n"/>
    </row>
    <row r="5268" ht="15" customHeight="1" s="783">
      <c r="B5268" s="901" t="n"/>
    </row>
    <row r="5269" ht="15" customHeight="1" s="783">
      <c r="B5269" s="901" t="n"/>
    </row>
    <row r="5270" ht="15" customHeight="1" s="783">
      <c r="B5270" s="901" t="n"/>
    </row>
    <row r="5271" ht="15" customHeight="1" s="783">
      <c r="B5271" s="901" t="n"/>
    </row>
    <row r="5272" ht="15" customHeight="1" s="783">
      <c r="B5272" s="901" t="n"/>
    </row>
    <row r="5273" ht="15" customHeight="1" s="783">
      <c r="B5273" s="901" t="n"/>
    </row>
    <row r="5274" ht="15" customHeight="1" s="783">
      <c r="B5274" s="901" t="n"/>
    </row>
    <row r="5275" ht="15" customHeight="1" s="783">
      <c r="B5275" s="901" t="n"/>
    </row>
    <row r="5276" ht="15" customHeight="1" s="783">
      <c r="B5276" s="901" t="n"/>
    </row>
    <row r="5277" ht="15" customHeight="1" s="783">
      <c r="B5277" s="901" t="n"/>
    </row>
    <row r="5278" ht="15" customHeight="1" s="783">
      <c r="B5278" s="901" t="n"/>
    </row>
    <row r="5279" ht="15" customHeight="1" s="783">
      <c r="B5279" s="901" t="n"/>
    </row>
    <row r="5280" ht="15" customHeight="1" s="783">
      <c r="B5280" s="901" t="n"/>
    </row>
    <row r="5281" ht="15" customHeight="1" s="783">
      <c r="B5281" s="901" t="n"/>
    </row>
    <row r="5282" ht="15" customHeight="1" s="783">
      <c r="B5282" s="901" t="n"/>
    </row>
    <row r="5283" ht="15" customHeight="1" s="783">
      <c r="B5283" s="901" t="n"/>
    </row>
    <row r="5284" ht="15" customHeight="1" s="783">
      <c r="B5284" s="901" t="n"/>
    </row>
    <row r="5285" ht="15" customHeight="1" s="783">
      <c r="B5285" s="901" t="n"/>
    </row>
    <row r="5286" ht="15" customHeight="1" s="783">
      <c r="B5286" s="901" t="n"/>
    </row>
    <row r="5287" ht="15" customHeight="1" s="783">
      <c r="B5287" s="901" t="n"/>
    </row>
    <row r="5288" ht="15" customHeight="1" s="783">
      <c r="B5288" s="901" t="n"/>
    </row>
    <row r="5289" ht="15" customHeight="1" s="783">
      <c r="B5289" s="901" t="n"/>
    </row>
    <row r="5290" ht="15" customHeight="1" s="783">
      <c r="B5290" s="901" t="n"/>
    </row>
    <row r="5291" ht="15" customHeight="1" s="783">
      <c r="B5291" s="901" t="n"/>
    </row>
    <row r="5292" ht="15" customHeight="1" s="783">
      <c r="B5292" s="901" t="n"/>
    </row>
    <row r="5293" ht="15" customHeight="1" s="783">
      <c r="B5293" s="901" t="n"/>
    </row>
    <row r="5294" ht="15" customHeight="1" s="783">
      <c r="B5294" s="901" t="n"/>
    </row>
    <row r="5295" ht="15" customHeight="1" s="783">
      <c r="B5295" s="901" t="n"/>
    </row>
    <row r="5296" ht="15" customHeight="1" s="783">
      <c r="B5296" s="901" t="n"/>
    </row>
    <row r="5297" ht="15" customHeight="1" s="783">
      <c r="B5297" s="901" t="n"/>
    </row>
    <row r="5298" ht="15" customHeight="1" s="783">
      <c r="B5298" s="901" t="n"/>
    </row>
    <row r="5299" ht="15" customHeight="1" s="783">
      <c r="B5299" s="901" t="n"/>
    </row>
    <row r="5300" ht="15" customHeight="1" s="783">
      <c r="B5300" s="901" t="n"/>
    </row>
    <row r="5301" ht="15" customHeight="1" s="783">
      <c r="B5301" s="901" t="n"/>
    </row>
    <row r="5302" ht="15" customHeight="1" s="783">
      <c r="B5302" s="901" t="n"/>
    </row>
    <row r="5303" ht="15" customHeight="1" s="783">
      <c r="B5303" s="901" t="n"/>
    </row>
    <row r="5304" ht="15" customHeight="1" s="783">
      <c r="B5304" s="901" t="n"/>
    </row>
    <row r="5305" ht="15" customHeight="1" s="783">
      <c r="B5305" s="901" t="n"/>
    </row>
    <row r="5306" ht="15" customHeight="1" s="783">
      <c r="B5306" s="901" t="n"/>
    </row>
    <row r="5307" ht="15" customHeight="1" s="783">
      <c r="B5307" s="901" t="n"/>
    </row>
    <row r="5308" ht="15" customHeight="1" s="783">
      <c r="B5308" s="901" t="n"/>
    </row>
    <row r="5309" ht="15" customHeight="1" s="783">
      <c r="B5309" s="901" t="n"/>
    </row>
    <row r="5310" ht="15" customHeight="1" s="783">
      <c r="B5310" s="901" t="n"/>
    </row>
    <row r="5311" ht="15" customHeight="1" s="783">
      <c r="B5311" s="901" t="n"/>
    </row>
    <row r="5312" ht="15" customHeight="1" s="783">
      <c r="B5312" s="901" t="n"/>
    </row>
    <row r="5313" ht="15" customHeight="1" s="783">
      <c r="B5313" s="901" t="n"/>
    </row>
    <row r="5314" ht="15" customHeight="1" s="783">
      <c r="B5314" s="901" t="n"/>
    </row>
    <row r="5315" ht="15" customHeight="1" s="783">
      <c r="B5315" s="901" t="n"/>
    </row>
    <row r="5316" ht="15" customHeight="1" s="783">
      <c r="B5316" s="901" t="n"/>
    </row>
    <row r="5317" ht="15" customHeight="1" s="783">
      <c r="B5317" s="901" t="n"/>
    </row>
    <row r="5318" ht="15" customHeight="1" s="783">
      <c r="B5318" s="901" t="n"/>
    </row>
    <row r="5319" ht="15" customHeight="1" s="783">
      <c r="B5319" s="901" t="n"/>
    </row>
    <row r="5320" ht="15" customHeight="1" s="783">
      <c r="B5320" s="901" t="n"/>
    </row>
    <row r="5321" ht="15" customHeight="1" s="783">
      <c r="B5321" s="901" t="n"/>
    </row>
    <row r="5322" ht="15" customHeight="1" s="783">
      <c r="B5322" s="901" t="n"/>
    </row>
    <row r="5323" ht="15" customHeight="1" s="783">
      <c r="B5323" s="901" t="n"/>
    </row>
    <row r="5324" ht="15" customHeight="1" s="783">
      <c r="B5324" s="901" t="n"/>
    </row>
    <row r="5325" ht="15" customHeight="1" s="783">
      <c r="B5325" s="901" t="n"/>
    </row>
    <row r="5326" ht="15" customHeight="1" s="783">
      <c r="B5326" s="901" t="n"/>
    </row>
    <row r="5327" ht="15" customHeight="1" s="783">
      <c r="B5327" s="901" t="n"/>
    </row>
    <row r="5328" ht="15" customHeight="1" s="783">
      <c r="B5328" s="901" t="n"/>
    </row>
    <row r="5329" ht="15" customHeight="1" s="783">
      <c r="B5329" s="901" t="n"/>
    </row>
    <row r="5330" ht="15" customHeight="1" s="783">
      <c r="B5330" s="901" t="n"/>
    </row>
    <row r="5331" ht="15" customHeight="1" s="783">
      <c r="B5331" s="901" t="n"/>
    </row>
    <row r="5332" ht="15" customHeight="1" s="783">
      <c r="B5332" s="901" t="n"/>
    </row>
    <row r="5333" ht="15" customHeight="1" s="783">
      <c r="B5333" s="901" t="n"/>
    </row>
    <row r="5334" ht="15" customHeight="1" s="783">
      <c r="B5334" s="901" t="n"/>
    </row>
    <row r="5335" ht="15" customHeight="1" s="783">
      <c r="B5335" s="901" t="n"/>
    </row>
    <row r="5336" ht="15" customHeight="1" s="783">
      <c r="B5336" s="901" t="n"/>
    </row>
    <row r="5337" ht="15" customHeight="1" s="783">
      <c r="B5337" s="901" t="n"/>
    </row>
    <row r="5338" ht="15" customHeight="1" s="783">
      <c r="B5338" s="901" t="n"/>
    </row>
    <row r="5339" ht="15" customHeight="1" s="783">
      <c r="B5339" s="901" t="n"/>
    </row>
    <row r="5340" ht="15" customHeight="1" s="783">
      <c r="B5340" s="901" t="n"/>
    </row>
    <row r="5341" ht="15" customHeight="1" s="783">
      <c r="B5341" s="901" t="n"/>
    </row>
    <row r="5342" ht="15" customHeight="1" s="783">
      <c r="B5342" s="901" t="n"/>
    </row>
    <row r="5343" ht="15" customHeight="1" s="783">
      <c r="B5343" s="901" t="n"/>
    </row>
    <row r="5344" ht="15" customHeight="1" s="783">
      <c r="B5344" s="901" t="n"/>
    </row>
    <row r="5345" ht="15" customHeight="1" s="783">
      <c r="B5345" s="901" t="n"/>
    </row>
    <row r="5346" ht="15" customHeight="1" s="783">
      <c r="B5346" s="901" t="n"/>
    </row>
    <row r="5347" ht="15" customHeight="1" s="783">
      <c r="B5347" s="901" t="n"/>
    </row>
    <row r="5348" ht="15" customHeight="1" s="783">
      <c r="B5348" s="901" t="n"/>
    </row>
    <row r="5349" ht="15" customHeight="1" s="783">
      <c r="B5349" s="901" t="n"/>
    </row>
    <row r="5350" ht="15" customHeight="1" s="783">
      <c r="B5350" s="901" t="n"/>
    </row>
    <row r="5351" ht="15" customHeight="1" s="783">
      <c r="B5351" s="901" t="n"/>
    </row>
    <row r="5352" ht="15" customHeight="1" s="783">
      <c r="B5352" s="901" t="n"/>
    </row>
    <row r="5353" ht="15" customHeight="1" s="783">
      <c r="B5353" s="901" t="n"/>
    </row>
    <row r="5354" ht="15" customHeight="1" s="783">
      <c r="B5354" s="901" t="n"/>
    </row>
    <row r="5355" ht="15" customHeight="1" s="783">
      <c r="B5355" s="901" t="n"/>
    </row>
    <row r="5356" ht="15" customHeight="1" s="783">
      <c r="B5356" s="901" t="n"/>
    </row>
    <row r="5357" ht="15" customHeight="1" s="783">
      <c r="B5357" s="901" t="n"/>
    </row>
    <row r="5358" ht="15" customHeight="1" s="783">
      <c r="B5358" s="901" t="n"/>
    </row>
    <row r="5359" ht="15" customHeight="1" s="783">
      <c r="B5359" s="901" t="n"/>
    </row>
    <row r="5360" ht="15" customHeight="1" s="783">
      <c r="B5360" s="901" t="n"/>
    </row>
    <row r="5361" ht="15" customHeight="1" s="783">
      <c r="B5361" s="901" t="n"/>
    </row>
    <row r="5362" ht="15" customHeight="1" s="783">
      <c r="B5362" s="901" t="n"/>
    </row>
    <row r="5363" ht="15" customHeight="1" s="783">
      <c r="B5363" s="901" t="n"/>
    </row>
    <row r="5364" ht="15" customHeight="1" s="783">
      <c r="B5364" s="901" t="n"/>
    </row>
    <row r="5365" ht="15" customHeight="1" s="783">
      <c r="B5365" s="901" t="n"/>
    </row>
    <row r="5366" ht="15" customHeight="1" s="783">
      <c r="B5366" s="901" t="n"/>
    </row>
    <row r="5367" ht="15" customHeight="1" s="783">
      <c r="B5367" s="901" t="n"/>
    </row>
    <row r="5368" ht="15" customHeight="1" s="783">
      <c r="B5368" s="901" t="n"/>
    </row>
    <row r="5369" ht="15" customHeight="1" s="783">
      <c r="B5369" s="901" t="n"/>
    </row>
    <row r="5370" ht="15" customHeight="1" s="783">
      <c r="B5370" s="901" t="n"/>
    </row>
    <row r="5371" ht="15" customHeight="1" s="783">
      <c r="B5371" s="901" t="n"/>
    </row>
    <row r="5372" ht="15" customHeight="1" s="783">
      <c r="B5372" s="901" t="n"/>
    </row>
    <row r="5373" ht="15" customHeight="1" s="783">
      <c r="B5373" s="901" t="n"/>
    </row>
    <row r="5374" ht="15" customHeight="1" s="783">
      <c r="B5374" s="901" t="n"/>
    </row>
    <row r="5375" ht="15" customHeight="1" s="783">
      <c r="B5375" s="901" t="n"/>
    </row>
    <row r="5376" ht="15" customHeight="1" s="783">
      <c r="B5376" s="901" t="n"/>
    </row>
    <row r="5377" ht="15" customHeight="1" s="783">
      <c r="B5377" s="901" t="n"/>
    </row>
    <row r="5378" ht="15" customHeight="1" s="783">
      <c r="B5378" s="901" t="n"/>
    </row>
    <row r="5379" ht="15" customHeight="1" s="783">
      <c r="B5379" s="901" t="n"/>
    </row>
    <row r="5380" ht="15" customHeight="1" s="783">
      <c r="B5380" s="901" t="n"/>
    </row>
    <row r="5381" ht="15" customHeight="1" s="783">
      <c r="B5381" s="901" t="n"/>
    </row>
    <row r="5382" ht="15" customHeight="1" s="783">
      <c r="B5382" s="901" t="n"/>
    </row>
    <row r="5383" ht="15" customHeight="1" s="783">
      <c r="B5383" s="901" t="n"/>
    </row>
    <row r="5384" ht="15" customHeight="1" s="783">
      <c r="B5384" s="901" t="n"/>
    </row>
    <row r="5385" ht="15" customHeight="1" s="783">
      <c r="B5385" s="901" t="n"/>
    </row>
    <row r="5386" ht="15" customHeight="1" s="783">
      <c r="B5386" s="901" t="n"/>
    </row>
    <row r="5387" ht="15" customHeight="1" s="783">
      <c r="B5387" s="901" t="n"/>
    </row>
    <row r="5388" ht="15" customHeight="1" s="783">
      <c r="B5388" s="901" t="n"/>
    </row>
    <row r="5389" ht="15" customHeight="1" s="783">
      <c r="B5389" s="901" t="n"/>
    </row>
    <row r="5390" ht="15" customHeight="1" s="783">
      <c r="B5390" s="901" t="n"/>
    </row>
    <row r="5391" ht="15" customHeight="1" s="783">
      <c r="B5391" s="901" t="n"/>
    </row>
    <row r="5392" ht="15" customHeight="1" s="783">
      <c r="B5392" s="901" t="n"/>
    </row>
    <row r="5393" ht="15" customHeight="1" s="783">
      <c r="B5393" s="901" t="n"/>
    </row>
    <row r="5394" ht="15" customHeight="1" s="783">
      <c r="B5394" s="901" t="n"/>
    </row>
    <row r="5395" ht="15" customHeight="1" s="783">
      <c r="B5395" s="901" t="n"/>
    </row>
    <row r="5396" ht="15" customHeight="1" s="783">
      <c r="B5396" s="901" t="n"/>
    </row>
    <row r="5397" ht="15" customHeight="1" s="783">
      <c r="B5397" s="901" t="n"/>
    </row>
    <row r="5398" ht="15" customHeight="1" s="783">
      <c r="B5398" s="901" t="n"/>
    </row>
    <row r="5399" ht="15" customHeight="1" s="783">
      <c r="B5399" s="901" t="n"/>
    </row>
    <row r="5400" ht="15" customHeight="1" s="783">
      <c r="B5400" s="901" t="n"/>
    </row>
    <row r="5401" ht="15" customHeight="1" s="783">
      <c r="B5401" s="901" t="n"/>
    </row>
    <row r="5402" ht="15" customHeight="1" s="783">
      <c r="B5402" s="901" t="n"/>
    </row>
    <row r="5403" ht="15" customHeight="1" s="783">
      <c r="B5403" s="901" t="n"/>
    </row>
    <row r="5404" ht="15" customHeight="1" s="783">
      <c r="B5404" s="901" t="n"/>
    </row>
    <row r="5405" ht="15" customHeight="1" s="783">
      <c r="B5405" s="901" t="n"/>
    </row>
    <row r="5406" ht="15" customHeight="1" s="783">
      <c r="B5406" s="901" t="n"/>
    </row>
    <row r="5407" ht="15" customHeight="1" s="783">
      <c r="B5407" s="901" t="n"/>
    </row>
    <row r="5408" ht="15" customHeight="1" s="783">
      <c r="B5408" s="901" t="n"/>
    </row>
    <row r="5409" ht="15" customHeight="1" s="783">
      <c r="B5409" s="901" t="n"/>
    </row>
    <row r="5410" ht="15" customHeight="1" s="783">
      <c r="B5410" s="901" t="n"/>
    </row>
    <row r="5411" ht="15" customHeight="1" s="783">
      <c r="B5411" s="901" t="n"/>
    </row>
    <row r="5412" ht="15" customHeight="1" s="783">
      <c r="B5412" s="901" t="n"/>
    </row>
    <row r="5413" ht="15" customHeight="1" s="783">
      <c r="B5413" s="901" t="n"/>
    </row>
    <row r="5414" ht="15" customHeight="1" s="783">
      <c r="B5414" s="901" t="n"/>
    </row>
    <row r="5415" ht="15" customHeight="1" s="783">
      <c r="B5415" s="901" t="n"/>
    </row>
    <row r="5416" ht="15" customHeight="1" s="783">
      <c r="B5416" s="901" t="n"/>
    </row>
    <row r="5417" ht="15" customHeight="1" s="783">
      <c r="B5417" s="901" t="n"/>
    </row>
    <row r="5418" ht="15" customHeight="1" s="783">
      <c r="B5418" s="901" t="n"/>
    </row>
    <row r="5419" ht="15" customHeight="1" s="783">
      <c r="B5419" s="901" t="n"/>
    </row>
    <row r="5420" ht="15" customHeight="1" s="783">
      <c r="B5420" s="901" t="n"/>
    </row>
    <row r="5421" ht="15" customHeight="1" s="783">
      <c r="B5421" s="901" t="n"/>
    </row>
    <row r="5422" ht="15" customHeight="1" s="783">
      <c r="B5422" s="901" t="n"/>
    </row>
    <row r="5423" ht="15" customHeight="1" s="783">
      <c r="B5423" s="901" t="n"/>
    </row>
    <row r="5424" ht="15" customHeight="1" s="783">
      <c r="B5424" s="901" t="n"/>
    </row>
    <row r="5425" ht="15" customHeight="1" s="783">
      <c r="B5425" s="901" t="n"/>
    </row>
    <row r="5426" ht="15" customHeight="1" s="783">
      <c r="B5426" s="901" t="n"/>
    </row>
    <row r="5427" ht="15" customHeight="1" s="783">
      <c r="B5427" s="901" t="n"/>
    </row>
    <row r="5428" ht="15" customHeight="1" s="783">
      <c r="B5428" s="901" t="n"/>
    </row>
    <row r="5429" ht="15" customHeight="1" s="783">
      <c r="B5429" s="901" t="n"/>
    </row>
    <row r="5430" ht="15" customHeight="1" s="783">
      <c r="B5430" s="901" t="n"/>
    </row>
    <row r="5431" ht="15" customHeight="1" s="783">
      <c r="B5431" s="901" t="n"/>
    </row>
    <row r="5432" ht="15" customHeight="1" s="783">
      <c r="B5432" s="901" t="n"/>
    </row>
    <row r="5433" ht="15" customHeight="1" s="783">
      <c r="B5433" s="901" t="n"/>
    </row>
    <row r="5434" ht="15" customHeight="1" s="783">
      <c r="B5434" s="901" t="n"/>
    </row>
    <row r="5435" ht="15" customHeight="1" s="783">
      <c r="B5435" s="901" t="n"/>
    </row>
    <row r="5436" ht="15" customHeight="1" s="783">
      <c r="B5436" s="901" t="n"/>
    </row>
    <row r="5437" ht="15" customHeight="1" s="783">
      <c r="B5437" s="901" t="n"/>
    </row>
    <row r="5438" ht="15" customHeight="1" s="783">
      <c r="B5438" s="901" t="n"/>
    </row>
    <row r="5439" ht="15" customHeight="1" s="783">
      <c r="B5439" s="901" t="n"/>
    </row>
    <row r="5440" ht="15" customHeight="1" s="783">
      <c r="B5440" s="901" t="n"/>
    </row>
    <row r="5441" ht="15" customHeight="1" s="783">
      <c r="B5441" s="901" t="n"/>
    </row>
    <row r="5442" ht="15" customHeight="1" s="783">
      <c r="B5442" s="901" t="n"/>
    </row>
    <row r="5443" ht="15" customHeight="1" s="783">
      <c r="B5443" s="901" t="n"/>
    </row>
    <row r="5444" ht="15" customHeight="1" s="783">
      <c r="B5444" s="901" t="n"/>
    </row>
    <row r="5445" ht="15" customHeight="1" s="783">
      <c r="B5445" s="901" t="n"/>
    </row>
    <row r="5446" ht="15" customHeight="1" s="783">
      <c r="B5446" s="901" t="n"/>
    </row>
    <row r="5447" ht="15" customHeight="1" s="783">
      <c r="B5447" s="901" t="n"/>
    </row>
    <row r="5448" ht="15" customHeight="1" s="783">
      <c r="B5448" s="901" t="n"/>
    </row>
    <row r="5449" ht="15" customHeight="1" s="783">
      <c r="B5449" s="901" t="n"/>
    </row>
    <row r="5450" ht="15" customHeight="1" s="783">
      <c r="B5450" s="901" t="n"/>
    </row>
    <row r="5451" ht="15" customHeight="1" s="783">
      <c r="B5451" s="901" t="n"/>
    </row>
    <row r="5452" ht="15" customHeight="1" s="783">
      <c r="B5452" s="901" t="n"/>
    </row>
    <row r="5453" ht="15" customHeight="1" s="783">
      <c r="B5453" s="901" t="n"/>
    </row>
    <row r="5454" ht="15" customHeight="1" s="783">
      <c r="B5454" s="901" t="n"/>
    </row>
    <row r="5455" ht="15" customHeight="1" s="783">
      <c r="B5455" s="901" t="n"/>
    </row>
    <row r="5456" ht="15" customHeight="1" s="783">
      <c r="B5456" s="901" t="n"/>
    </row>
    <row r="5457" ht="15" customHeight="1" s="783">
      <c r="B5457" s="901" t="n"/>
    </row>
    <row r="5458" ht="15" customHeight="1" s="783">
      <c r="B5458" s="901" t="n"/>
    </row>
    <row r="5459" ht="15" customHeight="1" s="783">
      <c r="B5459" s="901" t="n"/>
    </row>
    <row r="5460" ht="15" customHeight="1" s="783">
      <c r="B5460" s="901" t="n"/>
    </row>
    <row r="5461" ht="15" customHeight="1" s="783">
      <c r="B5461" s="901" t="n"/>
    </row>
    <row r="5462" ht="15" customHeight="1" s="783">
      <c r="B5462" s="901" t="n"/>
    </row>
    <row r="5463" ht="15" customHeight="1" s="783">
      <c r="B5463" s="901" t="n"/>
    </row>
    <row r="5464" ht="15" customHeight="1" s="783">
      <c r="B5464" s="901" t="n"/>
    </row>
    <row r="5465" ht="15" customHeight="1" s="783">
      <c r="B5465" s="901" t="n"/>
    </row>
    <row r="5466" ht="15" customHeight="1" s="783">
      <c r="B5466" s="901" t="n"/>
    </row>
    <row r="5467" ht="15" customHeight="1" s="783">
      <c r="B5467" s="901" t="n"/>
    </row>
    <row r="5468" ht="15" customHeight="1" s="783">
      <c r="B5468" s="901" t="n"/>
    </row>
    <row r="5469" ht="15" customHeight="1" s="783">
      <c r="B5469" s="901" t="n"/>
    </row>
    <row r="5470" ht="15" customHeight="1" s="783">
      <c r="B5470" s="901" t="n"/>
    </row>
    <row r="5471" ht="15" customHeight="1" s="783">
      <c r="B5471" s="901" t="n"/>
    </row>
    <row r="5472" ht="15" customHeight="1" s="783">
      <c r="B5472" s="901" t="n"/>
    </row>
    <row r="5473" ht="15" customHeight="1" s="783">
      <c r="B5473" s="901" t="n"/>
    </row>
    <row r="5474" ht="15" customHeight="1" s="783">
      <c r="B5474" s="901" t="n"/>
    </row>
    <row r="5475" ht="15" customHeight="1" s="783">
      <c r="B5475" s="901" t="n"/>
    </row>
    <row r="5476" ht="15" customHeight="1" s="783">
      <c r="B5476" s="901" t="n"/>
    </row>
    <row r="5477" ht="15" customHeight="1" s="783">
      <c r="B5477" s="901" t="n"/>
    </row>
    <row r="5478" ht="15" customHeight="1" s="783">
      <c r="B5478" s="901" t="n"/>
    </row>
    <row r="5479" ht="15" customHeight="1" s="783">
      <c r="B5479" s="901" t="n"/>
    </row>
    <row r="5480" ht="15" customHeight="1" s="783">
      <c r="B5480" s="901" t="n"/>
    </row>
    <row r="5481" ht="15" customHeight="1" s="783">
      <c r="B5481" s="901" t="n"/>
    </row>
    <row r="5482" ht="15" customHeight="1" s="783">
      <c r="B5482" s="901" t="n"/>
    </row>
    <row r="5483" ht="15" customHeight="1" s="783">
      <c r="B5483" s="901" t="n"/>
    </row>
    <row r="5484" ht="15" customHeight="1" s="783">
      <c r="B5484" s="901" t="n"/>
    </row>
    <row r="5485" ht="15" customHeight="1" s="783">
      <c r="B5485" s="901" t="n"/>
    </row>
    <row r="5486" ht="15" customHeight="1" s="783">
      <c r="B5486" s="901" t="n"/>
    </row>
    <row r="5487" ht="15" customHeight="1" s="783">
      <c r="B5487" s="901" t="n"/>
    </row>
    <row r="5488" ht="15" customHeight="1" s="783">
      <c r="B5488" s="901" t="n"/>
    </row>
    <row r="5489" ht="15" customHeight="1" s="783">
      <c r="B5489" s="901" t="n"/>
    </row>
    <row r="5490" ht="15" customHeight="1" s="783">
      <c r="B5490" s="901" t="n"/>
    </row>
    <row r="5491" ht="15" customHeight="1" s="783">
      <c r="B5491" s="901" t="n"/>
    </row>
    <row r="5492" ht="15" customHeight="1" s="783">
      <c r="B5492" s="901" t="n"/>
    </row>
    <row r="5493" ht="15" customHeight="1" s="783">
      <c r="B5493" s="901" t="n"/>
    </row>
    <row r="5494" ht="15" customHeight="1" s="783">
      <c r="B5494" s="901" t="n"/>
    </row>
    <row r="5495" ht="15" customHeight="1" s="783">
      <c r="B5495" s="901" t="n"/>
    </row>
    <row r="5496" ht="15" customHeight="1" s="783">
      <c r="B5496" s="901" t="n"/>
    </row>
    <row r="5497" ht="15" customHeight="1" s="783">
      <c r="B5497" s="901" t="n"/>
    </row>
    <row r="5498" ht="15" customHeight="1" s="783">
      <c r="B5498" s="901" t="n"/>
    </row>
    <row r="5499" ht="15" customHeight="1" s="783">
      <c r="B5499" s="901" t="n"/>
    </row>
    <row r="5500" ht="15" customHeight="1" s="783">
      <c r="B5500" s="901" t="n"/>
    </row>
    <row r="5501" ht="15" customHeight="1" s="783">
      <c r="B5501" s="901" t="n"/>
    </row>
    <row r="5502" ht="15" customHeight="1" s="783">
      <c r="B5502" s="901" t="n"/>
    </row>
    <row r="5503" ht="15" customHeight="1" s="783">
      <c r="B5503" s="901" t="n"/>
    </row>
    <row r="5504" ht="15" customHeight="1" s="783">
      <c r="B5504" s="901" t="n"/>
    </row>
    <row r="5505" ht="15" customHeight="1" s="783">
      <c r="B5505" s="901" t="n"/>
    </row>
    <row r="5506" ht="15" customHeight="1" s="783">
      <c r="B5506" s="901" t="n"/>
    </row>
    <row r="5507" ht="15" customHeight="1" s="783">
      <c r="B5507" s="901" t="n"/>
    </row>
    <row r="5508" ht="15" customHeight="1" s="783">
      <c r="B5508" s="901" t="n"/>
    </row>
    <row r="5509" ht="15" customHeight="1" s="783">
      <c r="B5509" s="901" t="n"/>
    </row>
    <row r="5510" ht="15" customHeight="1" s="783">
      <c r="B5510" s="901" t="n"/>
    </row>
    <row r="5511" ht="15" customHeight="1" s="783">
      <c r="B5511" s="901" t="n"/>
    </row>
    <row r="5512" ht="15" customHeight="1" s="783">
      <c r="B5512" s="901" t="n"/>
    </row>
    <row r="5513" ht="15" customHeight="1" s="783">
      <c r="B5513" s="901" t="n"/>
    </row>
    <row r="5514" ht="15" customHeight="1" s="783">
      <c r="B5514" s="901" t="n"/>
    </row>
    <row r="5515" ht="15" customHeight="1" s="783">
      <c r="B5515" s="901" t="n"/>
    </row>
    <row r="5516" ht="15" customHeight="1" s="783">
      <c r="B5516" s="901" t="n"/>
    </row>
    <row r="5517" ht="15" customHeight="1" s="783">
      <c r="B5517" s="901" t="n"/>
    </row>
    <row r="5518" ht="15" customHeight="1" s="783">
      <c r="B5518" s="901" t="n"/>
    </row>
    <row r="5519" ht="15" customHeight="1" s="783">
      <c r="B5519" s="901" t="n"/>
    </row>
    <row r="5520" ht="15" customHeight="1" s="783">
      <c r="B5520" s="901" t="n"/>
    </row>
    <row r="5521" ht="15" customHeight="1" s="783">
      <c r="B5521" s="901" t="n"/>
    </row>
    <row r="5522" ht="15" customHeight="1" s="783">
      <c r="B5522" s="901" t="n"/>
    </row>
    <row r="5523" ht="15" customHeight="1" s="783">
      <c r="B5523" s="901" t="n"/>
    </row>
    <row r="5524" ht="15" customHeight="1" s="783">
      <c r="B5524" s="901" t="n"/>
    </row>
    <row r="5525" ht="15" customHeight="1" s="783">
      <c r="B5525" s="901" t="n"/>
    </row>
    <row r="5526" ht="15" customHeight="1" s="783">
      <c r="B5526" s="901" t="n"/>
    </row>
    <row r="5527" ht="15" customHeight="1" s="783">
      <c r="B5527" s="901" t="n"/>
    </row>
    <row r="5528" ht="15" customHeight="1" s="783">
      <c r="B5528" s="901" t="n"/>
    </row>
    <row r="5529" ht="15" customHeight="1" s="783">
      <c r="B5529" s="901" t="n"/>
    </row>
    <row r="5530" ht="15" customHeight="1" s="783">
      <c r="B5530" s="901" t="n"/>
    </row>
    <row r="5531" ht="15" customHeight="1" s="783">
      <c r="B5531" s="901" t="n"/>
    </row>
    <row r="5532" ht="15" customHeight="1" s="783">
      <c r="B5532" s="901" t="n"/>
    </row>
    <row r="5533" ht="15" customHeight="1" s="783">
      <c r="B5533" s="901" t="n"/>
    </row>
    <row r="5534" ht="15" customHeight="1" s="783">
      <c r="B5534" s="901" t="n"/>
    </row>
    <row r="5535" ht="15" customHeight="1" s="783">
      <c r="B5535" s="901" t="n"/>
    </row>
    <row r="5536" ht="15" customHeight="1" s="783">
      <c r="B5536" s="901" t="n"/>
    </row>
    <row r="5537" ht="15" customHeight="1" s="783">
      <c r="B5537" s="901" t="n"/>
    </row>
    <row r="5538" ht="15" customHeight="1" s="783">
      <c r="B5538" s="901" t="n"/>
    </row>
    <row r="5539" ht="15" customHeight="1" s="783">
      <c r="B5539" s="901" t="n"/>
    </row>
    <row r="5540" ht="15" customHeight="1" s="783">
      <c r="B5540" s="901" t="n"/>
    </row>
    <row r="5541" ht="15" customHeight="1" s="783">
      <c r="B5541" s="901" t="n"/>
    </row>
    <row r="5542" ht="15" customHeight="1" s="783">
      <c r="B5542" s="901" t="n"/>
    </row>
    <row r="5543" ht="15" customHeight="1" s="783">
      <c r="B5543" s="901" t="n"/>
    </row>
    <row r="5544" ht="15" customHeight="1" s="783">
      <c r="B5544" s="901" t="n"/>
    </row>
    <row r="5545" ht="15" customHeight="1" s="783">
      <c r="B5545" s="901" t="n"/>
    </row>
    <row r="5546" ht="15" customHeight="1" s="783">
      <c r="B5546" s="901" t="n"/>
    </row>
    <row r="5547" ht="15" customHeight="1" s="783">
      <c r="B5547" s="901" t="n"/>
    </row>
    <row r="5548" ht="15" customHeight="1" s="783">
      <c r="B5548" s="901" t="n"/>
    </row>
    <row r="5549" ht="15" customHeight="1" s="783">
      <c r="B5549" s="901" t="n"/>
    </row>
    <row r="5550" ht="15" customHeight="1" s="783">
      <c r="B5550" s="901" t="n"/>
    </row>
    <row r="5551" ht="15" customHeight="1" s="783">
      <c r="B5551" s="901" t="n"/>
    </row>
    <row r="5552" ht="15" customHeight="1" s="783">
      <c r="B5552" s="901" t="n"/>
    </row>
    <row r="5553" ht="15" customHeight="1" s="783">
      <c r="B5553" s="901" t="n"/>
    </row>
    <row r="5554" ht="15" customHeight="1" s="783">
      <c r="B5554" s="901" t="n"/>
    </row>
    <row r="5555" ht="15" customHeight="1" s="783">
      <c r="B5555" s="901" t="n"/>
    </row>
    <row r="5556" ht="15" customHeight="1" s="783">
      <c r="B5556" s="901" t="n"/>
    </row>
    <row r="5557" ht="15" customHeight="1" s="783">
      <c r="B5557" s="901" t="n"/>
    </row>
    <row r="5558" ht="15" customHeight="1" s="783">
      <c r="B5558" s="901" t="n"/>
    </row>
    <row r="5559" ht="15" customHeight="1" s="783">
      <c r="B5559" s="901" t="n"/>
    </row>
    <row r="5560" ht="15" customHeight="1" s="783">
      <c r="B5560" s="901" t="n"/>
    </row>
    <row r="5561" ht="15" customHeight="1" s="783">
      <c r="B5561" s="901" t="n"/>
    </row>
    <row r="5562" ht="15" customHeight="1" s="783">
      <c r="B5562" s="901" t="n"/>
    </row>
    <row r="5563" ht="15" customHeight="1" s="783">
      <c r="B5563" s="901" t="n"/>
    </row>
    <row r="5564" ht="15" customHeight="1" s="783">
      <c r="B5564" s="901" t="n"/>
    </row>
    <row r="5565" ht="15" customHeight="1" s="783">
      <c r="B5565" s="901" t="n"/>
    </row>
    <row r="5566" ht="15" customHeight="1" s="783">
      <c r="B5566" s="901" t="n"/>
    </row>
    <row r="5567" ht="15" customHeight="1" s="783">
      <c r="B5567" s="901" t="n"/>
    </row>
    <row r="5568" ht="15" customHeight="1" s="783">
      <c r="B5568" s="901" t="n"/>
    </row>
    <row r="5569" ht="15" customHeight="1" s="783">
      <c r="B5569" s="901" t="n"/>
    </row>
    <row r="5570" ht="15" customHeight="1" s="783">
      <c r="B5570" s="901" t="n"/>
    </row>
    <row r="5571" ht="15" customHeight="1" s="783">
      <c r="B5571" s="901" t="n"/>
    </row>
    <row r="5572" ht="15" customHeight="1" s="783">
      <c r="B5572" s="901" t="n"/>
    </row>
    <row r="5573" ht="15" customHeight="1" s="783">
      <c r="B5573" s="901" t="n"/>
    </row>
    <row r="5574" ht="15" customHeight="1" s="783">
      <c r="B5574" s="901" t="n"/>
    </row>
    <row r="5575" ht="15" customHeight="1" s="783">
      <c r="B5575" s="901" t="n"/>
    </row>
    <row r="5576" ht="15" customHeight="1" s="783">
      <c r="B5576" s="901" t="n"/>
    </row>
    <row r="5577" ht="15" customHeight="1" s="783">
      <c r="B5577" s="901" t="n"/>
    </row>
    <row r="5578" ht="15" customHeight="1" s="783">
      <c r="B5578" s="901" t="n"/>
    </row>
    <row r="5579" ht="15" customHeight="1" s="783">
      <c r="B5579" s="901" t="n"/>
    </row>
    <row r="5580" ht="15" customHeight="1" s="783">
      <c r="B5580" s="901" t="n"/>
    </row>
    <row r="5581" ht="15" customHeight="1" s="783">
      <c r="B5581" s="901" t="n"/>
    </row>
    <row r="5582" ht="15" customHeight="1" s="783">
      <c r="B5582" s="901" t="n"/>
    </row>
    <row r="5583" ht="15" customHeight="1" s="783">
      <c r="B5583" s="901" t="n"/>
    </row>
    <row r="5584" ht="15" customHeight="1" s="783">
      <c r="B5584" s="901" t="n"/>
    </row>
    <row r="5585" ht="15" customHeight="1" s="783">
      <c r="B5585" s="901" t="n"/>
    </row>
    <row r="5586" ht="15" customHeight="1" s="783">
      <c r="B5586" s="901" t="n"/>
    </row>
    <row r="5587" ht="15" customHeight="1" s="783">
      <c r="B5587" s="901" t="n"/>
    </row>
    <row r="5588" ht="15" customHeight="1" s="783">
      <c r="B5588" s="901" t="n"/>
    </row>
    <row r="5589" ht="15" customHeight="1" s="783">
      <c r="B5589" s="901" t="n"/>
    </row>
    <row r="5590" ht="15" customHeight="1" s="783">
      <c r="B5590" s="901" t="n"/>
    </row>
    <row r="5591" ht="15" customHeight="1" s="783">
      <c r="B5591" s="901" t="n"/>
    </row>
    <row r="5592" ht="15" customHeight="1" s="783">
      <c r="B5592" s="901" t="n"/>
    </row>
    <row r="5593" ht="15" customHeight="1" s="783">
      <c r="B5593" s="901" t="n"/>
    </row>
    <row r="5594" ht="15" customHeight="1" s="783">
      <c r="B5594" s="901" t="n"/>
    </row>
    <row r="5595" ht="15" customHeight="1" s="783">
      <c r="B5595" s="901" t="n"/>
    </row>
    <row r="5596" ht="15" customHeight="1" s="783">
      <c r="B5596" s="901" t="n"/>
    </row>
    <row r="5597" ht="15" customHeight="1" s="783">
      <c r="B5597" s="901" t="n"/>
    </row>
    <row r="5598" ht="15" customHeight="1" s="783">
      <c r="B5598" s="901" t="n"/>
    </row>
    <row r="5599" ht="15" customHeight="1" s="783">
      <c r="B5599" s="901" t="n"/>
    </row>
    <row r="5600" ht="15" customHeight="1" s="783">
      <c r="B5600" s="901" t="n"/>
    </row>
    <row r="5601" ht="15" customHeight="1" s="783">
      <c r="B5601" s="901" t="n"/>
    </row>
    <row r="5602" ht="15" customHeight="1" s="783">
      <c r="B5602" s="901" t="n"/>
    </row>
    <row r="5603" ht="15" customHeight="1" s="783">
      <c r="B5603" s="901" t="n"/>
    </row>
    <row r="5604" ht="15" customHeight="1" s="783">
      <c r="B5604" s="901" t="n"/>
    </row>
    <row r="5605" ht="15" customHeight="1" s="783">
      <c r="B5605" s="901" t="n"/>
    </row>
    <row r="5606" ht="15" customHeight="1" s="783">
      <c r="B5606" s="901" t="n"/>
    </row>
    <row r="5607" ht="15" customHeight="1" s="783">
      <c r="B5607" s="901" t="n"/>
    </row>
    <row r="5608" ht="15" customHeight="1" s="783">
      <c r="B5608" s="901" t="n"/>
    </row>
    <row r="5609" ht="15" customHeight="1" s="783">
      <c r="B5609" s="901" t="n"/>
    </row>
    <row r="5610" ht="15" customHeight="1" s="783">
      <c r="B5610" s="901" t="n"/>
    </row>
    <row r="5611" ht="15" customHeight="1" s="783">
      <c r="B5611" s="901" t="n"/>
    </row>
    <row r="5612" ht="15" customHeight="1" s="783">
      <c r="B5612" s="901" t="n"/>
    </row>
    <row r="5613" ht="15" customHeight="1" s="783">
      <c r="B5613" s="901" t="n"/>
    </row>
    <row r="5614" ht="15" customHeight="1" s="783">
      <c r="B5614" s="901" t="n"/>
    </row>
    <row r="5615" ht="15" customHeight="1" s="783">
      <c r="B5615" s="901" t="n"/>
    </row>
    <row r="5616" ht="15" customHeight="1" s="783">
      <c r="B5616" s="901" t="n"/>
    </row>
    <row r="5617" ht="15" customHeight="1" s="783">
      <c r="B5617" s="901" t="n"/>
    </row>
    <row r="5618" ht="15" customHeight="1" s="783">
      <c r="B5618" s="901" t="n"/>
    </row>
    <row r="5619" ht="15" customHeight="1" s="783">
      <c r="B5619" s="901" t="n"/>
    </row>
    <row r="5620" ht="15" customHeight="1" s="783">
      <c r="B5620" s="901" t="n"/>
    </row>
    <row r="5621" ht="15" customHeight="1" s="783">
      <c r="B5621" s="901" t="n"/>
    </row>
    <row r="5622" ht="15" customHeight="1" s="783">
      <c r="B5622" s="901" t="n"/>
    </row>
    <row r="5623" ht="15" customHeight="1" s="783">
      <c r="B5623" s="901" t="n"/>
    </row>
    <row r="5624" ht="15" customHeight="1" s="783">
      <c r="B5624" s="901" t="n"/>
    </row>
    <row r="5625" ht="15" customHeight="1" s="783">
      <c r="B5625" s="901" t="n"/>
    </row>
    <row r="5626" ht="15" customHeight="1" s="783">
      <c r="B5626" s="901" t="n"/>
    </row>
    <row r="5627" ht="15" customHeight="1" s="783">
      <c r="B5627" s="901" t="n"/>
    </row>
    <row r="5628" ht="15" customHeight="1" s="783">
      <c r="B5628" s="901" t="n"/>
    </row>
    <row r="5629" ht="15" customHeight="1" s="783">
      <c r="B5629" s="901" t="n"/>
    </row>
    <row r="5630" ht="15" customHeight="1" s="783">
      <c r="B5630" s="901" t="n"/>
    </row>
    <row r="5631" ht="15" customHeight="1" s="783">
      <c r="B5631" s="901" t="n"/>
    </row>
    <row r="5632" ht="15" customHeight="1" s="783">
      <c r="B5632" s="901" t="n"/>
    </row>
    <row r="5633" ht="15" customHeight="1" s="783">
      <c r="B5633" s="901" t="n"/>
    </row>
    <row r="5634" ht="15" customHeight="1" s="783">
      <c r="B5634" s="901" t="n"/>
    </row>
    <row r="5635" ht="15" customHeight="1" s="783">
      <c r="B5635" s="901" t="n"/>
    </row>
    <row r="5636" ht="15" customHeight="1" s="783">
      <c r="B5636" s="901" t="n"/>
    </row>
    <row r="5637" ht="15" customHeight="1" s="783">
      <c r="B5637" s="901" t="n"/>
    </row>
    <row r="5638" ht="15" customHeight="1" s="783">
      <c r="B5638" s="901" t="n"/>
    </row>
    <row r="5639" ht="15" customHeight="1" s="783">
      <c r="B5639" s="901" t="n"/>
    </row>
    <row r="5640" ht="15" customHeight="1" s="783">
      <c r="B5640" s="901" t="n"/>
    </row>
    <row r="5641" ht="15" customHeight="1" s="783">
      <c r="B5641" s="901" t="n"/>
    </row>
    <row r="5642" ht="15" customHeight="1" s="783">
      <c r="B5642" s="901" t="n"/>
    </row>
    <row r="5643" ht="15" customHeight="1" s="783">
      <c r="B5643" s="901" t="n"/>
    </row>
    <row r="5644" ht="15" customHeight="1" s="783">
      <c r="B5644" s="901" t="n"/>
    </row>
    <row r="5645" ht="15" customHeight="1" s="783">
      <c r="B5645" s="901" t="n"/>
    </row>
    <row r="5646" ht="15" customHeight="1" s="783">
      <c r="B5646" s="901" t="n"/>
    </row>
    <row r="5647" ht="15" customHeight="1" s="783">
      <c r="B5647" s="901" t="n"/>
    </row>
    <row r="5648" ht="15" customHeight="1" s="783">
      <c r="B5648" s="901" t="n"/>
    </row>
    <row r="5649" ht="15" customHeight="1" s="783">
      <c r="B5649" s="901" t="n"/>
    </row>
    <row r="5650" ht="15" customHeight="1" s="783">
      <c r="B5650" s="901" t="n"/>
    </row>
    <row r="5651" ht="15" customHeight="1" s="783">
      <c r="B5651" s="901" t="n"/>
    </row>
    <row r="5652" ht="15" customHeight="1" s="783">
      <c r="B5652" s="901" t="n"/>
    </row>
    <row r="5653" ht="15" customHeight="1" s="783">
      <c r="B5653" s="901" t="n"/>
    </row>
    <row r="5654" ht="15" customHeight="1" s="783">
      <c r="B5654" s="901" t="n"/>
    </row>
    <row r="5655" ht="15" customHeight="1" s="783">
      <c r="B5655" s="901" t="n"/>
    </row>
    <row r="5656" ht="15" customHeight="1" s="783">
      <c r="B5656" s="901" t="n"/>
    </row>
    <row r="5657" ht="15" customHeight="1" s="783">
      <c r="B5657" s="901" t="n"/>
    </row>
    <row r="5658" ht="15" customHeight="1" s="783">
      <c r="B5658" s="901" t="n"/>
    </row>
    <row r="5659" ht="15" customHeight="1" s="783">
      <c r="B5659" s="901" t="n"/>
    </row>
    <row r="5660" ht="15" customHeight="1" s="783">
      <c r="B5660" s="901" t="n"/>
    </row>
    <row r="5661" ht="15" customHeight="1" s="783">
      <c r="B5661" s="901" t="n"/>
    </row>
    <row r="5662" ht="15" customHeight="1" s="783">
      <c r="B5662" s="901" t="n"/>
    </row>
    <row r="5663" ht="15" customHeight="1" s="783">
      <c r="B5663" s="901" t="n"/>
    </row>
    <row r="5664" ht="15" customHeight="1" s="783">
      <c r="B5664" s="901" t="n"/>
    </row>
    <row r="5665" ht="15" customHeight="1" s="783">
      <c r="B5665" s="901" t="n"/>
    </row>
    <row r="5666" ht="15" customHeight="1" s="783">
      <c r="B5666" s="901" t="n"/>
    </row>
    <row r="5667" ht="15" customHeight="1" s="783">
      <c r="B5667" s="901" t="n"/>
    </row>
    <row r="5668" ht="15" customHeight="1" s="783">
      <c r="B5668" s="901" t="n"/>
    </row>
    <row r="5669" ht="15" customHeight="1" s="783">
      <c r="B5669" s="901" t="n"/>
    </row>
    <row r="5670" ht="15" customHeight="1" s="783">
      <c r="B5670" s="901" t="n"/>
    </row>
    <row r="5671" ht="15" customHeight="1" s="783">
      <c r="B5671" s="901" t="n"/>
    </row>
    <row r="5672" ht="15" customHeight="1" s="783">
      <c r="B5672" s="901" t="n"/>
    </row>
    <row r="5673" ht="15" customHeight="1" s="783">
      <c r="B5673" s="901" t="n"/>
    </row>
    <row r="5674" ht="15" customHeight="1" s="783">
      <c r="B5674" s="901" t="n"/>
    </row>
    <row r="5675" ht="15" customHeight="1" s="783">
      <c r="B5675" s="901" t="n"/>
    </row>
    <row r="5676" ht="15" customHeight="1" s="783">
      <c r="B5676" s="901" t="n"/>
    </row>
    <row r="5677" ht="15" customHeight="1" s="783">
      <c r="B5677" s="901" t="n"/>
    </row>
    <row r="5678" ht="15" customHeight="1" s="783">
      <c r="B5678" s="901" t="n"/>
    </row>
    <row r="5679" ht="15" customHeight="1" s="783">
      <c r="B5679" s="901" t="n"/>
    </row>
    <row r="5680" ht="15" customHeight="1" s="783">
      <c r="B5680" s="901" t="n"/>
    </row>
    <row r="5681" ht="15" customHeight="1" s="783">
      <c r="B5681" s="901" t="n"/>
    </row>
    <row r="5682" ht="15" customHeight="1" s="783">
      <c r="B5682" s="901" t="n"/>
    </row>
    <row r="5683" ht="15" customHeight="1" s="783">
      <c r="B5683" s="901" t="n"/>
    </row>
    <row r="5684" ht="15" customHeight="1" s="783">
      <c r="B5684" s="901" t="n"/>
    </row>
    <row r="5685" ht="15" customHeight="1" s="783">
      <c r="B5685" s="901" t="n"/>
    </row>
    <row r="5686" ht="15" customHeight="1" s="783">
      <c r="B5686" s="901" t="n"/>
    </row>
    <row r="5687" ht="15" customHeight="1" s="783">
      <c r="B5687" s="901" t="n"/>
    </row>
    <row r="5688" ht="15" customHeight="1" s="783">
      <c r="B5688" s="901" t="n"/>
    </row>
    <row r="5689" ht="15" customHeight="1" s="783">
      <c r="B5689" s="901" t="n"/>
    </row>
    <row r="5690" ht="15" customHeight="1" s="783">
      <c r="B5690" s="901" t="n"/>
    </row>
    <row r="5691" ht="15" customHeight="1" s="783">
      <c r="B5691" s="901" t="n"/>
    </row>
    <row r="5692" ht="15" customHeight="1" s="783">
      <c r="B5692" s="901" t="n"/>
    </row>
    <row r="5693" ht="15" customHeight="1" s="783">
      <c r="B5693" s="901" t="n"/>
    </row>
    <row r="5694" ht="15" customHeight="1" s="783">
      <c r="B5694" s="901" t="n"/>
    </row>
    <row r="5695" ht="15" customHeight="1" s="783">
      <c r="B5695" s="901" t="n"/>
    </row>
    <row r="5696" ht="15" customHeight="1" s="783">
      <c r="B5696" s="901" t="n"/>
    </row>
    <row r="5697" ht="15" customHeight="1" s="783">
      <c r="B5697" s="901" t="n"/>
    </row>
    <row r="5698" ht="15" customHeight="1" s="783">
      <c r="B5698" s="901" t="n"/>
    </row>
    <row r="5699" ht="15" customHeight="1" s="783">
      <c r="B5699" s="901" t="n"/>
    </row>
    <row r="5700" ht="15" customHeight="1" s="783">
      <c r="B5700" s="901" t="n"/>
    </row>
    <row r="5701" ht="15" customHeight="1" s="783">
      <c r="B5701" s="901" t="n"/>
    </row>
    <row r="5702" ht="15" customHeight="1" s="783">
      <c r="B5702" s="901" t="n"/>
    </row>
    <row r="5703" ht="15" customHeight="1" s="783">
      <c r="B5703" s="901" t="n"/>
    </row>
    <row r="5704" ht="15" customHeight="1" s="783">
      <c r="B5704" s="901" t="n"/>
    </row>
    <row r="5705" ht="15" customHeight="1" s="783">
      <c r="B5705" s="901" t="n"/>
    </row>
    <row r="5706" ht="15" customHeight="1" s="783">
      <c r="B5706" s="901" t="n"/>
    </row>
    <row r="5707" ht="15" customHeight="1" s="783">
      <c r="B5707" s="901" t="n"/>
    </row>
    <row r="5708" ht="15" customHeight="1" s="783">
      <c r="B5708" s="901" t="n"/>
    </row>
    <row r="5709" ht="15" customHeight="1" s="783">
      <c r="B5709" s="901" t="n"/>
    </row>
    <row r="5710" ht="15" customHeight="1" s="783">
      <c r="B5710" s="901" t="n"/>
    </row>
    <row r="5711" ht="15" customHeight="1" s="783">
      <c r="B5711" s="901" t="n"/>
    </row>
    <row r="5712" ht="15" customHeight="1" s="783">
      <c r="B5712" s="901" t="n"/>
    </row>
    <row r="5713" ht="15" customHeight="1" s="783">
      <c r="B5713" s="901" t="n"/>
    </row>
    <row r="5714" ht="15" customHeight="1" s="783">
      <c r="B5714" s="901" t="n"/>
    </row>
    <row r="5715" ht="15" customHeight="1" s="783">
      <c r="B5715" s="901" t="n"/>
    </row>
    <row r="5716" ht="15" customHeight="1" s="783">
      <c r="B5716" s="901" t="n"/>
    </row>
    <row r="5717" ht="15" customHeight="1" s="783">
      <c r="B5717" s="901" t="n"/>
    </row>
    <row r="5718" ht="15" customHeight="1" s="783">
      <c r="B5718" s="901" t="n"/>
    </row>
    <row r="5719" ht="15" customHeight="1" s="783">
      <c r="B5719" s="901" t="n"/>
    </row>
    <row r="5720" ht="15" customHeight="1" s="783">
      <c r="B5720" s="901" t="n"/>
    </row>
    <row r="5721" ht="15" customHeight="1" s="783">
      <c r="B5721" s="901" t="n"/>
    </row>
    <row r="5722" ht="15" customHeight="1" s="783">
      <c r="B5722" s="901" t="n"/>
    </row>
    <row r="5723" ht="15" customHeight="1" s="783">
      <c r="B5723" s="901" t="n"/>
    </row>
    <row r="5724" ht="15" customHeight="1" s="783">
      <c r="B5724" s="901" t="n"/>
    </row>
    <row r="5725" ht="15" customHeight="1" s="783">
      <c r="B5725" s="901" t="n"/>
    </row>
    <row r="5726" ht="15" customHeight="1" s="783">
      <c r="B5726" s="901" t="n"/>
    </row>
    <row r="5727" ht="15" customHeight="1" s="783">
      <c r="B5727" s="901" t="n"/>
    </row>
    <row r="5728" ht="15" customHeight="1" s="783">
      <c r="B5728" s="901" t="n"/>
    </row>
    <row r="5729" ht="15" customHeight="1" s="783">
      <c r="B5729" s="901" t="n"/>
    </row>
    <row r="5730" ht="15" customHeight="1" s="783">
      <c r="B5730" s="901" t="n"/>
    </row>
    <row r="5731" ht="15" customHeight="1" s="783">
      <c r="B5731" s="901" t="n"/>
    </row>
    <row r="5732" ht="15" customHeight="1" s="783">
      <c r="B5732" s="901" t="n"/>
    </row>
    <row r="5733" ht="15" customHeight="1" s="783">
      <c r="B5733" s="901" t="n"/>
    </row>
    <row r="5734" ht="15" customHeight="1" s="783">
      <c r="B5734" s="901" t="n"/>
    </row>
    <row r="5735" ht="15" customHeight="1" s="783">
      <c r="B5735" s="901" t="n"/>
    </row>
    <row r="5736" ht="15" customHeight="1" s="783">
      <c r="B5736" s="901" t="n"/>
    </row>
    <row r="5737" ht="15" customHeight="1" s="783">
      <c r="B5737" s="901" t="n"/>
    </row>
    <row r="5738" ht="15" customHeight="1" s="783">
      <c r="B5738" s="901" t="n"/>
    </row>
    <row r="5739" ht="15" customHeight="1" s="783">
      <c r="B5739" s="901" t="n"/>
    </row>
    <row r="5740" ht="15" customHeight="1" s="783">
      <c r="B5740" s="901" t="n"/>
    </row>
    <row r="5741" ht="15" customHeight="1" s="783">
      <c r="B5741" s="901" t="n"/>
    </row>
    <row r="5742" ht="15" customHeight="1" s="783">
      <c r="B5742" s="901" t="n"/>
    </row>
    <row r="5743" ht="15" customHeight="1" s="783">
      <c r="B5743" s="901" t="n"/>
    </row>
    <row r="5744" ht="15" customHeight="1" s="783">
      <c r="B5744" s="901" t="n"/>
    </row>
    <row r="5745" ht="15" customHeight="1" s="783">
      <c r="B5745" s="901" t="n"/>
    </row>
    <row r="5746" ht="15" customHeight="1" s="783">
      <c r="B5746" s="901" t="n"/>
    </row>
    <row r="5747" ht="15" customHeight="1" s="783">
      <c r="B5747" s="901" t="n"/>
    </row>
    <row r="5748" ht="15" customHeight="1" s="783">
      <c r="B5748" s="901" t="n"/>
    </row>
    <row r="5749" ht="15" customHeight="1" s="783">
      <c r="B5749" s="901" t="n"/>
    </row>
    <row r="5750" ht="15" customHeight="1" s="783">
      <c r="B5750" s="901" t="n"/>
    </row>
    <row r="5751" ht="15" customHeight="1" s="783">
      <c r="B5751" s="901" t="n"/>
    </row>
    <row r="5752" ht="15" customHeight="1" s="783">
      <c r="B5752" s="901" t="n"/>
    </row>
    <row r="5753" ht="15" customHeight="1" s="783">
      <c r="B5753" s="901" t="n"/>
    </row>
    <row r="5754" ht="15" customHeight="1" s="783">
      <c r="B5754" s="901" t="n"/>
    </row>
    <row r="5755" ht="15" customHeight="1" s="783">
      <c r="B5755" s="901" t="n"/>
    </row>
    <row r="5756" ht="15" customHeight="1" s="783">
      <c r="B5756" s="901" t="n"/>
    </row>
    <row r="5757" ht="15" customHeight="1" s="783">
      <c r="B5757" s="901" t="n"/>
    </row>
    <row r="5758" ht="15" customHeight="1" s="783">
      <c r="B5758" s="901" t="n"/>
    </row>
    <row r="5759" ht="15" customHeight="1" s="783">
      <c r="B5759" s="901" t="n"/>
    </row>
    <row r="5760" ht="15" customHeight="1" s="783">
      <c r="B5760" s="901" t="n"/>
    </row>
    <row r="5761" ht="15" customHeight="1" s="783">
      <c r="B5761" s="901" t="n"/>
    </row>
    <row r="5762" ht="15" customHeight="1" s="783">
      <c r="B5762" s="901" t="n"/>
    </row>
    <row r="5763" ht="15" customHeight="1" s="783">
      <c r="B5763" s="901" t="n"/>
    </row>
    <row r="5764" ht="15" customHeight="1" s="783">
      <c r="B5764" s="901" t="n"/>
    </row>
    <row r="5765" ht="15" customHeight="1" s="783">
      <c r="B5765" s="901" t="n"/>
    </row>
    <row r="5766" ht="15" customHeight="1" s="783">
      <c r="B5766" s="901" t="n"/>
    </row>
    <row r="5767" ht="15" customHeight="1" s="783">
      <c r="B5767" s="901" t="n"/>
    </row>
    <row r="5768" ht="15" customHeight="1" s="783">
      <c r="B5768" s="901" t="n"/>
    </row>
    <row r="5769" ht="15" customHeight="1" s="783">
      <c r="B5769" s="901" t="n"/>
    </row>
    <row r="5770" ht="15" customHeight="1" s="783">
      <c r="B5770" s="901" t="n"/>
    </row>
    <row r="5771" ht="15" customHeight="1" s="783">
      <c r="B5771" s="901" t="n"/>
    </row>
    <row r="5772" ht="15" customHeight="1" s="783">
      <c r="B5772" s="901" t="n"/>
    </row>
    <row r="5773" ht="15" customHeight="1" s="783">
      <c r="B5773" s="901" t="n"/>
    </row>
    <row r="5774" ht="15" customHeight="1" s="783">
      <c r="B5774" s="901" t="n"/>
    </row>
    <row r="5775" ht="15" customHeight="1" s="783">
      <c r="B5775" s="901" t="n"/>
    </row>
    <row r="5776" ht="15" customHeight="1" s="783">
      <c r="B5776" s="901" t="n"/>
    </row>
    <row r="5777" ht="15" customHeight="1" s="783">
      <c r="B5777" s="901" t="n"/>
    </row>
    <row r="5778" ht="15" customHeight="1" s="783">
      <c r="B5778" s="901" t="n"/>
    </row>
    <row r="5779" ht="15" customHeight="1" s="783">
      <c r="B5779" s="901" t="n"/>
    </row>
    <row r="5780" ht="15" customHeight="1" s="783">
      <c r="B5780" s="901" t="n"/>
    </row>
    <row r="5781" ht="15" customHeight="1" s="783">
      <c r="B5781" s="901" t="n"/>
    </row>
    <row r="5782" ht="15" customHeight="1" s="783">
      <c r="B5782" s="901" t="n"/>
    </row>
    <row r="5783" ht="15" customHeight="1" s="783">
      <c r="B5783" s="901" t="n"/>
    </row>
    <row r="5784" ht="15" customHeight="1" s="783">
      <c r="B5784" s="901" t="n"/>
    </row>
    <row r="5785" ht="15" customHeight="1" s="783">
      <c r="B5785" s="901" t="n"/>
    </row>
    <row r="5786" ht="15" customHeight="1" s="783">
      <c r="B5786" s="901" t="n"/>
    </row>
    <row r="5787" ht="15" customHeight="1" s="783">
      <c r="B5787" s="901" t="n"/>
    </row>
    <row r="5788" ht="15" customHeight="1" s="783">
      <c r="B5788" s="901" t="n"/>
    </row>
    <row r="5789" ht="15" customHeight="1" s="783">
      <c r="B5789" s="901" t="n"/>
    </row>
    <row r="5790" ht="15" customHeight="1" s="783">
      <c r="B5790" s="901" t="n"/>
    </row>
    <row r="5791" ht="15" customHeight="1" s="783">
      <c r="B5791" s="901" t="n"/>
    </row>
    <row r="5792" ht="15" customHeight="1" s="783">
      <c r="B5792" s="901" t="n"/>
    </row>
    <row r="5793" ht="15" customHeight="1" s="783">
      <c r="B5793" s="901" t="n"/>
    </row>
    <row r="5794" ht="15" customHeight="1" s="783">
      <c r="B5794" s="901" t="n"/>
    </row>
    <row r="5795" ht="15" customHeight="1" s="783">
      <c r="B5795" s="901" t="n"/>
    </row>
    <row r="5796" ht="15" customHeight="1" s="783">
      <c r="B5796" s="901" t="n"/>
    </row>
    <row r="5797" ht="15" customHeight="1" s="783">
      <c r="B5797" s="901" t="n"/>
    </row>
    <row r="5798" ht="15" customHeight="1" s="783">
      <c r="B5798" s="901" t="n"/>
    </row>
    <row r="5799" ht="15" customHeight="1" s="783">
      <c r="B5799" s="901" t="n"/>
    </row>
    <row r="5800" ht="15" customHeight="1" s="783">
      <c r="B5800" s="901" t="n"/>
    </row>
    <row r="5801" ht="15" customHeight="1" s="783">
      <c r="B5801" s="901" t="n"/>
    </row>
    <row r="5802" ht="15" customHeight="1" s="783">
      <c r="B5802" s="901" t="n"/>
    </row>
    <row r="5803" ht="15" customHeight="1" s="783">
      <c r="B5803" s="901" t="n"/>
    </row>
    <row r="5804" ht="15" customHeight="1" s="783">
      <c r="B5804" s="901" t="n"/>
    </row>
    <row r="5805" ht="15" customHeight="1" s="783">
      <c r="B5805" s="901" t="n"/>
    </row>
    <row r="5806" ht="15" customHeight="1" s="783">
      <c r="B5806" s="901" t="n"/>
    </row>
    <row r="5807" ht="15" customHeight="1" s="783">
      <c r="B5807" s="901" t="n"/>
    </row>
    <row r="5808" ht="15" customHeight="1" s="783">
      <c r="B5808" s="901" t="n"/>
    </row>
    <row r="5809" ht="15" customHeight="1" s="783">
      <c r="B5809" s="901" t="n"/>
    </row>
    <row r="5810" ht="15" customHeight="1" s="783">
      <c r="B5810" s="901" t="n"/>
    </row>
    <row r="5811" ht="15" customHeight="1" s="783">
      <c r="B5811" s="901" t="n"/>
    </row>
    <row r="5812" ht="15" customHeight="1" s="783">
      <c r="B5812" s="901" t="n"/>
    </row>
    <row r="5813" ht="15" customHeight="1" s="783">
      <c r="B5813" s="901" t="n"/>
    </row>
    <row r="5814" ht="15" customHeight="1" s="783">
      <c r="B5814" s="901" t="n"/>
    </row>
    <row r="5815" ht="15" customHeight="1" s="783">
      <c r="B5815" s="901" t="n"/>
    </row>
    <row r="5816" ht="15" customHeight="1" s="783">
      <c r="B5816" s="901" t="n"/>
    </row>
    <row r="5817" ht="15" customHeight="1" s="783">
      <c r="B5817" s="901" t="n"/>
    </row>
    <row r="5818" ht="15" customHeight="1" s="783">
      <c r="B5818" s="901" t="n"/>
    </row>
    <row r="5819" ht="15" customHeight="1" s="783">
      <c r="B5819" s="901" t="n"/>
    </row>
    <row r="5820" ht="15" customHeight="1" s="783">
      <c r="B5820" s="901" t="n"/>
    </row>
    <row r="5821" ht="15" customHeight="1" s="783">
      <c r="B5821" s="901" t="n"/>
    </row>
    <row r="5822" ht="15" customHeight="1" s="783">
      <c r="B5822" s="901" t="n"/>
    </row>
    <row r="5823" ht="15" customHeight="1" s="783">
      <c r="B5823" s="901" t="n"/>
    </row>
    <row r="5824" ht="15" customHeight="1" s="783">
      <c r="B5824" s="901" t="n"/>
    </row>
    <row r="5825" ht="15" customHeight="1" s="783">
      <c r="B5825" s="901" t="n"/>
    </row>
    <row r="5826" ht="15" customHeight="1" s="783">
      <c r="B5826" s="901" t="n"/>
    </row>
    <row r="5827" ht="15" customHeight="1" s="783">
      <c r="B5827" s="901" t="n"/>
    </row>
    <row r="5828" ht="15" customHeight="1" s="783">
      <c r="B5828" s="901" t="n"/>
    </row>
    <row r="5829" ht="15" customHeight="1" s="783">
      <c r="B5829" s="901" t="n"/>
    </row>
    <row r="5830" ht="15" customHeight="1" s="783">
      <c r="B5830" s="901" t="n"/>
    </row>
    <row r="5831" ht="15" customHeight="1" s="783">
      <c r="B5831" s="901" t="n"/>
    </row>
    <row r="5832" ht="15" customHeight="1" s="783">
      <c r="B5832" s="901" t="n"/>
    </row>
    <row r="5833" ht="15" customHeight="1" s="783">
      <c r="B5833" s="901" t="n"/>
    </row>
    <row r="5834" ht="15" customHeight="1" s="783">
      <c r="B5834" s="901" t="n"/>
    </row>
    <row r="5835" ht="15" customHeight="1" s="783">
      <c r="B5835" s="901" t="n"/>
    </row>
    <row r="5836" ht="15" customHeight="1" s="783">
      <c r="B5836" s="901" t="n"/>
    </row>
    <row r="5837" ht="15" customHeight="1" s="783">
      <c r="B5837" s="901" t="n"/>
    </row>
    <row r="5838" ht="15" customHeight="1" s="783">
      <c r="B5838" s="901" t="n"/>
    </row>
    <row r="5839" ht="15" customHeight="1" s="783">
      <c r="B5839" s="901" t="n"/>
    </row>
    <row r="5840" ht="15" customHeight="1" s="783">
      <c r="B5840" s="901" t="n"/>
    </row>
    <row r="5841" ht="15" customHeight="1" s="783">
      <c r="B5841" s="901" t="n"/>
    </row>
    <row r="5842" ht="15" customHeight="1" s="783">
      <c r="B5842" s="901" t="n"/>
    </row>
    <row r="5843" ht="15" customHeight="1" s="783">
      <c r="B5843" s="901" t="n"/>
    </row>
    <row r="5844" ht="15" customHeight="1" s="783">
      <c r="B5844" s="901" t="n"/>
    </row>
    <row r="5845" ht="15" customHeight="1" s="783">
      <c r="B5845" s="901" t="n"/>
    </row>
    <row r="5846" ht="15" customHeight="1" s="783">
      <c r="B5846" s="901" t="n"/>
    </row>
    <row r="5847" ht="15" customHeight="1" s="783">
      <c r="B5847" s="901" t="n"/>
    </row>
    <row r="5848" ht="15" customHeight="1" s="783">
      <c r="B5848" s="901" t="n"/>
    </row>
    <row r="5849" ht="15" customHeight="1" s="783">
      <c r="B5849" s="901" t="n"/>
    </row>
    <row r="5850" ht="15" customHeight="1" s="783">
      <c r="B5850" s="901" t="n"/>
    </row>
    <row r="5851" ht="15" customHeight="1" s="783">
      <c r="B5851" s="901" t="n"/>
    </row>
    <row r="5852" ht="15" customHeight="1" s="783">
      <c r="B5852" s="901" t="n"/>
    </row>
    <row r="5853" ht="15" customHeight="1" s="783">
      <c r="B5853" s="901" t="n"/>
    </row>
    <row r="5854" ht="15" customHeight="1" s="783">
      <c r="B5854" s="901" t="n"/>
    </row>
    <row r="5855" ht="15" customHeight="1" s="783">
      <c r="B5855" s="901" t="n"/>
    </row>
    <row r="5856" ht="15" customHeight="1" s="783">
      <c r="B5856" s="901" t="n"/>
    </row>
    <row r="5857" ht="15" customHeight="1" s="783">
      <c r="B5857" s="901" t="n"/>
    </row>
    <row r="5858" ht="15" customHeight="1" s="783">
      <c r="B5858" s="901" t="n"/>
    </row>
    <row r="5859" ht="15" customHeight="1" s="783">
      <c r="B5859" s="901" t="n"/>
    </row>
    <row r="5860" ht="15" customHeight="1" s="783">
      <c r="B5860" s="901" t="n"/>
    </row>
    <row r="5861" ht="15" customHeight="1" s="783">
      <c r="B5861" s="901" t="n"/>
    </row>
    <row r="5862" ht="15" customHeight="1" s="783">
      <c r="B5862" s="901" t="n"/>
    </row>
    <row r="5863" ht="15" customHeight="1" s="783">
      <c r="B5863" s="901" t="n"/>
    </row>
    <row r="5864" ht="15" customHeight="1" s="783">
      <c r="B5864" s="901" t="n"/>
    </row>
    <row r="5865" ht="15" customHeight="1" s="783">
      <c r="B5865" s="901" t="n"/>
    </row>
    <row r="5866" ht="15" customHeight="1" s="783">
      <c r="B5866" s="901" t="n"/>
    </row>
    <row r="5867" ht="15" customHeight="1" s="783">
      <c r="B5867" s="901" t="n"/>
    </row>
    <row r="5868" ht="15" customHeight="1" s="783">
      <c r="B5868" s="901" t="n"/>
    </row>
    <row r="5869" ht="15" customHeight="1" s="783">
      <c r="B5869" s="901" t="n"/>
    </row>
    <row r="5870" ht="15" customHeight="1" s="783">
      <c r="B5870" s="901" t="n"/>
    </row>
    <row r="5871" ht="15" customHeight="1" s="783">
      <c r="B5871" s="901" t="n"/>
    </row>
    <row r="5872" ht="15" customHeight="1" s="783">
      <c r="B5872" s="901" t="n"/>
    </row>
    <row r="5873" ht="15" customHeight="1" s="783">
      <c r="B5873" s="901" t="n"/>
    </row>
    <row r="5874" ht="15" customHeight="1" s="783">
      <c r="B5874" s="901" t="n"/>
    </row>
    <row r="5875" ht="15" customHeight="1" s="783">
      <c r="B5875" s="901" t="n"/>
    </row>
    <row r="5876" ht="15" customHeight="1" s="783">
      <c r="B5876" s="901" t="n"/>
    </row>
    <row r="5877" ht="15" customHeight="1" s="783">
      <c r="B5877" s="901" t="n"/>
    </row>
    <row r="5878" ht="15" customHeight="1" s="783">
      <c r="B5878" s="901" t="n"/>
    </row>
    <row r="5879" ht="15" customHeight="1" s="783">
      <c r="B5879" s="901" t="n"/>
    </row>
    <row r="5880" ht="15" customHeight="1" s="783">
      <c r="B5880" s="901" t="n"/>
    </row>
    <row r="5881" ht="15" customHeight="1" s="783">
      <c r="B5881" s="901" t="n"/>
    </row>
    <row r="5882" ht="15" customHeight="1" s="783">
      <c r="B5882" s="901" t="n"/>
    </row>
    <row r="5883" ht="15" customHeight="1" s="783">
      <c r="B5883" s="901" t="n"/>
    </row>
    <row r="5884" ht="15" customHeight="1" s="783">
      <c r="B5884" s="901" t="n"/>
    </row>
    <row r="5885" ht="15" customHeight="1" s="783">
      <c r="B5885" s="901" t="n"/>
    </row>
    <row r="5886" ht="15" customHeight="1" s="783">
      <c r="B5886" s="901" t="n"/>
    </row>
    <row r="5887" ht="15" customHeight="1" s="783">
      <c r="B5887" s="901" t="n"/>
    </row>
    <row r="5888" ht="15" customHeight="1" s="783">
      <c r="B5888" s="901" t="n"/>
    </row>
    <row r="5889" ht="15" customHeight="1" s="783">
      <c r="B5889" s="901" t="n"/>
    </row>
    <row r="5890" ht="15" customHeight="1" s="783">
      <c r="B5890" s="901" t="n"/>
    </row>
    <row r="5891" ht="15" customHeight="1" s="783">
      <c r="B5891" s="901" t="n"/>
    </row>
    <row r="5892" ht="15" customHeight="1" s="783">
      <c r="B5892" s="901" t="n"/>
    </row>
    <row r="5893" ht="15" customHeight="1" s="783">
      <c r="B5893" s="901" t="n"/>
    </row>
    <row r="5894" ht="15" customHeight="1" s="783">
      <c r="B5894" s="901" t="n"/>
    </row>
    <row r="5895" ht="15" customHeight="1" s="783">
      <c r="B5895" s="901" t="n"/>
    </row>
    <row r="5896" ht="15" customHeight="1" s="783">
      <c r="B5896" s="901" t="n"/>
    </row>
    <row r="5897" ht="15" customHeight="1" s="783">
      <c r="B5897" s="901" t="n"/>
    </row>
    <row r="5898" ht="15" customHeight="1" s="783">
      <c r="B5898" s="901" t="n"/>
    </row>
    <row r="5899" ht="15" customHeight="1" s="783">
      <c r="B5899" s="901" t="n"/>
    </row>
    <row r="5900" ht="15" customHeight="1" s="783">
      <c r="B5900" s="901" t="n"/>
    </row>
    <row r="5901" ht="15" customHeight="1" s="783">
      <c r="B5901" s="901" t="n"/>
    </row>
    <row r="5902" ht="15" customHeight="1" s="783">
      <c r="B5902" s="901" t="n"/>
    </row>
    <row r="5903" ht="15" customHeight="1" s="783">
      <c r="B5903" s="901" t="n"/>
    </row>
    <row r="5904" ht="15" customHeight="1" s="783">
      <c r="B5904" s="901" t="n"/>
    </row>
    <row r="5905" ht="15" customHeight="1" s="783">
      <c r="B5905" s="901" t="n"/>
    </row>
    <row r="5906" ht="15" customHeight="1" s="783">
      <c r="B5906" s="901" t="n"/>
    </row>
    <row r="5907" ht="15" customHeight="1" s="783">
      <c r="B5907" s="901" t="n"/>
    </row>
    <row r="5908" ht="15" customHeight="1" s="783">
      <c r="B5908" s="901" t="n"/>
    </row>
    <row r="5909" ht="15" customHeight="1" s="783">
      <c r="B5909" s="901" t="n"/>
    </row>
    <row r="5910" ht="15" customHeight="1" s="783">
      <c r="B5910" s="901" t="n"/>
    </row>
    <row r="5911" ht="15" customHeight="1" s="783">
      <c r="B5911" s="901" t="n"/>
    </row>
    <row r="5912" ht="15" customHeight="1" s="783">
      <c r="B5912" s="901" t="n"/>
    </row>
    <row r="5913" ht="15" customHeight="1" s="783">
      <c r="B5913" s="901" t="n"/>
    </row>
    <row r="5914" ht="15" customHeight="1" s="783">
      <c r="B5914" s="901" t="n"/>
    </row>
    <row r="5915" ht="15" customHeight="1" s="783">
      <c r="B5915" s="901" t="n"/>
    </row>
    <row r="5916" ht="15" customHeight="1" s="783">
      <c r="B5916" s="901" t="n"/>
    </row>
    <row r="5917" ht="15" customHeight="1" s="783">
      <c r="B5917" s="901" t="n"/>
    </row>
    <row r="5918" ht="15" customHeight="1" s="783">
      <c r="B5918" s="901" t="n"/>
    </row>
    <row r="5919" ht="15" customHeight="1" s="783">
      <c r="B5919" s="901" t="n"/>
    </row>
    <row r="5920" ht="15" customHeight="1" s="783">
      <c r="B5920" s="901" t="n"/>
    </row>
    <row r="5921" ht="15" customHeight="1" s="783">
      <c r="B5921" s="901" t="n"/>
    </row>
    <row r="5922" ht="15" customHeight="1" s="783">
      <c r="B5922" s="901" t="n"/>
    </row>
    <row r="5923" ht="15" customHeight="1" s="783">
      <c r="B5923" s="901" t="n"/>
    </row>
    <row r="5924" ht="15" customHeight="1" s="783">
      <c r="B5924" s="901" t="n"/>
    </row>
    <row r="5925" ht="15" customHeight="1" s="783">
      <c r="B5925" s="901" t="n"/>
    </row>
    <row r="5926" ht="15" customHeight="1" s="783">
      <c r="B5926" s="901" t="n"/>
    </row>
    <row r="5927" ht="15" customHeight="1" s="783">
      <c r="B5927" s="901" t="n"/>
    </row>
    <row r="5928" ht="15" customHeight="1" s="783">
      <c r="B5928" s="901" t="n"/>
    </row>
    <row r="5929" ht="15" customHeight="1" s="783">
      <c r="B5929" s="901" t="n"/>
    </row>
    <row r="5930" ht="15" customHeight="1" s="783">
      <c r="B5930" s="901" t="n"/>
    </row>
    <row r="5931" ht="15" customHeight="1" s="783">
      <c r="B5931" s="901" t="n"/>
    </row>
    <row r="5932" ht="15" customHeight="1" s="783">
      <c r="B5932" s="901" t="n"/>
    </row>
    <row r="5933" ht="15" customHeight="1" s="783">
      <c r="B5933" s="901" t="n"/>
    </row>
    <row r="5934" ht="15" customHeight="1" s="783">
      <c r="B5934" s="901" t="n"/>
    </row>
    <row r="5935" ht="15" customHeight="1" s="783">
      <c r="B5935" s="901" t="n"/>
    </row>
    <row r="5936" ht="15" customHeight="1" s="783">
      <c r="B5936" s="901" t="n"/>
    </row>
    <row r="5937" ht="15" customHeight="1" s="783">
      <c r="B5937" s="901" t="n"/>
    </row>
    <row r="5938" ht="15" customHeight="1" s="783">
      <c r="B5938" s="901" t="n"/>
    </row>
    <row r="5939" ht="15" customHeight="1" s="783">
      <c r="B5939" s="901" t="n"/>
    </row>
    <row r="5940" ht="15" customHeight="1" s="783">
      <c r="B5940" s="901" t="n"/>
    </row>
    <row r="5941" ht="15" customHeight="1" s="783">
      <c r="B5941" s="901" t="n"/>
    </row>
    <row r="5942" ht="15" customHeight="1" s="783">
      <c r="B5942" s="901" t="n"/>
    </row>
    <row r="5943" ht="15" customHeight="1" s="783">
      <c r="B5943" s="901" t="n"/>
    </row>
    <row r="5944" ht="15" customHeight="1" s="783">
      <c r="B5944" s="901" t="n"/>
    </row>
    <row r="5945" ht="15" customHeight="1" s="783">
      <c r="B5945" s="901" t="n"/>
    </row>
    <row r="5946" ht="15" customHeight="1" s="783">
      <c r="B5946" s="901" t="n"/>
    </row>
    <row r="5947" ht="15" customHeight="1" s="783">
      <c r="B5947" s="901" t="n"/>
    </row>
    <row r="5948" ht="15" customHeight="1" s="783">
      <c r="B5948" s="901" t="n"/>
    </row>
    <row r="5949" ht="15" customHeight="1" s="783">
      <c r="B5949" s="901" t="n"/>
    </row>
    <row r="5950" ht="15" customHeight="1" s="783">
      <c r="B5950" s="901" t="n"/>
    </row>
    <row r="5951" ht="15" customHeight="1" s="783">
      <c r="B5951" s="901" t="n"/>
    </row>
    <row r="5952" ht="15" customHeight="1" s="783">
      <c r="B5952" s="901" t="n"/>
    </row>
    <row r="5953" ht="15" customHeight="1" s="783">
      <c r="B5953" s="901" t="n"/>
    </row>
    <row r="5954" ht="15" customHeight="1" s="783">
      <c r="B5954" s="901" t="n"/>
    </row>
    <row r="5955" ht="15" customHeight="1" s="783">
      <c r="B5955" s="901" t="n"/>
    </row>
    <row r="5956" ht="15" customHeight="1" s="783">
      <c r="B5956" s="901" t="n"/>
    </row>
    <row r="5957" ht="15" customHeight="1" s="783">
      <c r="B5957" s="901" t="n"/>
    </row>
    <row r="5958" ht="15" customHeight="1" s="783">
      <c r="B5958" s="901" t="n"/>
    </row>
    <row r="5959" ht="15" customHeight="1" s="783">
      <c r="B5959" s="901" t="n"/>
    </row>
    <row r="5960" ht="15" customHeight="1" s="783">
      <c r="B5960" s="901" t="n"/>
    </row>
    <row r="5961" ht="15" customHeight="1" s="783">
      <c r="B5961" s="901" t="n"/>
    </row>
    <row r="5962" ht="15" customHeight="1" s="783">
      <c r="B5962" s="901" t="n"/>
    </row>
    <row r="5963" ht="15" customHeight="1" s="783">
      <c r="B5963" s="901" t="n"/>
    </row>
    <row r="5964" ht="15" customHeight="1" s="783">
      <c r="B5964" s="901" t="n"/>
    </row>
    <row r="5965" ht="15" customHeight="1" s="783">
      <c r="B5965" s="901" t="n"/>
    </row>
    <row r="5966" ht="15" customHeight="1" s="783">
      <c r="B5966" s="901" t="n"/>
    </row>
    <row r="5967" ht="15" customHeight="1" s="783">
      <c r="B5967" s="901" t="n"/>
    </row>
    <row r="5968" ht="15" customHeight="1" s="783">
      <c r="B5968" s="901" t="n"/>
    </row>
    <row r="5969" ht="15" customHeight="1" s="783">
      <c r="B5969" s="901" t="n"/>
    </row>
    <row r="5970" ht="15" customHeight="1" s="783">
      <c r="B5970" s="901" t="n"/>
    </row>
    <row r="5971" ht="15" customHeight="1" s="783">
      <c r="B5971" s="901" t="n"/>
    </row>
    <row r="5972" ht="15" customHeight="1" s="783">
      <c r="B5972" s="901" t="n"/>
    </row>
    <row r="5973" ht="15" customHeight="1" s="783">
      <c r="B5973" s="901" t="n"/>
    </row>
    <row r="5974" ht="15" customHeight="1" s="783">
      <c r="B5974" s="901" t="n"/>
    </row>
    <row r="5975" ht="15" customHeight="1" s="783">
      <c r="B5975" s="901" t="n"/>
    </row>
    <row r="5976" ht="15" customHeight="1" s="783">
      <c r="B5976" s="901" t="n"/>
    </row>
    <row r="5977" ht="15" customHeight="1" s="783">
      <c r="B5977" s="901" t="n"/>
    </row>
    <row r="5978" ht="15" customHeight="1" s="783">
      <c r="B5978" s="901" t="n"/>
    </row>
    <row r="5979" ht="15" customHeight="1" s="783">
      <c r="B5979" s="901" t="n"/>
    </row>
    <row r="5980" ht="15" customHeight="1" s="783">
      <c r="B5980" s="901" t="n"/>
    </row>
    <row r="5981" ht="15" customHeight="1" s="783">
      <c r="B5981" s="901" t="n"/>
    </row>
    <row r="5982" ht="15" customHeight="1" s="783">
      <c r="B5982" s="901" t="n"/>
    </row>
    <row r="5983" ht="15" customHeight="1" s="783">
      <c r="B5983" s="901" t="n"/>
    </row>
    <row r="5984" ht="15" customHeight="1" s="783">
      <c r="B5984" s="901" t="n"/>
    </row>
    <row r="5985" ht="15" customHeight="1" s="783">
      <c r="B5985" s="901" t="n"/>
    </row>
    <row r="5986" ht="15" customHeight="1" s="783">
      <c r="B5986" s="901" t="n"/>
    </row>
    <row r="5987" ht="15" customHeight="1" s="783">
      <c r="B5987" s="901" t="n"/>
    </row>
    <row r="5988" ht="15" customHeight="1" s="783">
      <c r="B5988" s="901" t="n"/>
    </row>
    <row r="5989" ht="15" customHeight="1" s="783">
      <c r="B5989" s="901" t="n"/>
    </row>
    <row r="5990" ht="15" customHeight="1" s="783">
      <c r="B5990" s="901" t="n"/>
    </row>
    <row r="5991" ht="15" customHeight="1" s="783">
      <c r="B5991" s="901" t="n"/>
    </row>
    <row r="5992" ht="15" customHeight="1" s="783">
      <c r="B5992" s="901" t="n"/>
    </row>
    <row r="5993" ht="15" customHeight="1" s="783">
      <c r="B5993" s="901" t="n"/>
    </row>
    <row r="5994" ht="15" customHeight="1" s="783">
      <c r="B5994" s="901" t="n"/>
    </row>
    <row r="5995" ht="15" customHeight="1" s="783">
      <c r="B5995" s="901" t="n"/>
    </row>
    <row r="5996" ht="15" customHeight="1" s="783">
      <c r="B5996" s="901" t="n"/>
    </row>
    <row r="5997" ht="15" customHeight="1" s="783">
      <c r="B5997" s="901" t="n"/>
    </row>
    <row r="5998" ht="15" customHeight="1" s="783">
      <c r="B5998" s="901" t="n"/>
    </row>
    <row r="5999" ht="15" customHeight="1" s="783">
      <c r="B5999" s="901" t="n"/>
    </row>
    <row r="6000" ht="15" customHeight="1" s="783">
      <c r="B6000" s="901" t="n"/>
    </row>
    <row r="6001" ht="15" customHeight="1" s="783">
      <c r="B6001" s="901" t="n"/>
    </row>
    <row r="6002" ht="15" customHeight="1" s="783">
      <c r="B6002" s="901" t="n"/>
    </row>
    <row r="6003" ht="15" customHeight="1" s="783">
      <c r="B6003" s="901" t="n"/>
    </row>
    <row r="6004" ht="15" customHeight="1" s="783">
      <c r="B6004" s="901" t="n"/>
    </row>
    <row r="6005" ht="15" customHeight="1" s="783">
      <c r="B6005" s="901" t="n"/>
    </row>
    <row r="6006" ht="15" customHeight="1" s="783">
      <c r="B6006" s="901" t="n"/>
    </row>
    <row r="6007" ht="15" customHeight="1" s="783">
      <c r="B6007" s="901" t="n"/>
    </row>
    <row r="6008" ht="15" customHeight="1" s="783">
      <c r="B6008" s="901" t="n"/>
    </row>
    <row r="6009" ht="15" customHeight="1" s="783">
      <c r="B6009" s="901" t="n"/>
    </row>
    <row r="6010" ht="15" customHeight="1" s="783">
      <c r="B6010" s="901" t="n"/>
    </row>
    <row r="6011" ht="15" customHeight="1" s="783">
      <c r="B6011" s="901" t="n"/>
    </row>
    <row r="6012" ht="15" customHeight="1" s="783">
      <c r="B6012" s="901" t="n"/>
    </row>
    <row r="6013" ht="15" customHeight="1" s="783">
      <c r="B6013" s="901" t="n"/>
    </row>
    <row r="6014" ht="15" customHeight="1" s="783">
      <c r="B6014" s="901" t="n"/>
    </row>
    <row r="6015" ht="15" customHeight="1" s="783">
      <c r="B6015" s="901" t="n"/>
    </row>
    <row r="6016" ht="15" customHeight="1" s="783">
      <c r="B6016" s="901" t="n"/>
    </row>
    <row r="6017" ht="15" customHeight="1" s="783">
      <c r="B6017" s="901" t="n"/>
    </row>
    <row r="6018" ht="15" customHeight="1" s="783">
      <c r="B6018" s="901" t="n"/>
    </row>
    <row r="6019" ht="15" customHeight="1" s="783">
      <c r="B6019" s="901" t="n"/>
    </row>
    <row r="6020" ht="15" customHeight="1" s="783">
      <c r="B6020" s="901" t="n"/>
    </row>
    <row r="6021" ht="15" customHeight="1" s="783">
      <c r="B6021" s="901" t="n"/>
    </row>
    <row r="6022" ht="15" customHeight="1" s="783">
      <c r="B6022" s="901" t="n"/>
    </row>
    <row r="6023" ht="15" customHeight="1" s="783">
      <c r="B6023" s="901" t="n"/>
    </row>
    <row r="6024" ht="15" customHeight="1" s="783">
      <c r="B6024" s="901" t="n"/>
    </row>
    <row r="6025" ht="15" customHeight="1" s="783">
      <c r="B6025" s="901" t="n"/>
    </row>
    <row r="6026" ht="15" customHeight="1" s="783">
      <c r="B6026" s="901" t="n"/>
    </row>
    <row r="6027" ht="15" customHeight="1" s="783">
      <c r="B6027" s="901" t="n"/>
    </row>
    <row r="6028" ht="15" customHeight="1" s="783">
      <c r="B6028" s="901" t="n"/>
    </row>
    <row r="6029" ht="15" customHeight="1" s="783">
      <c r="B6029" s="901" t="n"/>
    </row>
    <row r="6030" ht="15" customHeight="1" s="783">
      <c r="B6030" s="901" t="n"/>
    </row>
    <row r="6031" ht="15" customHeight="1" s="783">
      <c r="B6031" s="901" t="n"/>
    </row>
    <row r="6032" ht="15" customHeight="1" s="783">
      <c r="B6032" s="901" t="n"/>
    </row>
    <row r="6033" ht="15" customHeight="1" s="783">
      <c r="B6033" s="901" t="n"/>
    </row>
    <row r="6034" ht="15" customHeight="1" s="783">
      <c r="B6034" s="901" t="n"/>
    </row>
    <row r="6035" ht="15" customHeight="1" s="783">
      <c r="B6035" s="901" t="n"/>
    </row>
    <row r="6036" ht="15" customHeight="1" s="783">
      <c r="B6036" s="901" t="n"/>
    </row>
    <row r="6037" ht="15" customHeight="1" s="783">
      <c r="B6037" s="901" t="n"/>
    </row>
    <row r="6038" ht="15" customHeight="1" s="783">
      <c r="B6038" s="901" t="n"/>
    </row>
    <row r="6039" ht="15" customHeight="1" s="783">
      <c r="B6039" s="901" t="n"/>
    </row>
    <row r="6040" ht="15" customHeight="1" s="783">
      <c r="B6040" s="901" t="n"/>
    </row>
    <row r="6041" ht="15" customHeight="1" s="783">
      <c r="B6041" s="901" t="n"/>
    </row>
    <row r="6042" ht="15" customHeight="1" s="783">
      <c r="B6042" s="901" t="n"/>
    </row>
    <row r="6043" ht="15" customHeight="1" s="783">
      <c r="B6043" s="901" t="n"/>
    </row>
    <row r="6044" ht="15" customHeight="1" s="783">
      <c r="B6044" s="901" t="n"/>
    </row>
    <row r="6045" ht="15" customHeight="1" s="783">
      <c r="B6045" s="901" t="n"/>
    </row>
    <row r="6046" ht="15" customHeight="1" s="783">
      <c r="B6046" s="901" t="n"/>
    </row>
    <row r="6047" ht="15" customHeight="1" s="783">
      <c r="B6047" s="901" t="n"/>
    </row>
    <row r="6048" ht="15" customHeight="1" s="783">
      <c r="B6048" s="901" t="n"/>
    </row>
    <row r="6049" ht="15" customHeight="1" s="783">
      <c r="B6049" s="901" t="n"/>
    </row>
    <row r="6050" ht="15" customHeight="1" s="783">
      <c r="B6050" s="901" t="n"/>
    </row>
    <row r="6051" ht="15" customHeight="1" s="783">
      <c r="B6051" s="901" t="n"/>
    </row>
    <row r="6052" ht="15" customHeight="1" s="783">
      <c r="B6052" s="901" t="n"/>
    </row>
    <row r="6053" ht="15" customHeight="1" s="783">
      <c r="B6053" s="901" t="n"/>
    </row>
    <row r="6054" ht="15" customHeight="1" s="783">
      <c r="B6054" s="901" t="n"/>
    </row>
    <row r="6055" ht="15" customHeight="1" s="783">
      <c r="B6055" s="901" t="n"/>
    </row>
    <row r="6056" ht="15" customHeight="1" s="783">
      <c r="B6056" s="901" t="n"/>
    </row>
    <row r="6057" ht="15" customHeight="1" s="783">
      <c r="B6057" s="901" t="n"/>
    </row>
    <row r="6058" ht="15" customHeight="1" s="783">
      <c r="B6058" s="901" t="n"/>
    </row>
    <row r="6059" ht="15" customHeight="1" s="783">
      <c r="B6059" s="901" t="n"/>
    </row>
    <row r="6060" ht="15" customHeight="1" s="783">
      <c r="B6060" s="901" t="n"/>
    </row>
    <row r="6061" ht="15" customHeight="1" s="783">
      <c r="B6061" s="901" t="n"/>
    </row>
    <row r="6062" ht="15" customHeight="1" s="783">
      <c r="B6062" s="901" t="n"/>
    </row>
    <row r="6063" ht="15" customHeight="1" s="783">
      <c r="B6063" s="901" t="n"/>
    </row>
    <row r="6064" ht="15" customHeight="1" s="783">
      <c r="B6064" s="901" t="n"/>
    </row>
    <row r="6065" ht="15" customHeight="1" s="783">
      <c r="B6065" s="901" t="n"/>
    </row>
    <row r="6066" ht="15" customHeight="1" s="783">
      <c r="B6066" s="901" t="n"/>
    </row>
    <row r="6067" ht="15" customHeight="1" s="783">
      <c r="B6067" s="901" t="n"/>
    </row>
    <row r="6068" ht="15" customHeight="1" s="783">
      <c r="B6068" s="901" t="n"/>
    </row>
    <row r="6069" ht="15" customHeight="1" s="783">
      <c r="B6069" s="901" t="n"/>
    </row>
    <row r="6070" ht="15" customHeight="1" s="783">
      <c r="B6070" s="901" t="n"/>
    </row>
    <row r="6071" ht="15" customHeight="1" s="783">
      <c r="B6071" s="901" t="n"/>
    </row>
    <row r="6072" ht="15" customHeight="1" s="783">
      <c r="B6072" s="901" t="n"/>
    </row>
    <row r="6073" ht="15" customHeight="1" s="783">
      <c r="B6073" s="901" t="n"/>
    </row>
    <row r="6074" ht="15" customHeight="1" s="783">
      <c r="B6074" s="901" t="n"/>
    </row>
    <row r="6075" ht="15" customHeight="1" s="783">
      <c r="B6075" s="901" t="n"/>
    </row>
    <row r="6076" ht="15" customHeight="1" s="783">
      <c r="B6076" s="901" t="n"/>
    </row>
    <row r="6077" ht="15" customHeight="1" s="783">
      <c r="B6077" s="901" t="n"/>
    </row>
    <row r="6078" ht="15" customHeight="1" s="783">
      <c r="B6078" s="901" t="n"/>
    </row>
    <row r="6079" ht="15" customHeight="1" s="783">
      <c r="B6079" s="901" t="n"/>
    </row>
    <row r="6080" ht="15" customHeight="1" s="783">
      <c r="B6080" s="901" t="n"/>
    </row>
    <row r="6081" ht="15" customHeight="1" s="783">
      <c r="B6081" s="901" t="n"/>
    </row>
    <row r="6082" ht="15" customHeight="1" s="783">
      <c r="B6082" s="901" t="n"/>
    </row>
    <row r="6083" ht="15" customHeight="1" s="783">
      <c r="B6083" s="901" t="n"/>
    </row>
    <row r="6084" ht="15" customHeight="1" s="783">
      <c r="B6084" s="901" t="n"/>
    </row>
    <row r="6085" ht="15" customHeight="1" s="783">
      <c r="B6085" s="901" t="n"/>
    </row>
    <row r="6086" ht="15" customHeight="1" s="783">
      <c r="B6086" s="901" t="n"/>
    </row>
    <row r="6087" ht="15" customHeight="1" s="783">
      <c r="B6087" s="901" t="n"/>
    </row>
    <row r="6088" ht="15" customHeight="1" s="783">
      <c r="B6088" s="901" t="n"/>
    </row>
    <row r="6089" ht="15" customHeight="1" s="783">
      <c r="B6089" s="901" t="n"/>
    </row>
    <row r="6090" ht="15" customHeight="1" s="783">
      <c r="B6090" s="901" t="n"/>
    </row>
    <row r="6091" ht="15" customHeight="1" s="783">
      <c r="B6091" s="901" t="n"/>
    </row>
    <row r="6092" ht="15" customHeight="1" s="783">
      <c r="B6092" s="901" t="n"/>
    </row>
    <row r="6093" ht="15" customHeight="1" s="783">
      <c r="B6093" s="901" t="n"/>
    </row>
    <row r="6094" ht="15" customHeight="1" s="783">
      <c r="B6094" s="901" t="n"/>
    </row>
    <row r="6095" ht="15" customHeight="1" s="783">
      <c r="B6095" s="901" t="n"/>
    </row>
    <row r="6096" ht="15" customHeight="1" s="783">
      <c r="B6096" s="901" t="n"/>
    </row>
    <row r="6097" ht="15" customHeight="1" s="783">
      <c r="B6097" s="901" t="n"/>
    </row>
    <row r="6098" ht="15" customHeight="1" s="783">
      <c r="B6098" s="901" t="n"/>
    </row>
    <row r="6099" ht="15" customHeight="1" s="783">
      <c r="B6099" s="901" t="n"/>
    </row>
    <row r="6100" ht="15" customHeight="1" s="783">
      <c r="B6100" s="901" t="n"/>
    </row>
    <row r="6101" ht="15" customHeight="1" s="783">
      <c r="B6101" s="901" t="n"/>
    </row>
    <row r="6102" ht="15" customHeight="1" s="783">
      <c r="B6102" s="901" t="n"/>
    </row>
    <row r="6103" ht="15" customHeight="1" s="783">
      <c r="B6103" s="901" t="n"/>
    </row>
    <row r="6104" ht="15" customHeight="1" s="783">
      <c r="B6104" s="901" t="n"/>
    </row>
    <row r="6105" ht="15" customHeight="1" s="783">
      <c r="B6105" s="901" t="n"/>
    </row>
    <row r="6106" ht="15" customHeight="1" s="783">
      <c r="B6106" s="901" t="n"/>
    </row>
    <row r="6107" ht="15" customHeight="1" s="783">
      <c r="B6107" s="901" t="n"/>
    </row>
    <row r="6108" ht="15" customHeight="1" s="783">
      <c r="B6108" s="901" t="n"/>
    </row>
    <row r="6109" ht="15" customHeight="1" s="783">
      <c r="B6109" s="901" t="n"/>
    </row>
    <row r="6110" ht="15" customHeight="1" s="783">
      <c r="B6110" s="901" t="n"/>
    </row>
    <row r="6111" ht="15" customHeight="1" s="783">
      <c r="B6111" s="901" t="n"/>
    </row>
    <row r="6112" ht="15" customHeight="1" s="783">
      <c r="B6112" s="901" t="n"/>
    </row>
    <row r="6113" ht="15" customHeight="1" s="783">
      <c r="B6113" s="901" t="n"/>
    </row>
    <row r="6114" ht="15" customHeight="1" s="783">
      <c r="B6114" s="901" t="n"/>
    </row>
    <row r="6115" ht="15" customHeight="1" s="783">
      <c r="B6115" s="901" t="n"/>
    </row>
    <row r="6116" ht="15" customHeight="1" s="783">
      <c r="B6116" s="901" t="n"/>
    </row>
    <row r="6117" ht="15" customHeight="1" s="783">
      <c r="B6117" s="901" t="n"/>
    </row>
    <row r="6118" ht="15" customHeight="1" s="783">
      <c r="B6118" s="901" t="n"/>
    </row>
    <row r="6119" ht="15" customHeight="1" s="783">
      <c r="B6119" s="901" t="n"/>
    </row>
    <row r="6120" ht="15" customHeight="1" s="783">
      <c r="B6120" s="901" t="n"/>
    </row>
    <row r="6121" ht="15" customHeight="1" s="783">
      <c r="B6121" s="901" t="n"/>
    </row>
    <row r="6122" ht="15" customHeight="1" s="783">
      <c r="B6122" s="901" t="n"/>
    </row>
    <row r="6123" ht="15" customHeight="1" s="783">
      <c r="B6123" s="901" t="n"/>
    </row>
    <row r="6124" ht="15" customHeight="1" s="783">
      <c r="B6124" s="901" t="n"/>
    </row>
    <row r="6125" ht="15" customHeight="1" s="783">
      <c r="B6125" s="901" t="n"/>
    </row>
    <row r="6126" ht="15" customHeight="1" s="783">
      <c r="B6126" s="901" t="n"/>
    </row>
    <row r="6127" ht="15" customHeight="1" s="783">
      <c r="B6127" s="901" t="n"/>
    </row>
    <row r="6128" ht="15" customHeight="1" s="783">
      <c r="B6128" s="901" t="n"/>
    </row>
    <row r="6129" ht="15" customHeight="1" s="783">
      <c r="B6129" s="901" t="n"/>
    </row>
    <row r="6130" ht="15" customHeight="1" s="783">
      <c r="B6130" s="901" t="n"/>
    </row>
    <row r="6131" ht="15" customHeight="1" s="783">
      <c r="B6131" s="901" t="n"/>
    </row>
    <row r="6132" ht="15" customHeight="1" s="783">
      <c r="B6132" s="901" t="n"/>
    </row>
    <row r="6133" ht="15" customHeight="1" s="783">
      <c r="B6133" s="901" t="n"/>
    </row>
    <row r="6134" ht="15" customHeight="1" s="783">
      <c r="B6134" s="901" t="n"/>
    </row>
    <row r="6135" ht="15" customHeight="1" s="783">
      <c r="B6135" s="901" t="n"/>
    </row>
    <row r="6136" ht="15" customHeight="1" s="783">
      <c r="B6136" s="901" t="n"/>
    </row>
    <row r="6137" ht="15" customHeight="1" s="783">
      <c r="B6137" s="901" t="n"/>
    </row>
    <row r="6138" ht="15" customHeight="1" s="783">
      <c r="B6138" s="901" t="n"/>
    </row>
    <row r="6139" ht="15" customHeight="1" s="783">
      <c r="B6139" s="901" t="n"/>
    </row>
    <row r="6140" ht="15" customHeight="1" s="783">
      <c r="B6140" s="901" t="n"/>
    </row>
    <row r="6141" ht="15" customHeight="1" s="783">
      <c r="B6141" s="901" t="n"/>
    </row>
    <row r="6142" ht="15" customHeight="1" s="783">
      <c r="B6142" s="901" t="n"/>
    </row>
    <row r="6143" ht="15" customHeight="1" s="783">
      <c r="B6143" s="901" t="n"/>
    </row>
    <row r="6144" ht="15" customHeight="1" s="783">
      <c r="B6144" s="901" t="n"/>
    </row>
    <row r="6145" ht="15" customHeight="1" s="783">
      <c r="B6145" s="901" t="n"/>
    </row>
    <row r="6146" ht="15" customHeight="1" s="783">
      <c r="B6146" s="901" t="n"/>
    </row>
    <row r="6147" ht="15" customHeight="1" s="783">
      <c r="B6147" s="901" t="n"/>
    </row>
    <row r="6148" ht="15" customHeight="1" s="783">
      <c r="B6148" s="901" t="n"/>
    </row>
    <row r="6149" ht="15" customHeight="1" s="783">
      <c r="B6149" s="901" t="n"/>
    </row>
    <row r="6150" ht="15" customHeight="1" s="783">
      <c r="B6150" s="901" t="n"/>
    </row>
    <row r="6151" ht="15" customHeight="1" s="783">
      <c r="B6151" s="901" t="n"/>
    </row>
    <row r="6152" ht="15" customHeight="1" s="783">
      <c r="B6152" s="901" t="n"/>
    </row>
    <row r="6153" ht="15" customHeight="1" s="783">
      <c r="B6153" s="901" t="n"/>
    </row>
    <row r="6154" ht="15" customHeight="1" s="783">
      <c r="B6154" s="901" t="n"/>
    </row>
    <row r="6155" ht="15" customHeight="1" s="783">
      <c r="B6155" s="901" t="n"/>
    </row>
    <row r="6156" ht="15" customHeight="1" s="783">
      <c r="B6156" s="901" t="n"/>
    </row>
    <row r="6157" ht="15" customHeight="1" s="783">
      <c r="B6157" s="901" t="n"/>
    </row>
    <row r="6158" ht="15" customHeight="1" s="783">
      <c r="B6158" s="901" t="n"/>
    </row>
    <row r="6159" ht="15" customHeight="1" s="783">
      <c r="B6159" s="901" t="n"/>
    </row>
    <row r="6160" ht="15" customHeight="1" s="783">
      <c r="B6160" s="901" t="n"/>
    </row>
    <row r="6161" ht="15" customHeight="1" s="783">
      <c r="B6161" s="901" t="n"/>
    </row>
    <row r="6162" ht="15" customHeight="1" s="783">
      <c r="B6162" s="901" t="n"/>
    </row>
    <row r="6163" ht="15" customHeight="1" s="783">
      <c r="B6163" s="901" t="n"/>
    </row>
    <row r="6164" ht="15" customHeight="1" s="783">
      <c r="B6164" s="901" t="n"/>
    </row>
    <row r="6165" ht="15" customHeight="1" s="783">
      <c r="B6165" s="901" t="n"/>
    </row>
    <row r="6166" ht="15" customHeight="1" s="783">
      <c r="B6166" s="901" t="n"/>
    </row>
    <row r="6167" ht="15" customHeight="1" s="783">
      <c r="B6167" s="901" t="n"/>
    </row>
    <row r="6168" ht="15" customHeight="1" s="783">
      <c r="B6168" s="901" t="n"/>
    </row>
    <row r="6169" ht="15" customHeight="1" s="783">
      <c r="B6169" s="901" t="n"/>
    </row>
    <row r="6170" ht="15" customHeight="1" s="783">
      <c r="B6170" s="901" t="n"/>
    </row>
    <row r="6171" ht="15" customHeight="1" s="783">
      <c r="B6171" s="901" t="n"/>
    </row>
    <row r="6172" ht="15" customHeight="1" s="783">
      <c r="B6172" s="901" t="n"/>
    </row>
    <row r="6173" ht="15" customHeight="1" s="783">
      <c r="B6173" s="901" t="n"/>
    </row>
    <row r="6174" ht="15" customHeight="1" s="783">
      <c r="B6174" s="901" t="n"/>
    </row>
    <row r="6175" ht="15" customHeight="1" s="783">
      <c r="B6175" s="901" t="n"/>
    </row>
    <row r="6176" ht="15" customHeight="1" s="783">
      <c r="B6176" s="901" t="n"/>
    </row>
    <row r="6177" ht="15" customHeight="1" s="783">
      <c r="B6177" s="901" t="n"/>
    </row>
    <row r="6178" ht="15" customHeight="1" s="783">
      <c r="B6178" s="901" t="n"/>
    </row>
    <row r="6179" ht="15" customHeight="1" s="783">
      <c r="B6179" s="901" t="n"/>
    </row>
    <row r="6180" ht="15" customHeight="1" s="783">
      <c r="B6180" s="901" t="n"/>
    </row>
    <row r="6181" ht="15" customHeight="1" s="783">
      <c r="B6181" s="901" t="n"/>
    </row>
    <row r="6182" ht="15" customHeight="1" s="783">
      <c r="B6182" s="901" t="n"/>
    </row>
    <row r="6183" ht="15" customHeight="1" s="783">
      <c r="B6183" s="901" t="n"/>
    </row>
    <row r="6184" ht="15" customHeight="1" s="783">
      <c r="B6184" s="901" t="n"/>
    </row>
    <row r="6185" ht="15" customHeight="1" s="783">
      <c r="B6185" s="901" t="n"/>
    </row>
    <row r="6186" ht="15" customHeight="1" s="783">
      <c r="B6186" s="901" t="n"/>
    </row>
    <row r="6187" ht="15" customHeight="1" s="783">
      <c r="B6187" s="901" t="n"/>
    </row>
    <row r="6188" ht="15" customHeight="1" s="783">
      <c r="B6188" s="901" t="n"/>
    </row>
    <row r="6189" ht="15" customHeight="1" s="783">
      <c r="B6189" s="901" t="n"/>
    </row>
    <row r="6190" ht="15" customHeight="1" s="783">
      <c r="B6190" s="901" t="n"/>
    </row>
    <row r="6191" ht="15" customHeight="1" s="783">
      <c r="B6191" s="901" t="n"/>
    </row>
    <row r="6192" ht="15" customHeight="1" s="783">
      <c r="B6192" s="901" t="n"/>
    </row>
    <row r="6193" ht="15" customHeight="1" s="783">
      <c r="B6193" s="901" t="n"/>
    </row>
    <row r="6194" ht="15" customHeight="1" s="783">
      <c r="B6194" s="901" t="n"/>
    </row>
    <row r="6195" ht="15" customHeight="1" s="783">
      <c r="B6195" s="901" t="n"/>
    </row>
    <row r="6196" ht="15" customHeight="1" s="783">
      <c r="B6196" s="901" t="n"/>
    </row>
    <row r="6197" ht="15" customHeight="1" s="783">
      <c r="B6197" s="901" t="n"/>
    </row>
    <row r="6198" ht="15" customHeight="1" s="783">
      <c r="B6198" s="901" t="n"/>
    </row>
    <row r="6199" ht="15" customHeight="1" s="783">
      <c r="B6199" s="901" t="n"/>
    </row>
    <row r="6200" ht="15" customHeight="1" s="783">
      <c r="B6200" s="901" t="n"/>
    </row>
    <row r="6201" ht="15" customHeight="1" s="783">
      <c r="B6201" s="901" t="n"/>
    </row>
    <row r="6202" ht="15" customHeight="1" s="783">
      <c r="B6202" s="901" t="n"/>
    </row>
    <row r="6203" ht="15" customHeight="1" s="783">
      <c r="B6203" s="901" t="n"/>
    </row>
    <row r="6204" ht="15" customHeight="1" s="783">
      <c r="B6204" s="901" t="n"/>
    </row>
    <row r="6205" ht="15" customHeight="1" s="783">
      <c r="B6205" s="901" t="n"/>
    </row>
    <row r="6206" ht="15" customHeight="1" s="783">
      <c r="B6206" s="901" t="n"/>
    </row>
    <row r="6207" ht="15" customHeight="1" s="783">
      <c r="B6207" s="901" t="n"/>
    </row>
    <row r="6208" ht="15" customHeight="1" s="783">
      <c r="B6208" s="901" t="n"/>
    </row>
    <row r="6209" ht="15" customHeight="1" s="783">
      <c r="B6209" s="901" t="n"/>
    </row>
    <row r="6210" ht="15" customHeight="1" s="783">
      <c r="B6210" s="901" t="n"/>
    </row>
    <row r="6211" ht="15" customHeight="1" s="783">
      <c r="B6211" s="901" t="n"/>
    </row>
    <row r="6212" ht="15" customHeight="1" s="783">
      <c r="B6212" s="901" t="n"/>
    </row>
    <row r="6213" ht="15" customHeight="1" s="783">
      <c r="B6213" s="901" t="n"/>
    </row>
    <row r="6214" ht="15" customHeight="1" s="783">
      <c r="B6214" s="901" t="n"/>
    </row>
    <row r="6215" ht="15" customHeight="1" s="783">
      <c r="B6215" s="901" t="n"/>
    </row>
    <row r="6216" ht="15" customHeight="1" s="783">
      <c r="B6216" s="901" t="n"/>
    </row>
    <row r="6217" ht="15" customHeight="1" s="783">
      <c r="B6217" s="901" t="n"/>
    </row>
    <row r="6218" ht="15" customHeight="1" s="783">
      <c r="B6218" s="901" t="n"/>
    </row>
    <row r="6219" ht="15" customHeight="1" s="783">
      <c r="B6219" s="901" t="n"/>
    </row>
    <row r="6220" ht="15" customHeight="1" s="783">
      <c r="B6220" s="901" t="n"/>
    </row>
    <row r="6221" ht="15" customHeight="1" s="783">
      <c r="B6221" s="901" t="n"/>
    </row>
    <row r="6222" ht="15" customHeight="1" s="783">
      <c r="B6222" s="901" t="n"/>
    </row>
    <row r="6223" ht="15" customHeight="1" s="783">
      <c r="B6223" s="901" t="n"/>
    </row>
    <row r="6224" ht="15" customHeight="1" s="783">
      <c r="B6224" s="901" t="n"/>
    </row>
    <row r="6225" ht="15" customHeight="1" s="783">
      <c r="B6225" s="901" t="n"/>
    </row>
    <row r="6226" ht="15" customHeight="1" s="783">
      <c r="B6226" s="901" t="n"/>
    </row>
    <row r="6227" ht="15" customHeight="1" s="783">
      <c r="B6227" s="901" t="n"/>
    </row>
    <row r="6228" ht="15" customHeight="1" s="783">
      <c r="B6228" s="901" t="n"/>
    </row>
    <row r="6229" ht="15" customHeight="1" s="783">
      <c r="B6229" s="901" t="n"/>
    </row>
    <row r="6230" ht="15" customHeight="1" s="783">
      <c r="B6230" s="901" t="n"/>
    </row>
    <row r="6231" ht="15" customHeight="1" s="783">
      <c r="B6231" s="901" t="n"/>
    </row>
    <row r="6232" ht="15" customHeight="1" s="783">
      <c r="B6232" s="901" t="n"/>
    </row>
    <row r="6233" ht="15" customHeight="1" s="783">
      <c r="B6233" s="901" t="n"/>
    </row>
    <row r="6234" ht="15" customHeight="1" s="783">
      <c r="B6234" s="901" t="n"/>
    </row>
    <row r="6235" ht="15" customHeight="1" s="783">
      <c r="B6235" s="901" t="n"/>
    </row>
    <row r="6236" ht="15" customHeight="1" s="783">
      <c r="B6236" s="901" t="n"/>
    </row>
    <row r="6237" ht="15" customHeight="1" s="783">
      <c r="B6237" s="901" t="n"/>
    </row>
    <row r="6238" ht="15" customHeight="1" s="783">
      <c r="B6238" s="901" t="n"/>
    </row>
    <row r="6239" ht="15" customHeight="1" s="783">
      <c r="B6239" s="901" t="n"/>
    </row>
    <row r="6240" ht="15" customHeight="1" s="783">
      <c r="B6240" s="901" t="n"/>
    </row>
    <row r="6241" ht="15" customHeight="1" s="783">
      <c r="B6241" s="901" t="n"/>
    </row>
    <row r="6242" ht="15" customHeight="1" s="783">
      <c r="B6242" s="901" t="n"/>
    </row>
    <row r="6243" ht="15" customHeight="1" s="783">
      <c r="B6243" s="901" t="n"/>
    </row>
    <row r="6244" ht="15" customHeight="1" s="783">
      <c r="B6244" s="901" t="n"/>
    </row>
    <row r="6245" ht="15" customHeight="1" s="783">
      <c r="B6245" s="901" t="n"/>
    </row>
    <row r="6246" ht="15" customHeight="1" s="783">
      <c r="B6246" s="901" t="n"/>
    </row>
    <row r="6247" ht="15" customHeight="1" s="783">
      <c r="B6247" s="901" t="n"/>
    </row>
    <row r="6248" ht="15" customHeight="1" s="783">
      <c r="B6248" s="901" t="n"/>
    </row>
    <row r="6249" ht="15" customHeight="1" s="783">
      <c r="B6249" s="901" t="n"/>
    </row>
    <row r="6250" ht="15" customHeight="1" s="783">
      <c r="B6250" s="901" t="n"/>
    </row>
    <row r="6251" ht="15" customHeight="1" s="783">
      <c r="B6251" s="901" t="n"/>
    </row>
    <row r="6252" ht="15" customHeight="1" s="783">
      <c r="B6252" s="901" t="n"/>
    </row>
    <row r="6253" ht="15" customHeight="1" s="783">
      <c r="B6253" s="901" t="n"/>
    </row>
    <row r="6254" ht="15" customHeight="1" s="783">
      <c r="B6254" s="901" t="n"/>
    </row>
    <row r="6255" ht="15" customHeight="1" s="783">
      <c r="B6255" s="901" t="n"/>
    </row>
    <row r="6256" ht="15" customHeight="1" s="783">
      <c r="B6256" s="901" t="n"/>
    </row>
    <row r="6257" ht="15" customHeight="1" s="783">
      <c r="B6257" s="901" t="n"/>
    </row>
    <row r="6258" ht="15" customHeight="1" s="783">
      <c r="B6258" s="901" t="n"/>
    </row>
    <row r="6259" ht="15" customHeight="1" s="783">
      <c r="B6259" s="901" t="n"/>
    </row>
    <row r="6260" ht="15" customHeight="1" s="783">
      <c r="B6260" s="901" t="n"/>
    </row>
    <row r="6261" ht="15" customHeight="1" s="783">
      <c r="B6261" s="901" t="n"/>
    </row>
    <row r="6262" ht="15" customHeight="1" s="783">
      <c r="B6262" s="901" t="n"/>
    </row>
    <row r="6263" ht="15" customHeight="1" s="783">
      <c r="B6263" s="901" t="n"/>
    </row>
    <row r="6264" ht="15" customHeight="1" s="783">
      <c r="B6264" s="901" t="n"/>
    </row>
    <row r="6265" ht="15" customHeight="1" s="783">
      <c r="B6265" s="901" t="n"/>
    </row>
    <row r="6266" ht="15" customHeight="1" s="783">
      <c r="B6266" s="901" t="n"/>
    </row>
    <row r="6267" ht="15" customHeight="1" s="783">
      <c r="B6267" s="901" t="n"/>
    </row>
    <row r="6268" ht="15" customHeight="1" s="783">
      <c r="B6268" s="901" t="n"/>
    </row>
    <row r="6269" ht="15" customHeight="1" s="783">
      <c r="B6269" s="901" t="n"/>
    </row>
    <row r="6270" ht="15" customHeight="1" s="783">
      <c r="B6270" s="901" t="n"/>
    </row>
    <row r="6271" ht="15" customHeight="1" s="783">
      <c r="B6271" s="901" t="n"/>
    </row>
    <row r="6272" ht="15" customHeight="1" s="783">
      <c r="B6272" s="901" t="n"/>
    </row>
    <row r="6273" ht="15" customHeight="1" s="783">
      <c r="B6273" s="901" t="n"/>
    </row>
    <row r="6274" ht="15" customHeight="1" s="783">
      <c r="B6274" s="901" t="n"/>
    </row>
    <row r="6275" ht="15" customHeight="1" s="783">
      <c r="B6275" s="901" t="n"/>
    </row>
    <row r="6276" ht="15" customHeight="1" s="783">
      <c r="B6276" s="901" t="n"/>
    </row>
    <row r="6277" ht="15" customHeight="1" s="783">
      <c r="B6277" s="901" t="n"/>
    </row>
    <row r="6278" ht="15" customHeight="1" s="783">
      <c r="B6278" s="901" t="n"/>
    </row>
    <row r="6279" ht="15" customHeight="1" s="783">
      <c r="B6279" s="901" t="n"/>
    </row>
    <row r="6280" ht="15" customHeight="1" s="783">
      <c r="B6280" s="901" t="n"/>
    </row>
    <row r="6281" ht="15" customHeight="1" s="783">
      <c r="B6281" s="901" t="n"/>
    </row>
    <row r="6282" ht="15" customHeight="1" s="783">
      <c r="B6282" s="901" t="n"/>
    </row>
    <row r="6283" ht="15" customHeight="1" s="783">
      <c r="B6283" s="901" t="n"/>
    </row>
    <row r="6284" ht="15" customHeight="1" s="783">
      <c r="B6284" s="901" t="n"/>
    </row>
    <row r="6285" ht="15" customHeight="1" s="783">
      <c r="B6285" s="901" t="n"/>
    </row>
    <row r="6286" ht="15" customHeight="1" s="783">
      <c r="B6286" s="901" t="n"/>
    </row>
    <row r="6287" ht="15" customHeight="1" s="783">
      <c r="B6287" s="901" t="n"/>
    </row>
    <row r="6288" ht="15" customHeight="1" s="783">
      <c r="B6288" s="901" t="n"/>
    </row>
    <row r="6289" ht="15" customHeight="1" s="783">
      <c r="B6289" s="901" t="n"/>
    </row>
    <row r="6290" ht="15" customHeight="1" s="783">
      <c r="B6290" s="901" t="n"/>
    </row>
    <row r="6291" ht="15" customHeight="1" s="783">
      <c r="B6291" s="901" t="n"/>
    </row>
    <row r="6292" ht="15" customHeight="1" s="783">
      <c r="B6292" s="901" t="n"/>
    </row>
    <row r="6293" ht="15" customHeight="1" s="783">
      <c r="B6293" s="901" t="n"/>
    </row>
    <row r="6294" ht="15" customHeight="1" s="783">
      <c r="B6294" s="901" t="n"/>
    </row>
    <row r="6295" ht="15" customHeight="1" s="783">
      <c r="B6295" s="901" t="n"/>
    </row>
    <row r="6296" ht="15" customHeight="1" s="783">
      <c r="B6296" s="901" t="n"/>
    </row>
    <row r="6297" ht="15" customHeight="1" s="783">
      <c r="B6297" s="901" t="n"/>
    </row>
    <row r="6298" ht="15" customHeight="1" s="783">
      <c r="B6298" s="901" t="n"/>
    </row>
    <row r="6299" ht="15" customHeight="1" s="783">
      <c r="B6299" s="901" t="n"/>
    </row>
    <row r="6300" ht="15" customHeight="1" s="783">
      <c r="B6300" s="901" t="n"/>
    </row>
    <row r="6301" ht="15" customHeight="1" s="783">
      <c r="B6301" s="901" t="n"/>
    </row>
    <row r="6302" ht="15" customHeight="1" s="783">
      <c r="B6302" s="901" t="n"/>
    </row>
    <row r="6303" ht="15" customHeight="1" s="783">
      <c r="B6303" s="901" t="n"/>
    </row>
    <row r="6304" ht="15" customHeight="1" s="783">
      <c r="B6304" s="901" t="n"/>
    </row>
    <row r="6305" ht="15" customHeight="1" s="783">
      <c r="B6305" s="901" t="n"/>
    </row>
    <row r="6306" ht="15" customHeight="1" s="783">
      <c r="B6306" s="901" t="n"/>
    </row>
    <row r="6307" ht="15" customHeight="1" s="783">
      <c r="B6307" s="901" t="n"/>
    </row>
    <row r="6308" ht="15" customHeight="1" s="783">
      <c r="B6308" s="901" t="n"/>
    </row>
    <row r="6309" ht="15" customHeight="1" s="783">
      <c r="B6309" s="901" t="n"/>
    </row>
    <row r="6310" ht="15" customHeight="1" s="783">
      <c r="B6310" s="901" t="n"/>
    </row>
    <row r="6311" ht="15" customHeight="1" s="783">
      <c r="B6311" s="901" t="n"/>
    </row>
    <row r="6312" ht="15" customHeight="1" s="783">
      <c r="B6312" s="901" t="n"/>
    </row>
    <row r="6313" ht="15" customHeight="1" s="783">
      <c r="B6313" s="901" t="n"/>
    </row>
    <row r="6314" ht="15" customHeight="1" s="783">
      <c r="B6314" s="901" t="n"/>
    </row>
    <row r="6315" ht="15" customHeight="1" s="783">
      <c r="B6315" s="901" t="n"/>
    </row>
    <row r="6316" ht="15" customHeight="1" s="783">
      <c r="B6316" s="901" t="n"/>
    </row>
    <row r="6317" ht="15" customHeight="1" s="783">
      <c r="B6317" s="901" t="n"/>
    </row>
    <row r="6318" ht="15" customHeight="1" s="783">
      <c r="B6318" s="901" t="n"/>
    </row>
    <row r="6319" ht="15" customHeight="1" s="783">
      <c r="B6319" s="901" t="n"/>
    </row>
    <row r="6320" ht="15" customHeight="1" s="783">
      <c r="B6320" s="901" t="n"/>
    </row>
    <row r="6321" ht="15" customHeight="1" s="783">
      <c r="B6321" s="901" t="n"/>
    </row>
    <row r="6322" ht="15" customHeight="1" s="783">
      <c r="B6322" s="901" t="n"/>
    </row>
    <row r="6323" ht="15" customHeight="1" s="783">
      <c r="B6323" s="901" t="n"/>
    </row>
    <row r="6324" ht="15" customHeight="1" s="783">
      <c r="B6324" s="901" t="n"/>
    </row>
    <row r="6325" ht="15" customHeight="1" s="783">
      <c r="B6325" s="901" t="n"/>
    </row>
    <row r="6326" ht="15" customHeight="1" s="783">
      <c r="B6326" s="901" t="n"/>
    </row>
    <row r="6327" ht="15" customHeight="1" s="783">
      <c r="B6327" s="901" t="n"/>
    </row>
    <row r="6328" ht="15" customHeight="1" s="783">
      <c r="B6328" s="901" t="n"/>
    </row>
    <row r="6329" ht="15" customHeight="1" s="783">
      <c r="B6329" s="901" t="n"/>
    </row>
    <row r="6330" ht="15" customHeight="1" s="783">
      <c r="B6330" s="901" t="n"/>
    </row>
    <row r="6331" ht="15" customHeight="1" s="783">
      <c r="B6331" s="901" t="n"/>
    </row>
    <row r="6332" ht="15" customHeight="1" s="783">
      <c r="B6332" s="901" t="n"/>
    </row>
    <row r="6333" ht="15" customHeight="1" s="783">
      <c r="B6333" s="901" t="n"/>
    </row>
    <row r="6334" ht="15" customHeight="1" s="783">
      <c r="B6334" s="901" t="n"/>
    </row>
    <row r="6335" ht="15" customHeight="1" s="783">
      <c r="B6335" s="901" t="n"/>
    </row>
    <row r="6336" ht="15" customHeight="1" s="783">
      <c r="B6336" s="901" t="n"/>
    </row>
    <row r="6337" ht="15" customHeight="1" s="783">
      <c r="B6337" s="901" t="n"/>
    </row>
    <row r="6338" ht="15" customHeight="1" s="783">
      <c r="B6338" s="901" t="n"/>
    </row>
    <row r="6339" ht="15" customHeight="1" s="783">
      <c r="B6339" s="901" t="n"/>
    </row>
    <row r="6340" ht="15" customHeight="1" s="783">
      <c r="B6340" s="901" t="n"/>
    </row>
    <row r="6341" ht="15" customHeight="1" s="783">
      <c r="B6341" s="901" t="n"/>
    </row>
    <row r="6342" ht="15" customHeight="1" s="783">
      <c r="B6342" s="901" t="n"/>
    </row>
    <row r="6343" ht="15" customHeight="1" s="783">
      <c r="B6343" s="901" t="n"/>
    </row>
    <row r="6344" ht="15" customHeight="1" s="783">
      <c r="B6344" s="901" t="n"/>
    </row>
    <row r="6345" ht="15" customHeight="1" s="783">
      <c r="B6345" s="901" t="n"/>
    </row>
    <row r="6346" ht="15" customHeight="1" s="783">
      <c r="B6346" s="901" t="n"/>
    </row>
    <row r="6347" ht="15" customHeight="1" s="783">
      <c r="B6347" s="901" t="n"/>
    </row>
    <row r="6348" ht="15" customHeight="1" s="783">
      <c r="B6348" s="901" t="n"/>
    </row>
    <row r="6349" ht="15" customHeight="1" s="783">
      <c r="B6349" s="901" t="n"/>
    </row>
    <row r="6350" ht="15" customHeight="1" s="783">
      <c r="B6350" s="901" t="n"/>
    </row>
    <row r="6351" ht="15" customHeight="1" s="783">
      <c r="B6351" s="901" t="n"/>
    </row>
    <row r="6352" ht="15" customHeight="1" s="783">
      <c r="B6352" s="901" t="n"/>
    </row>
    <row r="6353" ht="15" customHeight="1" s="783">
      <c r="B6353" s="901" t="n"/>
    </row>
    <row r="6354" ht="15" customHeight="1" s="783">
      <c r="B6354" s="901" t="n"/>
    </row>
    <row r="6355" ht="15" customHeight="1" s="783">
      <c r="B6355" s="901" t="n"/>
    </row>
    <row r="6356" ht="15" customHeight="1" s="783">
      <c r="B6356" s="901" t="n"/>
    </row>
    <row r="6357" ht="15" customHeight="1" s="783">
      <c r="B6357" s="901" t="n"/>
    </row>
    <row r="6358" ht="15" customHeight="1" s="783">
      <c r="B6358" s="901" t="n"/>
    </row>
    <row r="6359" ht="15" customHeight="1" s="783">
      <c r="B6359" s="901" t="n"/>
    </row>
    <row r="6360" ht="15" customHeight="1" s="783">
      <c r="B6360" s="901" t="n"/>
    </row>
    <row r="6361" ht="15" customHeight="1" s="783">
      <c r="B6361" s="901" t="n"/>
    </row>
    <row r="6362" ht="15" customHeight="1" s="783">
      <c r="B6362" s="901" t="n"/>
    </row>
    <row r="6363" ht="15" customHeight="1" s="783">
      <c r="B6363" s="901" t="n"/>
    </row>
    <row r="6364" ht="15" customHeight="1" s="783">
      <c r="B6364" s="901" t="n"/>
    </row>
    <row r="6365" ht="15" customHeight="1" s="783">
      <c r="B6365" s="901" t="n"/>
    </row>
    <row r="6366" ht="15" customHeight="1" s="783">
      <c r="B6366" s="901" t="n"/>
    </row>
    <row r="6367" ht="15" customHeight="1" s="783">
      <c r="B6367" s="901" t="n"/>
    </row>
    <row r="6368" ht="15" customHeight="1" s="783">
      <c r="B6368" s="901" t="n"/>
    </row>
    <row r="6369" ht="15" customHeight="1" s="783">
      <c r="B6369" s="901" t="n"/>
    </row>
    <row r="6370" ht="15" customHeight="1" s="783">
      <c r="B6370" s="901" t="n"/>
    </row>
    <row r="6371" ht="15" customHeight="1" s="783">
      <c r="B6371" s="901" t="n"/>
    </row>
    <row r="6372" ht="15" customHeight="1" s="783">
      <c r="B6372" s="901" t="n"/>
    </row>
    <row r="6373" ht="15" customHeight="1" s="783">
      <c r="B6373" s="901" t="n"/>
    </row>
    <row r="6374" ht="15" customHeight="1" s="783">
      <c r="B6374" s="901" t="n"/>
    </row>
    <row r="6375" ht="15" customHeight="1" s="783">
      <c r="B6375" s="901" t="n"/>
    </row>
    <row r="6376" ht="15" customHeight="1" s="783">
      <c r="B6376" s="901" t="n"/>
    </row>
    <row r="6377" ht="15" customHeight="1" s="783">
      <c r="B6377" s="901" t="n"/>
    </row>
    <row r="6378" ht="15" customHeight="1" s="783">
      <c r="B6378" s="901" t="n"/>
    </row>
    <row r="6379" ht="15" customHeight="1" s="783">
      <c r="B6379" s="901" t="n"/>
    </row>
    <row r="6380" ht="15" customHeight="1" s="783">
      <c r="B6380" s="901" t="n"/>
    </row>
    <row r="6381" ht="15" customHeight="1" s="783">
      <c r="B6381" s="901" t="n"/>
    </row>
    <row r="6382" ht="15" customHeight="1" s="783">
      <c r="B6382" s="901" t="n"/>
    </row>
    <row r="6383" ht="15" customHeight="1" s="783">
      <c r="B6383" s="901" t="n"/>
    </row>
    <row r="6384" ht="15" customHeight="1" s="783">
      <c r="B6384" s="901" t="n"/>
    </row>
    <row r="6385" ht="15" customHeight="1" s="783">
      <c r="B6385" s="901" t="n"/>
    </row>
    <row r="6386" ht="15" customHeight="1" s="783">
      <c r="B6386" s="901" t="n"/>
    </row>
    <row r="6387" ht="15" customHeight="1" s="783">
      <c r="B6387" s="901" t="n"/>
    </row>
    <row r="6388" ht="15" customHeight="1" s="783">
      <c r="B6388" s="901" t="n"/>
    </row>
    <row r="6389" ht="15" customHeight="1" s="783">
      <c r="B6389" s="901" t="n"/>
    </row>
    <row r="6390" ht="15" customHeight="1" s="783">
      <c r="B6390" s="901" t="n"/>
    </row>
    <row r="6391" ht="15" customHeight="1" s="783">
      <c r="B6391" s="901" t="n"/>
    </row>
    <row r="6392" ht="15" customHeight="1" s="783">
      <c r="B6392" s="901" t="n"/>
    </row>
    <row r="6393" ht="15" customHeight="1" s="783">
      <c r="B6393" s="901" t="n"/>
    </row>
    <row r="6394" ht="15" customHeight="1" s="783">
      <c r="B6394" s="901" t="n"/>
    </row>
    <row r="6395" ht="15" customHeight="1" s="783">
      <c r="B6395" s="901" t="n"/>
    </row>
    <row r="6396" ht="15" customHeight="1" s="783">
      <c r="B6396" s="901" t="n"/>
    </row>
    <row r="6397" ht="15" customHeight="1" s="783">
      <c r="B6397" s="901" t="n"/>
    </row>
    <row r="6398" ht="15" customHeight="1" s="783">
      <c r="B6398" s="901" t="n"/>
    </row>
    <row r="6399" ht="15" customHeight="1" s="783">
      <c r="B6399" s="901" t="n"/>
    </row>
    <row r="6400" ht="15" customHeight="1" s="783">
      <c r="B6400" s="901" t="n"/>
    </row>
    <row r="6401" ht="15" customHeight="1" s="783">
      <c r="B6401" s="901" t="n"/>
    </row>
    <row r="6402" ht="15" customHeight="1" s="783">
      <c r="B6402" s="901" t="n"/>
    </row>
    <row r="6403" ht="15" customHeight="1" s="783">
      <c r="B6403" s="901" t="n"/>
    </row>
    <row r="6404" ht="15" customHeight="1" s="783">
      <c r="B6404" s="901" t="n"/>
    </row>
    <row r="6405" ht="15" customHeight="1" s="783">
      <c r="B6405" s="901" t="n"/>
    </row>
    <row r="6406" ht="15" customHeight="1" s="783">
      <c r="B6406" s="901" t="n"/>
    </row>
    <row r="6407" ht="15" customHeight="1" s="783">
      <c r="B6407" s="901" t="n"/>
    </row>
    <row r="6408" ht="15" customHeight="1" s="783">
      <c r="B6408" s="901" t="n"/>
    </row>
    <row r="6409" ht="15" customHeight="1" s="783">
      <c r="B6409" s="901" t="n"/>
    </row>
    <row r="6410" ht="15" customHeight="1" s="783">
      <c r="B6410" s="901" t="n"/>
    </row>
    <row r="6411" ht="15" customHeight="1" s="783">
      <c r="B6411" s="901" t="n"/>
    </row>
    <row r="6412" ht="15" customHeight="1" s="783">
      <c r="B6412" s="901" t="n"/>
    </row>
    <row r="6413" ht="15" customHeight="1" s="783">
      <c r="B6413" s="901" t="n"/>
    </row>
    <row r="6414" ht="15" customHeight="1" s="783">
      <c r="B6414" s="901" t="n"/>
    </row>
    <row r="6415" ht="15" customHeight="1" s="783">
      <c r="B6415" s="901" t="n"/>
    </row>
    <row r="6416" ht="15" customHeight="1" s="783">
      <c r="B6416" s="901" t="n"/>
    </row>
    <row r="6417" ht="15" customHeight="1" s="783">
      <c r="B6417" s="901" t="n"/>
    </row>
    <row r="6418" ht="15" customHeight="1" s="783">
      <c r="B6418" s="901" t="n"/>
    </row>
    <row r="6419" ht="15" customHeight="1" s="783">
      <c r="B6419" s="901" t="n"/>
    </row>
    <row r="6420" ht="15" customHeight="1" s="783">
      <c r="B6420" s="901" t="n"/>
    </row>
    <row r="6421" ht="15" customHeight="1" s="783">
      <c r="B6421" s="901" t="n"/>
    </row>
    <row r="6422" ht="15" customHeight="1" s="783">
      <c r="B6422" s="901" t="n"/>
    </row>
    <row r="6423" ht="15" customHeight="1" s="783">
      <c r="B6423" s="901" t="n"/>
    </row>
    <row r="6424" ht="15" customHeight="1" s="783">
      <c r="B6424" s="901" t="n"/>
    </row>
    <row r="6425" ht="15" customHeight="1" s="783">
      <c r="B6425" s="901" t="n"/>
    </row>
    <row r="6426" ht="15" customHeight="1" s="783">
      <c r="B6426" s="901" t="n"/>
    </row>
    <row r="6427" ht="15" customHeight="1" s="783">
      <c r="B6427" s="901" t="n"/>
    </row>
    <row r="6428" ht="15" customHeight="1" s="783">
      <c r="B6428" s="901" t="n"/>
    </row>
    <row r="6429" ht="15" customHeight="1" s="783">
      <c r="B6429" s="901" t="n"/>
    </row>
    <row r="6430" ht="15" customHeight="1" s="783">
      <c r="B6430" s="901" t="n"/>
    </row>
    <row r="6431" ht="15" customHeight="1" s="783">
      <c r="B6431" s="901" t="n"/>
    </row>
    <row r="6432" ht="15" customHeight="1" s="783">
      <c r="B6432" s="901" t="n"/>
    </row>
    <row r="6433" ht="15" customHeight="1" s="783">
      <c r="B6433" s="901" t="n"/>
    </row>
    <row r="6434" ht="15" customHeight="1" s="783">
      <c r="B6434" s="901" t="n"/>
    </row>
    <row r="6435" ht="15" customHeight="1" s="783">
      <c r="B6435" s="901" t="n"/>
    </row>
    <row r="6436" ht="15" customHeight="1" s="783">
      <c r="B6436" s="901" t="n"/>
    </row>
    <row r="6437" ht="15" customHeight="1" s="783">
      <c r="B6437" s="901" t="n"/>
    </row>
    <row r="6438" ht="15" customHeight="1" s="783">
      <c r="B6438" s="901" t="n"/>
    </row>
    <row r="6439" ht="15" customHeight="1" s="783">
      <c r="B6439" s="901" t="n"/>
    </row>
    <row r="6440" ht="15" customHeight="1" s="783">
      <c r="B6440" s="901" t="n"/>
    </row>
    <row r="6441" ht="15" customHeight="1" s="783">
      <c r="B6441" s="901" t="n"/>
    </row>
    <row r="6442" ht="15" customHeight="1" s="783">
      <c r="B6442" s="901" t="n"/>
    </row>
    <row r="6443" ht="15" customHeight="1" s="783">
      <c r="B6443" s="901" t="n"/>
    </row>
    <row r="6444" ht="15" customHeight="1" s="783">
      <c r="B6444" s="901" t="n"/>
    </row>
    <row r="6445" ht="15" customHeight="1" s="783">
      <c r="B6445" s="901" t="n"/>
    </row>
    <row r="6446" ht="15" customHeight="1" s="783">
      <c r="B6446" s="901" t="n"/>
    </row>
    <row r="6447" ht="15" customHeight="1" s="783">
      <c r="B6447" s="901" t="n"/>
    </row>
    <row r="6448" ht="15" customHeight="1" s="783">
      <c r="B6448" s="901" t="n"/>
    </row>
    <row r="6449" ht="15" customHeight="1" s="783">
      <c r="B6449" s="901" t="n"/>
    </row>
    <row r="6450" ht="15" customHeight="1" s="783">
      <c r="B6450" s="901" t="n"/>
    </row>
    <row r="6451" ht="15" customHeight="1" s="783">
      <c r="B6451" s="901" t="n"/>
    </row>
    <row r="6452" ht="15" customHeight="1" s="783">
      <c r="B6452" s="901" t="n"/>
    </row>
    <row r="6453" ht="15" customHeight="1" s="783">
      <c r="B6453" s="901" t="n"/>
    </row>
    <row r="6454" ht="15" customHeight="1" s="783">
      <c r="B6454" s="901" t="n"/>
    </row>
    <row r="6455" ht="15" customHeight="1" s="783">
      <c r="B6455" s="901" t="n"/>
    </row>
    <row r="6456" ht="15" customHeight="1" s="783">
      <c r="B6456" s="901" t="n"/>
    </row>
    <row r="6457" ht="15" customHeight="1" s="783">
      <c r="B6457" s="901" t="n"/>
    </row>
    <row r="6458" ht="15" customHeight="1" s="783">
      <c r="B6458" s="901" t="n"/>
    </row>
    <row r="6459" ht="15" customHeight="1" s="783">
      <c r="B6459" s="901" t="n"/>
    </row>
    <row r="6460" ht="15" customHeight="1" s="783">
      <c r="B6460" s="901" t="n"/>
    </row>
    <row r="6461" ht="15" customHeight="1" s="783">
      <c r="B6461" s="901" t="n"/>
    </row>
    <row r="6462" ht="15" customHeight="1" s="783">
      <c r="B6462" s="901" t="n"/>
    </row>
    <row r="6463" ht="15" customHeight="1" s="783">
      <c r="B6463" s="901" t="n"/>
    </row>
    <row r="6464" ht="15" customHeight="1" s="783">
      <c r="B6464" s="901" t="n"/>
    </row>
    <row r="6465" ht="15" customHeight="1" s="783">
      <c r="B6465" s="901" t="n"/>
    </row>
    <row r="6466" ht="15" customHeight="1" s="783">
      <c r="B6466" s="901" t="n"/>
    </row>
    <row r="6467" ht="15" customHeight="1" s="783">
      <c r="B6467" s="901" t="n"/>
    </row>
    <row r="6468" ht="15" customHeight="1" s="783">
      <c r="B6468" s="901" t="n"/>
    </row>
    <row r="6469" ht="15" customHeight="1" s="783">
      <c r="B6469" s="901" t="n"/>
    </row>
    <row r="6470" ht="15" customHeight="1" s="783">
      <c r="B6470" s="901" t="n"/>
    </row>
    <row r="6471" ht="15" customHeight="1" s="783">
      <c r="B6471" s="901" t="n"/>
    </row>
    <row r="6472" ht="15" customHeight="1" s="783">
      <c r="B6472" s="901" t="n"/>
    </row>
    <row r="6473" ht="15" customHeight="1" s="783">
      <c r="B6473" s="901" t="n"/>
    </row>
    <row r="6474" ht="15" customHeight="1" s="783">
      <c r="B6474" s="901" t="n"/>
    </row>
    <row r="6475" ht="15" customHeight="1" s="783">
      <c r="B6475" s="901" t="n"/>
    </row>
    <row r="6476" ht="15" customHeight="1" s="783">
      <c r="B6476" s="901" t="n"/>
    </row>
    <row r="6477" ht="15" customHeight="1" s="783">
      <c r="B6477" s="901" t="n"/>
    </row>
    <row r="6478" ht="15" customHeight="1" s="783">
      <c r="B6478" s="901" t="n"/>
    </row>
    <row r="6479" ht="15" customHeight="1" s="783">
      <c r="B6479" s="901" t="n"/>
    </row>
    <row r="6480" ht="15" customHeight="1" s="783">
      <c r="B6480" s="901" t="n"/>
    </row>
    <row r="6481" ht="15" customHeight="1" s="783">
      <c r="B6481" s="901" t="n"/>
    </row>
    <row r="6482" ht="15" customHeight="1" s="783">
      <c r="B6482" s="901" t="n"/>
    </row>
    <row r="6483" ht="15" customHeight="1" s="783">
      <c r="B6483" s="901" t="n"/>
    </row>
    <row r="6484" ht="15" customHeight="1" s="783">
      <c r="B6484" s="901" t="n"/>
    </row>
    <row r="6485" ht="15" customHeight="1" s="783">
      <c r="B6485" s="901" t="n"/>
    </row>
    <row r="6486" ht="15" customHeight="1" s="783">
      <c r="B6486" s="901" t="n"/>
    </row>
    <row r="6487" ht="15" customHeight="1" s="783">
      <c r="B6487" s="901" t="n"/>
    </row>
    <row r="6488" ht="15" customHeight="1" s="783">
      <c r="B6488" s="901" t="n"/>
    </row>
    <row r="6489" ht="15" customHeight="1" s="783">
      <c r="B6489" s="901" t="n"/>
    </row>
    <row r="6490" ht="15" customHeight="1" s="783">
      <c r="B6490" s="901" t="n"/>
    </row>
    <row r="6491" ht="15" customHeight="1" s="783">
      <c r="B6491" s="901" t="n"/>
    </row>
    <row r="6492" ht="15" customHeight="1" s="783">
      <c r="B6492" s="901" t="n"/>
    </row>
    <row r="6493" ht="15" customHeight="1" s="783">
      <c r="B6493" s="901" t="n"/>
    </row>
    <row r="6494" ht="15" customHeight="1" s="783">
      <c r="B6494" s="901" t="n"/>
    </row>
    <row r="6495" ht="15" customHeight="1" s="783">
      <c r="B6495" s="901" t="n"/>
    </row>
    <row r="6496" ht="15" customHeight="1" s="783">
      <c r="B6496" s="901" t="n"/>
    </row>
    <row r="6497" ht="15" customHeight="1" s="783">
      <c r="B6497" s="901" t="n"/>
    </row>
    <row r="6498" ht="15" customHeight="1" s="783">
      <c r="B6498" s="901" t="n"/>
    </row>
    <row r="6499" ht="15" customHeight="1" s="783">
      <c r="B6499" s="901" t="n"/>
    </row>
    <row r="6500" ht="15" customHeight="1" s="783">
      <c r="B6500" s="901" t="n"/>
    </row>
    <row r="6501" ht="15" customHeight="1" s="783">
      <c r="B6501" s="901" t="n"/>
    </row>
    <row r="6502" ht="15" customHeight="1" s="783">
      <c r="B6502" s="901" t="n"/>
    </row>
    <row r="6503" ht="15" customHeight="1" s="783">
      <c r="B6503" s="901" t="n"/>
    </row>
    <row r="6504" ht="15" customHeight="1" s="783">
      <c r="B6504" s="901" t="n"/>
    </row>
    <row r="6505" ht="15" customHeight="1" s="783">
      <c r="B6505" s="901" t="n"/>
    </row>
    <row r="6506" ht="15" customHeight="1" s="783">
      <c r="B6506" s="901" t="n"/>
    </row>
    <row r="6507" ht="15" customHeight="1" s="783">
      <c r="B6507" s="901" t="n"/>
    </row>
    <row r="6508" ht="15" customHeight="1" s="783">
      <c r="B6508" s="901" t="n"/>
    </row>
    <row r="6509" ht="15" customHeight="1" s="783">
      <c r="B6509" s="901" t="n"/>
    </row>
    <row r="6510" ht="15" customHeight="1" s="783">
      <c r="B6510" s="901" t="n"/>
    </row>
    <row r="6511" ht="15" customHeight="1" s="783">
      <c r="B6511" s="901" t="n"/>
    </row>
    <row r="6512" ht="15" customHeight="1" s="783">
      <c r="B6512" s="901" t="n"/>
    </row>
    <row r="6513" ht="15" customHeight="1" s="783">
      <c r="B6513" s="901" t="n"/>
    </row>
    <row r="6514" ht="15" customHeight="1" s="783">
      <c r="B6514" s="901" t="n"/>
    </row>
    <row r="6515" ht="15" customHeight="1" s="783">
      <c r="B6515" s="901" t="n"/>
    </row>
    <row r="6516" ht="15" customHeight="1" s="783">
      <c r="B6516" s="901" t="n"/>
    </row>
    <row r="6517" ht="15" customHeight="1" s="783">
      <c r="B6517" s="901" t="n"/>
    </row>
    <row r="6518" ht="15" customHeight="1" s="783">
      <c r="B6518" s="901" t="n"/>
    </row>
    <row r="6519" ht="15" customHeight="1" s="783">
      <c r="B6519" s="901" t="n"/>
    </row>
    <row r="6520" ht="15" customHeight="1" s="783">
      <c r="B6520" s="901" t="n"/>
    </row>
    <row r="6521" ht="15" customHeight="1" s="783">
      <c r="B6521" s="901" t="n"/>
    </row>
    <row r="6522" ht="15" customHeight="1" s="783">
      <c r="B6522" s="901" t="n"/>
    </row>
    <row r="6523" ht="15" customHeight="1" s="783">
      <c r="B6523" s="901" t="n"/>
    </row>
    <row r="6524" ht="15" customHeight="1" s="783">
      <c r="B6524" s="901" t="n"/>
    </row>
    <row r="6525" ht="15" customHeight="1" s="783">
      <c r="B6525" s="901" t="n"/>
    </row>
    <row r="6526" ht="15" customHeight="1" s="783">
      <c r="B6526" s="901" t="n"/>
    </row>
    <row r="6527" ht="15" customHeight="1" s="783">
      <c r="B6527" s="901" t="n"/>
    </row>
    <row r="6528" ht="15" customHeight="1" s="783">
      <c r="B6528" s="901" t="n"/>
    </row>
    <row r="6529" ht="15" customHeight="1" s="783">
      <c r="B6529" s="901" t="n"/>
    </row>
    <row r="6530" ht="15" customHeight="1" s="783">
      <c r="B6530" s="901" t="n"/>
    </row>
    <row r="6531" ht="15" customHeight="1" s="783">
      <c r="B6531" s="901" t="n"/>
    </row>
    <row r="6532" ht="15" customHeight="1" s="783">
      <c r="B6532" s="901" t="n"/>
    </row>
    <row r="6533" ht="15" customHeight="1" s="783">
      <c r="B6533" s="901" t="n"/>
    </row>
    <row r="6534" ht="15" customHeight="1" s="783">
      <c r="B6534" s="901" t="n"/>
    </row>
    <row r="6535" ht="15" customHeight="1" s="783">
      <c r="B6535" s="901" t="n"/>
    </row>
    <row r="6536" ht="15" customHeight="1" s="783">
      <c r="B6536" s="901" t="n"/>
    </row>
    <row r="6537" ht="15" customHeight="1" s="783">
      <c r="B6537" s="901" t="n"/>
    </row>
    <row r="6538" ht="15" customHeight="1" s="783">
      <c r="B6538" s="901" t="n"/>
    </row>
    <row r="6539" ht="15" customHeight="1" s="783">
      <c r="B6539" s="901" t="n"/>
    </row>
    <row r="6540" ht="15" customHeight="1" s="783">
      <c r="B6540" s="901" t="n"/>
    </row>
    <row r="6541" ht="15" customHeight="1" s="783">
      <c r="B6541" s="901" t="n"/>
    </row>
    <row r="6542" ht="15" customHeight="1" s="783">
      <c r="B6542" s="901" t="n"/>
    </row>
    <row r="6543" ht="15" customHeight="1" s="783">
      <c r="B6543" s="901" t="n"/>
    </row>
    <row r="6544" ht="15" customHeight="1" s="783">
      <c r="B6544" s="901" t="n"/>
    </row>
    <row r="6545" ht="15" customHeight="1" s="783">
      <c r="B6545" s="901" t="n"/>
    </row>
    <row r="6546" ht="15" customHeight="1" s="783">
      <c r="B6546" s="901" t="n"/>
    </row>
    <row r="6547" ht="15" customHeight="1" s="783">
      <c r="B6547" s="901" t="n"/>
    </row>
    <row r="6548" ht="15" customHeight="1" s="783">
      <c r="B6548" s="901" t="n"/>
    </row>
    <row r="6549" ht="15" customHeight="1" s="783">
      <c r="B6549" s="901" t="n"/>
    </row>
    <row r="6550" ht="15" customHeight="1" s="783">
      <c r="B6550" s="901" t="n"/>
    </row>
    <row r="6551" ht="15" customHeight="1" s="783">
      <c r="B6551" s="901" t="n"/>
    </row>
    <row r="6552" ht="15" customHeight="1" s="783">
      <c r="B6552" s="901" t="n"/>
    </row>
    <row r="6553" ht="15" customHeight="1" s="783">
      <c r="B6553" s="901" t="n"/>
    </row>
    <row r="6554" ht="15" customHeight="1" s="783">
      <c r="B6554" s="901" t="n"/>
    </row>
    <row r="6555" ht="15" customHeight="1" s="783">
      <c r="B6555" s="901" t="n"/>
    </row>
    <row r="6556" ht="15" customHeight="1" s="783">
      <c r="B6556" s="901" t="n"/>
    </row>
    <row r="6557" ht="15" customHeight="1" s="783">
      <c r="B6557" s="901" t="n"/>
    </row>
    <row r="6558" ht="15" customHeight="1" s="783">
      <c r="B6558" s="901" t="n"/>
    </row>
    <row r="6559" ht="15" customHeight="1" s="783">
      <c r="B6559" s="901" t="n"/>
    </row>
    <row r="6560" ht="15" customHeight="1" s="783">
      <c r="B6560" s="901" t="n"/>
    </row>
    <row r="6561" ht="15" customHeight="1" s="783">
      <c r="B6561" s="901" t="n"/>
    </row>
    <row r="6562" ht="15" customHeight="1" s="783">
      <c r="B6562" s="901" t="n"/>
    </row>
    <row r="6563" ht="15" customHeight="1" s="783">
      <c r="B6563" s="901" t="n"/>
    </row>
    <row r="6564" ht="15" customHeight="1" s="783">
      <c r="B6564" s="901" t="n"/>
    </row>
    <row r="6565" ht="15" customHeight="1" s="783">
      <c r="B6565" s="901" t="n"/>
    </row>
    <row r="6566" ht="15" customHeight="1" s="783">
      <c r="B6566" s="901" t="n"/>
    </row>
    <row r="6567" ht="15" customHeight="1" s="783">
      <c r="B6567" s="901" t="n"/>
    </row>
    <row r="6568" ht="15" customHeight="1" s="783">
      <c r="B6568" s="901" t="n"/>
    </row>
    <row r="6569" ht="15" customHeight="1" s="783">
      <c r="B6569" s="901" t="n"/>
    </row>
    <row r="6570" ht="15" customHeight="1" s="783">
      <c r="B6570" s="901" t="n"/>
    </row>
    <row r="6571" ht="15" customHeight="1" s="783">
      <c r="B6571" s="901" t="n"/>
    </row>
    <row r="6572" ht="15" customHeight="1" s="783">
      <c r="B6572" s="901" t="n"/>
    </row>
    <row r="6573" ht="15" customHeight="1" s="783">
      <c r="B6573" s="901" t="n"/>
    </row>
    <row r="6574" ht="15" customHeight="1" s="783">
      <c r="B6574" s="901" t="n"/>
    </row>
    <row r="6575" ht="15" customHeight="1" s="783">
      <c r="B6575" s="901" t="n"/>
    </row>
    <row r="6576" ht="15" customHeight="1" s="783">
      <c r="B6576" s="901" t="n"/>
    </row>
    <row r="6577" ht="15" customHeight="1" s="783">
      <c r="B6577" s="901" t="n"/>
    </row>
    <row r="6578" ht="15" customHeight="1" s="783">
      <c r="B6578" s="901" t="n"/>
    </row>
    <row r="6579" ht="15" customHeight="1" s="783">
      <c r="B6579" s="901" t="n"/>
    </row>
    <row r="6580" ht="15" customHeight="1" s="783">
      <c r="B6580" s="901" t="n"/>
    </row>
    <row r="6581" ht="15" customHeight="1" s="783">
      <c r="B6581" s="901" t="n"/>
    </row>
    <row r="6582" ht="15" customHeight="1" s="783">
      <c r="B6582" s="901" t="n"/>
    </row>
    <row r="6583" ht="15" customHeight="1" s="783">
      <c r="B6583" s="901" t="n"/>
    </row>
    <row r="6584" ht="15" customHeight="1" s="783">
      <c r="B6584" s="901" t="n"/>
    </row>
    <row r="6585" ht="15" customHeight="1" s="783">
      <c r="B6585" s="901" t="n"/>
    </row>
    <row r="6586" ht="15" customHeight="1" s="783">
      <c r="B6586" s="901" t="n"/>
    </row>
    <row r="6587" ht="15" customHeight="1" s="783">
      <c r="B6587" s="901" t="n"/>
    </row>
    <row r="6588" ht="15" customHeight="1" s="783">
      <c r="B6588" s="901" t="n"/>
    </row>
    <row r="6589" ht="15" customHeight="1" s="783">
      <c r="B6589" s="901" t="n"/>
    </row>
    <row r="6590" ht="15" customHeight="1" s="783">
      <c r="B6590" s="901" t="n"/>
    </row>
    <row r="6591" ht="15" customHeight="1" s="783">
      <c r="B6591" s="901" t="n"/>
    </row>
    <row r="6592" ht="15" customHeight="1" s="783">
      <c r="B6592" s="901" t="n"/>
    </row>
    <row r="6593" ht="15" customHeight="1" s="783">
      <c r="B6593" s="901" t="n"/>
    </row>
    <row r="6594" ht="15" customHeight="1" s="783">
      <c r="B6594" s="901" t="n"/>
    </row>
    <row r="6595" ht="15" customHeight="1" s="783">
      <c r="B6595" s="901" t="n"/>
    </row>
    <row r="6596" ht="15" customHeight="1" s="783">
      <c r="B6596" s="901" t="n"/>
    </row>
    <row r="6597" ht="15" customHeight="1" s="783">
      <c r="B6597" s="901" t="n"/>
    </row>
    <row r="6598" ht="15" customHeight="1" s="783">
      <c r="B6598" s="901" t="n"/>
    </row>
    <row r="6599" ht="15" customHeight="1" s="783">
      <c r="B6599" s="901" t="n"/>
    </row>
    <row r="6600" ht="15" customHeight="1" s="783">
      <c r="B6600" s="901" t="n"/>
    </row>
    <row r="6601" ht="15" customHeight="1" s="783">
      <c r="B6601" s="901" t="n"/>
    </row>
    <row r="6602" ht="15" customHeight="1" s="783">
      <c r="B6602" s="901" t="n"/>
    </row>
    <row r="6603" ht="15" customHeight="1" s="783">
      <c r="B6603" s="901" t="n"/>
    </row>
    <row r="6604" ht="15" customHeight="1" s="783">
      <c r="B6604" s="901" t="n"/>
    </row>
    <row r="6605" ht="15" customHeight="1" s="783">
      <c r="B6605" s="901" t="n"/>
    </row>
    <row r="6606" ht="15" customHeight="1" s="783">
      <c r="B6606" s="901" t="n"/>
    </row>
    <row r="6607" ht="15" customHeight="1" s="783">
      <c r="B6607" s="901" t="n"/>
    </row>
    <row r="6608" ht="15" customHeight="1" s="783">
      <c r="B6608" s="901" t="n"/>
    </row>
    <row r="6609" ht="15" customHeight="1" s="783">
      <c r="B6609" s="901" t="n"/>
    </row>
    <row r="6610" ht="15" customHeight="1" s="783">
      <c r="B6610" s="901" t="n"/>
    </row>
    <row r="6611" ht="15" customHeight="1" s="783">
      <c r="B6611" s="901" t="n"/>
    </row>
    <row r="6612" ht="15" customHeight="1" s="783">
      <c r="B6612" s="901" t="n"/>
    </row>
    <row r="6613" ht="15" customHeight="1" s="783">
      <c r="B6613" s="901" t="n"/>
    </row>
    <row r="6614" ht="15" customHeight="1" s="783">
      <c r="B6614" s="901" t="n"/>
    </row>
    <row r="6615" ht="15" customHeight="1" s="783">
      <c r="B6615" s="901" t="n"/>
    </row>
    <row r="6616" ht="15" customHeight="1" s="783">
      <c r="B6616" s="901" t="n"/>
    </row>
    <row r="6617" ht="15" customHeight="1" s="783">
      <c r="B6617" s="901" t="n"/>
    </row>
    <row r="6618" ht="15" customHeight="1" s="783">
      <c r="B6618" s="901" t="n"/>
    </row>
    <row r="6619" ht="15" customHeight="1" s="783">
      <c r="B6619" s="901" t="n"/>
    </row>
    <row r="6620" ht="15" customHeight="1" s="783">
      <c r="B6620" s="901" t="n"/>
    </row>
    <row r="6621" ht="15" customHeight="1" s="783">
      <c r="B6621" s="901" t="n"/>
    </row>
    <row r="6622" ht="15" customHeight="1" s="783">
      <c r="B6622" s="901" t="n"/>
    </row>
    <row r="6623" ht="15" customHeight="1" s="783">
      <c r="B6623" s="901" t="n"/>
    </row>
    <row r="6624" ht="15" customHeight="1" s="783">
      <c r="B6624" s="901" t="n"/>
    </row>
    <row r="6625" ht="15" customHeight="1" s="783">
      <c r="B6625" s="901" t="n"/>
    </row>
    <row r="6626" ht="15" customHeight="1" s="783">
      <c r="B6626" s="901" t="n"/>
    </row>
    <row r="6627" ht="15" customHeight="1" s="783">
      <c r="B6627" s="901" t="n"/>
    </row>
    <row r="6628" ht="15" customHeight="1" s="783">
      <c r="B6628" s="901" t="n"/>
    </row>
    <row r="6629" ht="15" customHeight="1" s="783">
      <c r="B6629" s="901" t="n"/>
    </row>
    <row r="6630" ht="15" customHeight="1" s="783">
      <c r="B6630" s="901" t="n"/>
    </row>
    <row r="6631" ht="15" customHeight="1" s="783">
      <c r="B6631" s="901" t="n"/>
    </row>
    <row r="6632" ht="15" customHeight="1" s="783">
      <c r="B6632" s="901" t="n"/>
    </row>
    <row r="6633" ht="15" customHeight="1" s="783">
      <c r="B6633" s="901" t="n"/>
    </row>
    <row r="6634" ht="15" customHeight="1" s="783">
      <c r="B6634" s="901" t="n"/>
    </row>
    <row r="6635" ht="15" customHeight="1" s="783">
      <c r="B6635" s="901" t="n"/>
    </row>
    <row r="6636" ht="15" customHeight="1" s="783">
      <c r="B6636" s="901" t="n"/>
    </row>
    <row r="6637" ht="15" customHeight="1" s="783">
      <c r="B6637" s="901" t="n"/>
    </row>
    <row r="6638" ht="15" customHeight="1" s="783">
      <c r="B6638" s="901" t="n"/>
    </row>
    <row r="6639" ht="15" customHeight="1" s="783">
      <c r="B6639" s="901" t="n"/>
    </row>
    <row r="6640" ht="15" customHeight="1" s="783">
      <c r="B6640" s="901" t="n"/>
    </row>
    <row r="6641" ht="15" customHeight="1" s="783">
      <c r="B6641" s="901" t="n"/>
    </row>
    <row r="6642" ht="15" customHeight="1" s="783">
      <c r="B6642" s="901" t="n"/>
    </row>
    <row r="6643" ht="15" customHeight="1" s="783">
      <c r="B6643" s="901" t="n"/>
    </row>
    <row r="6644" ht="15" customHeight="1" s="783">
      <c r="B6644" s="901" t="n"/>
    </row>
    <row r="6645" ht="15" customHeight="1" s="783">
      <c r="B6645" s="901" t="n"/>
    </row>
    <row r="6646" ht="15" customHeight="1" s="783">
      <c r="B6646" s="901" t="n"/>
    </row>
    <row r="6647" ht="15" customHeight="1" s="783">
      <c r="B6647" s="901" t="n"/>
    </row>
    <row r="6648" ht="15" customHeight="1" s="783">
      <c r="B6648" s="901" t="n"/>
    </row>
    <row r="6649" ht="15" customHeight="1" s="783">
      <c r="B6649" s="901" t="n"/>
    </row>
    <row r="6650" ht="15" customHeight="1" s="783">
      <c r="B6650" s="901" t="n"/>
    </row>
    <row r="6651" ht="15" customHeight="1" s="783">
      <c r="B6651" s="901" t="n"/>
    </row>
    <row r="6652" ht="15" customHeight="1" s="783">
      <c r="B6652" s="901" t="n"/>
    </row>
    <row r="6653" ht="15" customHeight="1" s="783">
      <c r="B6653" s="901" t="n"/>
    </row>
    <row r="6654" ht="15" customHeight="1" s="783">
      <c r="B6654" s="901" t="n"/>
    </row>
    <row r="6655" ht="15" customHeight="1" s="783">
      <c r="B6655" s="901" t="n"/>
    </row>
    <row r="6656" ht="15" customHeight="1" s="783">
      <c r="B6656" s="901" t="n"/>
    </row>
    <row r="6657" ht="15" customHeight="1" s="783">
      <c r="B6657" s="901" t="n"/>
    </row>
    <row r="6658" ht="15" customHeight="1" s="783">
      <c r="B6658" s="901" t="n"/>
    </row>
    <row r="6659" ht="15" customHeight="1" s="783">
      <c r="B6659" s="901" t="n"/>
    </row>
    <row r="6660" ht="15" customHeight="1" s="783">
      <c r="B6660" s="901" t="n"/>
    </row>
    <row r="6661" ht="15" customHeight="1" s="783">
      <c r="B6661" s="901" t="n"/>
    </row>
    <row r="6662" ht="15" customHeight="1" s="783">
      <c r="B6662" s="901" t="n"/>
    </row>
    <row r="6663" ht="15" customHeight="1" s="783">
      <c r="B6663" s="901" t="n"/>
    </row>
    <row r="6664" ht="15" customHeight="1" s="783">
      <c r="B6664" s="901" t="n"/>
    </row>
    <row r="6665" ht="15" customHeight="1" s="783">
      <c r="B6665" s="901" t="n"/>
    </row>
    <row r="6666" ht="15" customHeight="1" s="783">
      <c r="B6666" s="901" t="n"/>
    </row>
    <row r="6667" ht="15" customHeight="1" s="783">
      <c r="B6667" s="901" t="n"/>
    </row>
    <row r="6668" ht="15" customHeight="1" s="783">
      <c r="B6668" s="901" t="n"/>
    </row>
    <row r="6669" ht="15" customHeight="1" s="783">
      <c r="B6669" s="901" t="n"/>
    </row>
    <row r="6670" ht="15" customHeight="1" s="783">
      <c r="B6670" s="901" t="n"/>
    </row>
    <row r="6671" ht="15" customHeight="1" s="783">
      <c r="B6671" s="901" t="n"/>
    </row>
    <row r="6672" ht="15" customHeight="1" s="783">
      <c r="B6672" s="901" t="n"/>
    </row>
    <row r="6673" ht="15" customHeight="1" s="783">
      <c r="B6673" s="901" t="n"/>
    </row>
    <row r="6674" ht="15" customHeight="1" s="783">
      <c r="B6674" s="901" t="n"/>
    </row>
    <row r="6675" ht="15" customHeight="1" s="783">
      <c r="B6675" s="901" t="n"/>
    </row>
    <row r="6676" ht="15" customHeight="1" s="783">
      <c r="B6676" s="901" t="n"/>
    </row>
    <row r="6677" ht="15" customHeight="1" s="783">
      <c r="B6677" s="901" t="n"/>
    </row>
    <row r="6678" ht="15" customHeight="1" s="783">
      <c r="B6678" s="901" t="n"/>
    </row>
    <row r="6679" ht="15" customHeight="1" s="783">
      <c r="B6679" s="901" t="n"/>
    </row>
    <row r="6680" ht="15" customHeight="1" s="783">
      <c r="B6680" s="901" t="n"/>
    </row>
    <row r="6681" ht="15" customHeight="1" s="783">
      <c r="B6681" s="901" t="n"/>
    </row>
    <row r="6682" ht="15" customHeight="1" s="783">
      <c r="B6682" s="901" t="n"/>
    </row>
    <row r="6683" ht="15" customHeight="1" s="783">
      <c r="B6683" s="901" t="n"/>
    </row>
    <row r="6684" ht="15" customHeight="1" s="783">
      <c r="B6684" s="901" t="n"/>
    </row>
    <row r="6685" ht="15" customHeight="1" s="783">
      <c r="B6685" s="901" t="n"/>
    </row>
    <row r="6686" ht="15" customHeight="1" s="783">
      <c r="B6686" s="901" t="n"/>
    </row>
    <row r="6687" ht="15" customHeight="1" s="783">
      <c r="B6687" s="901" t="n"/>
    </row>
    <row r="6688" ht="15" customHeight="1" s="783">
      <c r="B6688" s="901" t="n"/>
    </row>
    <row r="6689" ht="15" customHeight="1" s="783">
      <c r="B6689" s="901" t="n"/>
    </row>
    <row r="6690" ht="15" customHeight="1" s="783">
      <c r="B6690" s="901" t="n"/>
    </row>
    <row r="6691" ht="15" customHeight="1" s="783">
      <c r="B6691" s="901" t="n"/>
    </row>
    <row r="6692" ht="15" customHeight="1" s="783">
      <c r="B6692" s="901" t="n"/>
    </row>
    <row r="6693" ht="15" customHeight="1" s="783">
      <c r="B6693" s="901" t="n"/>
    </row>
    <row r="6694" ht="15" customHeight="1" s="783">
      <c r="B6694" s="901" t="n"/>
    </row>
    <row r="6695" ht="15" customHeight="1" s="783">
      <c r="B6695" s="901" t="n"/>
    </row>
    <row r="6696" ht="15" customHeight="1" s="783">
      <c r="B6696" s="901" t="n"/>
    </row>
    <row r="6697" ht="15" customHeight="1" s="783">
      <c r="B6697" s="901" t="n"/>
    </row>
    <row r="6698" ht="15" customHeight="1" s="783">
      <c r="B6698" s="901" t="n"/>
    </row>
    <row r="6699" ht="15" customHeight="1" s="783">
      <c r="B6699" s="901" t="n"/>
    </row>
    <row r="6700" ht="15" customHeight="1" s="783">
      <c r="B6700" s="901" t="n"/>
    </row>
    <row r="6701" ht="15" customHeight="1" s="783">
      <c r="B6701" s="901" t="n"/>
    </row>
    <row r="6702" ht="15" customHeight="1" s="783">
      <c r="B6702" s="901" t="n"/>
    </row>
    <row r="6703" ht="15" customHeight="1" s="783">
      <c r="B6703" s="901" t="n"/>
    </row>
    <row r="6704" ht="15" customHeight="1" s="783">
      <c r="B6704" s="901" t="n"/>
    </row>
    <row r="6705" ht="15" customHeight="1" s="783">
      <c r="B6705" s="901" t="n"/>
    </row>
    <row r="6706" ht="15" customHeight="1" s="783">
      <c r="B6706" s="901" t="n"/>
    </row>
    <row r="6707" ht="15" customHeight="1" s="783">
      <c r="B6707" s="901" t="n"/>
    </row>
    <row r="6708" ht="15" customHeight="1" s="783">
      <c r="B6708" s="901" t="n"/>
    </row>
    <row r="6709" ht="15" customHeight="1" s="783">
      <c r="B6709" s="901" t="n"/>
    </row>
    <row r="6710" ht="15" customHeight="1" s="783">
      <c r="B6710" s="901" t="n"/>
    </row>
    <row r="6711" ht="15" customHeight="1" s="783">
      <c r="B6711" s="901" t="n"/>
    </row>
    <row r="6712" ht="15" customHeight="1" s="783">
      <c r="B6712" s="901" t="n"/>
    </row>
    <row r="6713" ht="15" customHeight="1" s="783">
      <c r="B6713" s="901" t="n"/>
    </row>
    <row r="6714" ht="15" customHeight="1" s="783">
      <c r="B6714" s="901" t="n"/>
    </row>
    <row r="6715" ht="15" customHeight="1" s="783">
      <c r="B6715" s="901" t="n"/>
    </row>
    <row r="6716" ht="15" customHeight="1" s="783">
      <c r="B6716" s="901" t="n"/>
    </row>
    <row r="6717" ht="15" customHeight="1" s="783">
      <c r="B6717" s="901" t="n"/>
    </row>
    <row r="6718" ht="15" customHeight="1" s="783">
      <c r="B6718" s="901" t="n"/>
    </row>
    <row r="6719" ht="15" customHeight="1" s="783">
      <c r="B6719" s="901" t="n"/>
    </row>
    <row r="6720" ht="15" customHeight="1" s="783">
      <c r="B6720" s="901" t="n"/>
    </row>
    <row r="6721" ht="15" customHeight="1" s="783">
      <c r="B6721" s="901" t="n"/>
    </row>
    <row r="6722" ht="15" customHeight="1" s="783">
      <c r="B6722" s="901" t="n"/>
    </row>
    <row r="6723" ht="15" customHeight="1" s="783">
      <c r="B6723" s="901" t="n"/>
    </row>
    <row r="6724" ht="15" customHeight="1" s="783">
      <c r="B6724" s="901" t="n"/>
    </row>
    <row r="6725" ht="15" customHeight="1" s="783">
      <c r="B6725" s="901" t="n"/>
    </row>
    <row r="6726" ht="15" customHeight="1" s="783">
      <c r="B6726" s="901" t="n"/>
    </row>
    <row r="6727" ht="15" customHeight="1" s="783">
      <c r="B6727" s="901" t="n"/>
    </row>
    <row r="6728" ht="15" customHeight="1" s="783">
      <c r="B6728" s="901" t="n"/>
    </row>
    <row r="6729" ht="15" customHeight="1" s="783">
      <c r="B6729" s="901" t="n"/>
    </row>
    <row r="6730" ht="15" customHeight="1" s="783">
      <c r="B6730" s="901" t="n"/>
    </row>
    <row r="6731" ht="15" customHeight="1" s="783">
      <c r="B6731" s="901" t="n"/>
    </row>
    <row r="6732" ht="15" customHeight="1" s="783">
      <c r="B6732" s="901" t="n"/>
    </row>
    <row r="6733" ht="15" customHeight="1" s="783">
      <c r="B6733" s="901" t="n"/>
    </row>
    <row r="6734" ht="15" customHeight="1" s="783">
      <c r="B6734" s="901" t="n"/>
    </row>
    <row r="6735" ht="15" customHeight="1" s="783">
      <c r="B6735" s="901" t="n"/>
    </row>
    <row r="6736" ht="15" customHeight="1" s="783">
      <c r="B6736" s="901" t="n"/>
    </row>
    <row r="6737" ht="15" customHeight="1" s="783">
      <c r="B6737" s="901" t="n"/>
    </row>
    <row r="6738" ht="15" customHeight="1" s="783">
      <c r="B6738" s="901" t="n"/>
    </row>
    <row r="6739" ht="15" customHeight="1" s="783">
      <c r="B6739" s="901" t="n"/>
    </row>
    <row r="6740" ht="15" customHeight="1" s="783">
      <c r="B6740" s="901" t="n"/>
    </row>
    <row r="6741" ht="15" customHeight="1" s="783">
      <c r="B6741" s="901" t="n"/>
    </row>
    <row r="6742" ht="15" customHeight="1" s="783">
      <c r="B6742" s="901" t="n"/>
    </row>
    <row r="6743" ht="15" customHeight="1" s="783">
      <c r="B6743" s="901" t="n"/>
    </row>
    <row r="6744" ht="15" customHeight="1" s="783">
      <c r="B6744" s="901" t="n"/>
    </row>
    <row r="6745" ht="15" customHeight="1" s="783">
      <c r="B6745" s="901" t="n"/>
    </row>
    <row r="6746" ht="15" customHeight="1" s="783">
      <c r="B6746" s="901" t="n"/>
    </row>
    <row r="6747" ht="15" customHeight="1" s="783">
      <c r="B6747" s="901" t="n"/>
    </row>
    <row r="6748" ht="15" customHeight="1" s="783">
      <c r="B6748" s="901" t="n"/>
    </row>
    <row r="6749" ht="15" customHeight="1" s="783">
      <c r="B6749" s="901" t="n"/>
    </row>
    <row r="6750" ht="15" customHeight="1" s="783">
      <c r="B6750" s="901" t="n"/>
    </row>
    <row r="6751" ht="15" customHeight="1" s="783">
      <c r="B6751" s="901" t="n"/>
    </row>
    <row r="6752" ht="15" customHeight="1" s="783">
      <c r="B6752" s="901" t="n"/>
    </row>
    <row r="6753" ht="15" customHeight="1" s="783">
      <c r="B6753" s="901" t="n"/>
    </row>
    <row r="6754" ht="15" customHeight="1" s="783">
      <c r="B6754" s="901" t="n"/>
    </row>
    <row r="6755" ht="15" customHeight="1" s="783">
      <c r="B6755" s="901" t="n"/>
    </row>
    <row r="6756" ht="15" customHeight="1" s="783">
      <c r="B6756" s="901" t="n"/>
    </row>
    <row r="6757" ht="15" customHeight="1" s="783">
      <c r="B6757" s="901" t="n"/>
    </row>
    <row r="6758" ht="15" customHeight="1" s="783">
      <c r="B6758" s="901" t="n"/>
    </row>
    <row r="6759" ht="15" customHeight="1" s="783">
      <c r="B6759" s="901" t="n"/>
    </row>
    <row r="6760" ht="15" customHeight="1" s="783">
      <c r="B6760" s="901" t="n"/>
    </row>
    <row r="6761" ht="15" customHeight="1" s="783">
      <c r="B6761" s="901" t="n"/>
    </row>
    <row r="6762" ht="15" customHeight="1" s="783">
      <c r="B6762" s="901" t="n"/>
    </row>
    <row r="6763" ht="15" customHeight="1" s="783">
      <c r="B6763" s="901" t="n"/>
    </row>
    <row r="6764" ht="15" customHeight="1" s="783">
      <c r="B6764" s="901" t="n"/>
    </row>
    <row r="6765" ht="15" customHeight="1" s="783">
      <c r="B6765" s="901" t="n"/>
    </row>
    <row r="6766" ht="15" customHeight="1" s="783">
      <c r="B6766" s="901" t="n"/>
    </row>
    <row r="6767" ht="15" customHeight="1" s="783">
      <c r="B6767" s="901" t="n"/>
    </row>
    <row r="6768" ht="15" customHeight="1" s="783">
      <c r="B6768" s="901" t="n"/>
    </row>
    <row r="6769" ht="15" customHeight="1" s="783">
      <c r="B6769" s="901" t="n"/>
    </row>
    <row r="6770" ht="15" customHeight="1" s="783">
      <c r="B6770" s="901" t="n"/>
    </row>
    <row r="6771" ht="15" customHeight="1" s="783">
      <c r="B6771" s="901" t="n"/>
    </row>
    <row r="6772" ht="15" customHeight="1" s="783">
      <c r="B6772" s="901" t="n"/>
    </row>
    <row r="6773" ht="15" customHeight="1" s="783">
      <c r="B6773" s="901" t="n"/>
    </row>
    <row r="6774" ht="15" customHeight="1" s="783">
      <c r="B6774" s="901" t="n"/>
    </row>
    <row r="6775" ht="15" customHeight="1" s="783">
      <c r="B6775" s="901" t="n"/>
    </row>
    <row r="6776" ht="15" customHeight="1" s="783">
      <c r="B6776" s="901" t="n"/>
    </row>
    <row r="6777" ht="15" customHeight="1" s="783">
      <c r="B6777" s="901" t="n"/>
    </row>
    <row r="6778" ht="15" customHeight="1" s="783">
      <c r="B6778" s="901" t="n"/>
    </row>
    <row r="6779" ht="15" customHeight="1" s="783">
      <c r="B6779" s="901" t="n"/>
    </row>
    <row r="6780" ht="15" customHeight="1" s="783">
      <c r="B6780" s="901" t="n"/>
    </row>
    <row r="6781" ht="15" customHeight="1" s="783">
      <c r="B6781" s="901" t="n"/>
    </row>
    <row r="6782" ht="15" customHeight="1" s="783">
      <c r="B6782" s="901" t="n"/>
    </row>
    <row r="6783" ht="15" customHeight="1" s="783">
      <c r="B6783" s="901" t="n"/>
    </row>
    <row r="6784" ht="15" customHeight="1" s="783">
      <c r="B6784" s="901" t="n"/>
    </row>
    <row r="6785" ht="15" customHeight="1" s="783">
      <c r="B6785" s="901" t="n"/>
    </row>
    <row r="6786" ht="15" customHeight="1" s="783">
      <c r="B6786" s="901" t="n"/>
    </row>
    <row r="6787" ht="15" customHeight="1" s="783">
      <c r="B6787" s="901" t="n"/>
    </row>
    <row r="6788" ht="15" customHeight="1" s="783">
      <c r="B6788" s="901" t="n"/>
    </row>
    <row r="6789" ht="15" customHeight="1" s="783">
      <c r="B6789" s="901" t="n"/>
    </row>
    <row r="6790" ht="15" customHeight="1" s="783">
      <c r="B6790" s="901" t="n"/>
    </row>
    <row r="6791" ht="15" customHeight="1" s="783">
      <c r="B6791" s="901" t="n"/>
    </row>
    <row r="6792" ht="15" customHeight="1" s="783">
      <c r="B6792" s="901" t="n"/>
    </row>
    <row r="6793" ht="15" customHeight="1" s="783">
      <c r="B6793" s="901" t="n"/>
    </row>
    <row r="6794" ht="15" customHeight="1" s="783">
      <c r="B6794" s="901" t="n"/>
    </row>
    <row r="6795" ht="15" customHeight="1" s="783">
      <c r="B6795" s="901" t="n"/>
    </row>
    <row r="6796" ht="15" customHeight="1" s="783">
      <c r="B6796" s="901" t="n"/>
    </row>
    <row r="6797" ht="15" customHeight="1" s="783">
      <c r="B6797" s="901" t="n"/>
    </row>
    <row r="6798" ht="15" customHeight="1" s="783">
      <c r="B6798" s="901" t="n"/>
    </row>
    <row r="6799" ht="15" customHeight="1" s="783">
      <c r="B6799" s="901" t="n"/>
    </row>
    <row r="6800" ht="15" customHeight="1" s="783">
      <c r="B6800" s="901" t="n"/>
    </row>
    <row r="6801" ht="15" customHeight="1" s="783">
      <c r="B6801" s="901" t="n"/>
    </row>
    <row r="6802" ht="15" customHeight="1" s="783">
      <c r="B6802" s="901" t="n"/>
    </row>
    <row r="6803" ht="15" customHeight="1" s="783">
      <c r="B6803" s="901" t="n"/>
    </row>
    <row r="6804" ht="15" customHeight="1" s="783">
      <c r="B6804" s="901" t="n"/>
    </row>
    <row r="6805" ht="15" customHeight="1" s="783">
      <c r="B6805" s="901" t="n"/>
    </row>
    <row r="6806" ht="15" customHeight="1" s="783">
      <c r="B6806" s="901" t="n"/>
    </row>
    <row r="6807" ht="15" customHeight="1" s="783">
      <c r="B6807" s="901" t="n"/>
    </row>
    <row r="6808" ht="15" customHeight="1" s="783">
      <c r="B6808" s="901" t="n"/>
    </row>
    <row r="6809" ht="15" customHeight="1" s="783">
      <c r="B6809" s="901" t="n"/>
    </row>
    <row r="6810" ht="15" customHeight="1" s="783">
      <c r="B6810" s="901" t="n"/>
    </row>
    <row r="6811" ht="15" customHeight="1" s="783">
      <c r="B6811" s="901" t="n"/>
    </row>
    <row r="6812" ht="15" customHeight="1" s="783">
      <c r="B6812" s="901" t="n"/>
    </row>
    <row r="6813" ht="15" customHeight="1" s="783">
      <c r="B6813" s="901" t="n"/>
    </row>
    <row r="6814" ht="15" customHeight="1" s="783">
      <c r="B6814" s="901" t="n"/>
    </row>
    <row r="6815" ht="15" customHeight="1" s="783">
      <c r="B6815" s="901" t="n"/>
    </row>
    <row r="6816" ht="15" customHeight="1" s="783">
      <c r="B6816" s="901" t="n"/>
    </row>
    <row r="6817" ht="15" customHeight="1" s="783">
      <c r="B6817" s="901" t="n"/>
    </row>
    <row r="6818" ht="15" customHeight="1" s="783">
      <c r="B6818" s="901" t="n"/>
    </row>
    <row r="6819" ht="15" customHeight="1" s="783">
      <c r="B6819" s="901" t="n"/>
    </row>
    <row r="6820" ht="15" customHeight="1" s="783">
      <c r="B6820" s="901" t="n"/>
    </row>
    <row r="6821" ht="15" customHeight="1" s="783">
      <c r="B6821" s="901" t="n"/>
    </row>
    <row r="6822" ht="15" customHeight="1" s="783">
      <c r="B6822" s="901" t="n"/>
    </row>
    <row r="6823" ht="15" customHeight="1" s="783">
      <c r="B6823" s="901" t="n"/>
    </row>
    <row r="6824" ht="15" customHeight="1" s="783">
      <c r="B6824" s="901" t="n"/>
    </row>
    <row r="6825" ht="15" customHeight="1" s="783">
      <c r="B6825" s="901" t="n"/>
    </row>
    <row r="6826" ht="15" customHeight="1" s="783">
      <c r="B6826" s="901" t="n"/>
    </row>
    <row r="6827" ht="15" customHeight="1" s="783">
      <c r="B6827" s="901" t="n"/>
    </row>
    <row r="6828" ht="15" customHeight="1" s="783">
      <c r="B6828" s="901" t="n"/>
    </row>
    <row r="6829" ht="15" customHeight="1" s="783">
      <c r="B6829" s="901" t="n"/>
    </row>
    <row r="6830" ht="15" customHeight="1" s="783">
      <c r="B6830" s="901" t="n"/>
    </row>
    <row r="6831" ht="15" customHeight="1" s="783">
      <c r="B6831" s="901" t="n"/>
    </row>
    <row r="6832" ht="15" customHeight="1" s="783">
      <c r="B6832" s="901" t="n"/>
    </row>
    <row r="6833" ht="15" customHeight="1" s="783">
      <c r="B6833" s="901" t="n"/>
    </row>
    <row r="6834" ht="15" customHeight="1" s="783">
      <c r="B6834" s="901" t="n"/>
    </row>
    <row r="6835" ht="15" customHeight="1" s="783">
      <c r="B6835" s="901" t="n"/>
    </row>
    <row r="6836" ht="15" customHeight="1" s="783">
      <c r="B6836" s="901" t="n"/>
    </row>
    <row r="6837" ht="15" customHeight="1" s="783">
      <c r="B6837" s="901" t="n"/>
    </row>
    <row r="6838" ht="15" customHeight="1" s="783">
      <c r="B6838" s="901" t="n"/>
    </row>
    <row r="6839" ht="15" customHeight="1" s="783">
      <c r="B6839" s="901" t="n"/>
    </row>
    <row r="6840" ht="15" customHeight="1" s="783">
      <c r="B6840" s="901" t="n"/>
    </row>
    <row r="6841" ht="15" customHeight="1" s="783">
      <c r="B6841" s="901" t="n"/>
    </row>
    <row r="6842" ht="15" customHeight="1" s="783">
      <c r="B6842" s="901" t="n"/>
    </row>
    <row r="6843" ht="15" customHeight="1" s="783">
      <c r="B6843" s="901" t="n"/>
    </row>
    <row r="6844" ht="15" customHeight="1" s="783">
      <c r="B6844" s="901" t="n"/>
    </row>
    <row r="6845" ht="15" customHeight="1" s="783">
      <c r="B6845" s="901" t="n"/>
    </row>
    <row r="6846" ht="15" customHeight="1" s="783">
      <c r="B6846" s="901" t="n"/>
    </row>
    <row r="6847" ht="15" customHeight="1" s="783">
      <c r="B6847" s="901" t="n"/>
    </row>
    <row r="6848" ht="15" customHeight="1" s="783">
      <c r="B6848" s="901" t="n"/>
    </row>
    <row r="6849" ht="15" customHeight="1" s="783">
      <c r="B6849" s="901" t="n"/>
    </row>
    <row r="6850" ht="15" customHeight="1" s="783">
      <c r="B6850" s="901" t="n"/>
    </row>
    <row r="6851" ht="15" customHeight="1" s="783">
      <c r="B6851" s="901" t="n"/>
    </row>
    <row r="6852" ht="15" customHeight="1" s="783">
      <c r="B6852" s="901" t="n"/>
    </row>
    <row r="6853" ht="15" customHeight="1" s="783">
      <c r="B6853" s="901" t="n"/>
    </row>
    <row r="6854" ht="15" customHeight="1" s="783">
      <c r="B6854" s="901" t="n"/>
    </row>
    <row r="6855" ht="15" customHeight="1" s="783">
      <c r="B6855" s="901" t="n"/>
    </row>
    <row r="6856" ht="15" customHeight="1" s="783">
      <c r="B6856" s="901" t="n"/>
    </row>
    <row r="6857" ht="15" customHeight="1" s="783">
      <c r="B6857" s="901" t="n"/>
    </row>
    <row r="6858" ht="15" customHeight="1" s="783">
      <c r="B6858" s="901" t="n"/>
    </row>
    <row r="6859" ht="15" customHeight="1" s="783">
      <c r="B6859" s="901" t="n"/>
    </row>
    <row r="6860" ht="15" customHeight="1" s="783">
      <c r="B6860" s="901" t="n"/>
    </row>
    <row r="6861" ht="15" customHeight="1" s="783">
      <c r="B6861" s="901" t="n"/>
    </row>
    <row r="6862" ht="15" customHeight="1" s="783">
      <c r="B6862" s="901" t="n"/>
    </row>
    <row r="6863" ht="15" customHeight="1" s="783">
      <c r="B6863" s="901" t="n"/>
    </row>
    <row r="6864" ht="15" customHeight="1" s="783">
      <c r="B6864" s="901" t="n"/>
    </row>
    <row r="6865" ht="15" customHeight="1" s="783">
      <c r="B6865" s="901" t="n"/>
    </row>
    <row r="6866" ht="15" customHeight="1" s="783">
      <c r="B6866" s="901" t="n"/>
    </row>
    <row r="6867" ht="15" customHeight="1" s="783">
      <c r="B6867" s="901" t="n"/>
    </row>
    <row r="6868" ht="15" customHeight="1" s="783">
      <c r="B6868" s="901" t="n"/>
    </row>
    <row r="6869" ht="15" customHeight="1" s="783">
      <c r="B6869" s="901" t="n"/>
    </row>
    <row r="6870" ht="15" customHeight="1" s="783">
      <c r="B6870" s="901" t="n"/>
    </row>
    <row r="6871" ht="15" customHeight="1" s="783">
      <c r="B6871" s="901" t="n"/>
    </row>
    <row r="6872" ht="15" customHeight="1" s="783">
      <c r="B6872" s="901" t="n"/>
    </row>
    <row r="6873" ht="15" customHeight="1" s="783">
      <c r="B6873" s="901" t="n"/>
    </row>
    <row r="6874" ht="15" customHeight="1" s="783">
      <c r="B6874" s="901" t="n"/>
    </row>
    <row r="6875" ht="15" customHeight="1" s="783">
      <c r="B6875" s="901" t="n"/>
    </row>
    <row r="6876" ht="15" customHeight="1" s="783">
      <c r="B6876" s="901" t="n"/>
    </row>
    <row r="6877" ht="15" customHeight="1" s="783">
      <c r="B6877" s="901" t="n"/>
    </row>
    <row r="6878" ht="15" customHeight="1" s="783">
      <c r="B6878" s="901" t="n"/>
    </row>
    <row r="6879" ht="15" customHeight="1" s="783">
      <c r="B6879" s="901" t="n"/>
    </row>
    <row r="6880" ht="15" customHeight="1" s="783">
      <c r="B6880" s="901" t="n"/>
    </row>
    <row r="6881" ht="15" customHeight="1" s="783">
      <c r="B6881" s="901" t="n"/>
    </row>
    <row r="6882" ht="15" customHeight="1" s="783">
      <c r="B6882" s="901" t="n"/>
    </row>
    <row r="6883" ht="15" customHeight="1" s="783">
      <c r="B6883" s="901" t="n"/>
    </row>
    <row r="6884" ht="15" customHeight="1" s="783">
      <c r="B6884" s="901" t="n"/>
    </row>
    <row r="6885" ht="15" customHeight="1" s="783">
      <c r="B6885" s="901" t="n"/>
    </row>
    <row r="6886" ht="15" customHeight="1" s="783">
      <c r="B6886" s="901" t="n"/>
    </row>
    <row r="6887" ht="15" customHeight="1" s="783">
      <c r="B6887" s="901" t="n"/>
    </row>
    <row r="6888" ht="15" customHeight="1" s="783">
      <c r="B6888" s="901" t="n"/>
    </row>
    <row r="6889" ht="15" customHeight="1" s="783">
      <c r="B6889" s="901" t="n"/>
    </row>
    <row r="6890" ht="15" customHeight="1" s="783">
      <c r="B6890" s="901" t="n"/>
    </row>
    <row r="6891" ht="15" customHeight="1" s="783">
      <c r="B6891" s="901" t="n"/>
    </row>
    <row r="6892" ht="15" customHeight="1" s="783">
      <c r="B6892" s="901" t="n"/>
    </row>
    <row r="6893" ht="15" customHeight="1" s="783">
      <c r="B6893" s="901" t="n"/>
    </row>
    <row r="6894" ht="15" customHeight="1" s="783">
      <c r="B6894" s="901" t="n"/>
    </row>
    <row r="6895" ht="15" customHeight="1" s="783">
      <c r="B6895" s="901" t="n"/>
    </row>
    <row r="6896" ht="15" customHeight="1" s="783">
      <c r="B6896" s="901" t="n"/>
    </row>
    <row r="6897" ht="15" customHeight="1" s="783">
      <c r="B6897" s="901" t="n"/>
    </row>
    <row r="6898" ht="15" customHeight="1" s="783">
      <c r="B6898" s="901" t="n"/>
    </row>
    <row r="6899" ht="15" customHeight="1" s="783">
      <c r="B6899" s="901" t="n"/>
    </row>
    <row r="6900" ht="15" customHeight="1" s="783">
      <c r="B6900" s="901" t="n"/>
    </row>
    <row r="6901" ht="15" customHeight="1" s="783">
      <c r="B6901" s="901" t="n"/>
    </row>
    <row r="6902" ht="15" customHeight="1" s="783">
      <c r="B6902" s="901" t="n"/>
    </row>
    <row r="6903" ht="15" customHeight="1" s="783">
      <c r="B6903" s="901" t="n"/>
    </row>
    <row r="6904" ht="15" customHeight="1" s="783">
      <c r="B6904" s="901" t="n"/>
    </row>
    <row r="6905" ht="15" customHeight="1" s="783">
      <c r="B6905" s="901" t="n"/>
    </row>
    <row r="6906" ht="15" customHeight="1" s="783">
      <c r="B6906" s="901" t="n"/>
    </row>
    <row r="6907" ht="15" customHeight="1" s="783">
      <c r="B6907" s="901" t="n"/>
    </row>
    <row r="6908" ht="15" customHeight="1" s="783">
      <c r="B6908" s="901" t="n"/>
    </row>
    <row r="6909" ht="15" customHeight="1" s="783">
      <c r="B6909" s="901" t="n"/>
    </row>
    <row r="6910" ht="15" customHeight="1" s="783">
      <c r="B6910" s="901" t="n"/>
    </row>
    <row r="6911" ht="15" customHeight="1" s="783">
      <c r="B6911" s="901" t="n"/>
    </row>
    <row r="6912" ht="15" customHeight="1" s="783">
      <c r="B6912" s="901" t="n"/>
    </row>
    <row r="6913" ht="15" customHeight="1" s="783">
      <c r="B6913" s="901" t="n"/>
    </row>
    <row r="6914" ht="15" customHeight="1" s="783">
      <c r="B6914" s="901" t="n"/>
    </row>
    <row r="6915" ht="15" customHeight="1" s="783">
      <c r="B6915" s="901" t="n"/>
    </row>
    <row r="6916" ht="15" customHeight="1" s="783">
      <c r="B6916" s="901" t="n"/>
    </row>
    <row r="6917" ht="15" customHeight="1" s="783">
      <c r="B6917" s="901" t="n"/>
    </row>
    <row r="6918" ht="15" customHeight="1" s="783">
      <c r="B6918" s="901" t="n"/>
    </row>
    <row r="6919" ht="15" customHeight="1" s="783">
      <c r="B6919" s="901" t="n"/>
    </row>
    <row r="6920" ht="15" customHeight="1" s="783">
      <c r="B6920" s="901" t="n"/>
    </row>
    <row r="6921" ht="15" customHeight="1" s="783">
      <c r="B6921" s="901" t="n"/>
    </row>
    <row r="6922" ht="15" customHeight="1" s="783">
      <c r="B6922" s="901" t="n"/>
    </row>
    <row r="6923" ht="15" customHeight="1" s="783">
      <c r="B6923" s="901" t="n"/>
    </row>
    <row r="6924" ht="15" customHeight="1" s="783">
      <c r="B6924" s="901" t="n"/>
    </row>
    <row r="6925" ht="15" customHeight="1" s="783">
      <c r="B6925" s="901" t="n"/>
    </row>
    <row r="6926" ht="15" customHeight="1" s="783">
      <c r="B6926" s="901" t="n"/>
    </row>
    <row r="6927" ht="15" customHeight="1" s="783">
      <c r="B6927" s="901" t="n"/>
    </row>
    <row r="6928" ht="15" customHeight="1" s="783">
      <c r="B6928" s="901" t="n"/>
    </row>
    <row r="6929" ht="15" customHeight="1" s="783">
      <c r="B6929" s="901" t="n"/>
    </row>
    <row r="6930" ht="15" customHeight="1" s="783">
      <c r="B6930" s="901" t="n"/>
    </row>
    <row r="6931" ht="15" customHeight="1" s="783">
      <c r="B6931" s="901" t="n"/>
    </row>
    <row r="6932" ht="15" customHeight="1" s="783">
      <c r="B6932" s="901" t="n"/>
    </row>
    <row r="6933" ht="15" customHeight="1" s="783">
      <c r="B6933" s="901" t="n"/>
    </row>
    <row r="6934" ht="15" customHeight="1" s="783">
      <c r="B6934" s="901" t="n"/>
    </row>
    <row r="6935" ht="15" customHeight="1" s="783">
      <c r="B6935" s="901" t="n"/>
    </row>
    <row r="6936" ht="15" customHeight="1" s="783">
      <c r="B6936" s="901" t="n"/>
    </row>
    <row r="6937" ht="15" customHeight="1" s="783">
      <c r="B6937" s="901" t="n"/>
    </row>
    <row r="6938" ht="15" customHeight="1" s="783">
      <c r="B6938" s="901" t="n"/>
    </row>
    <row r="6939" ht="15" customHeight="1" s="783">
      <c r="B6939" s="901" t="n"/>
    </row>
    <row r="6940" ht="15" customHeight="1" s="783">
      <c r="B6940" s="901" t="n"/>
    </row>
    <row r="6941" ht="15" customHeight="1" s="783">
      <c r="B6941" s="901" t="n"/>
    </row>
    <row r="6942" ht="15" customHeight="1" s="783">
      <c r="B6942" s="901" t="n"/>
    </row>
    <row r="6943" ht="15" customHeight="1" s="783">
      <c r="B6943" s="901" t="n"/>
    </row>
    <row r="6944" ht="15" customHeight="1" s="783">
      <c r="B6944" s="901" t="n"/>
    </row>
    <row r="6945" ht="15" customHeight="1" s="783">
      <c r="B6945" s="901" t="n"/>
    </row>
    <row r="6946" ht="15" customHeight="1" s="783">
      <c r="B6946" s="901" t="n"/>
    </row>
    <row r="6947" ht="15" customHeight="1" s="783">
      <c r="B6947" s="901" t="n"/>
    </row>
    <row r="6948" ht="15" customHeight="1" s="783">
      <c r="B6948" s="901" t="n"/>
    </row>
    <row r="6949" ht="15" customHeight="1" s="783">
      <c r="B6949" s="901" t="n"/>
    </row>
    <row r="6950" ht="15" customHeight="1" s="783">
      <c r="B6950" s="901" t="n"/>
    </row>
    <row r="6951" ht="15" customHeight="1" s="783">
      <c r="B6951" s="901" t="n"/>
    </row>
    <row r="6952" ht="15" customHeight="1" s="783">
      <c r="B6952" s="901" t="n"/>
    </row>
    <row r="6953" ht="15" customHeight="1" s="783">
      <c r="B6953" s="901" t="n"/>
    </row>
    <row r="6954" ht="15" customHeight="1" s="783">
      <c r="B6954" s="901" t="n"/>
    </row>
    <row r="6955" ht="15" customHeight="1" s="783">
      <c r="B6955" s="901" t="n"/>
    </row>
    <row r="6956" ht="15" customHeight="1" s="783">
      <c r="B6956" s="901" t="n"/>
    </row>
    <row r="6957" ht="15" customHeight="1" s="783">
      <c r="B6957" s="901" t="n"/>
    </row>
    <row r="6958" ht="15" customHeight="1" s="783">
      <c r="B6958" s="901" t="n"/>
    </row>
    <row r="6959" ht="15" customHeight="1" s="783">
      <c r="B6959" s="901" t="n"/>
    </row>
    <row r="6960" ht="15" customHeight="1" s="783">
      <c r="B6960" s="901" t="n"/>
    </row>
    <row r="6961" ht="15" customHeight="1" s="783">
      <c r="B6961" s="901" t="n"/>
    </row>
    <row r="6962" ht="15" customHeight="1" s="783">
      <c r="B6962" s="901" t="n"/>
    </row>
    <row r="6963" ht="15" customHeight="1" s="783">
      <c r="B6963" s="901" t="n"/>
    </row>
    <row r="6964" ht="15" customHeight="1" s="783">
      <c r="B6964" s="901" t="n"/>
    </row>
    <row r="6965" ht="15" customHeight="1" s="783">
      <c r="B6965" s="901" t="n"/>
    </row>
    <row r="6966" ht="15" customHeight="1" s="783">
      <c r="B6966" s="901" t="n"/>
    </row>
    <row r="6967" ht="15" customHeight="1" s="783">
      <c r="B6967" s="901" t="n"/>
    </row>
    <row r="6968" ht="15" customHeight="1" s="783">
      <c r="B6968" s="901" t="n"/>
    </row>
    <row r="6969" ht="15" customHeight="1" s="783">
      <c r="B6969" s="901" t="n"/>
    </row>
    <row r="6970" ht="15" customHeight="1" s="783">
      <c r="B6970" s="901" t="n"/>
    </row>
    <row r="6971" ht="15" customHeight="1" s="783">
      <c r="B6971" s="901" t="n"/>
    </row>
    <row r="6972" ht="15" customHeight="1" s="783">
      <c r="B6972" s="901" t="n"/>
    </row>
    <row r="6973" ht="15" customHeight="1" s="783">
      <c r="B6973" s="901" t="n"/>
    </row>
    <row r="6974" ht="15" customHeight="1" s="783">
      <c r="B6974" s="901" t="n"/>
    </row>
    <row r="6975" ht="15" customHeight="1" s="783">
      <c r="B6975" s="901" t="n"/>
    </row>
    <row r="6976" ht="15" customHeight="1" s="783">
      <c r="B6976" s="901" t="n"/>
    </row>
    <row r="6977" ht="15" customHeight="1" s="783">
      <c r="B6977" s="901" t="n"/>
    </row>
    <row r="6978" ht="15" customHeight="1" s="783">
      <c r="B6978" s="901" t="n"/>
    </row>
    <row r="6979" ht="15" customHeight="1" s="783">
      <c r="B6979" s="901" t="n"/>
    </row>
    <row r="6980" ht="15" customHeight="1" s="783">
      <c r="B6980" s="901" t="n"/>
    </row>
    <row r="6981" ht="15" customHeight="1" s="783">
      <c r="B6981" s="901" t="n"/>
    </row>
    <row r="6982" ht="15" customHeight="1" s="783">
      <c r="B6982" s="901" t="n"/>
    </row>
    <row r="6983" ht="15" customHeight="1" s="783">
      <c r="B6983" s="901" t="n"/>
    </row>
    <row r="6984" ht="15" customHeight="1" s="783">
      <c r="B6984" s="901" t="n"/>
    </row>
    <row r="6985" ht="15" customHeight="1" s="783">
      <c r="B6985" s="901" t="n"/>
    </row>
    <row r="6986" ht="15" customHeight="1" s="783">
      <c r="B6986" s="901" t="n"/>
    </row>
    <row r="6987" ht="15" customHeight="1" s="783">
      <c r="B6987" s="901" t="n"/>
    </row>
    <row r="6988" ht="15" customHeight="1" s="783">
      <c r="B6988" s="901" t="n"/>
    </row>
    <row r="6989" ht="15" customHeight="1" s="783">
      <c r="B6989" s="901" t="n"/>
    </row>
    <row r="6990" ht="15" customHeight="1" s="783">
      <c r="B6990" s="901" t="n"/>
    </row>
    <row r="6991" ht="15" customHeight="1" s="783">
      <c r="B6991" s="901" t="n"/>
    </row>
    <row r="6992" ht="15" customHeight="1" s="783">
      <c r="B6992" s="901" t="n"/>
    </row>
    <row r="6993" ht="15" customHeight="1" s="783">
      <c r="B6993" s="901" t="n"/>
    </row>
    <row r="6994" ht="15" customHeight="1" s="783">
      <c r="B6994" s="901" t="n"/>
    </row>
    <row r="6995" ht="15" customHeight="1" s="783">
      <c r="B6995" s="901" t="n"/>
    </row>
    <row r="6996" ht="15" customHeight="1" s="783">
      <c r="B6996" s="901" t="n"/>
    </row>
    <row r="6997" ht="15" customHeight="1" s="783">
      <c r="B6997" s="901" t="n"/>
    </row>
    <row r="6998" ht="15" customHeight="1" s="783">
      <c r="B6998" s="901" t="n"/>
    </row>
    <row r="6999" ht="15" customHeight="1" s="783">
      <c r="B6999" s="901" t="n"/>
    </row>
    <row r="7000" ht="15" customHeight="1" s="783">
      <c r="B7000" s="901" t="n"/>
    </row>
    <row r="7001" ht="15" customHeight="1" s="783">
      <c r="B7001" s="901" t="n"/>
    </row>
    <row r="7002" ht="15" customHeight="1" s="783">
      <c r="B7002" s="901" t="n"/>
    </row>
    <row r="7003" ht="15" customHeight="1" s="783">
      <c r="B7003" s="901" t="n"/>
    </row>
    <row r="7004" ht="15" customHeight="1" s="783">
      <c r="B7004" s="901" t="n"/>
    </row>
    <row r="7005" ht="15" customHeight="1" s="783">
      <c r="B7005" s="901" t="n"/>
    </row>
    <row r="7006" ht="15" customHeight="1" s="783">
      <c r="B7006" s="901" t="n"/>
    </row>
    <row r="7007" ht="15" customHeight="1" s="783">
      <c r="B7007" s="901" t="n"/>
    </row>
    <row r="7008" ht="15" customHeight="1" s="783">
      <c r="B7008" s="901" t="n"/>
    </row>
    <row r="7009" ht="15" customHeight="1" s="783">
      <c r="B7009" s="901" t="n"/>
    </row>
    <row r="7010" ht="15" customHeight="1" s="783">
      <c r="B7010" s="901" t="n"/>
    </row>
    <row r="7011" ht="15" customHeight="1" s="783">
      <c r="B7011" s="901" t="n"/>
    </row>
    <row r="7012" ht="15" customHeight="1" s="783">
      <c r="B7012" s="901" t="n"/>
    </row>
    <row r="7013" ht="15" customHeight="1" s="783">
      <c r="B7013" s="901" t="n"/>
    </row>
    <row r="7014" ht="15" customHeight="1" s="783">
      <c r="B7014" s="901" t="n"/>
    </row>
    <row r="7015" ht="15" customHeight="1" s="783">
      <c r="B7015" s="901" t="n"/>
    </row>
    <row r="7016" ht="15" customHeight="1" s="783">
      <c r="B7016" s="901" t="n"/>
    </row>
    <row r="7017" ht="15" customHeight="1" s="783">
      <c r="B7017" s="901" t="n"/>
    </row>
    <row r="7018" ht="15" customHeight="1" s="783">
      <c r="B7018" s="901" t="n"/>
    </row>
    <row r="7019" ht="15" customHeight="1" s="783">
      <c r="B7019" s="901" t="n"/>
    </row>
    <row r="7020" ht="15" customHeight="1" s="783">
      <c r="B7020" s="901" t="n"/>
    </row>
    <row r="7021" ht="15" customHeight="1" s="783">
      <c r="B7021" s="901" t="n"/>
    </row>
    <row r="7022" ht="15" customHeight="1" s="783">
      <c r="B7022" s="901" t="n"/>
    </row>
    <row r="7023" ht="15" customHeight="1" s="783">
      <c r="B7023" s="901" t="n"/>
    </row>
    <row r="7024" ht="15" customHeight="1" s="783">
      <c r="B7024" s="901" t="n"/>
    </row>
    <row r="7025" ht="15" customHeight="1" s="783">
      <c r="B7025" s="901" t="n"/>
    </row>
    <row r="7026" ht="15" customHeight="1" s="783">
      <c r="B7026" s="901" t="n"/>
    </row>
    <row r="7027" ht="15" customHeight="1" s="783">
      <c r="B7027" s="901" t="n"/>
    </row>
    <row r="7028" ht="15" customHeight="1" s="783">
      <c r="B7028" s="901" t="n"/>
    </row>
    <row r="7029" ht="15" customHeight="1" s="783">
      <c r="B7029" s="901" t="n"/>
    </row>
    <row r="7030" ht="15" customHeight="1" s="783">
      <c r="B7030" s="901" t="n"/>
    </row>
    <row r="7031" ht="15" customHeight="1" s="783">
      <c r="B7031" s="901" t="n"/>
    </row>
    <row r="7032" ht="15" customHeight="1" s="783">
      <c r="B7032" s="901" t="n"/>
    </row>
    <row r="7033" ht="15" customHeight="1" s="783">
      <c r="B7033" s="901" t="n"/>
    </row>
    <row r="7034" ht="15" customHeight="1" s="783">
      <c r="B7034" s="901" t="n"/>
    </row>
    <row r="7035" ht="15" customHeight="1" s="783">
      <c r="B7035" s="901" t="n"/>
    </row>
    <row r="7036" ht="15" customHeight="1" s="783">
      <c r="B7036" s="901" t="n"/>
    </row>
    <row r="7037" ht="15" customHeight="1" s="783">
      <c r="B7037" s="901" t="n"/>
    </row>
    <row r="7038" ht="15" customHeight="1" s="783">
      <c r="B7038" s="901" t="n"/>
    </row>
    <row r="7039" ht="15" customHeight="1" s="783">
      <c r="B7039" s="901" t="n"/>
    </row>
    <row r="7040" ht="15" customHeight="1" s="783">
      <c r="B7040" s="901" t="n"/>
    </row>
    <row r="7041" ht="15" customHeight="1" s="783">
      <c r="B7041" s="901" t="n"/>
    </row>
    <row r="7042" ht="15" customHeight="1" s="783">
      <c r="B7042" s="901" t="n"/>
    </row>
    <row r="7043" ht="15" customHeight="1" s="783">
      <c r="B7043" s="901" t="n"/>
    </row>
    <row r="7044" ht="15" customHeight="1" s="783">
      <c r="B7044" s="901" t="n"/>
    </row>
    <row r="7045" ht="15" customHeight="1" s="783">
      <c r="B7045" s="901" t="n"/>
    </row>
    <row r="7046" ht="15" customHeight="1" s="783">
      <c r="B7046" s="901" t="n"/>
    </row>
    <row r="7047" ht="15" customHeight="1" s="783">
      <c r="B7047" s="901" t="n"/>
    </row>
    <row r="7048" ht="15" customHeight="1" s="783">
      <c r="B7048" s="901" t="n"/>
    </row>
    <row r="7049" ht="15" customHeight="1" s="783">
      <c r="B7049" s="901" t="n"/>
    </row>
    <row r="7050" ht="15" customHeight="1" s="783">
      <c r="B7050" s="901" t="n"/>
    </row>
    <row r="7051" ht="15" customHeight="1" s="783">
      <c r="B7051" s="901" t="n"/>
    </row>
    <row r="7052" ht="15" customHeight="1" s="783">
      <c r="B7052" s="901" t="n"/>
    </row>
    <row r="7053" ht="15" customHeight="1" s="783">
      <c r="B7053" s="901" t="n"/>
    </row>
    <row r="7054" ht="15" customHeight="1" s="783">
      <c r="B7054" s="901" t="n"/>
    </row>
    <row r="7055" ht="15" customHeight="1" s="783">
      <c r="B7055" s="901" t="n"/>
    </row>
    <row r="7056" ht="15" customHeight="1" s="783">
      <c r="B7056" s="901" t="n"/>
    </row>
    <row r="7057" ht="15" customHeight="1" s="783">
      <c r="B7057" s="901" t="n"/>
    </row>
    <row r="7058" ht="15" customHeight="1" s="783">
      <c r="B7058" s="901" t="n"/>
    </row>
    <row r="7059" ht="15" customHeight="1" s="783">
      <c r="B7059" s="901" t="n"/>
    </row>
    <row r="7060" ht="15" customHeight="1" s="783">
      <c r="B7060" s="901" t="n"/>
    </row>
    <row r="7061" ht="15" customHeight="1" s="783">
      <c r="B7061" s="901" t="n"/>
    </row>
    <row r="7062" ht="15" customHeight="1" s="783">
      <c r="B7062" s="901" t="n"/>
    </row>
    <row r="7063" ht="15" customHeight="1" s="783">
      <c r="B7063" s="901" t="n"/>
    </row>
    <row r="7064" ht="15" customHeight="1" s="783">
      <c r="B7064" s="901" t="n"/>
    </row>
    <row r="7065" ht="15" customHeight="1" s="783">
      <c r="B7065" s="901" t="n"/>
    </row>
    <row r="7066" ht="15" customHeight="1" s="783">
      <c r="B7066" s="901" t="n"/>
    </row>
    <row r="7067" ht="15" customHeight="1" s="783">
      <c r="B7067" s="901" t="n"/>
    </row>
    <row r="7068" ht="15" customHeight="1" s="783">
      <c r="B7068" s="901" t="n"/>
    </row>
    <row r="7069" ht="15" customHeight="1" s="783">
      <c r="B7069" s="901" t="n"/>
    </row>
    <row r="7070" ht="15" customHeight="1" s="783">
      <c r="B7070" s="901" t="n"/>
    </row>
    <row r="7071" ht="15" customHeight="1" s="783">
      <c r="B7071" s="901" t="n"/>
    </row>
    <row r="7072" ht="15" customHeight="1" s="783">
      <c r="B7072" s="901" t="n"/>
    </row>
    <row r="7073" ht="15" customHeight="1" s="783">
      <c r="B7073" s="901" t="n"/>
    </row>
    <row r="7074" ht="15" customHeight="1" s="783">
      <c r="B7074" s="901" t="n"/>
    </row>
    <row r="7075" ht="15" customHeight="1" s="783">
      <c r="B7075" s="901" t="n"/>
    </row>
    <row r="7076" ht="15" customHeight="1" s="783">
      <c r="B7076" s="901" t="n"/>
    </row>
    <row r="7077" ht="15" customHeight="1" s="783">
      <c r="B7077" s="901" t="n"/>
    </row>
    <row r="7078" ht="15" customHeight="1" s="783">
      <c r="B7078" s="901" t="n"/>
    </row>
    <row r="7079" ht="15" customHeight="1" s="783">
      <c r="B7079" s="901" t="n"/>
    </row>
    <row r="7080" ht="15" customHeight="1" s="783">
      <c r="B7080" s="901" t="n"/>
    </row>
    <row r="7081" ht="15" customHeight="1" s="783">
      <c r="B7081" s="901" t="n"/>
    </row>
    <row r="7082" ht="15" customHeight="1" s="783">
      <c r="B7082" s="901" t="n"/>
    </row>
    <row r="7083" ht="15" customHeight="1" s="783">
      <c r="B7083" s="901" t="n"/>
    </row>
    <row r="7084" ht="15" customHeight="1" s="783">
      <c r="B7084" s="901" t="n"/>
    </row>
    <row r="7085" ht="15" customHeight="1" s="783">
      <c r="B7085" s="901" t="n"/>
    </row>
    <row r="7086" ht="15" customHeight="1" s="783">
      <c r="B7086" s="901" t="n"/>
    </row>
    <row r="7087" ht="15" customHeight="1" s="783">
      <c r="B7087" s="901" t="n"/>
    </row>
    <row r="7088" ht="15" customHeight="1" s="783">
      <c r="B7088" s="901" t="n"/>
    </row>
    <row r="7089" ht="15" customHeight="1" s="783">
      <c r="B7089" s="901" t="n"/>
    </row>
    <row r="7090" ht="15" customHeight="1" s="783">
      <c r="B7090" s="901" t="n"/>
    </row>
    <row r="7091" ht="15" customHeight="1" s="783">
      <c r="B7091" s="901" t="n"/>
    </row>
    <row r="7092" ht="15" customHeight="1" s="783">
      <c r="B7092" s="901" t="n"/>
    </row>
    <row r="7093" ht="15" customHeight="1" s="783">
      <c r="B7093" s="901" t="n"/>
    </row>
    <row r="7094" ht="15" customHeight="1" s="783">
      <c r="B7094" s="901" t="n"/>
    </row>
    <row r="7095" ht="15" customHeight="1" s="783">
      <c r="B7095" s="901" t="n"/>
    </row>
    <row r="7096" ht="15" customHeight="1" s="783">
      <c r="B7096" s="901" t="n"/>
    </row>
    <row r="7097" ht="15" customHeight="1" s="783">
      <c r="B7097" s="901" t="n"/>
    </row>
    <row r="7098" ht="15" customHeight="1" s="783">
      <c r="B7098" s="901" t="n"/>
    </row>
    <row r="7099" ht="15" customHeight="1" s="783">
      <c r="B7099" s="901" t="n"/>
    </row>
    <row r="7100" ht="15" customHeight="1" s="783">
      <c r="B7100" s="901" t="n"/>
    </row>
    <row r="7101" ht="15" customHeight="1" s="783">
      <c r="B7101" s="901" t="n"/>
    </row>
    <row r="7102" ht="15" customHeight="1" s="783">
      <c r="B7102" s="901" t="n"/>
    </row>
    <row r="7103" ht="15" customHeight="1" s="783">
      <c r="B7103" s="901" t="n"/>
    </row>
    <row r="7104" ht="15" customHeight="1" s="783">
      <c r="B7104" s="901" t="n"/>
    </row>
    <row r="7105" ht="15" customHeight="1" s="783">
      <c r="B7105" s="901" t="n"/>
    </row>
    <row r="7106" ht="15" customHeight="1" s="783">
      <c r="B7106" s="901" t="n"/>
    </row>
    <row r="7107" ht="15" customHeight="1" s="783">
      <c r="B7107" s="901" t="n"/>
    </row>
    <row r="7108" ht="15" customHeight="1" s="783">
      <c r="B7108" s="901" t="n"/>
    </row>
    <row r="7109" ht="15" customHeight="1" s="783">
      <c r="B7109" s="901" t="n"/>
    </row>
    <row r="7110" ht="15" customHeight="1" s="783">
      <c r="B7110" s="901" t="n"/>
    </row>
    <row r="7111" ht="15" customHeight="1" s="783">
      <c r="B7111" s="901" t="n"/>
    </row>
    <row r="7112" ht="15" customHeight="1" s="783">
      <c r="B7112" s="901" t="n"/>
    </row>
    <row r="7113" ht="15" customHeight="1" s="783">
      <c r="B7113" s="901" t="n"/>
    </row>
    <row r="7114" ht="15" customHeight="1" s="783">
      <c r="B7114" s="901" t="n"/>
    </row>
    <row r="7115" ht="15" customHeight="1" s="783">
      <c r="B7115" s="901" t="n"/>
    </row>
    <row r="7116" ht="15" customHeight="1" s="783">
      <c r="B7116" s="901" t="n"/>
    </row>
    <row r="7117" ht="15" customHeight="1" s="783">
      <c r="B7117" s="901" t="n"/>
    </row>
    <row r="7118" ht="15" customHeight="1" s="783">
      <c r="B7118" s="901" t="n"/>
    </row>
    <row r="7119" ht="15" customHeight="1" s="783">
      <c r="B7119" s="901" t="n"/>
    </row>
    <row r="7120" ht="15" customHeight="1" s="783">
      <c r="B7120" s="901" t="n"/>
    </row>
    <row r="7121" ht="15" customHeight="1" s="783">
      <c r="B7121" s="901" t="n"/>
    </row>
    <row r="7122" ht="15" customHeight="1" s="783">
      <c r="B7122" s="901" t="n"/>
    </row>
    <row r="7123" ht="15" customHeight="1" s="783">
      <c r="B7123" s="901" t="n"/>
    </row>
    <row r="7124" ht="15" customHeight="1" s="783">
      <c r="B7124" s="901" t="n"/>
    </row>
    <row r="7125" ht="15" customHeight="1" s="783">
      <c r="B7125" s="901" t="n"/>
    </row>
    <row r="7126" ht="15" customHeight="1" s="783">
      <c r="B7126" s="901" t="n"/>
    </row>
    <row r="7127" ht="15" customHeight="1" s="783">
      <c r="B7127" s="901" t="n"/>
    </row>
    <row r="7128" ht="15" customHeight="1" s="783">
      <c r="B7128" s="901" t="n"/>
    </row>
    <row r="7129" ht="15" customHeight="1" s="783">
      <c r="B7129" s="901" t="n"/>
    </row>
    <row r="7130" ht="15" customHeight="1" s="783">
      <c r="B7130" s="901" t="n"/>
    </row>
    <row r="7131" ht="15" customHeight="1" s="783">
      <c r="B7131" s="901" t="n"/>
    </row>
    <row r="7132" ht="15" customHeight="1" s="783">
      <c r="B7132" s="901" t="n"/>
    </row>
    <row r="7133" ht="15" customHeight="1" s="783">
      <c r="B7133" s="901" t="n"/>
    </row>
    <row r="7134" ht="15" customHeight="1" s="783">
      <c r="B7134" s="901" t="n"/>
    </row>
    <row r="7135" ht="15" customHeight="1" s="783">
      <c r="B7135" s="901" t="n"/>
    </row>
    <row r="7136" ht="15" customHeight="1" s="783">
      <c r="B7136" s="901" t="n"/>
    </row>
    <row r="7137" ht="15" customHeight="1" s="783">
      <c r="B7137" s="901" t="n"/>
    </row>
    <row r="7138" ht="15" customHeight="1" s="783">
      <c r="B7138" s="901" t="n"/>
    </row>
    <row r="7139" ht="15" customHeight="1" s="783">
      <c r="B7139" s="901" t="n"/>
    </row>
    <row r="7140" ht="15" customHeight="1" s="783">
      <c r="B7140" s="901" t="n"/>
    </row>
    <row r="7141" ht="15" customHeight="1" s="783">
      <c r="B7141" s="901" t="n"/>
    </row>
    <row r="7142" ht="15" customHeight="1" s="783">
      <c r="B7142" s="901" t="n"/>
    </row>
    <row r="7143" ht="15" customHeight="1" s="783">
      <c r="B7143" s="901" t="n"/>
    </row>
    <row r="7144" ht="15" customHeight="1" s="783">
      <c r="B7144" s="901" t="n"/>
    </row>
    <row r="7145" ht="15" customHeight="1" s="783">
      <c r="B7145" s="901" t="n"/>
    </row>
    <row r="7146" ht="15" customHeight="1" s="783">
      <c r="B7146" s="901" t="n"/>
    </row>
    <row r="7147" ht="15" customHeight="1" s="783">
      <c r="B7147" s="901" t="n"/>
    </row>
    <row r="7148" ht="15" customHeight="1" s="783">
      <c r="B7148" s="901" t="n"/>
    </row>
    <row r="7149" ht="15" customHeight="1" s="783">
      <c r="B7149" s="901" t="n"/>
    </row>
    <row r="7150" ht="15" customHeight="1" s="783">
      <c r="B7150" s="901" t="n"/>
    </row>
    <row r="7151" ht="15" customHeight="1" s="783">
      <c r="B7151" s="901" t="n"/>
    </row>
    <row r="7152" ht="15" customHeight="1" s="783">
      <c r="B7152" s="901" t="n"/>
    </row>
    <row r="7153" ht="15" customHeight="1" s="783">
      <c r="B7153" s="901" t="n"/>
    </row>
    <row r="7154" ht="15" customHeight="1" s="783">
      <c r="B7154" s="901" t="n"/>
    </row>
    <row r="7155" ht="15" customHeight="1" s="783">
      <c r="B7155" s="901" t="n"/>
    </row>
    <row r="7156" ht="15" customHeight="1" s="783">
      <c r="B7156" s="901" t="n"/>
    </row>
    <row r="7157" ht="15" customHeight="1" s="783">
      <c r="B7157" s="901" t="n"/>
    </row>
    <row r="7158" ht="15" customHeight="1" s="783">
      <c r="B7158" s="901" t="n"/>
    </row>
    <row r="7159" ht="15" customHeight="1" s="783">
      <c r="B7159" s="901" t="n"/>
    </row>
    <row r="7160" ht="15" customHeight="1" s="783">
      <c r="B7160" s="901" t="n"/>
    </row>
    <row r="7161" ht="15" customHeight="1" s="783">
      <c r="B7161" s="901" t="n"/>
    </row>
    <row r="7162" ht="15" customHeight="1" s="783">
      <c r="B7162" s="901" t="n"/>
    </row>
    <row r="7163" ht="15" customHeight="1" s="783">
      <c r="B7163" s="901" t="n"/>
    </row>
    <row r="7164" ht="15" customHeight="1" s="783">
      <c r="B7164" s="901" t="n"/>
    </row>
    <row r="7165" ht="15" customHeight="1" s="783">
      <c r="B7165" s="901" t="n"/>
    </row>
    <row r="7166" ht="15" customHeight="1" s="783">
      <c r="B7166" s="901" t="n"/>
    </row>
    <row r="7167" ht="15" customHeight="1" s="783">
      <c r="B7167" s="901" t="n"/>
    </row>
    <row r="7168" ht="15" customHeight="1" s="783">
      <c r="B7168" s="901" t="n"/>
    </row>
    <row r="7169" ht="15" customHeight="1" s="783">
      <c r="B7169" s="901" t="n"/>
    </row>
    <row r="7170" ht="15" customHeight="1" s="783">
      <c r="B7170" s="901" t="n"/>
    </row>
    <row r="7171" ht="15" customHeight="1" s="783">
      <c r="B7171" s="901" t="n"/>
    </row>
    <row r="7172" ht="15" customHeight="1" s="783">
      <c r="B7172" s="901" t="n"/>
    </row>
    <row r="7173" ht="15" customHeight="1" s="783">
      <c r="B7173" s="901" t="n"/>
    </row>
    <row r="7174" ht="15" customHeight="1" s="783">
      <c r="B7174" s="901" t="n"/>
    </row>
    <row r="7175" ht="15" customHeight="1" s="783">
      <c r="B7175" s="901" t="n"/>
    </row>
    <row r="7176" ht="15" customHeight="1" s="783">
      <c r="B7176" s="901" t="n"/>
    </row>
    <row r="7177" ht="15" customHeight="1" s="783">
      <c r="B7177" s="901" t="n"/>
    </row>
    <row r="7178" ht="15" customHeight="1" s="783">
      <c r="B7178" s="901" t="n"/>
    </row>
    <row r="7179" ht="15" customHeight="1" s="783">
      <c r="B7179" s="901" t="n"/>
    </row>
    <row r="7180" ht="15" customHeight="1" s="783">
      <c r="B7180" s="901" t="n"/>
    </row>
    <row r="7181" ht="15" customHeight="1" s="783">
      <c r="B7181" s="901" t="n"/>
    </row>
    <row r="7182" ht="15" customHeight="1" s="783">
      <c r="B7182" s="901" t="n"/>
    </row>
    <row r="7183" ht="15" customHeight="1" s="783">
      <c r="B7183" s="901" t="n"/>
    </row>
    <row r="7184" ht="15" customHeight="1" s="783">
      <c r="B7184" s="901" t="n"/>
    </row>
    <row r="7185" ht="15" customHeight="1" s="783">
      <c r="B7185" s="901" t="n"/>
    </row>
    <row r="7186" ht="15" customHeight="1" s="783">
      <c r="B7186" s="901" t="n"/>
    </row>
    <row r="7187" ht="15" customHeight="1" s="783">
      <c r="B7187" s="901" t="n"/>
    </row>
    <row r="7188" ht="15" customHeight="1" s="783">
      <c r="B7188" s="901" t="n"/>
    </row>
    <row r="7189" ht="15" customHeight="1" s="783">
      <c r="B7189" s="901" t="n"/>
    </row>
    <row r="7190" ht="15" customHeight="1" s="783">
      <c r="B7190" s="901" t="n"/>
    </row>
    <row r="7191" ht="15" customHeight="1" s="783">
      <c r="B7191" s="901" t="n"/>
    </row>
    <row r="7192" ht="15" customHeight="1" s="783">
      <c r="B7192" s="901" t="n"/>
    </row>
    <row r="7193" ht="15" customHeight="1" s="783">
      <c r="B7193" s="901" t="n"/>
    </row>
    <row r="7194" ht="15" customHeight="1" s="783">
      <c r="B7194" s="901" t="n"/>
    </row>
    <row r="7195" ht="15" customHeight="1" s="783">
      <c r="B7195" s="901" t="n"/>
    </row>
    <row r="7196" ht="15" customHeight="1" s="783">
      <c r="B7196" s="901" t="n"/>
    </row>
    <row r="7197" ht="15" customHeight="1" s="783">
      <c r="B7197" s="901" t="n"/>
    </row>
    <row r="7198" ht="15" customHeight="1" s="783">
      <c r="B7198" s="901" t="n"/>
    </row>
    <row r="7199" ht="15" customHeight="1" s="783">
      <c r="B7199" s="901" t="n"/>
    </row>
    <row r="7200" ht="15" customHeight="1" s="783">
      <c r="B7200" s="901" t="n"/>
    </row>
    <row r="7201" ht="15" customHeight="1" s="783">
      <c r="B7201" s="901" t="n"/>
    </row>
    <row r="7202" ht="15" customHeight="1" s="783">
      <c r="B7202" s="901" t="n"/>
    </row>
    <row r="7203" ht="15" customHeight="1" s="783">
      <c r="B7203" s="901" t="n"/>
    </row>
    <row r="7204" ht="15" customHeight="1" s="783">
      <c r="B7204" s="901" t="n"/>
    </row>
    <row r="7205" ht="15" customHeight="1" s="783">
      <c r="B7205" s="901" t="n"/>
    </row>
    <row r="7206" ht="15" customHeight="1" s="783">
      <c r="B7206" s="901" t="n"/>
    </row>
    <row r="7207" ht="15" customHeight="1" s="783">
      <c r="B7207" s="901" t="n"/>
    </row>
    <row r="7208" ht="15" customHeight="1" s="783">
      <c r="B7208" s="901" t="n"/>
    </row>
    <row r="7209" ht="15" customHeight="1" s="783">
      <c r="B7209" s="901" t="n"/>
    </row>
    <row r="7210" ht="15" customHeight="1" s="783">
      <c r="B7210" s="901" t="n"/>
    </row>
    <row r="7211" ht="15" customHeight="1" s="783">
      <c r="B7211" s="901" t="n"/>
    </row>
    <row r="7212" ht="15" customHeight="1" s="783">
      <c r="B7212" s="901" t="n"/>
    </row>
    <row r="7213" ht="15" customHeight="1" s="783">
      <c r="B7213" s="901" t="n"/>
    </row>
    <row r="7214" ht="15" customHeight="1" s="783">
      <c r="B7214" s="901" t="n"/>
    </row>
    <row r="7215" ht="15" customHeight="1" s="783">
      <c r="B7215" s="901" t="n"/>
    </row>
    <row r="7216" ht="15" customHeight="1" s="783">
      <c r="B7216" s="901" t="n"/>
    </row>
    <row r="7217" ht="15" customHeight="1" s="783">
      <c r="B7217" s="901" t="n"/>
    </row>
    <row r="7218" ht="15" customHeight="1" s="783">
      <c r="B7218" s="901" t="n"/>
    </row>
    <row r="7219" ht="15" customHeight="1" s="783">
      <c r="B7219" s="901" t="n"/>
    </row>
    <row r="7220" ht="15" customHeight="1" s="783">
      <c r="B7220" s="901" t="n"/>
    </row>
    <row r="7221" ht="15" customHeight="1" s="783">
      <c r="B7221" s="901" t="n"/>
    </row>
    <row r="7222" ht="15" customHeight="1" s="783">
      <c r="B7222" s="901" t="n"/>
    </row>
    <row r="7223" ht="15" customHeight="1" s="783">
      <c r="B7223" s="901" t="n"/>
    </row>
    <row r="7224" ht="15" customHeight="1" s="783">
      <c r="B7224" s="901" t="n"/>
    </row>
    <row r="7225" ht="15" customHeight="1" s="783">
      <c r="B7225" s="901" t="n"/>
    </row>
    <row r="7226" ht="15" customHeight="1" s="783">
      <c r="B7226" s="901" t="n"/>
    </row>
    <row r="7227" ht="15" customHeight="1" s="783">
      <c r="B7227" s="901" t="n"/>
    </row>
    <row r="7228" ht="15" customHeight="1" s="783">
      <c r="B7228" s="901" t="n"/>
    </row>
    <row r="7229" ht="15" customHeight="1" s="783">
      <c r="B7229" s="901" t="n"/>
    </row>
    <row r="7230" ht="15" customHeight="1" s="783">
      <c r="B7230" s="901" t="n"/>
    </row>
    <row r="7231" ht="15" customHeight="1" s="783">
      <c r="B7231" s="901" t="n"/>
    </row>
    <row r="7232" ht="15" customHeight="1" s="783">
      <c r="B7232" s="901" t="n"/>
    </row>
    <row r="7233" ht="15" customHeight="1" s="783">
      <c r="B7233" s="901" t="n"/>
    </row>
    <row r="7234" ht="15" customHeight="1" s="783">
      <c r="B7234" s="901" t="n"/>
    </row>
    <row r="7235" ht="15" customHeight="1" s="783">
      <c r="B7235" s="901" t="n"/>
    </row>
    <row r="7236" ht="15" customHeight="1" s="783">
      <c r="B7236" s="901" t="n"/>
    </row>
    <row r="7237" ht="15" customHeight="1" s="783">
      <c r="B7237" s="901" t="n"/>
    </row>
    <row r="7238" ht="15" customHeight="1" s="783">
      <c r="B7238" s="901" t="n"/>
    </row>
    <row r="7239" ht="15" customHeight="1" s="783">
      <c r="B7239" s="901" t="n"/>
    </row>
    <row r="7240" ht="15" customHeight="1" s="783">
      <c r="B7240" s="901" t="n"/>
    </row>
    <row r="7241" ht="15" customHeight="1" s="783">
      <c r="B7241" s="901" t="n"/>
    </row>
    <row r="7242" ht="15" customHeight="1" s="783">
      <c r="B7242" s="901" t="n"/>
    </row>
    <row r="7243" ht="15" customHeight="1" s="783">
      <c r="B7243" s="901" t="n"/>
    </row>
    <row r="7244" ht="15" customHeight="1" s="783">
      <c r="B7244" s="901" t="n"/>
    </row>
    <row r="7245" ht="15" customHeight="1" s="783">
      <c r="B7245" s="901" t="n"/>
    </row>
    <row r="7246" ht="15" customHeight="1" s="783">
      <c r="B7246" s="901" t="n"/>
    </row>
    <row r="7247" ht="15" customHeight="1" s="783">
      <c r="B7247" s="901" t="n"/>
    </row>
    <row r="7248" ht="15" customHeight="1" s="783">
      <c r="B7248" s="901" t="n"/>
    </row>
    <row r="7249" ht="15" customHeight="1" s="783">
      <c r="B7249" s="901" t="n"/>
    </row>
    <row r="7250" ht="15" customHeight="1" s="783">
      <c r="B7250" s="901" t="n"/>
    </row>
    <row r="7251" ht="15" customHeight="1" s="783">
      <c r="B7251" s="901" t="n"/>
    </row>
    <row r="7252" ht="15" customHeight="1" s="783">
      <c r="B7252" s="901" t="n"/>
    </row>
    <row r="7253" ht="15" customHeight="1" s="783">
      <c r="B7253" s="901" t="n"/>
    </row>
    <row r="7254" ht="15" customHeight="1" s="783">
      <c r="B7254" s="901" t="n"/>
    </row>
    <row r="7255" ht="15" customHeight="1" s="783">
      <c r="B7255" s="901" t="n"/>
    </row>
    <row r="7256" ht="15" customHeight="1" s="783">
      <c r="B7256" s="901" t="n"/>
    </row>
    <row r="7257" ht="15" customHeight="1" s="783">
      <c r="B7257" s="901" t="n"/>
    </row>
    <row r="7258" ht="15" customHeight="1" s="783">
      <c r="B7258" s="901" t="n"/>
    </row>
    <row r="7259" ht="15" customHeight="1" s="783">
      <c r="B7259" s="901" t="n"/>
    </row>
    <row r="7260" ht="15" customHeight="1" s="783">
      <c r="B7260" s="901" t="n"/>
    </row>
    <row r="7261" ht="15" customHeight="1" s="783">
      <c r="B7261" s="901" t="n"/>
    </row>
    <row r="7262" ht="15" customHeight="1" s="783">
      <c r="B7262" s="901" t="n"/>
    </row>
    <row r="7263" ht="15" customHeight="1" s="783">
      <c r="B7263" s="901" t="n"/>
    </row>
    <row r="7264" ht="15" customHeight="1" s="783">
      <c r="B7264" s="901" t="n"/>
    </row>
    <row r="7265" ht="15" customHeight="1" s="783">
      <c r="B7265" s="901" t="n"/>
    </row>
    <row r="7266" ht="15" customHeight="1" s="783">
      <c r="B7266" s="901" t="n"/>
    </row>
    <row r="7267" ht="15" customHeight="1" s="783">
      <c r="B7267" s="901" t="n"/>
    </row>
    <row r="7268" ht="15" customHeight="1" s="783">
      <c r="B7268" s="901" t="n"/>
    </row>
    <row r="7269" ht="15" customHeight="1" s="783">
      <c r="B7269" s="901" t="n"/>
    </row>
    <row r="7270" ht="15" customHeight="1" s="783">
      <c r="B7270" s="901" t="n"/>
    </row>
    <row r="7271" ht="15" customHeight="1" s="783">
      <c r="B7271" s="901" t="n"/>
    </row>
    <row r="7272" ht="15" customHeight="1" s="783">
      <c r="B7272" s="901" t="n"/>
    </row>
    <row r="7273" ht="15" customHeight="1" s="783">
      <c r="B7273" s="901" t="n"/>
    </row>
    <row r="7274" ht="15" customHeight="1" s="783">
      <c r="B7274" s="901" t="n"/>
    </row>
    <row r="7275" ht="15" customHeight="1" s="783">
      <c r="B7275" s="901" t="n"/>
    </row>
    <row r="7276" ht="15" customHeight="1" s="783">
      <c r="B7276" s="901" t="n"/>
    </row>
    <row r="7277" ht="15" customHeight="1" s="783">
      <c r="B7277" s="901" t="n"/>
    </row>
    <row r="7278" ht="15" customHeight="1" s="783">
      <c r="B7278" s="901" t="n"/>
    </row>
    <row r="7279" ht="15" customHeight="1" s="783">
      <c r="B7279" s="901" t="n"/>
    </row>
    <row r="7280" ht="15" customHeight="1" s="783">
      <c r="B7280" s="901" t="n"/>
    </row>
    <row r="7281" ht="15" customHeight="1" s="783">
      <c r="B7281" s="901" t="n"/>
    </row>
    <row r="7282" ht="15" customHeight="1" s="783">
      <c r="B7282" s="901" t="n"/>
    </row>
    <row r="7283" ht="15" customHeight="1" s="783">
      <c r="B7283" s="901" t="n"/>
    </row>
    <row r="7284" ht="15" customHeight="1" s="783">
      <c r="B7284" s="901" t="n"/>
    </row>
    <row r="7285" ht="15" customHeight="1" s="783">
      <c r="B7285" s="901" t="n"/>
    </row>
    <row r="7286" ht="15" customHeight="1" s="783">
      <c r="B7286" s="901" t="n"/>
    </row>
    <row r="7287" ht="15" customHeight="1" s="783">
      <c r="B7287" s="901" t="n"/>
    </row>
    <row r="7288" ht="15" customHeight="1" s="783">
      <c r="B7288" s="901" t="n"/>
    </row>
    <row r="7289" ht="15" customHeight="1" s="783">
      <c r="B7289" s="901" t="n"/>
    </row>
    <row r="7290" ht="15" customHeight="1" s="783">
      <c r="B7290" s="901" t="n"/>
    </row>
    <row r="7291" ht="15" customHeight="1" s="783">
      <c r="B7291" s="901" t="n"/>
    </row>
    <row r="7292" ht="15" customHeight="1" s="783">
      <c r="B7292" s="901" t="n"/>
    </row>
    <row r="7293" ht="15" customHeight="1" s="783">
      <c r="B7293" s="901" t="n"/>
    </row>
    <row r="7294" ht="15" customHeight="1" s="783">
      <c r="B7294" s="901" t="n"/>
    </row>
    <row r="7295" ht="15" customHeight="1" s="783">
      <c r="B7295" s="901" t="n"/>
    </row>
    <row r="7296" ht="15" customHeight="1" s="783">
      <c r="B7296" s="901" t="n"/>
    </row>
    <row r="7297" ht="15" customHeight="1" s="783">
      <c r="B7297" s="901" t="n"/>
    </row>
    <row r="7298" ht="15" customHeight="1" s="783">
      <c r="B7298" s="901" t="n"/>
    </row>
    <row r="7299" ht="15" customHeight="1" s="783">
      <c r="B7299" s="901" t="n"/>
    </row>
    <row r="7300" ht="15" customHeight="1" s="783">
      <c r="B7300" s="901" t="n"/>
    </row>
    <row r="7301" ht="15" customHeight="1" s="783">
      <c r="B7301" s="901" t="n"/>
    </row>
    <row r="7302" ht="15" customHeight="1" s="783">
      <c r="B7302" s="901" t="n"/>
    </row>
    <row r="7303" ht="15" customHeight="1" s="783">
      <c r="B7303" s="901" t="n"/>
    </row>
    <row r="7304" ht="15" customHeight="1" s="783">
      <c r="B7304" s="901" t="n"/>
    </row>
    <row r="7305" ht="15" customHeight="1" s="783">
      <c r="B7305" s="901" t="n"/>
    </row>
    <row r="7306" ht="15" customHeight="1" s="783">
      <c r="B7306" s="901" t="n"/>
    </row>
    <row r="7307" ht="15" customHeight="1" s="783">
      <c r="B7307" s="901" t="n"/>
    </row>
    <row r="7308" ht="15" customHeight="1" s="783">
      <c r="B7308" s="901" t="n"/>
    </row>
    <row r="7309" ht="15" customHeight="1" s="783">
      <c r="B7309" s="901" t="n"/>
    </row>
    <row r="7310" ht="15" customHeight="1" s="783">
      <c r="B7310" s="901" t="n"/>
    </row>
    <row r="7311" ht="15" customHeight="1" s="783">
      <c r="B7311" s="901" t="n"/>
    </row>
    <row r="7312" ht="15" customHeight="1" s="783">
      <c r="B7312" s="901" t="n"/>
    </row>
    <row r="7313" ht="15" customHeight="1" s="783">
      <c r="B7313" s="901" t="n"/>
    </row>
    <row r="7314" ht="15" customHeight="1" s="783">
      <c r="B7314" s="901" t="n"/>
    </row>
    <row r="7315" ht="15" customHeight="1" s="783">
      <c r="B7315" s="901" t="n"/>
    </row>
    <row r="7316" ht="15" customHeight="1" s="783">
      <c r="B7316" s="901" t="n"/>
    </row>
    <row r="7317" ht="15" customHeight="1" s="783">
      <c r="B7317" s="901" t="n"/>
    </row>
    <row r="7318" ht="15" customHeight="1" s="783">
      <c r="B7318" s="901" t="n"/>
    </row>
    <row r="7319" ht="15" customHeight="1" s="783">
      <c r="B7319" s="901" t="n"/>
    </row>
    <row r="7320" ht="15" customHeight="1" s="783">
      <c r="B7320" s="901" t="n"/>
    </row>
    <row r="7321" ht="15" customHeight="1" s="783">
      <c r="B7321" s="901" t="n"/>
    </row>
    <row r="7322" ht="15" customHeight="1" s="783">
      <c r="B7322" s="901" t="n"/>
    </row>
    <row r="7323" ht="15" customHeight="1" s="783">
      <c r="B7323" s="901" t="n"/>
    </row>
    <row r="7324" ht="15" customHeight="1" s="783">
      <c r="B7324" s="901" t="n"/>
    </row>
    <row r="7325" ht="15" customHeight="1" s="783">
      <c r="B7325" s="901" t="n"/>
    </row>
    <row r="7326" ht="15" customHeight="1" s="783">
      <c r="B7326" s="901" t="n"/>
    </row>
    <row r="7327" ht="15" customHeight="1" s="783">
      <c r="B7327" s="901" t="n"/>
    </row>
    <row r="7328" ht="15" customHeight="1" s="783">
      <c r="B7328" s="901" t="n"/>
    </row>
    <row r="7329" ht="15" customHeight="1" s="783">
      <c r="B7329" s="901" t="n"/>
    </row>
    <row r="7330" ht="15" customHeight="1" s="783">
      <c r="B7330" s="901" t="n"/>
    </row>
    <row r="7331" ht="15" customHeight="1" s="783">
      <c r="B7331" s="901" t="n"/>
    </row>
    <row r="7332" ht="15" customHeight="1" s="783">
      <c r="B7332" s="901" t="n"/>
    </row>
    <row r="7333" ht="15" customHeight="1" s="783">
      <c r="B7333" s="901" t="n"/>
    </row>
    <row r="7334" ht="15" customHeight="1" s="783">
      <c r="B7334" s="901" t="n"/>
    </row>
    <row r="7335" ht="15" customHeight="1" s="783">
      <c r="B7335" s="901" t="n"/>
    </row>
    <row r="7336" ht="15" customHeight="1" s="783">
      <c r="B7336" s="901" t="n"/>
    </row>
    <row r="7337" ht="15" customHeight="1" s="783">
      <c r="B7337" s="901" t="n"/>
    </row>
    <row r="7338" ht="15" customHeight="1" s="783">
      <c r="B7338" s="901" t="n"/>
    </row>
    <row r="7339" ht="15" customHeight="1" s="783">
      <c r="B7339" s="901" t="n"/>
    </row>
    <row r="7340" ht="15" customHeight="1" s="783">
      <c r="B7340" s="901" t="n"/>
    </row>
    <row r="7341" ht="15" customHeight="1" s="783">
      <c r="B7341" s="901" t="n"/>
    </row>
    <row r="7342" ht="15" customHeight="1" s="783">
      <c r="B7342" s="901" t="n"/>
    </row>
    <row r="7343" ht="15" customHeight="1" s="783">
      <c r="B7343" s="901" t="n"/>
    </row>
    <row r="7344" ht="15" customHeight="1" s="783">
      <c r="B7344" s="901" t="n"/>
    </row>
    <row r="7345" ht="15" customHeight="1" s="783">
      <c r="B7345" s="901" t="n"/>
    </row>
    <row r="7346" ht="15" customHeight="1" s="783">
      <c r="B7346" s="901" t="n"/>
    </row>
    <row r="7347" ht="15" customHeight="1" s="783">
      <c r="B7347" s="901" t="n"/>
    </row>
    <row r="7348" ht="15" customHeight="1" s="783">
      <c r="B7348" s="901" t="n"/>
    </row>
    <row r="7349" ht="15" customHeight="1" s="783">
      <c r="B7349" s="901" t="n"/>
    </row>
    <row r="7350" ht="15" customHeight="1" s="783">
      <c r="B7350" s="901" t="n"/>
    </row>
    <row r="7351" ht="15" customHeight="1" s="783">
      <c r="B7351" s="901" t="n"/>
    </row>
    <row r="7352" ht="15" customHeight="1" s="783">
      <c r="B7352" s="901" t="n"/>
    </row>
    <row r="7353" ht="15" customHeight="1" s="783">
      <c r="B7353" s="901" t="n"/>
    </row>
    <row r="7354" ht="15" customHeight="1" s="783">
      <c r="B7354" s="901" t="n"/>
    </row>
    <row r="7355" ht="15" customHeight="1" s="783">
      <c r="B7355" s="901" t="n"/>
    </row>
    <row r="7356" ht="15" customHeight="1" s="783">
      <c r="B7356" s="901" t="n"/>
    </row>
    <row r="7357" ht="15" customHeight="1" s="783">
      <c r="B7357" s="901" t="n"/>
    </row>
    <row r="7358" ht="15" customHeight="1" s="783">
      <c r="B7358" s="901" t="n"/>
    </row>
    <row r="7359" ht="15" customHeight="1" s="783">
      <c r="B7359" s="901" t="n"/>
    </row>
    <row r="7360" ht="15" customHeight="1" s="783">
      <c r="B7360" s="901" t="n"/>
    </row>
    <row r="7361" ht="15" customHeight="1" s="783">
      <c r="B7361" s="901" t="n"/>
    </row>
    <row r="7362" ht="15" customHeight="1" s="783">
      <c r="B7362" s="901" t="n"/>
    </row>
    <row r="7363" ht="15" customHeight="1" s="783">
      <c r="B7363" s="901" t="n"/>
    </row>
    <row r="7364" ht="15" customHeight="1" s="783">
      <c r="B7364" s="901" t="n"/>
    </row>
    <row r="7365" ht="15" customHeight="1" s="783">
      <c r="B7365" s="901" t="n"/>
    </row>
    <row r="7366" ht="15" customHeight="1" s="783">
      <c r="B7366" s="901" t="n"/>
    </row>
    <row r="7367" ht="15" customHeight="1" s="783">
      <c r="B7367" s="901" t="n"/>
    </row>
    <row r="7368" ht="15" customHeight="1" s="783">
      <c r="B7368" s="901" t="n"/>
    </row>
    <row r="7369" ht="15" customHeight="1" s="783">
      <c r="B7369" s="901" t="n"/>
    </row>
    <row r="7370" ht="15" customHeight="1" s="783">
      <c r="B7370" s="901" t="n"/>
    </row>
    <row r="7371" ht="15" customHeight="1" s="783">
      <c r="B7371" s="901" t="n"/>
    </row>
    <row r="7372" ht="15" customHeight="1" s="783">
      <c r="B7372" s="901" t="n"/>
    </row>
    <row r="7373" ht="15" customHeight="1" s="783">
      <c r="B7373" s="901" t="n"/>
    </row>
    <row r="7374" ht="15" customHeight="1" s="783">
      <c r="B7374" s="901" t="n"/>
    </row>
    <row r="7375" ht="15" customHeight="1" s="783">
      <c r="B7375" s="901" t="n"/>
    </row>
    <row r="7376" ht="15" customHeight="1" s="783">
      <c r="B7376" s="901" t="n"/>
    </row>
    <row r="7377" ht="15" customHeight="1" s="783">
      <c r="B7377" s="901" t="n"/>
    </row>
    <row r="7378" ht="15" customHeight="1" s="783">
      <c r="B7378" s="901" t="n"/>
    </row>
    <row r="7379" ht="15" customHeight="1" s="783">
      <c r="B7379" s="901" t="n"/>
    </row>
    <row r="7380" ht="15" customHeight="1" s="783">
      <c r="B7380" s="901" t="n"/>
    </row>
    <row r="7381" ht="15" customHeight="1" s="783">
      <c r="B7381" s="901" t="n"/>
    </row>
    <row r="7382" ht="15" customHeight="1" s="783">
      <c r="B7382" s="901" t="n"/>
    </row>
    <row r="7383" ht="15" customHeight="1" s="783">
      <c r="B7383" s="901" t="n"/>
    </row>
    <row r="7384" ht="15" customHeight="1" s="783">
      <c r="B7384" s="901" t="n"/>
    </row>
    <row r="7385" ht="15" customHeight="1" s="783">
      <c r="B7385" s="901" t="n"/>
    </row>
    <row r="7386" ht="15" customHeight="1" s="783">
      <c r="B7386" s="901" t="n"/>
    </row>
    <row r="7387" ht="15" customHeight="1" s="783">
      <c r="B7387" s="901" t="n"/>
    </row>
    <row r="7388" ht="15" customHeight="1" s="783">
      <c r="B7388" s="901" t="n"/>
    </row>
    <row r="7389" ht="15" customHeight="1" s="783">
      <c r="B7389" s="901" t="n"/>
    </row>
    <row r="7390" ht="15" customHeight="1" s="783">
      <c r="B7390" s="901" t="n"/>
    </row>
    <row r="7391" ht="15" customHeight="1" s="783">
      <c r="B7391" s="901" t="n"/>
    </row>
    <row r="7392" ht="15" customHeight="1" s="783">
      <c r="B7392" s="901" t="n"/>
    </row>
    <row r="7393" ht="15" customHeight="1" s="783">
      <c r="B7393" s="901" t="n"/>
    </row>
    <row r="7394" ht="15" customHeight="1" s="783">
      <c r="B7394" s="901" t="n"/>
    </row>
    <row r="7395" ht="15" customHeight="1" s="783">
      <c r="B7395" s="901" t="n"/>
    </row>
    <row r="7396" ht="15" customHeight="1" s="783">
      <c r="B7396" s="901" t="n"/>
    </row>
    <row r="7397" ht="15" customHeight="1" s="783">
      <c r="B7397" s="901" t="n"/>
    </row>
    <row r="7398" ht="15" customHeight="1" s="783">
      <c r="B7398" s="901" t="n"/>
    </row>
    <row r="7399" ht="15" customHeight="1" s="783">
      <c r="B7399" s="901" t="n"/>
    </row>
    <row r="7400" ht="15" customHeight="1" s="783">
      <c r="B7400" s="901" t="n"/>
    </row>
    <row r="7401" ht="15" customHeight="1" s="783">
      <c r="B7401" s="901" t="n"/>
    </row>
    <row r="7402" ht="15" customHeight="1" s="783">
      <c r="B7402" s="901" t="n"/>
    </row>
    <row r="7403" ht="15" customHeight="1" s="783">
      <c r="B7403" s="901" t="n"/>
    </row>
    <row r="7404" ht="15" customHeight="1" s="783">
      <c r="B7404" s="901" t="n"/>
    </row>
    <row r="7405" ht="15" customHeight="1" s="783">
      <c r="B7405" s="901" t="n"/>
    </row>
    <row r="7406" ht="15" customHeight="1" s="783">
      <c r="B7406" s="901" t="n"/>
    </row>
    <row r="7407" ht="15" customHeight="1" s="783">
      <c r="B7407" s="901" t="n"/>
    </row>
    <row r="7408" ht="15" customHeight="1" s="783">
      <c r="B7408" s="901" t="n"/>
    </row>
    <row r="7409" ht="15" customHeight="1" s="783">
      <c r="B7409" s="901" t="n"/>
    </row>
    <row r="7410" ht="15" customHeight="1" s="783">
      <c r="B7410" s="901" t="n"/>
    </row>
    <row r="7411" ht="15" customHeight="1" s="783">
      <c r="B7411" s="901" t="n"/>
    </row>
    <row r="7412" ht="15" customHeight="1" s="783">
      <c r="B7412" s="901" t="n"/>
    </row>
    <row r="7413" ht="15" customHeight="1" s="783">
      <c r="B7413" s="901" t="n"/>
    </row>
    <row r="7414" ht="15" customHeight="1" s="783">
      <c r="B7414" s="901" t="n"/>
    </row>
    <row r="7415" ht="15" customHeight="1" s="783">
      <c r="B7415" s="901" t="n"/>
    </row>
    <row r="7416" ht="15" customHeight="1" s="783">
      <c r="B7416" s="901" t="n"/>
    </row>
    <row r="7417" ht="15" customHeight="1" s="783">
      <c r="B7417" s="901" t="n"/>
    </row>
    <row r="7418" ht="15" customHeight="1" s="783">
      <c r="B7418" s="901" t="n"/>
    </row>
    <row r="7419" ht="15" customHeight="1" s="783">
      <c r="B7419" s="901" t="n"/>
    </row>
    <row r="7420" ht="15" customHeight="1" s="783">
      <c r="B7420" s="901" t="n"/>
    </row>
    <row r="7421" ht="15" customHeight="1" s="783">
      <c r="B7421" s="901" t="n"/>
    </row>
    <row r="7422" ht="15" customHeight="1" s="783">
      <c r="B7422" s="901" t="n"/>
    </row>
    <row r="7423" ht="15" customHeight="1" s="783">
      <c r="B7423" s="901" t="n"/>
    </row>
    <row r="7424" ht="15" customHeight="1" s="783">
      <c r="B7424" s="901" t="n"/>
    </row>
    <row r="7425" ht="15" customHeight="1" s="783">
      <c r="B7425" s="901" t="n"/>
    </row>
    <row r="7426" ht="15" customHeight="1" s="783">
      <c r="B7426" s="901" t="n"/>
    </row>
    <row r="7427" ht="15" customHeight="1" s="783">
      <c r="B7427" s="901" t="n"/>
    </row>
    <row r="7428" ht="15" customHeight="1" s="783">
      <c r="B7428" s="901" t="n"/>
    </row>
    <row r="7429" ht="15" customHeight="1" s="783">
      <c r="B7429" s="901" t="n"/>
    </row>
    <row r="7430" ht="15" customHeight="1" s="783">
      <c r="B7430" s="901" t="n"/>
    </row>
    <row r="7431" ht="15" customHeight="1" s="783">
      <c r="B7431" s="901" t="n"/>
    </row>
    <row r="7432" ht="15" customHeight="1" s="783">
      <c r="B7432" s="901" t="n"/>
    </row>
    <row r="7433" ht="15" customHeight="1" s="783">
      <c r="B7433" s="901" t="n"/>
    </row>
    <row r="7434" ht="15" customHeight="1" s="783">
      <c r="B7434" s="901" t="n"/>
    </row>
    <row r="7435" ht="15" customHeight="1" s="783">
      <c r="B7435" s="901" t="n"/>
    </row>
    <row r="7436" ht="15" customHeight="1" s="783">
      <c r="B7436" s="901" t="n"/>
    </row>
    <row r="7437" ht="15" customHeight="1" s="783">
      <c r="B7437" s="901" t="n"/>
    </row>
    <row r="7438" ht="15" customHeight="1" s="783">
      <c r="B7438" s="901" t="n"/>
    </row>
    <row r="7439" ht="15" customHeight="1" s="783">
      <c r="B7439" s="901" t="n"/>
    </row>
    <row r="7440" ht="15" customHeight="1" s="783">
      <c r="B7440" s="901" t="n"/>
    </row>
    <row r="7441" ht="15" customHeight="1" s="783">
      <c r="B7441" s="901" t="n"/>
    </row>
    <row r="7442" ht="15" customHeight="1" s="783">
      <c r="B7442" s="901" t="n"/>
    </row>
    <row r="7443" ht="15" customHeight="1" s="783">
      <c r="B7443" s="901" t="n"/>
    </row>
    <row r="7444" ht="15" customHeight="1" s="783">
      <c r="B7444" s="901" t="n"/>
    </row>
    <row r="7445" ht="15" customHeight="1" s="783">
      <c r="B7445" s="901" t="n"/>
    </row>
    <row r="7446" ht="15" customHeight="1" s="783">
      <c r="B7446" s="901" t="n"/>
    </row>
    <row r="7447" ht="15" customHeight="1" s="783">
      <c r="B7447" s="901" t="n"/>
    </row>
    <row r="7448" ht="15" customHeight="1" s="783">
      <c r="B7448" s="901" t="n"/>
    </row>
    <row r="7449" ht="15" customHeight="1" s="783">
      <c r="B7449" s="901" t="n"/>
    </row>
    <row r="7450" ht="15" customHeight="1" s="783">
      <c r="B7450" s="901" t="n"/>
    </row>
    <row r="7451" ht="15" customHeight="1" s="783">
      <c r="B7451" s="901" t="n"/>
    </row>
    <row r="7452" ht="15" customHeight="1" s="783">
      <c r="B7452" s="901" t="n"/>
    </row>
    <row r="7453" ht="15" customHeight="1" s="783">
      <c r="B7453" s="901" t="n"/>
    </row>
    <row r="7454" ht="15" customHeight="1" s="783">
      <c r="B7454" s="901" t="n"/>
    </row>
    <row r="7455" ht="15" customHeight="1" s="783">
      <c r="B7455" s="901" t="n"/>
    </row>
    <row r="7456" ht="15" customHeight="1" s="783">
      <c r="B7456" s="901" t="n"/>
    </row>
    <row r="7457" ht="15" customHeight="1" s="783">
      <c r="B7457" s="901" t="n"/>
    </row>
    <row r="7458" ht="15" customHeight="1" s="783">
      <c r="B7458" s="901" t="n"/>
    </row>
    <row r="7459" ht="15" customHeight="1" s="783">
      <c r="B7459" s="901" t="n"/>
    </row>
    <row r="7460" ht="15" customHeight="1" s="783">
      <c r="B7460" s="901" t="n"/>
    </row>
    <row r="7461" ht="15" customHeight="1" s="783">
      <c r="B7461" s="901" t="n"/>
    </row>
    <row r="7462" ht="15" customHeight="1" s="783">
      <c r="B7462" s="901" t="n"/>
    </row>
    <row r="7463" ht="15" customHeight="1" s="783">
      <c r="B7463" s="901" t="n"/>
    </row>
    <row r="7464" ht="15" customHeight="1" s="783">
      <c r="B7464" s="901" t="n"/>
    </row>
    <row r="7465" ht="15" customHeight="1" s="783">
      <c r="B7465" s="901" t="n"/>
    </row>
    <row r="7466" ht="15" customHeight="1" s="783">
      <c r="B7466" s="901" t="n"/>
    </row>
    <row r="7467" ht="15" customHeight="1" s="783">
      <c r="B7467" s="901" t="n"/>
    </row>
    <row r="7468" ht="15" customHeight="1" s="783">
      <c r="B7468" s="901" t="n"/>
    </row>
    <row r="7469" ht="15" customHeight="1" s="783">
      <c r="B7469" s="901" t="n"/>
    </row>
    <row r="7470" ht="15" customHeight="1" s="783">
      <c r="B7470" s="901" t="n"/>
    </row>
    <row r="7471" ht="15" customHeight="1" s="783">
      <c r="B7471" s="901" t="n"/>
    </row>
    <row r="7472" ht="15" customHeight="1" s="783">
      <c r="B7472" s="901" t="n"/>
    </row>
    <row r="7473" ht="15" customHeight="1" s="783">
      <c r="B7473" s="901" t="n"/>
    </row>
    <row r="7474" ht="15" customHeight="1" s="783">
      <c r="B7474" s="901" t="n"/>
    </row>
    <row r="7475" ht="15" customHeight="1" s="783">
      <c r="B7475" s="901" t="n"/>
    </row>
    <row r="7476" ht="15" customHeight="1" s="783">
      <c r="B7476" s="901" t="n"/>
    </row>
    <row r="7477" ht="15" customHeight="1" s="783">
      <c r="B7477" s="901" t="n"/>
    </row>
    <row r="7478" ht="15" customHeight="1" s="783">
      <c r="B7478" s="901" t="n"/>
    </row>
    <row r="7479" ht="15" customHeight="1" s="783">
      <c r="B7479" s="901" t="n"/>
    </row>
    <row r="7480" ht="15" customHeight="1" s="783">
      <c r="B7480" s="901" t="n"/>
    </row>
    <row r="7481" ht="15" customHeight="1" s="783">
      <c r="B7481" s="901" t="n"/>
    </row>
    <row r="7482" ht="15" customHeight="1" s="783">
      <c r="B7482" s="901" t="n"/>
    </row>
    <row r="7483" ht="15" customHeight="1" s="783">
      <c r="B7483" s="901" t="n"/>
    </row>
    <row r="7484" ht="15" customHeight="1" s="783">
      <c r="B7484" s="901" t="n"/>
    </row>
    <row r="7485" ht="15" customHeight="1" s="783">
      <c r="B7485" s="901" t="n"/>
    </row>
    <row r="7486" ht="15" customHeight="1" s="783">
      <c r="B7486" s="901" t="n"/>
    </row>
    <row r="7487" ht="15" customHeight="1" s="783">
      <c r="B7487" s="901" t="n"/>
    </row>
    <row r="7488" ht="15" customHeight="1" s="783">
      <c r="B7488" s="901" t="n"/>
    </row>
    <row r="7489" ht="15" customHeight="1" s="783">
      <c r="B7489" s="901" t="n"/>
    </row>
    <row r="7490" ht="15" customHeight="1" s="783">
      <c r="B7490" s="901" t="n"/>
    </row>
    <row r="7491" ht="15" customHeight="1" s="783">
      <c r="B7491" s="901" t="n"/>
    </row>
    <row r="7492" ht="15" customHeight="1" s="783">
      <c r="B7492" s="901" t="n"/>
    </row>
    <row r="7493" ht="15" customHeight="1" s="783">
      <c r="B7493" s="901" t="n"/>
    </row>
    <row r="7494" ht="15" customHeight="1" s="783">
      <c r="B7494" s="901" t="n"/>
    </row>
    <row r="7495" ht="15" customHeight="1" s="783">
      <c r="B7495" s="901" t="n"/>
    </row>
    <row r="7496" ht="15" customHeight="1" s="783">
      <c r="B7496" s="901" t="n"/>
    </row>
    <row r="7497" ht="15" customHeight="1" s="783">
      <c r="B7497" s="901" t="n"/>
    </row>
    <row r="7498" ht="15" customHeight="1" s="783">
      <c r="B7498" s="901" t="n"/>
    </row>
    <row r="7499" ht="15" customHeight="1" s="783">
      <c r="B7499" s="901" t="n"/>
    </row>
    <row r="7500" ht="15" customHeight="1" s="783">
      <c r="B7500" s="901" t="n"/>
    </row>
    <row r="7501" ht="15" customHeight="1" s="783">
      <c r="B7501" s="901" t="n"/>
    </row>
    <row r="7502" ht="15" customHeight="1" s="783">
      <c r="B7502" s="901" t="n"/>
    </row>
    <row r="7503" ht="15" customHeight="1" s="783">
      <c r="B7503" s="901" t="n"/>
    </row>
    <row r="7504" ht="15" customHeight="1" s="783">
      <c r="B7504" s="901" t="n"/>
    </row>
    <row r="7505" ht="15" customHeight="1" s="783">
      <c r="B7505" s="901" t="n"/>
    </row>
    <row r="7506" ht="15" customHeight="1" s="783">
      <c r="B7506" s="901" t="n"/>
    </row>
    <row r="7507" ht="15" customHeight="1" s="783">
      <c r="B7507" s="901" t="n"/>
    </row>
    <row r="7508" ht="15" customHeight="1" s="783">
      <c r="B7508" s="901" t="n"/>
    </row>
    <row r="7509" ht="15" customHeight="1" s="783">
      <c r="B7509" s="901" t="n"/>
    </row>
    <row r="7510" ht="15" customHeight="1" s="783">
      <c r="B7510" s="901" t="n"/>
    </row>
    <row r="7511" ht="15" customHeight="1" s="783">
      <c r="B7511" s="901" t="n"/>
    </row>
    <row r="7512" ht="15" customHeight="1" s="783">
      <c r="B7512" s="901" t="n"/>
    </row>
    <row r="7513" ht="15" customHeight="1" s="783">
      <c r="B7513" s="901" t="n"/>
    </row>
    <row r="7514" ht="15" customHeight="1" s="783">
      <c r="B7514" s="901" t="n"/>
    </row>
    <row r="7515" ht="15" customHeight="1" s="783">
      <c r="B7515" s="901" t="n"/>
    </row>
    <row r="7516" ht="15" customHeight="1" s="783">
      <c r="B7516" s="901" t="n"/>
    </row>
    <row r="7517" ht="15" customHeight="1" s="783">
      <c r="B7517" s="901" t="n"/>
    </row>
    <row r="7518" ht="15" customHeight="1" s="783">
      <c r="B7518" s="901" t="n"/>
    </row>
    <row r="7519" ht="15" customHeight="1" s="783">
      <c r="B7519" s="901" t="n"/>
    </row>
    <row r="7520" ht="15" customHeight="1" s="783">
      <c r="B7520" s="901" t="n"/>
    </row>
    <row r="7521" ht="15" customHeight="1" s="783">
      <c r="B7521" s="901" t="n"/>
    </row>
    <row r="7522" ht="15" customHeight="1" s="783">
      <c r="B7522" s="901" t="n"/>
    </row>
    <row r="7523" ht="15" customHeight="1" s="783">
      <c r="B7523" s="901" t="n"/>
    </row>
    <row r="7524" ht="15" customHeight="1" s="783">
      <c r="B7524" s="901" t="n"/>
    </row>
    <row r="7525" ht="15" customHeight="1" s="783">
      <c r="B7525" s="901" t="n"/>
    </row>
    <row r="7526" ht="15" customHeight="1" s="783">
      <c r="B7526" s="901" t="n"/>
    </row>
    <row r="7527" ht="15" customHeight="1" s="783">
      <c r="B7527" s="901" t="n"/>
    </row>
    <row r="7528" ht="15" customHeight="1" s="783">
      <c r="B7528" s="901" t="n"/>
    </row>
    <row r="7529" ht="15" customHeight="1" s="783">
      <c r="B7529" s="901" t="n"/>
    </row>
    <row r="7530" ht="15" customHeight="1" s="783">
      <c r="B7530" s="901" t="n"/>
    </row>
    <row r="7531" ht="15" customHeight="1" s="783">
      <c r="B7531" s="901" t="n"/>
    </row>
    <row r="7532" ht="15" customHeight="1" s="783">
      <c r="B7532" s="901" t="n"/>
    </row>
    <row r="7533" ht="15" customHeight="1" s="783">
      <c r="B7533" s="901" t="n"/>
    </row>
    <row r="7534" ht="15" customHeight="1" s="783">
      <c r="B7534" s="901" t="n"/>
    </row>
    <row r="7535" ht="15" customHeight="1" s="783">
      <c r="B7535" s="901" t="n"/>
    </row>
    <row r="7536" ht="15" customHeight="1" s="783">
      <c r="B7536" s="901" t="n"/>
    </row>
    <row r="7537" ht="15" customHeight="1" s="783">
      <c r="B7537" s="901" t="n"/>
    </row>
    <row r="7538" ht="15" customHeight="1" s="783">
      <c r="B7538" s="901" t="n"/>
    </row>
    <row r="7539" ht="15" customHeight="1" s="783">
      <c r="B7539" s="901" t="n"/>
    </row>
    <row r="7540" ht="15" customHeight="1" s="783">
      <c r="B7540" s="901" t="n"/>
    </row>
    <row r="7541" ht="15" customHeight="1" s="783">
      <c r="B7541" s="901" t="n"/>
    </row>
    <row r="7542" ht="15" customHeight="1" s="783">
      <c r="B7542" s="901" t="n"/>
    </row>
    <row r="7543" ht="15" customHeight="1" s="783">
      <c r="B7543" s="901" t="n"/>
    </row>
    <row r="7544" ht="15" customHeight="1" s="783">
      <c r="B7544" s="901" t="n"/>
    </row>
    <row r="7545" ht="15" customHeight="1" s="783">
      <c r="B7545" s="901" t="n"/>
    </row>
    <row r="7546" ht="15" customHeight="1" s="783">
      <c r="B7546" s="901" t="n"/>
    </row>
    <row r="7547" ht="15" customHeight="1" s="783">
      <c r="B7547" s="901" t="n"/>
    </row>
    <row r="7548" ht="15" customHeight="1" s="783">
      <c r="B7548" s="901" t="n"/>
    </row>
    <row r="7549" ht="15" customHeight="1" s="783">
      <c r="B7549" s="901" t="n"/>
    </row>
    <row r="7550" ht="15" customHeight="1" s="783">
      <c r="B7550" s="901" t="n"/>
    </row>
    <row r="7551" ht="15" customHeight="1" s="783">
      <c r="B7551" s="901" t="n"/>
    </row>
    <row r="7552" ht="15" customHeight="1" s="783">
      <c r="B7552" s="901" t="n"/>
    </row>
    <row r="7553" ht="15" customHeight="1" s="783">
      <c r="B7553" s="901" t="n"/>
    </row>
    <row r="7554" ht="15" customHeight="1" s="783">
      <c r="B7554" s="901" t="n"/>
    </row>
    <row r="7555" ht="15" customHeight="1" s="783">
      <c r="B7555" s="901" t="n"/>
    </row>
    <row r="7556" ht="15" customHeight="1" s="783">
      <c r="B7556" s="901" t="n"/>
    </row>
    <row r="7557" ht="15" customHeight="1" s="783">
      <c r="B7557" s="901" t="n"/>
    </row>
    <row r="7558" ht="15" customHeight="1" s="783">
      <c r="B7558" s="901" t="n"/>
    </row>
    <row r="7559" ht="15" customHeight="1" s="783">
      <c r="B7559" s="901" t="n"/>
    </row>
    <row r="7560" ht="15" customHeight="1" s="783">
      <c r="B7560" s="901" t="n"/>
    </row>
    <row r="7561" ht="15" customHeight="1" s="783">
      <c r="B7561" s="901" t="n"/>
    </row>
    <row r="7562" ht="15" customHeight="1" s="783">
      <c r="B7562" s="901" t="n"/>
    </row>
    <row r="7563" ht="15" customHeight="1" s="783">
      <c r="B7563" s="901" t="n"/>
    </row>
    <row r="7564" ht="15" customHeight="1" s="783">
      <c r="B7564" s="901" t="n"/>
    </row>
    <row r="7565" ht="15" customHeight="1" s="783">
      <c r="B7565" s="901" t="n"/>
    </row>
    <row r="7566" ht="15" customHeight="1" s="783">
      <c r="B7566" s="901" t="n"/>
    </row>
    <row r="7567" ht="15" customHeight="1" s="783">
      <c r="B7567" s="901" t="n"/>
    </row>
    <row r="7568" ht="15" customHeight="1" s="783">
      <c r="B7568" s="901" t="n"/>
    </row>
    <row r="7569" ht="15" customHeight="1" s="783">
      <c r="B7569" s="901" t="n"/>
    </row>
    <row r="7570" ht="15" customHeight="1" s="783">
      <c r="B7570" s="901" t="n"/>
    </row>
    <row r="7571" ht="15" customHeight="1" s="783">
      <c r="B7571" s="901" t="n"/>
    </row>
    <row r="7572" ht="15" customHeight="1" s="783">
      <c r="B7572" s="901" t="n"/>
    </row>
    <row r="7573" ht="15" customHeight="1" s="783">
      <c r="B7573" s="901" t="n"/>
    </row>
    <row r="7574" ht="15" customHeight="1" s="783">
      <c r="B7574" s="901" t="n"/>
    </row>
    <row r="7575" ht="15" customHeight="1" s="783">
      <c r="B7575" s="901" t="n"/>
    </row>
    <row r="7576" ht="15" customHeight="1" s="783">
      <c r="B7576" s="901" t="n"/>
    </row>
    <row r="7577" ht="15" customHeight="1" s="783">
      <c r="B7577" s="901" t="n"/>
    </row>
    <row r="7578" ht="15" customHeight="1" s="783">
      <c r="B7578" s="901" t="n"/>
    </row>
    <row r="7579" ht="15" customHeight="1" s="783">
      <c r="B7579" s="901" t="n"/>
    </row>
    <row r="7580" ht="15" customHeight="1" s="783">
      <c r="B7580" s="901" t="n"/>
    </row>
    <row r="7581" ht="15" customHeight="1" s="783">
      <c r="B7581" s="901" t="n"/>
    </row>
    <row r="7582" ht="15" customHeight="1" s="783">
      <c r="B7582" s="901" t="n"/>
    </row>
    <row r="7583" ht="15" customHeight="1" s="783">
      <c r="B7583" s="901" t="n"/>
    </row>
    <row r="7584" ht="15" customHeight="1" s="783">
      <c r="B7584" s="901" t="n"/>
    </row>
    <row r="7585" ht="15" customHeight="1" s="783">
      <c r="B7585" s="901" t="n"/>
    </row>
    <row r="7586" ht="15" customHeight="1" s="783">
      <c r="B7586" s="901" t="n"/>
    </row>
    <row r="7587" ht="15" customHeight="1" s="783">
      <c r="B7587" s="901" t="n"/>
    </row>
    <row r="7588" ht="15" customHeight="1" s="783">
      <c r="B7588" s="901" t="n"/>
    </row>
    <row r="7589" ht="15" customHeight="1" s="783">
      <c r="B7589" s="901" t="n"/>
    </row>
    <row r="7590" ht="15" customHeight="1" s="783">
      <c r="B7590" s="901" t="n"/>
    </row>
    <row r="7591" ht="15" customHeight="1" s="783">
      <c r="B7591" s="901" t="n"/>
    </row>
    <row r="7592" ht="15" customHeight="1" s="783">
      <c r="B7592" s="901" t="n"/>
    </row>
    <row r="7593" ht="15" customHeight="1" s="783">
      <c r="B7593" s="901" t="n"/>
    </row>
    <row r="7594" ht="15" customHeight="1" s="783">
      <c r="B7594" s="901" t="n"/>
    </row>
    <row r="7595" ht="15" customHeight="1" s="783">
      <c r="B7595" s="901" t="n"/>
    </row>
    <row r="7596" ht="15" customHeight="1" s="783">
      <c r="B7596" s="901" t="n"/>
    </row>
    <row r="7597" ht="15" customHeight="1" s="783">
      <c r="B7597" s="901" t="n"/>
    </row>
    <row r="7598" ht="15" customHeight="1" s="783">
      <c r="B7598" s="901" t="n"/>
    </row>
    <row r="7599" ht="15" customHeight="1" s="783">
      <c r="B7599" s="901" t="n"/>
    </row>
    <row r="7600" ht="15" customHeight="1" s="783">
      <c r="B7600" s="901" t="n"/>
    </row>
    <row r="7601" ht="15" customHeight="1" s="783">
      <c r="B7601" s="901" t="n"/>
    </row>
    <row r="7602" ht="15" customHeight="1" s="783">
      <c r="B7602" s="901" t="n"/>
    </row>
    <row r="7603" ht="15" customHeight="1" s="783">
      <c r="B7603" s="901" t="n"/>
    </row>
    <row r="7604" ht="15" customHeight="1" s="783">
      <c r="B7604" s="901" t="n"/>
    </row>
    <row r="7605" ht="15" customHeight="1" s="783">
      <c r="B7605" s="901" t="n"/>
    </row>
    <row r="7606" ht="15" customHeight="1" s="783">
      <c r="B7606" s="901" t="n"/>
    </row>
    <row r="7607" ht="15" customHeight="1" s="783">
      <c r="B7607" s="901" t="n"/>
    </row>
    <row r="7608" ht="15" customHeight="1" s="783">
      <c r="B7608" s="901" t="n"/>
    </row>
    <row r="7609" ht="15" customHeight="1" s="783">
      <c r="B7609" s="901" t="n"/>
    </row>
    <row r="7610" ht="15" customHeight="1" s="783">
      <c r="B7610" s="901" t="n"/>
    </row>
    <row r="7611" ht="15" customHeight="1" s="783">
      <c r="B7611" s="901" t="n"/>
    </row>
    <row r="7612" ht="15" customHeight="1" s="783">
      <c r="B7612" s="901" t="n"/>
    </row>
    <row r="7613" ht="15" customHeight="1" s="783">
      <c r="B7613" s="901" t="n"/>
    </row>
    <row r="7614" ht="15" customHeight="1" s="783">
      <c r="B7614" s="901" t="n"/>
    </row>
    <row r="7615" ht="15" customHeight="1" s="783">
      <c r="B7615" s="901" t="n"/>
    </row>
    <row r="7616" ht="15" customHeight="1" s="783">
      <c r="B7616" s="901" t="n"/>
    </row>
    <row r="7617" ht="15" customHeight="1" s="783">
      <c r="B7617" s="901" t="n"/>
    </row>
    <row r="7618" ht="15" customHeight="1" s="783">
      <c r="B7618" s="901" t="n"/>
    </row>
    <row r="7619" ht="15" customHeight="1" s="783">
      <c r="B7619" s="901" t="n"/>
    </row>
    <row r="7620" ht="15" customHeight="1" s="783">
      <c r="B7620" s="901" t="n"/>
    </row>
    <row r="7621" ht="15" customHeight="1" s="783">
      <c r="B7621" s="901" t="n"/>
    </row>
    <row r="7622" ht="15" customHeight="1" s="783">
      <c r="B7622" s="901" t="n"/>
    </row>
    <row r="7623" ht="15" customHeight="1" s="783">
      <c r="B7623" s="901" t="n"/>
    </row>
    <row r="7624" ht="15" customHeight="1" s="783">
      <c r="B7624" s="901" t="n"/>
    </row>
    <row r="7625" ht="15" customHeight="1" s="783">
      <c r="B7625" s="901" t="n"/>
    </row>
    <row r="7626" ht="15" customHeight="1" s="783">
      <c r="B7626" s="901" t="n"/>
    </row>
    <row r="7627" ht="15" customHeight="1" s="783">
      <c r="B7627" s="901" t="n"/>
    </row>
    <row r="7628" ht="15" customHeight="1" s="783">
      <c r="B7628" s="901" t="n"/>
    </row>
    <row r="7629" ht="15" customHeight="1" s="783">
      <c r="B7629" s="901" t="n"/>
    </row>
    <row r="7630" ht="15" customHeight="1" s="783">
      <c r="B7630" s="901" t="n"/>
    </row>
    <row r="7631" ht="15" customHeight="1" s="783">
      <c r="B7631" s="901" t="n"/>
    </row>
    <row r="7632" ht="15" customHeight="1" s="783">
      <c r="B7632" s="901" t="n"/>
    </row>
    <row r="7633" ht="15" customHeight="1" s="783">
      <c r="B7633" s="901" t="n"/>
    </row>
    <row r="7634" ht="15" customHeight="1" s="783">
      <c r="B7634" s="901" t="n"/>
    </row>
    <row r="7635" ht="15" customHeight="1" s="783">
      <c r="B7635" s="901" t="n"/>
    </row>
    <row r="7636" ht="15" customHeight="1" s="783">
      <c r="B7636" s="901" t="n"/>
    </row>
    <row r="7637" ht="15" customHeight="1" s="783">
      <c r="B7637" s="901" t="n"/>
    </row>
    <row r="7638" ht="15" customHeight="1" s="783">
      <c r="B7638" s="901" t="n"/>
    </row>
    <row r="7639" ht="15" customHeight="1" s="783">
      <c r="B7639" s="901" t="n"/>
    </row>
    <row r="7640" ht="15" customHeight="1" s="783">
      <c r="B7640" s="901" t="n"/>
    </row>
    <row r="7641" ht="15" customHeight="1" s="783">
      <c r="B7641" s="901" t="n"/>
    </row>
    <row r="7642" ht="15" customHeight="1" s="783">
      <c r="B7642" s="901" t="n"/>
    </row>
    <row r="7643" ht="15" customHeight="1" s="783">
      <c r="B7643" s="901" t="n"/>
    </row>
    <row r="7644" ht="15" customHeight="1" s="783">
      <c r="B7644" s="901" t="n"/>
    </row>
    <row r="7645" ht="15" customHeight="1" s="783">
      <c r="B7645" s="901" t="n"/>
    </row>
    <row r="7646" ht="15" customHeight="1" s="783">
      <c r="B7646" s="901" t="n"/>
    </row>
    <row r="7647" ht="15" customHeight="1" s="783">
      <c r="B7647" s="901" t="n"/>
    </row>
    <row r="7648" ht="15" customHeight="1" s="783">
      <c r="B7648" s="901" t="n"/>
    </row>
    <row r="7649" ht="15" customHeight="1" s="783">
      <c r="B7649" s="901" t="n"/>
    </row>
    <row r="7650" ht="15" customHeight="1" s="783">
      <c r="B7650" s="901" t="n"/>
    </row>
    <row r="7651" ht="15" customHeight="1" s="783">
      <c r="B7651" s="901" t="n"/>
    </row>
    <row r="7652" ht="15" customHeight="1" s="783">
      <c r="B7652" s="901" t="n"/>
    </row>
    <row r="7653" ht="15" customHeight="1" s="783">
      <c r="B7653" s="901" t="n"/>
    </row>
    <row r="7654" ht="15" customHeight="1" s="783">
      <c r="B7654" s="901" t="n"/>
    </row>
    <row r="7655" ht="15" customHeight="1" s="783">
      <c r="B7655" s="901" t="n"/>
    </row>
    <row r="7656" ht="15" customHeight="1" s="783">
      <c r="B7656" s="901" t="n"/>
    </row>
    <row r="7657" ht="15" customHeight="1" s="783">
      <c r="B7657" s="901" t="n"/>
    </row>
    <row r="7658" ht="15" customHeight="1" s="783">
      <c r="B7658" s="901" t="n"/>
    </row>
    <row r="7659" ht="15" customHeight="1" s="783">
      <c r="B7659" s="901" t="n"/>
    </row>
    <row r="7660" ht="15" customHeight="1" s="783">
      <c r="B7660" s="901" t="n"/>
    </row>
    <row r="7661" ht="15" customHeight="1" s="783">
      <c r="B7661" s="901" t="n"/>
    </row>
    <row r="7662" ht="15" customHeight="1" s="783">
      <c r="B7662" s="901" t="n"/>
    </row>
    <row r="7663" ht="15" customHeight="1" s="783">
      <c r="B7663" s="901" t="n"/>
    </row>
    <row r="7664" ht="15" customHeight="1" s="783">
      <c r="B7664" s="901" t="n"/>
    </row>
    <row r="7665" ht="15" customHeight="1" s="783">
      <c r="B7665" s="901" t="n"/>
    </row>
    <row r="7666" ht="15" customHeight="1" s="783">
      <c r="B7666" s="901" t="n"/>
    </row>
    <row r="7667" ht="15" customHeight="1" s="783">
      <c r="B7667" s="901" t="n"/>
    </row>
    <row r="7668" ht="15" customHeight="1" s="783">
      <c r="B7668" s="901" t="n"/>
    </row>
    <row r="7669" ht="15" customHeight="1" s="783">
      <c r="B7669" s="901" t="n"/>
    </row>
    <row r="7670" ht="15" customHeight="1" s="783">
      <c r="B7670" s="901" t="n"/>
    </row>
    <row r="7671" ht="15" customHeight="1" s="783">
      <c r="B7671" s="901" t="n"/>
    </row>
    <row r="7672" ht="15" customHeight="1" s="783">
      <c r="B7672" s="901" t="n"/>
    </row>
    <row r="7673" ht="15" customHeight="1" s="783">
      <c r="B7673" s="901" t="n"/>
    </row>
    <row r="7674" ht="15" customHeight="1" s="783">
      <c r="B7674" s="901" t="n"/>
    </row>
    <row r="7675" ht="15" customHeight="1" s="783">
      <c r="B7675" s="901" t="n"/>
    </row>
    <row r="7676" ht="15" customHeight="1" s="783">
      <c r="B7676" s="901" t="n"/>
    </row>
    <row r="7677" ht="15" customHeight="1" s="783">
      <c r="B7677" s="901" t="n"/>
    </row>
    <row r="7678" ht="15" customHeight="1" s="783">
      <c r="B7678" s="901" t="n"/>
    </row>
    <row r="7679" ht="15" customHeight="1" s="783">
      <c r="B7679" s="901" t="n"/>
    </row>
    <row r="7680" ht="15" customHeight="1" s="783">
      <c r="B7680" s="901" t="n"/>
    </row>
    <row r="7681" ht="15" customHeight="1" s="783">
      <c r="B7681" s="901" t="n"/>
    </row>
    <row r="7682" ht="15" customHeight="1" s="783">
      <c r="B7682" s="901" t="n"/>
    </row>
    <row r="7683" ht="15" customHeight="1" s="783">
      <c r="B7683" s="901" t="n"/>
    </row>
    <row r="7684" ht="15" customHeight="1" s="783">
      <c r="B7684" s="901" t="n"/>
    </row>
    <row r="7685" ht="15" customHeight="1" s="783">
      <c r="B7685" s="901" t="n"/>
    </row>
    <row r="7686" ht="15" customHeight="1" s="783">
      <c r="B7686" s="901" t="n"/>
    </row>
    <row r="7687" ht="15" customHeight="1" s="783">
      <c r="B7687" s="901" t="n"/>
    </row>
    <row r="7688" ht="15" customHeight="1" s="783">
      <c r="B7688" s="901" t="n"/>
    </row>
    <row r="7689" ht="15" customHeight="1" s="783">
      <c r="B7689" s="901" t="n"/>
    </row>
    <row r="7690" ht="15" customHeight="1" s="783">
      <c r="B7690" s="901" t="n"/>
    </row>
    <row r="7691" ht="15" customHeight="1" s="783">
      <c r="B7691" s="901" t="n"/>
    </row>
    <row r="7692" ht="15" customHeight="1" s="783">
      <c r="B7692" s="901" t="n"/>
    </row>
    <row r="7693" ht="15" customHeight="1" s="783">
      <c r="B7693" s="901" t="n"/>
    </row>
    <row r="7694" ht="15" customHeight="1" s="783">
      <c r="B7694" s="901" t="n"/>
    </row>
    <row r="7695" ht="15" customHeight="1" s="783">
      <c r="B7695" s="901" t="n"/>
    </row>
    <row r="7696" ht="15" customHeight="1" s="783">
      <c r="B7696" s="901" t="n"/>
    </row>
    <row r="7697" ht="15" customHeight="1" s="783">
      <c r="B7697" s="901" t="n"/>
    </row>
    <row r="7698" ht="15" customHeight="1" s="783">
      <c r="B7698" s="901" t="n"/>
    </row>
    <row r="7699" ht="15" customHeight="1" s="783">
      <c r="B7699" s="901" t="n"/>
    </row>
    <row r="7700" ht="15" customHeight="1" s="783">
      <c r="B7700" s="901" t="n"/>
    </row>
    <row r="7701" ht="15" customHeight="1" s="783">
      <c r="B7701" s="901" t="n"/>
    </row>
    <row r="7702" ht="15" customHeight="1" s="783">
      <c r="B7702" s="901" t="n"/>
    </row>
    <row r="7703" ht="15" customHeight="1" s="783">
      <c r="B7703" s="901" t="n"/>
    </row>
    <row r="7704" ht="15" customHeight="1" s="783">
      <c r="B7704" s="901" t="n"/>
    </row>
    <row r="7705" ht="15" customHeight="1" s="783">
      <c r="B7705" s="901" t="n"/>
    </row>
    <row r="7706" ht="15" customHeight="1" s="783">
      <c r="B7706" s="901" t="n"/>
    </row>
    <row r="7707" ht="15" customHeight="1" s="783">
      <c r="B7707" s="901" t="n"/>
    </row>
    <row r="7708" ht="15" customHeight="1" s="783">
      <c r="B7708" s="901" t="n"/>
    </row>
    <row r="7709" ht="15" customHeight="1" s="783">
      <c r="B7709" s="901" t="n"/>
    </row>
    <row r="7710" ht="15" customHeight="1" s="783">
      <c r="B7710" s="901" t="n"/>
    </row>
    <row r="7711" ht="15" customHeight="1" s="783">
      <c r="B7711" s="901" t="n"/>
    </row>
    <row r="7712" ht="15" customHeight="1" s="783">
      <c r="B7712" s="901" t="n"/>
    </row>
    <row r="7713" ht="15" customHeight="1" s="783">
      <c r="B7713" s="901" t="n"/>
    </row>
    <row r="7714" ht="15" customHeight="1" s="783">
      <c r="B7714" s="901" t="n"/>
    </row>
    <row r="7715" ht="15" customHeight="1" s="783">
      <c r="B7715" s="901" t="n"/>
    </row>
    <row r="7716" ht="15" customHeight="1" s="783">
      <c r="B7716" s="901" t="n"/>
    </row>
    <row r="7717" ht="15" customHeight="1" s="783">
      <c r="B7717" s="901" t="n"/>
    </row>
    <row r="7718" ht="15" customHeight="1" s="783">
      <c r="B7718" s="901" t="n"/>
    </row>
    <row r="7719" ht="15" customHeight="1" s="783">
      <c r="B7719" s="901" t="n"/>
    </row>
    <row r="7720" ht="15" customHeight="1" s="783">
      <c r="B7720" s="901" t="n"/>
    </row>
    <row r="7721" ht="15" customHeight="1" s="783">
      <c r="B7721" s="901" t="n"/>
    </row>
    <row r="7722" ht="15" customHeight="1" s="783">
      <c r="B7722" s="901" t="n"/>
    </row>
    <row r="7723" ht="15" customHeight="1" s="783">
      <c r="B7723" s="901" t="n"/>
    </row>
    <row r="7724" ht="15" customHeight="1" s="783">
      <c r="B7724" s="901" t="n"/>
    </row>
    <row r="7725" ht="15" customHeight="1" s="783">
      <c r="B7725" s="901" t="n"/>
    </row>
    <row r="7726" ht="15" customHeight="1" s="783">
      <c r="B7726" s="901" t="n"/>
    </row>
    <row r="7727" ht="15" customHeight="1" s="783">
      <c r="B7727" s="901" t="n"/>
    </row>
    <row r="7728" ht="15" customHeight="1" s="783">
      <c r="B7728" s="901" t="n"/>
    </row>
    <row r="7729" ht="15" customHeight="1" s="783">
      <c r="B7729" s="901" t="n"/>
    </row>
    <row r="7730" ht="15" customHeight="1" s="783">
      <c r="B7730" s="901" t="n"/>
    </row>
    <row r="7731" ht="15" customHeight="1" s="783">
      <c r="B7731" s="901" t="n"/>
    </row>
    <row r="7732" ht="15" customHeight="1" s="783">
      <c r="B7732" s="901" t="n"/>
    </row>
    <row r="7733" ht="15" customHeight="1" s="783">
      <c r="B7733" s="901" t="n"/>
    </row>
    <row r="7734" ht="15" customHeight="1" s="783">
      <c r="B7734" s="901" t="n"/>
    </row>
    <row r="7735" ht="15" customHeight="1" s="783">
      <c r="B7735" s="901" t="n"/>
    </row>
    <row r="7736" ht="15" customHeight="1" s="783">
      <c r="B7736" s="901" t="n"/>
    </row>
    <row r="7737" ht="15" customHeight="1" s="783">
      <c r="B7737" s="901" t="n"/>
    </row>
    <row r="7738" ht="15" customHeight="1" s="783">
      <c r="B7738" s="901" t="n"/>
    </row>
    <row r="7739" ht="15" customHeight="1" s="783">
      <c r="B7739" s="901" t="n"/>
    </row>
    <row r="7740" ht="15" customHeight="1" s="783">
      <c r="B7740" s="901" t="n"/>
    </row>
    <row r="7741" ht="15" customHeight="1" s="783">
      <c r="B7741" s="901" t="n"/>
    </row>
    <row r="7742" ht="15" customHeight="1" s="783">
      <c r="B7742" s="901" t="n"/>
    </row>
    <row r="7743" ht="15" customHeight="1" s="783">
      <c r="B7743" s="901" t="n"/>
    </row>
    <row r="7744" ht="15" customHeight="1" s="783">
      <c r="B7744" s="901" t="n"/>
    </row>
    <row r="7745" ht="15" customHeight="1" s="783">
      <c r="B7745" s="901" t="n"/>
    </row>
    <row r="7746" ht="15" customHeight="1" s="783">
      <c r="B7746" s="901" t="n"/>
    </row>
    <row r="7747" ht="15" customHeight="1" s="783">
      <c r="B7747" s="901" t="n"/>
    </row>
    <row r="7748" ht="15" customHeight="1" s="783">
      <c r="B7748" s="901" t="n"/>
    </row>
    <row r="7749" ht="15" customHeight="1" s="783">
      <c r="B7749" s="901" t="n"/>
    </row>
    <row r="7750" ht="15" customHeight="1" s="783">
      <c r="B7750" s="901" t="n"/>
    </row>
    <row r="7751" ht="15" customHeight="1" s="783">
      <c r="B7751" s="901" t="n"/>
    </row>
    <row r="7752" ht="15" customHeight="1" s="783">
      <c r="B7752" s="901" t="n"/>
    </row>
    <row r="7753" ht="15" customHeight="1" s="783">
      <c r="B7753" s="901" t="n"/>
    </row>
    <row r="7754" ht="15" customHeight="1" s="783">
      <c r="B7754" s="901" t="n"/>
    </row>
    <row r="7755" ht="15" customHeight="1" s="783">
      <c r="B7755" s="901" t="n"/>
    </row>
    <row r="7756" ht="15" customHeight="1" s="783">
      <c r="B7756" s="901" t="n"/>
    </row>
    <row r="7757" ht="15" customHeight="1" s="783">
      <c r="B7757" s="901" t="n"/>
    </row>
    <row r="7758" ht="15" customHeight="1" s="783">
      <c r="B7758" s="901" t="n"/>
    </row>
    <row r="7759" ht="15" customHeight="1" s="783">
      <c r="B7759" s="901" t="n"/>
    </row>
    <row r="7760" ht="15" customHeight="1" s="783">
      <c r="B7760" s="901" t="n"/>
    </row>
    <row r="7761" ht="15" customHeight="1" s="783">
      <c r="B7761" s="901" t="n"/>
    </row>
    <row r="7762" ht="15" customHeight="1" s="783">
      <c r="B7762" s="901" t="n"/>
    </row>
    <row r="7763" ht="15" customHeight="1" s="783">
      <c r="B7763" s="901" t="n"/>
    </row>
    <row r="7764" ht="15" customHeight="1" s="783">
      <c r="B7764" s="901" t="n"/>
    </row>
    <row r="7765" ht="15" customHeight="1" s="783">
      <c r="B7765" s="901" t="n"/>
    </row>
    <row r="7766" ht="15" customHeight="1" s="783">
      <c r="B7766" s="901" t="n"/>
    </row>
    <row r="7767" ht="15" customHeight="1" s="783">
      <c r="B7767" s="901" t="n"/>
    </row>
    <row r="7768" ht="15" customHeight="1" s="783">
      <c r="B7768" s="901" t="n"/>
    </row>
    <row r="7769" ht="15" customHeight="1" s="783">
      <c r="B7769" s="901" t="n"/>
    </row>
    <row r="7770" ht="15" customHeight="1" s="783">
      <c r="B7770" s="901" t="n"/>
    </row>
    <row r="7771" ht="15" customHeight="1" s="783">
      <c r="B7771" s="901" t="n"/>
    </row>
    <row r="7772" ht="15" customHeight="1" s="783">
      <c r="B7772" s="901" t="n"/>
    </row>
    <row r="7773" ht="15" customHeight="1" s="783">
      <c r="B7773" s="901" t="n"/>
    </row>
    <row r="7774" ht="15" customHeight="1" s="783">
      <c r="B7774" s="901" t="n"/>
    </row>
    <row r="7775" ht="15" customHeight="1" s="783">
      <c r="B7775" s="901" t="n"/>
    </row>
    <row r="7776" ht="15" customHeight="1" s="783">
      <c r="B7776" s="901" t="n"/>
    </row>
    <row r="7777" ht="15" customHeight="1" s="783">
      <c r="B7777" s="901" t="n"/>
    </row>
    <row r="7778" ht="15" customHeight="1" s="783">
      <c r="B7778" s="901" t="n"/>
    </row>
    <row r="7779" ht="15" customHeight="1" s="783">
      <c r="B7779" s="901" t="n"/>
    </row>
    <row r="7780" ht="15" customHeight="1" s="783">
      <c r="B7780" s="901" t="n"/>
    </row>
    <row r="7781" ht="15" customHeight="1" s="783">
      <c r="B7781" s="901" t="n"/>
    </row>
    <row r="7782" ht="15" customHeight="1" s="783">
      <c r="B7782" s="901" t="n"/>
    </row>
    <row r="7783" ht="15" customHeight="1" s="783">
      <c r="B7783" s="901" t="n"/>
    </row>
    <row r="7784" ht="15" customHeight="1" s="783">
      <c r="B7784" s="901" t="n"/>
    </row>
    <row r="7785" ht="15" customHeight="1" s="783">
      <c r="B7785" s="901" t="n"/>
    </row>
    <row r="7786" ht="15" customHeight="1" s="783">
      <c r="B7786" s="901" t="n"/>
    </row>
    <row r="7787" ht="15" customHeight="1" s="783">
      <c r="B7787" s="901" t="n"/>
    </row>
    <row r="7788" ht="15" customHeight="1" s="783">
      <c r="B7788" s="901" t="n"/>
    </row>
    <row r="7789" ht="15" customHeight="1" s="783">
      <c r="B7789" s="901" t="n"/>
    </row>
    <row r="7790" ht="15" customHeight="1" s="783">
      <c r="B7790" s="901" t="n"/>
    </row>
    <row r="7791" ht="15" customHeight="1" s="783">
      <c r="B7791" s="901" t="n"/>
    </row>
    <row r="7792" ht="15" customHeight="1" s="783">
      <c r="B7792" s="901" t="n"/>
    </row>
    <row r="7793" ht="15" customHeight="1" s="783">
      <c r="B7793" s="901" t="n"/>
    </row>
    <row r="7794" ht="15" customHeight="1" s="783">
      <c r="B7794" s="901" t="n"/>
    </row>
    <row r="7795" ht="15" customHeight="1" s="783">
      <c r="B7795" s="901" t="n"/>
    </row>
    <row r="7796" ht="15" customHeight="1" s="783">
      <c r="B7796" s="901" t="n"/>
    </row>
    <row r="7797" ht="15" customHeight="1" s="783">
      <c r="B7797" s="901" t="n"/>
    </row>
    <row r="7798" ht="15" customHeight="1" s="783">
      <c r="B7798" s="901" t="n"/>
    </row>
    <row r="7799" ht="15" customHeight="1" s="783">
      <c r="B7799" s="901" t="n"/>
    </row>
    <row r="7800" ht="15" customHeight="1" s="783">
      <c r="B7800" s="901" t="n"/>
    </row>
    <row r="7801" ht="15" customHeight="1" s="783">
      <c r="B7801" s="901" t="n"/>
    </row>
    <row r="7802" ht="15" customHeight="1" s="783">
      <c r="B7802" s="901" t="n"/>
    </row>
    <row r="7803" ht="15" customHeight="1" s="783">
      <c r="B7803" s="901" t="n"/>
    </row>
    <row r="7804" ht="15" customHeight="1" s="783">
      <c r="B7804" s="901" t="n"/>
    </row>
    <row r="7805" ht="15" customHeight="1" s="783">
      <c r="B7805" s="901" t="n"/>
    </row>
    <row r="7806" ht="15" customHeight="1" s="783">
      <c r="B7806" s="901" t="n"/>
    </row>
    <row r="7807" ht="15" customHeight="1" s="783">
      <c r="B7807" s="901" t="n"/>
    </row>
    <row r="7808" ht="15" customHeight="1" s="783">
      <c r="B7808" s="901" t="n"/>
    </row>
    <row r="7809" ht="15" customHeight="1" s="783">
      <c r="B7809" s="901" t="n"/>
    </row>
    <row r="7810" ht="15" customHeight="1" s="783">
      <c r="B7810" s="901" t="n"/>
    </row>
    <row r="7811" ht="15" customHeight="1" s="783">
      <c r="B7811" s="901" t="n"/>
    </row>
    <row r="7812" ht="15" customHeight="1" s="783">
      <c r="B7812" s="901" t="n"/>
    </row>
    <row r="7813" ht="15" customHeight="1" s="783">
      <c r="B7813" s="901" t="n"/>
    </row>
    <row r="7814" ht="15" customHeight="1" s="783">
      <c r="B7814" s="901" t="n"/>
    </row>
    <row r="7815" ht="15" customHeight="1" s="783">
      <c r="B7815" s="901" t="n"/>
    </row>
    <row r="7816" ht="15" customHeight="1" s="783">
      <c r="B7816" s="901" t="n"/>
    </row>
    <row r="7817" ht="15" customHeight="1" s="783">
      <c r="B7817" s="901" t="n"/>
    </row>
    <row r="7818" ht="15" customHeight="1" s="783">
      <c r="B7818" s="901" t="n"/>
    </row>
    <row r="7819" ht="15" customHeight="1" s="783">
      <c r="B7819" s="901" t="n"/>
    </row>
    <row r="7820" ht="15" customHeight="1" s="783">
      <c r="B7820" s="901" t="n"/>
    </row>
    <row r="7821" ht="15" customHeight="1" s="783">
      <c r="B7821" s="901" t="n"/>
    </row>
    <row r="7822" ht="15" customHeight="1" s="783">
      <c r="B7822" s="901" t="n"/>
    </row>
    <row r="7823" ht="15" customHeight="1" s="783">
      <c r="B7823" s="901" t="n"/>
    </row>
    <row r="7824" ht="15" customHeight="1" s="783">
      <c r="B7824" s="901" t="n"/>
    </row>
    <row r="7825" ht="15" customHeight="1" s="783">
      <c r="B7825" s="901" t="n"/>
    </row>
    <row r="7826" ht="15" customHeight="1" s="783">
      <c r="B7826" s="901" t="n"/>
    </row>
    <row r="7827" ht="15" customHeight="1" s="783">
      <c r="B7827" s="901" t="n"/>
    </row>
    <row r="7828" ht="15" customHeight="1" s="783">
      <c r="B7828" s="901" t="n"/>
    </row>
    <row r="7829" ht="15" customHeight="1" s="783">
      <c r="B7829" s="901" t="n"/>
    </row>
    <row r="7830" ht="15" customHeight="1" s="783">
      <c r="B7830" s="901" t="n"/>
    </row>
    <row r="7831" ht="15" customHeight="1" s="783">
      <c r="B7831" s="901" t="n"/>
    </row>
    <row r="7832" ht="15" customHeight="1" s="783">
      <c r="B7832" s="901" t="n"/>
    </row>
    <row r="7833" ht="15" customHeight="1" s="783">
      <c r="B7833" s="901" t="n"/>
    </row>
    <row r="7834" ht="15" customHeight="1" s="783">
      <c r="B7834" s="901" t="n"/>
    </row>
    <row r="7835" ht="15" customHeight="1" s="783">
      <c r="B7835" s="901" t="n"/>
    </row>
    <row r="7836" ht="15" customHeight="1" s="783">
      <c r="B7836" s="901" t="n"/>
    </row>
    <row r="7837" ht="15" customHeight="1" s="783">
      <c r="B7837" s="901" t="n"/>
    </row>
    <row r="7838" ht="15" customHeight="1" s="783">
      <c r="B7838" s="901" t="n"/>
    </row>
    <row r="7839" ht="15" customHeight="1" s="783">
      <c r="B7839" s="901" t="n"/>
    </row>
    <row r="7840" ht="15" customHeight="1" s="783">
      <c r="B7840" s="901" t="n"/>
    </row>
    <row r="7841" ht="15" customHeight="1" s="783">
      <c r="B7841" s="901" t="n"/>
    </row>
    <row r="7842" ht="15" customHeight="1" s="783">
      <c r="B7842" s="901" t="n"/>
    </row>
    <row r="7843" ht="15" customHeight="1" s="783">
      <c r="B7843" s="901" t="n"/>
    </row>
    <row r="7844" ht="15" customHeight="1" s="783">
      <c r="B7844" s="901" t="n"/>
    </row>
    <row r="7845" ht="15" customHeight="1" s="783">
      <c r="B7845" s="901" t="n"/>
    </row>
    <row r="7846" ht="15" customHeight="1" s="783">
      <c r="B7846" s="901" t="n"/>
    </row>
    <row r="7847" ht="15" customHeight="1" s="783">
      <c r="B7847" s="901" t="n"/>
    </row>
    <row r="7848" ht="15" customHeight="1" s="783">
      <c r="B7848" s="901" t="n"/>
    </row>
    <row r="7849" ht="15" customHeight="1" s="783">
      <c r="B7849" s="901" t="n"/>
    </row>
    <row r="7850" ht="15" customHeight="1" s="783">
      <c r="B7850" s="901" t="n"/>
    </row>
    <row r="7851" ht="15" customHeight="1" s="783">
      <c r="B7851" s="901" t="n"/>
    </row>
    <row r="7852" ht="15" customHeight="1" s="783">
      <c r="B7852" s="901" t="n"/>
    </row>
    <row r="7853" ht="15" customHeight="1" s="783">
      <c r="B7853" s="901" t="n"/>
    </row>
    <row r="7854" ht="15" customHeight="1" s="783">
      <c r="B7854" s="901" t="n"/>
    </row>
    <row r="7855" ht="15" customHeight="1" s="783">
      <c r="B7855" s="901" t="n"/>
    </row>
    <row r="7856" ht="15" customHeight="1" s="783">
      <c r="B7856" s="901" t="n"/>
    </row>
    <row r="7857" ht="15" customHeight="1" s="783">
      <c r="B7857" s="901" t="n"/>
    </row>
    <row r="7858" ht="15" customHeight="1" s="783">
      <c r="B7858" s="901" t="n"/>
    </row>
    <row r="7859" ht="15" customHeight="1" s="783">
      <c r="B7859" s="901" t="n"/>
    </row>
    <row r="7860" ht="15" customHeight="1" s="783">
      <c r="B7860" s="901" t="n"/>
    </row>
    <row r="7861" ht="15" customHeight="1" s="783">
      <c r="B7861" s="901" t="n"/>
    </row>
    <row r="7862" ht="15" customHeight="1" s="783">
      <c r="B7862" s="901" t="n"/>
    </row>
    <row r="7863" ht="15" customHeight="1" s="783">
      <c r="B7863" s="901" t="n"/>
    </row>
    <row r="7864" ht="15" customHeight="1" s="783">
      <c r="B7864" s="901" t="n"/>
    </row>
    <row r="7865" ht="15" customHeight="1" s="783">
      <c r="B7865" s="901" t="n"/>
    </row>
    <row r="7866" ht="15" customHeight="1" s="783">
      <c r="B7866" s="901" t="n"/>
    </row>
    <row r="7867" ht="15" customHeight="1" s="783">
      <c r="B7867" s="901" t="n"/>
    </row>
    <row r="7868" ht="15" customHeight="1" s="783">
      <c r="B7868" s="901" t="n"/>
    </row>
    <row r="7869" ht="15" customHeight="1" s="783">
      <c r="B7869" s="901" t="n"/>
    </row>
    <row r="7870" ht="15" customHeight="1" s="783">
      <c r="B7870" s="901" t="n"/>
    </row>
    <row r="7871" ht="15" customHeight="1" s="783">
      <c r="B7871" s="901" t="n"/>
    </row>
    <row r="7872" ht="15" customHeight="1" s="783">
      <c r="B7872" s="901" t="n"/>
    </row>
    <row r="7873" ht="15" customHeight="1" s="783">
      <c r="B7873" s="901" t="n"/>
    </row>
    <row r="7874" ht="15" customHeight="1" s="783">
      <c r="B7874" s="901" t="n"/>
    </row>
    <row r="7875" ht="15" customHeight="1" s="783">
      <c r="B7875" s="901" t="n"/>
    </row>
    <row r="7876" ht="15" customHeight="1" s="783">
      <c r="B7876" s="901" t="n"/>
    </row>
    <row r="7877" ht="15" customHeight="1" s="783">
      <c r="B7877" s="901" t="n"/>
    </row>
    <row r="7878" ht="15" customHeight="1" s="783">
      <c r="B7878" s="901" t="n"/>
    </row>
    <row r="7879" ht="15" customHeight="1" s="783">
      <c r="B7879" s="901" t="n"/>
    </row>
    <row r="7880" ht="15" customHeight="1" s="783">
      <c r="B7880" s="901" t="n"/>
    </row>
    <row r="7881" ht="15" customHeight="1" s="783">
      <c r="B7881" s="901" t="n"/>
    </row>
    <row r="7882" ht="15" customHeight="1" s="783">
      <c r="B7882" s="901" t="n"/>
    </row>
    <row r="7883" ht="15" customHeight="1" s="783">
      <c r="B7883" s="901" t="n"/>
    </row>
    <row r="7884" ht="15" customHeight="1" s="783">
      <c r="B7884" s="901" t="n"/>
    </row>
    <row r="7885" ht="15" customHeight="1" s="783">
      <c r="B7885" s="901" t="n"/>
    </row>
    <row r="7886" ht="15" customHeight="1" s="783">
      <c r="B7886" s="901" t="n"/>
    </row>
    <row r="7887" ht="15" customHeight="1" s="783">
      <c r="B7887" s="901" t="n"/>
    </row>
    <row r="7888" ht="15" customHeight="1" s="783">
      <c r="B7888" s="901" t="n"/>
    </row>
    <row r="7889" ht="15" customHeight="1" s="783">
      <c r="B7889" s="901" t="n"/>
    </row>
    <row r="7890" ht="15" customHeight="1" s="783">
      <c r="B7890" s="901" t="n"/>
    </row>
    <row r="7891" ht="15" customHeight="1" s="783">
      <c r="B7891" s="901" t="n"/>
    </row>
    <row r="7892" ht="15" customHeight="1" s="783">
      <c r="B7892" s="901" t="n"/>
    </row>
    <row r="7893" ht="15" customHeight="1" s="783">
      <c r="B7893" s="901" t="n"/>
    </row>
    <row r="7894" ht="15" customHeight="1" s="783">
      <c r="B7894" s="901" t="n"/>
    </row>
    <row r="7895" ht="15" customHeight="1" s="783">
      <c r="B7895" s="901" t="n"/>
    </row>
    <row r="7896" ht="15" customHeight="1" s="783">
      <c r="B7896" s="901" t="n"/>
    </row>
    <row r="7897" ht="15" customHeight="1" s="783">
      <c r="B7897" s="901" t="n"/>
    </row>
    <row r="7898" ht="15" customHeight="1" s="783">
      <c r="B7898" s="901" t="n"/>
    </row>
    <row r="7899" ht="15" customHeight="1" s="783">
      <c r="B7899" s="901" t="n"/>
    </row>
    <row r="7900" ht="15" customHeight="1" s="783">
      <c r="B7900" s="901" t="n"/>
    </row>
    <row r="7901" ht="15" customHeight="1" s="783">
      <c r="B7901" s="901" t="n"/>
    </row>
    <row r="7902" ht="15" customHeight="1" s="783">
      <c r="B7902" s="901" t="n"/>
    </row>
    <row r="7903" ht="15" customHeight="1" s="783">
      <c r="B7903" s="901" t="n"/>
    </row>
    <row r="7904" ht="15" customHeight="1" s="783">
      <c r="B7904" s="901" t="n"/>
    </row>
    <row r="7905" ht="15" customHeight="1" s="783">
      <c r="B7905" s="901" t="n"/>
    </row>
    <row r="7906" ht="15" customHeight="1" s="783">
      <c r="B7906" s="901" t="n"/>
    </row>
    <row r="7907" ht="15" customHeight="1" s="783">
      <c r="B7907" s="901" t="n"/>
    </row>
    <row r="7908" ht="15" customHeight="1" s="783">
      <c r="B7908" s="901" t="n"/>
    </row>
    <row r="7909" ht="15" customHeight="1" s="783">
      <c r="B7909" s="901" t="n"/>
    </row>
    <row r="7910" ht="15" customHeight="1" s="783">
      <c r="B7910" s="901" t="n"/>
    </row>
    <row r="7911" ht="15" customHeight="1" s="783">
      <c r="B7911" s="901" t="n"/>
    </row>
    <row r="7912" ht="15" customHeight="1" s="783">
      <c r="B7912" s="901" t="n"/>
    </row>
    <row r="7913" ht="15" customHeight="1" s="783">
      <c r="B7913" s="901" t="n"/>
    </row>
    <row r="7914" ht="15" customHeight="1" s="783">
      <c r="B7914" s="901" t="n"/>
    </row>
    <row r="7915" ht="15" customHeight="1" s="783">
      <c r="B7915" s="901" t="n"/>
    </row>
    <row r="7916" ht="15" customHeight="1" s="783">
      <c r="B7916" s="901" t="n"/>
    </row>
    <row r="7917" ht="15" customHeight="1" s="783">
      <c r="B7917" s="901" t="n"/>
    </row>
    <row r="7918" ht="15" customHeight="1" s="783">
      <c r="B7918" s="901" t="n"/>
    </row>
    <row r="7919" ht="15" customHeight="1" s="783">
      <c r="B7919" s="901" t="n"/>
    </row>
    <row r="7920" ht="15" customHeight="1" s="783">
      <c r="B7920" s="901" t="n"/>
    </row>
    <row r="7921" ht="15" customHeight="1" s="783">
      <c r="B7921" s="901" t="n"/>
    </row>
    <row r="7922" ht="15" customHeight="1" s="783">
      <c r="B7922" s="901" t="n"/>
    </row>
    <row r="7923" ht="15" customHeight="1" s="783">
      <c r="B7923" s="901" t="n"/>
    </row>
    <row r="7924" ht="15" customHeight="1" s="783">
      <c r="B7924" s="901" t="n"/>
    </row>
    <row r="7925" ht="15" customHeight="1" s="783">
      <c r="B7925" s="901" t="n"/>
    </row>
    <row r="7926" ht="15" customHeight="1" s="783">
      <c r="B7926" s="901" t="n"/>
    </row>
    <row r="7927" ht="15" customHeight="1" s="783">
      <c r="B7927" s="901" t="n"/>
    </row>
    <row r="7928" ht="15" customHeight="1" s="783">
      <c r="B7928" s="901" t="n"/>
    </row>
    <row r="7929" ht="15" customHeight="1" s="783">
      <c r="B7929" s="901" t="n"/>
    </row>
    <row r="7930" ht="15" customHeight="1" s="783">
      <c r="B7930" s="901" t="n"/>
    </row>
    <row r="7931" ht="15" customHeight="1" s="783">
      <c r="B7931" s="901" t="n"/>
    </row>
    <row r="7932" ht="15" customHeight="1" s="783">
      <c r="B7932" s="901" t="n"/>
    </row>
    <row r="7933" ht="15" customHeight="1" s="783">
      <c r="B7933" s="901" t="n"/>
    </row>
    <row r="7934" ht="15" customHeight="1" s="783">
      <c r="B7934" s="901" t="n"/>
    </row>
    <row r="7935" ht="15" customHeight="1" s="783">
      <c r="B7935" s="901" t="n"/>
    </row>
    <row r="7936" ht="15" customHeight="1" s="783">
      <c r="B7936" s="901" t="n"/>
    </row>
    <row r="7937" ht="15" customHeight="1" s="783">
      <c r="B7937" s="901" t="n"/>
    </row>
    <row r="7938" ht="15" customHeight="1" s="783">
      <c r="B7938" s="901" t="n"/>
    </row>
    <row r="7939" ht="15" customHeight="1" s="783">
      <c r="B7939" s="901" t="n"/>
    </row>
    <row r="7940" ht="15" customHeight="1" s="783">
      <c r="B7940" s="901" t="n"/>
    </row>
    <row r="7941" ht="15" customHeight="1" s="783">
      <c r="B7941" s="901" t="n"/>
    </row>
    <row r="7942" ht="15" customHeight="1" s="783">
      <c r="B7942" s="901" t="n"/>
    </row>
    <row r="7943" ht="15" customHeight="1" s="783">
      <c r="B7943" s="901" t="n"/>
    </row>
    <row r="7944" ht="15" customHeight="1" s="783">
      <c r="B7944" s="901" t="n"/>
    </row>
    <row r="7945" ht="15" customHeight="1" s="783">
      <c r="B7945" s="901" t="n"/>
    </row>
    <row r="7946" ht="15" customHeight="1" s="783">
      <c r="B7946" s="901" t="n"/>
    </row>
    <row r="7947" ht="15" customHeight="1" s="783">
      <c r="B7947" s="901" t="n"/>
    </row>
    <row r="7948" ht="15" customHeight="1" s="783">
      <c r="B7948" s="901" t="n"/>
    </row>
    <row r="7949" ht="15" customHeight="1" s="783">
      <c r="B7949" s="901" t="n"/>
    </row>
    <row r="7950" ht="15" customHeight="1" s="783">
      <c r="B7950" s="901" t="n"/>
    </row>
    <row r="7951" ht="15" customHeight="1" s="783">
      <c r="B7951" s="901" t="n"/>
    </row>
    <row r="7952" ht="15" customHeight="1" s="783">
      <c r="B7952" s="901" t="n"/>
    </row>
    <row r="7953" ht="15" customHeight="1" s="783">
      <c r="B7953" s="901" t="n"/>
    </row>
    <row r="7954" ht="15" customHeight="1" s="783">
      <c r="B7954" s="901" t="n"/>
    </row>
    <row r="7955" ht="15" customHeight="1" s="783">
      <c r="B7955" s="901" t="n"/>
    </row>
    <row r="7956" ht="15" customHeight="1" s="783">
      <c r="B7956" s="901" t="n"/>
    </row>
    <row r="7957" ht="15" customHeight="1" s="783">
      <c r="B7957" s="901" t="n"/>
    </row>
    <row r="7958" ht="15" customHeight="1" s="783">
      <c r="B7958" s="901" t="n"/>
    </row>
    <row r="7959" ht="15" customHeight="1" s="783">
      <c r="B7959" s="901" t="n"/>
    </row>
    <row r="7960" ht="15" customHeight="1" s="783">
      <c r="B7960" s="901" t="n"/>
    </row>
    <row r="7961" ht="15" customHeight="1" s="783">
      <c r="B7961" s="901" t="n"/>
    </row>
    <row r="7962" ht="15" customHeight="1" s="783">
      <c r="B7962" s="901" t="n"/>
    </row>
    <row r="7963" ht="15" customHeight="1" s="783">
      <c r="B7963" s="901" t="n"/>
    </row>
    <row r="7964" ht="15" customHeight="1" s="783">
      <c r="B7964" s="901" t="n"/>
    </row>
    <row r="7965" ht="15" customHeight="1" s="783">
      <c r="B7965" s="901" t="n"/>
    </row>
    <row r="7966" ht="15" customHeight="1" s="783">
      <c r="B7966" s="901" t="n"/>
    </row>
    <row r="7967" ht="15" customHeight="1" s="783">
      <c r="B7967" s="901" t="n"/>
    </row>
    <row r="7968" ht="15" customHeight="1" s="783">
      <c r="B7968" s="901" t="n"/>
    </row>
    <row r="7969" ht="15" customHeight="1" s="783">
      <c r="B7969" s="901" t="n"/>
    </row>
    <row r="7970" ht="15" customHeight="1" s="783">
      <c r="B7970" s="901" t="n"/>
    </row>
    <row r="7971" ht="15" customHeight="1" s="783">
      <c r="B7971" s="901" t="n"/>
    </row>
    <row r="7972" ht="15" customHeight="1" s="783">
      <c r="B7972" s="901" t="n"/>
    </row>
    <row r="7973" ht="15" customHeight="1" s="783">
      <c r="B7973" s="901" t="n"/>
    </row>
    <row r="7974" ht="15" customHeight="1" s="783">
      <c r="B7974" s="901" t="n"/>
    </row>
    <row r="7975" ht="15" customHeight="1" s="783">
      <c r="B7975" s="901" t="n"/>
    </row>
    <row r="7976" ht="15" customHeight="1" s="783">
      <c r="B7976" s="901" t="n"/>
    </row>
    <row r="7977" ht="15" customHeight="1" s="783">
      <c r="B7977" s="901" t="n"/>
    </row>
    <row r="7978" ht="15" customHeight="1" s="783">
      <c r="B7978" s="901" t="n"/>
    </row>
    <row r="7979" ht="15" customHeight="1" s="783">
      <c r="B7979" s="901" t="n"/>
    </row>
    <row r="7980" ht="15" customHeight="1" s="783">
      <c r="B7980" s="901" t="n"/>
    </row>
    <row r="7981" ht="15" customHeight="1" s="783">
      <c r="B7981" s="901" t="n"/>
    </row>
    <row r="7982" ht="15" customHeight="1" s="783">
      <c r="B7982" s="901" t="n"/>
    </row>
    <row r="7983" ht="15" customHeight="1" s="783">
      <c r="B7983" s="901" t="n"/>
    </row>
    <row r="7984" ht="15" customHeight="1" s="783">
      <c r="B7984" s="901" t="n"/>
    </row>
    <row r="7985" ht="15" customHeight="1" s="783">
      <c r="B7985" s="901" t="n"/>
    </row>
    <row r="7986" ht="15" customHeight="1" s="783">
      <c r="B7986" s="901" t="n"/>
    </row>
    <row r="7987" ht="15" customHeight="1" s="783">
      <c r="B7987" s="901" t="n"/>
    </row>
    <row r="7988" ht="15" customHeight="1" s="783">
      <c r="B7988" s="901" t="n"/>
    </row>
    <row r="7989" ht="15" customHeight="1" s="783">
      <c r="B7989" s="901" t="n"/>
    </row>
    <row r="7990" ht="15" customHeight="1" s="783">
      <c r="B7990" s="901" t="n"/>
    </row>
    <row r="7991" ht="15" customHeight="1" s="783">
      <c r="B7991" s="901" t="n"/>
    </row>
    <row r="7992" ht="15" customHeight="1" s="783">
      <c r="B7992" s="901" t="n"/>
    </row>
    <row r="7993" ht="15" customHeight="1" s="783">
      <c r="B7993" s="901" t="n"/>
    </row>
    <row r="7994" ht="15" customHeight="1" s="783">
      <c r="B7994" s="901" t="n"/>
    </row>
    <row r="7995" ht="15" customHeight="1" s="783">
      <c r="B7995" s="901" t="n"/>
    </row>
    <row r="7996" ht="15" customHeight="1" s="783">
      <c r="B7996" s="901" t="n"/>
    </row>
    <row r="7997" ht="15" customHeight="1" s="783">
      <c r="B7997" s="901" t="n"/>
    </row>
    <row r="7998" ht="15" customHeight="1" s="783">
      <c r="B7998" s="901" t="n"/>
    </row>
    <row r="7999" ht="15" customHeight="1" s="783">
      <c r="B7999" s="901" t="n"/>
    </row>
    <row r="8000" ht="15" customHeight="1" s="783">
      <c r="B8000" s="901" t="n"/>
    </row>
    <row r="8001" ht="15" customHeight="1" s="783">
      <c r="B8001" s="901" t="n"/>
    </row>
    <row r="8002" ht="15" customHeight="1" s="783">
      <c r="B8002" s="901" t="n"/>
    </row>
    <row r="8003" ht="15" customHeight="1" s="783">
      <c r="B8003" s="901" t="n"/>
    </row>
    <row r="8004" ht="15" customHeight="1" s="783">
      <c r="B8004" s="901" t="n"/>
    </row>
    <row r="8005" ht="15" customHeight="1" s="783">
      <c r="B8005" s="901" t="n"/>
    </row>
    <row r="8006" ht="15" customHeight="1" s="783">
      <c r="B8006" s="901" t="n"/>
    </row>
    <row r="8007" ht="15" customHeight="1" s="783">
      <c r="B8007" s="901" t="n"/>
    </row>
    <row r="8008" ht="15" customHeight="1" s="783">
      <c r="B8008" s="901" t="n"/>
    </row>
    <row r="8009" ht="15" customHeight="1" s="783">
      <c r="B8009" s="901" t="n"/>
    </row>
    <row r="8010" ht="15" customHeight="1" s="783">
      <c r="B8010" s="901" t="n"/>
    </row>
    <row r="8011" ht="15" customHeight="1" s="783">
      <c r="B8011" s="901" t="n"/>
    </row>
    <row r="8012" ht="15" customHeight="1" s="783">
      <c r="B8012" s="901" t="n"/>
    </row>
    <row r="8013" ht="15" customHeight="1" s="783">
      <c r="B8013" s="901" t="n"/>
    </row>
    <row r="8014" ht="15" customHeight="1" s="783">
      <c r="B8014" s="901" t="n"/>
    </row>
    <row r="8015" ht="15" customHeight="1" s="783">
      <c r="B8015" s="901" t="n"/>
    </row>
    <row r="8016" ht="15" customHeight="1" s="783">
      <c r="B8016" s="901" t="n"/>
    </row>
    <row r="8017" ht="15" customHeight="1" s="783">
      <c r="B8017" s="901" t="n"/>
    </row>
    <row r="8018" ht="15" customHeight="1" s="783">
      <c r="B8018" s="901" t="n"/>
    </row>
    <row r="8019" ht="15" customHeight="1" s="783">
      <c r="B8019" s="901" t="n"/>
    </row>
    <row r="8020" ht="15" customHeight="1" s="783">
      <c r="B8020" s="901" t="n"/>
    </row>
    <row r="8021" ht="15" customHeight="1" s="783">
      <c r="B8021" s="901" t="n"/>
    </row>
    <row r="8022" ht="15" customHeight="1" s="783">
      <c r="B8022" s="901" t="n"/>
    </row>
    <row r="8023" ht="15" customHeight="1" s="783">
      <c r="B8023" s="901" t="n"/>
    </row>
    <row r="8024" ht="15" customHeight="1" s="783">
      <c r="B8024" s="901" t="n"/>
    </row>
    <row r="8025" ht="15" customHeight="1" s="783">
      <c r="B8025" s="901" t="n"/>
    </row>
    <row r="8026" ht="15" customHeight="1" s="783">
      <c r="B8026" s="901" t="n"/>
    </row>
    <row r="8027" ht="15" customHeight="1" s="783">
      <c r="B8027" s="901" t="n"/>
    </row>
    <row r="8028" ht="15" customHeight="1" s="783">
      <c r="B8028" s="901" t="n"/>
    </row>
    <row r="8029" ht="15" customHeight="1" s="783">
      <c r="B8029" s="901" t="n"/>
    </row>
    <row r="8030" ht="15" customHeight="1" s="783">
      <c r="B8030" s="901" t="n"/>
    </row>
    <row r="8031" ht="15" customHeight="1" s="783">
      <c r="B8031" s="901" t="n"/>
    </row>
    <row r="8032" ht="15" customHeight="1" s="783">
      <c r="B8032" s="901" t="n"/>
    </row>
    <row r="8033" ht="15" customHeight="1" s="783">
      <c r="B8033" s="901" t="n"/>
    </row>
    <row r="8034" ht="15" customHeight="1" s="783">
      <c r="B8034" s="901" t="n"/>
    </row>
    <row r="8035" ht="15" customHeight="1" s="783">
      <c r="B8035" s="901" t="n"/>
    </row>
    <row r="8036" ht="15" customHeight="1" s="783">
      <c r="B8036" s="901" t="n"/>
    </row>
    <row r="8037" ht="15" customHeight="1" s="783">
      <c r="B8037" s="901" t="n"/>
    </row>
    <row r="8038" ht="15" customHeight="1" s="783">
      <c r="B8038" s="901" t="n"/>
    </row>
    <row r="8039" ht="15" customHeight="1" s="783">
      <c r="B8039" s="901" t="n"/>
    </row>
    <row r="8040" ht="15" customHeight="1" s="783">
      <c r="B8040" s="901" t="n"/>
    </row>
    <row r="8041" ht="15" customHeight="1" s="783">
      <c r="B8041" s="901" t="n"/>
    </row>
    <row r="8042" ht="15" customHeight="1" s="783">
      <c r="B8042" s="901" t="n"/>
    </row>
    <row r="8043" ht="15" customHeight="1" s="783">
      <c r="B8043" s="901" t="n"/>
    </row>
    <row r="8044" ht="15" customHeight="1" s="783">
      <c r="B8044" s="901" t="n"/>
    </row>
    <row r="8045" ht="15" customHeight="1" s="783">
      <c r="B8045" s="901" t="n"/>
    </row>
    <row r="8046" ht="15" customHeight="1" s="783">
      <c r="B8046" s="901" t="n"/>
    </row>
    <row r="8047" ht="15" customHeight="1" s="783">
      <c r="B8047" s="901" t="n"/>
    </row>
    <row r="8048" ht="15" customHeight="1" s="783">
      <c r="B8048" s="901" t="n"/>
    </row>
    <row r="8049" ht="15" customHeight="1" s="783">
      <c r="B8049" s="901" t="n"/>
    </row>
    <row r="8050" ht="15" customHeight="1" s="783">
      <c r="B8050" s="901" t="n"/>
    </row>
    <row r="8051" ht="15" customHeight="1" s="783">
      <c r="B8051" s="901" t="n"/>
    </row>
    <row r="8052" ht="15" customHeight="1" s="783">
      <c r="B8052" s="901" t="n"/>
    </row>
    <row r="8053" ht="15" customHeight="1" s="783">
      <c r="B8053" s="901" t="n"/>
    </row>
    <row r="8054" ht="15" customHeight="1" s="783">
      <c r="B8054" s="901" t="n"/>
    </row>
    <row r="8055" ht="15" customHeight="1" s="783">
      <c r="B8055" s="901" t="n"/>
    </row>
    <row r="8056" ht="15" customHeight="1" s="783">
      <c r="B8056" s="901" t="n"/>
    </row>
    <row r="8057" ht="15" customHeight="1" s="783">
      <c r="B8057" s="901" t="n"/>
    </row>
    <row r="8058" ht="15" customHeight="1" s="783">
      <c r="B8058" s="901" t="n"/>
    </row>
    <row r="8059" ht="15" customHeight="1" s="783">
      <c r="B8059" s="901" t="n"/>
    </row>
    <row r="8060" ht="15" customHeight="1" s="783">
      <c r="B8060" s="901" t="n"/>
    </row>
    <row r="8061" ht="15" customHeight="1" s="783">
      <c r="B8061" s="901" t="n"/>
    </row>
    <row r="8062" ht="15" customHeight="1" s="783">
      <c r="B8062" s="901" t="n"/>
    </row>
    <row r="8063" ht="15" customHeight="1" s="783">
      <c r="B8063" s="901" t="n"/>
    </row>
    <row r="8064" ht="15" customHeight="1" s="783">
      <c r="B8064" s="901" t="n"/>
    </row>
    <row r="8065" ht="15" customHeight="1" s="783">
      <c r="B8065" s="901" t="n"/>
    </row>
    <row r="8066" ht="15" customHeight="1" s="783">
      <c r="B8066" s="901" t="n"/>
    </row>
    <row r="8067" ht="15" customHeight="1" s="783">
      <c r="B8067" s="901" t="n"/>
    </row>
    <row r="8068" ht="15" customHeight="1" s="783">
      <c r="B8068" s="901" t="n"/>
    </row>
    <row r="8069" ht="15" customHeight="1" s="783">
      <c r="B8069" s="901" t="n"/>
    </row>
    <row r="8070" ht="15" customHeight="1" s="783">
      <c r="B8070" s="901" t="n"/>
    </row>
    <row r="8071" ht="15" customHeight="1" s="783">
      <c r="B8071" s="901" t="n"/>
    </row>
    <row r="8072" ht="15" customHeight="1" s="783">
      <c r="B8072" s="901" t="n"/>
    </row>
    <row r="8073" ht="15" customHeight="1" s="783">
      <c r="B8073" s="901" t="n"/>
    </row>
    <row r="8074" ht="15" customHeight="1" s="783">
      <c r="B8074" s="901" t="n"/>
    </row>
    <row r="8075" ht="15" customHeight="1" s="783">
      <c r="B8075" s="901" t="n"/>
    </row>
    <row r="8076" ht="15" customHeight="1" s="783">
      <c r="B8076" s="901" t="n"/>
    </row>
    <row r="8077" ht="15" customHeight="1" s="783">
      <c r="B8077" s="901" t="n"/>
    </row>
    <row r="8078" ht="15" customHeight="1" s="783">
      <c r="B8078" s="901" t="n"/>
    </row>
    <row r="8079" ht="15" customHeight="1" s="783">
      <c r="B8079" s="901" t="n"/>
    </row>
    <row r="8080" ht="15" customHeight="1" s="783">
      <c r="B8080" s="901" t="n"/>
    </row>
    <row r="8081" ht="15" customHeight="1" s="783">
      <c r="B8081" s="901" t="n"/>
    </row>
    <row r="8082" ht="15" customHeight="1" s="783">
      <c r="B8082" s="901" t="n"/>
    </row>
    <row r="8083" ht="15" customHeight="1" s="783">
      <c r="B8083" s="901" t="n"/>
    </row>
    <row r="8084" ht="15" customHeight="1" s="783">
      <c r="B8084" s="901" t="n"/>
    </row>
    <row r="8085" ht="15" customHeight="1" s="783">
      <c r="B8085" s="901" t="n"/>
    </row>
    <row r="8086" ht="15" customHeight="1" s="783">
      <c r="B8086" s="901" t="n"/>
    </row>
    <row r="8087" ht="15" customHeight="1" s="783">
      <c r="B8087" s="901" t="n"/>
    </row>
    <row r="8088" ht="15" customHeight="1" s="783">
      <c r="B8088" s="901" t="n"/>
    </row>
    <row r="8089" ht="15" customHeight="1" s="783">
      <c r="B8089" s="901" t="n"/>
    </row>
    <row r="8090" ht="15" customHeight="1" s="783">
      <c r="B8090" s="901" t="n"/>
    </row>
    <row r="8091" ht="15" customHeight="1" s="783">
      <c r="B8091" s="901" t="n"/>
    </row>
    <row r="8092" ht="15" customHeight="1" s="783">
      <c r="B8092" s="901" t="n"/>
    </row>
    <row r="8093" ht="15" customHeight="1" s="783">
      <c r="B8093" s="901" t="n"/>
    </row>
    <row r="8094" ht="15" customHeight="1" s="783">
      <c r="B8094" s="901" t="n"/>
    </row>
    <row r="8095" ht="15" customHeight="1" s="783">
      <c r="B8095" s="901" t="n"/>
    </row>
    <row r="8096" ht="15" customHeight="1" s="783">
      <c r="B8096" s="901" t="n"/>
    </row>
    <row r="8097" ht="15" customHeight="1" s="783">
      <c r="B8097" s="901" t="n"/>
    </row>
    <row r="8098" ht="15" customHeight="1" s="783">
      <c r="B8098" s="901" t="n"/>
    </row>
    <row r="8099" ht="15" customHeight="1" s="783">
      <c r="B8099" s="901" t="n"/>
    </row>
    <row r="8100" ht="15" customHeight="1" s="783">
      <c r="B8100" s="901" t="n"/>
    </row>
    <row r="8101" ht="15" customHeight="1" s="783">
      <c r="B8101" s="901" t="n"/>
    </row>
    <row r="8102" ht="15" customHeight="1" s="783">
      <c r="B8102" s="901" t="n"/>
    </row>
    <row r="8103" ht="15" customHeight="1" s="783">
      <c r="B8103" s="901" t="n"/>
    </row>
    <row r="8104" ht="15" customHeight="1" s="783">
      <c r="B8104" s="901" t="n"/>
    </row>
    <row r="8105" ht="15" customHeight="1" s="783">
      <c r="B8105" s="901" t="n"/>
    </row>
    <row r="8106" ht="15" customHeight="1" s="783">
      <c r="B8106" s="901" t="n"/>
    </row>
    <row r="8107" ht="15" customHeight="1" s="783">
      <c r="B8107" s="901" t="n"/>
    </row>
    <row r="8108" ht="15" customHeight="1" s="783">
      <c r="B8108" s="901" t="n"/>
    </row>
    <row r="8109" ht="15" customHeight="1" s="783">
      <c r="B8109" s="901" t="n"/>
    </row>
    <row r="8110" ht="15" customHeight="1" s="783">
      <c r="B8110" s="901" t="n"/>
    </row>
    <row r="8111" ht="15" customHeight="1" s="783">
      <c r="B8111" s="901" t="n"/>
    </row>
    <row r="8112" ht="15" customHeight="1" s="783">
      <c r="B8112" s="901" t="n"/>
    </row>
    <row r="8113" ht="15" customHeight="1" s="783">
      <c r="B8113" s="901" t="n"/>
    </row>
    <row r="8114" ht="15" customHeight="1" s="783">
      <c r="B8114" s="901" t="n"/>
    </row>
    <row r="8115" ht="15" customHeight="1" s="783">
      <c r="B8115" s="901" t="n"/>
    </row>
    <row r="8116" ht="15" customHeight="1" s="783">
      <c r="B8116" s="901" t="n"/>
    </row>
    <row r="8117" ht="15" customHeight="1" s="783">
      <c r="B8117" s="901" t="n"/>
    </row>
    <row r="8118" ht="15" customHeight="1" s="783">
      <c r="B8118" s="901" t="n"/>
    </row>
    <row r="8119" ht="15" customHeight="1" s="783">
      <c r="B8119" s="901" t="n"/>
    </row>
    <row r="8120" ht="15" customHeight="1" s="783">
      <c r="B8120" s="901" t="n"/>
    </row>
    <row r="8121" ht="15" customHeight="1" s="783">
      <c r="B8121" s="901" t="n"/>
    </row>
    <row r="8122" ht="15" customHeight="1" s="783">
      <c r="B8122" s="901" t="n"/>
    </row>
    <row r="8123" ht="15" customHeight="1" s="783">
      <c r="B8123" s="901" t="n"/>
    </row>
    <row r="8124" ht="15" customHeight="1" s="783">
      <c r="B8124" s="901" t="n"/>
    </row>
    <row r="8125" ht="15" customHeight="1" s="783">
      <c r="B8125" s="901" t="n"/>
    </row>
    <row r="8126" ht="15" customHeight="1" s="783">
      <c r="B8126" s="901" t="n"/>
    </row>
    <row r="8127" ht="15" customHeight="1" s="783">
      <c r="B8127" s="901" t="n"/>
    </row>
    <row r="8128" ht="15" customHeight="1" s="783">
      <c r="B8128" s="901" t="n"/>
    </row>
    <row r="8129" ht="15" customHeight="1" s="783">
      <c r="B8129" s="901" t="n"/>
    </row>
    <row r="8130" ht="15" customHeight="1" s="783">
      <c r="B8130" s="901" t="n"/>
    </row>
    <row r="8131" ht="15" customHeight="1" s="783">
      <c r="B8131" s="901" t="n"/>
    </row>
    <row r="8132" ht="15" customHeight="1" s="783">
      <c r="B8132" s="901" t="n"/>
    </row>
    <row r="8133" ht="15" customHeight="1" s="783">
      <c r="B8133" s="901" t="n"/>
    </row>
    <row r="8134" ht="15" customHeight="1" s="783">
      <c r="B8134" s="901" t="n"/>
    </row>
    <row r="8135" ht="15" customHeight="1" s="783">
      <c r="B8135" s="901" t="n"/>
    </row>
    <row r="8136" ht="15" customHeight="1" s="783">
      <c r="B8136" s="901" t="n"/>
    </row>
    <row r="8137" ht="15" customHeight="1" s="783">
      <c r="B8137" s="901" t="n"/>
    </row>
    <row r="8138" ht="15" customHeight="1" s="783">
      <c r="B8138" s="901" t="n"/>
    </row>
    <row r="8139" ht="15" customHeight="1" s="783">
      <c r="B8139" s="901" t="n"/>
    </row>
    <row r="8140" ht="15" customHeight="1" s="783">
      <c r="B8140" s="901" t="n"/>
    </row>
    <row r="8141" ht="15" customHeight="1" s="783">
      <c r="B8141" s="901" t="n"/>
    </row>
    <row r="8142" ht="15" customHeight="1" s="783">
      <c r="B8142" s="901" t="n"/>
    </row>
    <row r="8143" ht="15" customHeight="1" s="783">
      <c r="B8143" s="901" t="n"/>
    </row>
    <row r="8144" ht="15" customHeight="1" s="783">
      <c r="B8144" s="901" t="n"/>
    </row>
    <row r="8145" ht="15" customHeight="1" s="783">
      <c r="B8145" s="901" t="n"/>
    </row>
    <row r="8146" ht="15" customHeight="1" s="783">
      <c r="B8146" s="901" t="n"/>
    </row>
    <row r="8147" ht="15" customHeight="1" s="783">
      <c r="B8147" s="901" t="n"/>
    </row>
    <row r="8148" ht="15" customHeight="1" s="783">
      <c r="B8148" s="901" t="n"/>
    </row>
    <row r="8149" ht="15" customHeight="1" s="783">
      <c r="B8149" s="901" t="n"/>
    </row>
    <row r="8150" ht="15" customHeight="1" s="783">
      <c r="B8150" s="901" t="n"/>
    </row>
    <row r="8151" ht="15" customHeight="1" s="783">
      <c r="B8151" s="901" t="n"/>
    </row>
    <row r="8152" ht="15" customHeight="1" s="783">
      <c r="B8152" s="901" t="n"/>
    </row>
    <row r="8153" ht="15" customHeight="1" s="783">
      <c r="B8153" s="901" t="n"/>
    </row>
    <row r="8154" ht="15" customHeight="1" s="783">
      <c r="B8154" s="901" t="n"/>
    </row>
    <row r="8155" ht="15" customHeight="1" s="783">
      <c r="B8155" s="901" t="n"/>
    </row>
    <row r="8156" ht="15" customHeight="1" s="783">
      <c r="B8156" s="901" t="n"/>
    </row>
    <row r="8157" ht="15" customHeight="1" s="783">
      <c r="B8157" s="901" t="n"/>
    </row>
    <row r="8158" ht="15" customHeight="1" s="783">
      <c r="B8158" s="901" t="n"/>
    </row>
    <row r="8159" ht="15" customHeight="1" s="783">
      <c r="B8159" s="901" t="n"/>
    </row>
    <row r="8160" ht="15" customHeight="1" s="783">
      <c r="B8160" s="901" t="n"/>
    </row>
    <row r="8161" ht="15" customHeight="1" s="783">
      <c r="B8161" s="901" t="n"/>
    </row>
    <row r="8162" ht="15" customHeight="1" s="783">
      <c r="B8162" s="901" t="n"/>
    </row>
    <row r="8163" ht="15" customHeight="1" s="783">
      <c r="B8163" s="901" t="n"/>
    </row>
    <row r="8164" ht="15" customHeight="1" s="783">
      <c r="B8164" s="901" t="n"/>
    </row>
    <row r="8165" ht="15" customHeight="1" s="783">
      <c r="B8165" s="901" t="n"/>
    </row>
    <row r="8166" ht="15" customHeight="1" s="783">
      <c r="B8166" s="901" t="n"/>
    </row>
    <row r="8167" ht="15" customHeight="1" s="783">
      <c r="B8167" s="901" t="n"/>
    </row>
    <row r="8168" ht="15" customHeight="1" s="783">
      <c r="B8168" s="901" t="n"/>
    </row>
    <row r="8169" ht="15" customHeight="1" s="783">
      <c r="B8169" s="901" t="n"/>
    </row>
    <row r="8170" ht="15" customHeight="1" s="783">
      <c r="B8170" s="901" t="n"/>
    </row>
    <row r="8171" ht="15" customHeight="1" s="783">
      <c r="B8171" s="901" t="n"/>
    </row>
    <row r="8172" ht="15" customHeight="1" s="783">
      <c r="B8172" s="901" t="n"/>
    </row>
    <row r="8173" ht="15" customHeight="1" s="783">
      <c r="B8173" s="901" t="n"/>
    </row>
    <row r="8174" ht="15" customHeight="1" s="783">
      <c r="B8174" s="901" t="n"/>
    </row>
    <row r="8175" ht="15" customHeight="1" s="783">
      <c r="B8175" s="901" t="n"/>
    </row>
    <row r="8176" ht="15" customHeight="1" s="783">
      <c r="B8176" s="901" t="n"/>
    </row>
    <row r="8177" ht="15" customHeight="1" s="783">
      <c r="B8177" s="901" t="n"/>
    </row>
    <row r="8178" ht="15" customHeight="1" s="783">
      <c r="B8178" s="901" t="n"/>
    </row>
    <row r="8179" ht="15" customHeight="1" s="783">
      <c r="B8179" s="901" t="n"/>
    </row>
    <row r="8180" ht="15" customHeight="1" s="783">
      <c r="B8180" s="901" t="n"/>
    </row>
    <row r="8181" ht="15" customHeight="1" s="783">
      <c r="B8181" s="901" t="n"/>
    </row>
    <row r="8182" ht="15" customHeight="1" s="783">
      <c r="B8182" s="901" t="n"/>
    </row>
    <row r="8183" ht="15" customHeight="1" s="783">
      <c r="B8183" s="901" t="n"/>
    </row>
    <row r="8184" ht="15" customHeight="1" s="783">
      <c r="B8184" s="901" t="n"/>
    </row>
    <row r="8185" ht="15" customHeight="1" s="783">
      <c r="B8185" s="901" t="n"/>
    </row>
    <row r="8186" ht="15" customHeight="1" s="783">
      <c r="B8186" s="901" t="n"/>
    </row>
    <row r="8187" ht="15" customHeight="1" s="783">
      <c r="B8187" s="901" t="n"/>
    </row>
    <row r="8188" ht="15" customHeight="1" s="783">
      <c r="B8188" s="901" t="n"/>
    </row>
    <row r="8189" ht="15" customHeight="1" s="783">
      <c r="B8189" s="901" t="n"/>
    </row>
    <row r="8190" ht="15" customHeight="1" s="783">
      <c r="B8190" s="901" t="n"/>
    </row>
    <row r="8191" ht="15" customHeight="1" s="783">
      <c r="B8191" s="901" t="n"/>
    </row>
    <row r="8192" ht="15" customHeight="1" s="783">
      <c r="B8192" s="901" t="n"/>
    </row>
    <row r="8193" ht="15" customHeight="1" s="783">
      <c r="B8193" s="901" t="n"/>
    </row>
    <row r="8194" ht="15" customHeight="1" s="783">
      <c r="B8194" s="901" t="n"/>
    </row>
    <row r="8195" ht="15" customHeight="1" s="783">
      <c r="B8195" s="901" t="n"/>
    </row>
    <row r="8196" ht="15" customHeight="1" s="783">
      <c r="B8196" s="901" t="n"/>
    </row>
    <row r="8197" ht="15" customHeight="1" s="783">
      <c r="B8197" s="901" t="n"/>
    </row>
    <row r="8198" ht="15" customHeight="1" s="783">
      <c r="B8198" s="901" t="n"/>
    </row>
    <row r="8199" ht="15" customHeight="1" s="783">
      <c r="B8199" s="901" t="n"/>
    </row>
    <row r="8200" ht="15" customHeight="1" s="783">
      <c r="B8200" s="901" t="n"/>
    </row>
    <row r="8201" ht="15" customHeight="1" s="783">
      <c r="B8201" s="901" t="n"/>
    </row>
    <row r="8202" ht="15" customHeight="1" s="783">
      <c r="B8202" s="901" t="n"/>
    </row>
    <row r="8203" ht="15" customHeight="1" s="783">
      <c r="B8203" s="901" t="n"/>
    </row>
    <row r="8204" ht="15" customHeight="1" s="783">
      <c r="B8204" s="901" t="n"/>
    </row>
    <row r="8205" ht="15" customHeight="1" s="783">
      <c r="B8205" s="901" t="n"/>
    </row>
    <row r="8206" ht="15" customHeight="1" s="783">
      <c r="B8206" s="901" t="n"/>
    </row>
    <row r="8207" ht="15" customHeight="1" s="783">
      <c r="B8207" s="901" t="n"/>
    </row>
    <row r="8208" ht="15" customHeight="1" s="783">
      <c r="B8208" s="901" t="n"/>
    </row>
    <row r="8209" ht="15" customHeight="1" s="783">
      <c r="B8209" s="901" t="n"/>
    </row>
    <row r="8210" ht="15" customHeight="1" s="783">
      <c r="B8210" s="901" t="n"/>
    </row>
    <row r="8211" ht="15" customHeight="1" s="783">
      <c r="B8211" s="901" t="n"/>
    </row>
    <row r="8212" ht="15" customHeight="1" s="783">
      <c r="B8212" s="901" t="n"/>
    </row>
    <row r="8213" ht="15" customHeight="1" s="783">
      <c r="B8213" s="901" t="n"/>
    </row>
    <row r="8214" ht="15" customHeight="1" s="783">
      <c r="B8214" s="901" t="n"/>
    </row>
    <row r="8215" ht="15" customHeight="1" s="783">
      <c r="B8215" s="901" t="n"/>
    </row>
    <row r="8216" ht="15" customHeight="1" s="783">
      <c r="B8216" s="901" t="n"/>
    </row>
    <row r="8217" ht="15" customHeight="1" s="783">
      <c r="B8217" s="901" t="n"/>
    </row>
    <row r="8218" ht="15" customHeight="1" s="783">
      <c r="B8218" s="901" t="n"/>
    </row>
    <row r="8219" ht="15" customHeight="1" s="783">
      <c r="B8219" s="901" t="n"/>
    </row>
    <row r="8220" ht="15" customHeight="1" s="783">
      <c r="B8220" s="901" t="n"/>
    </row>
    <row r="8221" ht="15" customHeight="1" s="783">
      <c r="B8221" s="901" t="n"/>
    </row>
    <row r="8222" ht="15" customHeight="1" s="783">
      <c r="B8222" s="901" t="n"/>
    </row>
    <row r="8223" ht="15" customHeight="1" s="783">
      <c r="B8223" s="901" t="n"/>
    </row>
    <row r="8224" ht="15" customHeight="1" s="783">
      <c r="B8224" s="901" t="n"/>
    </row>
    <row r="8225" ht="15" customHeight="1" s="783">
      <c r="B8225" s="901" t="n"/>
    </row>
    <row r="8226" ht="15" customHeight="1" s="783">
      <c r="B8226" s="901" t="n"/>
    </row>
    <row r="8227" ht="15" customHeight="1" s="783">
      <c r="B8227" s="901" t="n"/>
    </row>
    <row r="8228" ht="15" customHeight="1" s="783">
      <c r="B8228" s="901" t="n"/>
    </row>
    <row r="8229" ht="15" customHeight="1" s="783">
      <c r="B8229" s="901" t="n"/>
    </row>
    <row r="8230" ht="15" customHeight="1" s="783">
      <c r="B8230" s="901" t="n"/>
    </row>
    <row r="8231" ht="15" customHeight="1" s="783">
      <c r="B8231" s="901" t="n"/>
    </row>
    <row r="8232" ht="15" customHeight="1" s="783">
      <c r="B8232" s="901" t="n"/>
    </row>
    <row r="8233" ht="15" customHeight="1" s="783">
      <c r="B8233" s="901" t="n"/>
    </row>
    <row r="8234" ht="15" customHeight="1" s="783">
      <c r="B8234" s="901" t="n"/>
    </row>
    <row r="8235" ht="15" customHeight="1" s="783">
      <c r="B8235" s="901" t="n"/>
    </row>
    <row r="8236" ht="15" customHeight="1" s="783">
      <c r="B8236" s="901" t="n"/>
    </row>
    <row r="8237" ht="15" customHeight="1" s="783">
      <c r="B8237" s="901" t="n"/>
    </row>
    <row r="8238" ht="15" customHeight="1" s="783">
      <c r="B8238" s="901" t="n"/>
    </row>
    <row r="8239" ht="15" customHeight="1" s="783">
      <c r="B8239" s="901" t="n"/>
    </row>
    <row r="8240" ht="15" customHeight="1" s="783">
      <c r="B8240" s="901" t="n"/>
    </row>
    <row r="8241" ht="15" customHeight="1" s="783">
      <c r="B8241" s="901" t="n"/>
    </row>
    <row r="8242" ht="15" customHeight="1" s="783">
      <c r="B8242" s="901" t="n"/>
    </row>
    <row r="8243" ht="15" customHeight="1" s="783">
      <c r="B8243" s="901" t="n"/>
    </row>
    <row r="8244" ht="15" customHeight="1" s="783">
      <c r="B8244" s="901" t="n"/>
    </row>
    <row r="8245" ht="15" customHeight="1" s="783">
      <c r="B8245" s="901" t="n"/>
    </row>
    <row r="8246" ht="15" customHeight="1" s="783">
      <c r="B8246" s="901" t="n"/>
    </row>
    <row r="8247" ht="15" customHeight="1" s="783">
      <c r="B8247" s="901" t="n"/>
    </row>
    <row r="8248" ht="15" customHeight="1" s="783">
      <c r="B8248" s="901" t="n"/>
    </row>
    <row r="8249" ht="15" customHeight="1" s="783">
      <c r="B8249" s="901" t="n"/>
    </row>
    <row r="8250" ht="15" customHeight="1" s="783">
      <c r="B8250" s="901" t="n"/>
    </row>
    <row r="8251" ht="15" customHeight="1" s="783">
      <c r="B8251" s="901" t="n"/>
    </row>
    <row r="8252" ht="15" customHeight="1" s="783">
      <c r="B8252" s="901" t="n"/>
    </row>
    <row r="8253" ht="15" customHeight="1" s="783">
      <c r="B8253" s="901" t="n"/>
    </row>
    <row r="8254" ht="15" customHeight="1" s="783">
      <c r="B8254" s="901" t="n"/>
    </row>
    <row r="8255" ht="15" customHeight="1" s="783">
      <c r="B8255" s="901" t="n"/>
    </row>
    <row r="8256" ht="15" customHeight="1" s="783">
      <c r="B8256" s="901" t="n"/>
    </row>
    <row r="8257" ht="15" customHeight="1" s="783">
      <c r="B8257" s="901" t="n"/>
    </row>
    <row r="8258" ht="15" customHeight="1" s="783">
      <c r="B8258" s="901" t="n"/>
    </row>
    <row r="8259" ht="15" customHeight="1" s="783">
      <c r="B8259" s="901" t="n"/>
    </row>
    <row r="8260" ht="15" customHeight="1" s="783">
      <c r="B8260" s="901" t="n"/>
    </row>
    <row r="8261" ht="15" customHeight="1" s="783">
      <c r="B8261" s="901" t="n"/>
    </row>
    <row r="8262" ht="15" customHeight="1" s="783">
      <c r="B8262" s="901" t="n"/>
    </row>
    <row r="8263" ht="15" customHeight="1" s="783">
      <c r="B8263" s="901" t="n"/>
    </row>
    <row r="8264" ht="15" customHeight="1" s="783">
      <c r="B8264" s="901" t="n"/>
    </row>
    <row r="8265" ht="15" customHeight="1" s="783">
      <c r="B8265" s="901" t="n"/>
    </row>
    <row r="8266" ht="15" customHeight="1" s="783">
      <c r="B8266" s="901" t="n"/>
    </row>
    <row r="8267" ht="15" customHeight="1" s="783">
      <c r="B8267" s="901" t="n"/>
    </row>
    <row r="8268" ht="15" customHeight="1" s="783">
      <c r="B8268" s="901" t="n"/>
    </row>
    <row r="8269" ht="15" customHeight="1" s="783">
      <c r="B8269" s="901" t="n"/>
    </row>
    <row r="8270" ht="15" customHeight="1" s="783">
      <c r="B8270" s="901" t="n"/>
    </row>
    <row r="8271" ht="15" customHeight="1" s="783">
      <c r="B8271" s="901" t="n"/>
    </row>
    <row r="8272" ht="15" customHeight="1" s="783">
      <c r="B8272" s="901" t="n"/>
    </row>
    <row r="8273" ht="15" customHeight="1" s="783">
      <c r="B8273" s="901" t="n"/>
    </row>
    <row r="8274" ht="15" customHeight="1" s="783">
      <c r="B8274" s="901" t="n"/>
    </row>
    <row r="8275" ht="15" customHeight="1" s="783">
      <c r="B8275" s="901" t="n"/>
    </row>
    <row r="8276" ht="15" customHeight="1" s="783">
      <c r="B8276" s="901" t="n"/>
    </row>
    <row r="8277" ht="15" customHeight="1" s="783">
      <c r="B8277" s="901" t="n"/>
    </row>
    <row r="8278" ht="15" customHeight="1" s="783">
      <c r="B8278" s="901" t="n"/>
    </row>
    <row r="8279" ht="15" customHeight="1" s="783">
      <c r="B8279" s="901" t="n"/>
    </row>
    <row r="8280" ht="15" customHeight="1" s="783">
      <c r="B8280" s="901" t="n"/>
    </row>
    <row r="8281" ht="15" customHeight="1" s="783">
      <c r="B8281" s="901" t="n"/>
    </row>
    <row r="8282" ht="15" customHeight="1" s="783">
      <c r="B8282" s="901" t="n"/>
    </row>
    <row r="8283" ht="15" customHeight="1" s="783">
      <c r="B8283" s="901" t="n"/>
    </row>
    <row r="8284" ht="15" customHeight="1" s="783">
      <c r="B8284" s="901" t="n"/>
    </row>
    <row r="8285" ht="15" customHeight="1" s="783">
      <c r="B8285" s="901" t="n"/>
    </row>
    <row r="8286" ht="15" customHeight="1" s="783">
      <c r="B8286" s="901" t="n"/>
    </row>
    <row r="8287" ht="15" customHeight="1" s="783">
      <c r="B8287" s="901" t="n"/>
    </row>
    <row r="8288" ht="15" customHeight="1" s="783">
      <c r="B8288" s="901" t="n"/>
    </row>
    <row r="8289" ht="15" customHeight="1" s="783">
      <c r="B8289" s="901" t="n"/>
    </row>
    <row r="8290" ht="15" customHeight="1" s="783">
      <c r="B8290" s="901" t="n"/>
    </row>
    <row r="8291" ht="15" customHeight="1" s="783">
      <c r="B8291" s="901" t="n"/>
    </row>
    <row r="8292" ht="15" customHeight="1" s="783">
      <c r="B8292" s="901" t="n"/>
    </row>
    <row r="8293" ht="15" customHeight="1" s="783">
      <c r="B8293" s="901" t="n"/>
    </row>
    <row r="8294" ht="15" customHeight="1" s="783">
      <c r="B8294" s="901" t="n"/>
    </row>
    <row r="8295" ht="15" customHeight="1" s="783">
      <c r="B8295" s="901" t="n"/>
    </row>
    <row r="8296" ht="15" customHeight="1" s="783">
      <c r="B8296" s="901" t="n"/>
    </row>
    <row r="8297" ht="15" customHeight="1" s="783">
      <c r="B8297" s="901" t="n"/>
    </row>
    <row r="8298" ht="15" customHeight="1" s="783">
      <c r="B8298" s="901" t="n"/>
    </row>
    <row r="8299" ht="15" customHeight="1" s="783">
      <c r="B8299" s="901" t="n"/>
    </row>
    <row r="8300" ht="15" customHeight="1" s="783">
      <c r="B8300" s="901" t="n"/>
    </row>
    <row r="8301" ht="15" customHeight="1" s="783">
      <c r="B8301" s="901" t="n"/>
    </row>
    <row r="8302" ht="15" customHeight="1" s="783">
      <c r="B8302" s="901" t="n"/>
    </row>
    <row r="8303" ht="15" customHeight="1" s="783">
      <c r="B8303" s="901" t="n"/>
    </row>
    <row r="8304" ht="15" customHeight="1" s="783">
      <c r="B8304" s="901" t="n"/>
    </row>
    <row r="8305" ht="15" customHeight="1" s="783">
      <c r="B8305" s="901" t="n"/>
    </row>
    <row r="8306" ht="15" customHeight="1" s="783">
      <c r="B8306" s="901" t="n"/>
    </row>
    <row r="8307" ht="15" customHeight="1" s="783">
      <c r="B8307" s="901" t="n"/>
    </row>
    <row r="8308" ht="15" customHeight="1" s="783">
      <c r="B8308" s="901" t="n"/>
    </row>
    <row r="8309" ht="15" customHeight="1" s="783">
      <c r="B8309" s="901" t="n"/>
    </row>
    <row r="8310" ht="15" customHeight="1" s="783">
      <c r="B8310" s="901" t="n"/>
    </row>
    <row r="8311" ht="15" customHeight="1" s="783">
      <c r="B8311" s="901" t="n"/>
    </row>
    <row r="8312" ht="15" customHeight="1" s="783">
      <c r="B8312" s="901" t="n"/>
    </row>
    <row r="8313" ht="15" customHeight="1" s="783">
      <c r="B8313" s="901" t="n"/>
    </row>
    <row r="8314" ht="15" customHeight="1" s="783">
      <c r="B8314" s="901" t="n"/>
    </row>
    <row r="8315" ht="15" customHeight="1" s="783">
      <c r="B8315" s="901" t="n"/>
    </row>
    <row r="8316" ht="15" customHeight="1" s="783">
      <c r="B8316" s="901" t="n"/>
    </row>
    <row r="8317" ht="15" customHeight="1" s="783">
      <c r="B8317" s="901" t="n"/>
    </row>
    <row r="8318" ht="15" customHeight="1" s="783">
      <c r="B8318" s="901" t="n"/>
    </row>
    <row r="8319" ht="15" customHeight="1" s="783">
      <c r="B8319" s="901" t="n"/>
    </row>
    <row r="8320" ht="15" customHeight="1" s="783">
      <c r="B8320" s="901" t="n"/>
    </row>
    <row r="8321" ht="15" customHeight="1" s="783">
      <c r="B8321" s="901" t="n"/>
    </row>
    <row r="8322" ht="15" customHeight="1" s="783">
      <c r="B8322" s="901" t="n"/>
    </row>
    <row r="8323" ht="15" customHeight="1" s="783">
      <c r="B8323" s="901" t="n"/>
    </row>
    <row r="8324" ht="15" customHeight="1" s="783">
      <c r="B8324" s="901" t="n"/>
    </row>
    <row r="8325" ht="15" customHeight="1" s="783">
      <c r="B8325" s="901" t="n"/>
    </row>
    <row r="8326" ht="15" customHeight="1" s="783">
      <c r="B8326" s="901" t="n"/>
    </row>
    <row r="8327" ht="15" customHeight="1" s="783">
      <c r="B8327" s="901" t="n"/>
    </row>
    <row r="8328" ht="15" customHeight="1" s="783">
      <c r="B8328" s="901" t="n"/>
    </row>
    <row r="8329" ht="15" customHeight="1" s="783">
      <c r="B8329" s="901" t="n"/>
    </row>
    <row r="8330" ht="15" customHeight="1" s="783">
      <c r="B8330" s="901" t="n"/>
    </row>
    <row r="8331" ht="15" customHeight="1" s="783">
      <c r="B8331" s="901" t="n"/>
    </row>
    <row r="8332" ht="15" customHeight="1" s="783">
      <c r="B8332" s="901" t="n"/>
    </row>
    <row r="8333" ht="15" customHeight="1" s="783">
      <c r="B8333" s="901" t="n"/>
    </row>
    <row r="8334" ht="15" customHeight="1" s="783">
      <c r="B8334" s="901" t="n"/>
    </row>
    <row r="8335" ht="15" customHeight="1" s="783">
      <c r="B8335" s="901" t="n"/>
    </row>
    <row r="8336" ht="15" customHeight="1" s="783">
      <c r="B8336" s="901" t="n"/>
    </row>
    <row r="8337" ht="15" customHeight="1" s="783">
      <c r="B8337" s="901" t="n"/>
    </row>
    <row r="8338" ht="15" customHeight="1" s="783">
      <c r="B8338" s="901" t="n"/>
    </row>
    <row r="8339" ht="15" customHeight="1" s="783">
      <c r="B8339" s="901" t="n"/>
    </row>
    <row r="8340" ht="15" customHeight="1" s="783">
      <c r="B8340" s="901" t="n"/>
    </row>
    <row r="8341" ht="15" customHeight="1" s="783">
      <c r="B8341" s="901" t="n"/>
    </row>
    <row r="8342" ht="15" customHeight="1" s="783">
      <c r="B8342" s="901" t="n"/>
    </row>
    <row r="8343" ht="15" customHeight="1" s="783">
      <c r="B8343" s="901" t="n"/>
    </row>
    <row r="8344" ht="15" customHeight="1" s="783">
      <c r="B8344" s="901" t="n"/>
    </row>
    <row r="8345" ht="15" customHeight="1" s="783">
      <c r="B8345" s="901" t="n"/>
    </row>
    <row r="8346" ht="15" customHeight="1" s="783">
      <c r="B8346" s="901" t="n"/>
    </row>
    <row r="8347" ht="15" customHeight="1" s="783">
      <c r="B8347" s="901" t="n"/>
    </row>
    <row r="8348" ht="15" customHeight="1" s="783">
      <c r="B8348" s="901" t="n"/>
    </row>
    <row r="8349" ht="15" customHeight="1" s="783">
      <c r="B8349" s="901" t="n"/>
    </row>
    <row r="8350" ht="15" customHeight="1" s="783">
      <c r="B8350" s="901" t="n"/>
    </row>
    <row r="8351" ht="15" customHeight="1" s="783">
      <c r="B8351" s="901" t="n"/>
    </row>
    <row r="8352" ht="15" customHeight="1" s="783">
      <c r="B8352" s="901" t="n"/>
    </row>
    <row r="8353" ht="15" customHeight="1" s="783">
      <c r="B8353" s="901" t="n"/>
    </row>
    <row r="8354" ht="15" customHeight="1" s="783">
      <c r="B8354" s="901" t="n"/>
    </row>
    <row r="8355" ht="15" customHeight="1" s="783">
      <c r="B8355" s="901" t="n"/>
    </row>
    <row r="8356" ht="15" customHeight="1" s="783">
      <c r="B8356" s="901" t="n"/>
    </row>
    <row r="8357" ht="15" customHeight="1" s="783">
      <c r="B8357" s="901" t="n"/>
    </row>
    <row r="8358" ht="15" customHeight="1" s="783">
      <c r="B8358" s="901" t="n"/>
    </row>
    <row r="8359" ht="15" customHeight="1" s="783">
      <c r="B8359" s="901" t="n"/>
    </row>
    <row r="8360" ht="15" customHeight="1" s="783">
      <c r="B8360" s="901" t="n"/>
    </row>
    <row r="8361" ht="15" customHeight="1" s="783">
      <c r="B8361" s="901" t="n"/>
    </row>
    <row r="8362" ht="15" customHeight="1" s="783">
      <c r="B8362" s="901" t="n"/>
    </row>
    <row r="8363" ht="15" customHeight="1" s="783">
      <c r="B8363" s="901" t="n"/>
    </row>
    <row r="8364" ht="15" customHeight="1" s="783">
      <c r="B8364" s="901" t="n"/>
    </row>
    <row r="8365" ht="15" customHeight="1" s="783">
      <c r="B8365" s="901" t="n"/>
    </row>
    <row r="8366" ht="15" customHeight="1" s="783">
      <c r="B8366" s="901" t="n"/>
    </row>
    <row r="8367" ht="15" customHeight="1" s="783">
      <c r="B8367" s="901" t="n"/>
    </row>
    <row r="8368" ht="15" customHeight="1" s="783">
      <c r="B8368" s="901" t="n"/>
    </row>
    <row r="8369" ht="15" customHeight="1" s="783">
      <c r="B8369" s="901" t="n"/>
    </row>
    <row r="8370" ht="15" customHeight="1" s="783">
      <c r="B8370" s="901" t="n"/>
    </row>
    <row r="8371" ht="15" customHeight="1" s="783">
      <c r="B8371" s="901" t="n"/>
    </row>
    <row r="8372" ht="15" customHeight="1" s="783">
      <c r="B8372" s="901" t="n"/>
    </row>
    <row r="8373" ht="15" customHeight="1" s="783">
      <c r="B8373" s="901" t="n"/>
    </row>
    <row r="8374" ht="15" customHeight="1" s="783">
      <c r="B8374" s="901" t="n"/>
    </row>
    <row r="8375" ht="15" customHeight="1" s="783">
      <c r="B8375" s="901" t="n"/>
    </row>
    <row r="8376" ht="15" customHeight="1" s="783">
      <c r="B8376" s="901" t="n"/>
    </row>
    <row r="8377" ht="15" customHeight="1" s="783">
      <c r="B8377" s="901" t="n"/>
    </row>
    <row r="8378" ht="15" customHeight="1" s="783">
      <c r="B8378" s="901" t="n"/>
    </row>
    <row r="8379" ht="15" customHeight="1" s="783">
      <c r="B8379" s="901" t="n"/>
    </row>
    <row r="8380" ht="15" customHeight="1" s="783">
      <c r="B8380" s="901" t="n"/>
    </row>
    <row r="8381" ht="15" customHeight="1" s="783">
      <c r="B8381" s="901" t="n"/>
    </row>
    <row r="8382" ht="15" customHeight="1" s="783">
      <c r="B8382" s="901" t="n"/>
    </row>
    <row r="8383" ht="15" customHeight="1" s="783">
      <c r="B8383" s="901" t="n"/>
    </row>
    <row r="8384" ht="15" customHeight="1" s="783">
      <c r="B8384" s="901" t="n"/>
    </row>
    <row r="8385" ht="15" customHeight="1" s="783">
      <c r="B8385" s="901" t="n"/>
    </row>
    <row r="8386" ht="15" customHeight="1" s="783">
      <c r="B8386" s="901" t="n"/>
    </row>
    <row r="8387" ht="15" customHeight="1" s="783">
      <c r="B8387" s="901" t="n"/>
    </row>
    <row r="8388" ht="15" customHeight="1" s="783">
      <c r="B8388" s="901" t="n"/>
    </row>
    <row r="8389" ht="15" customHeight="1" s="783">
      <c r="B8389" s="901" t="n"/>
    </row>
    <row r="8390" ht="15" customHeight="1" s="783">
      <c r="B8390" s="901" t="n"/>
    </row>
    <row r="8391" ht="15" customHeight="1" s="783">
      <c r="B8391" s="901" t="n"/>
    </row>
    <row r="8392" ht="15" customHeight="1" s="783">
      <c r="B8392" s="901" t="n"/>
    </row>
    <row r="8393" ht="15" customHeight="1" s="783">
      <c r="B8393" s="901" t="n"/>
    </row>
    <row r="8394" ht="15" customHeight="1" s="783">
      <c r="B8394" s="901" t="n"/>
    </row>
    <row r="8395" ht="15" customHeight="1" s="783">
      <c r="B8395" s="901" t="n"/>
    </row>
    <row r="8396" ht="15" customHeight="1" s="783">
      <c r="B8396" s="901" t="n"/>
    </row>
    <row r="8397" ht="15" customHeight="1" s="783">
      <c r="B8397" s="901" t="n"/>
    </row>
    <row r="8398" ht="15" customHeight="1" s="783">
      <c r="B8398" s="901" t="n"/>
    </row>
    <row r="8399" ht="15" customHeight="1" s="783">
      <c r="B8399" s="901" t="n"/>
    </row>
    <row r="8400" ht="15" customHeight="1" s="783">
      <c r="B8400" s="901" t="n"/>
    </row>
    <row r="8401" ht="15" customHeight="1" s="783">
      <c r="B8401" s="901" t="n"/>
    </row>
    <row r="8402" ht="15" customHeight="1" s="783">
      <c r="B8402" s="901" t="n"/>
    </row>
    <row r="8403" ht="15" customHeight="1" s="783">
      <c r="B8403" s="901" t="n"/>
    </row>
    <row r="8404" ht="15" customHeight="1" s="783">
      <c r="B8404" s="901" t="n"/>
    </row>
    <row r="8405" ht="15" customHeight="1" s="783">
      <c r="B8405" s="901" t="n"/>
    </row>
    <row r="8406" ht="15" customHeight="1" s="783">
      <c r="B8406" s="901" t="n"/>
    </row>
    <row r="8407" ht="15" customHeight="1" s="783">
      <c r="B8407" s="901" t="n"/>
    </row>
    <row r="8408" ht="15" customHeight="1" s="783">
      <c r="B8408" s="901" t="n"/>
    </row>
    <row r="8409" ht="15" customHeight="1" s="783">
      <c r="B8409" s="901" t="n"/>
    </row>
    <row r="8410" ht="15" customHeight="1" s="783">
      <c r="B8410" s="901" t="n"/>
    </row>
    <row r="8411" ht="15" customHeight="1" s="783">
      <c r="B8411" s="901" t="n"/>
    </row>
    <row r="8412" ht="15" customHeight="1" s="783">
      <c r="B8412" s="901" t="n"/>
    </row>
    <row r="8413" ht="15" customHeight="1" s="783">
      <c r="B8413" s="901" t="n"/>
    </row>
    <row r="8414" ht="15" customHeight="1" s="783">
      <c r="B8414" s="901" t="n"/>
    </row>
    <row r="8415" ht="15" customHeight="1" s="783">
      <c r="B8415" s="901" t="n"/>
    </row>
    <row r="8416" ht="15" customHeight="1" s="783">
      <c r="B8416" s="901" t="n"/>
    </row>
    <row r="8417" ht="15" customHeight="1" s="783">
      <c r="B8417" s="901" t="n"/>
    </row>
    <row r="8418" ht="15" customHeight="1" s="783">
      <c r="B8418" s="901" t="n"/>
    </row>
    <row r="8419" ht="15" customHeight="1" s="783">
      <c r="B8419" s="901" t="n"/>
    </row>
    <row r="8420" ht="15" customHeight="1" s="783">
      <c r="B8420" s="901" t="n"/>
    </row>
    <row r="8421" ht="15" customHeight="1" s="783">
      <c r="B8421" s="901" t="n"/>
    </row>
    <row r="8422" ht="15" customHeight="1" s="783">
      <c r="B8422" s="901" t="n"/>
    </row>
    <row r="8423" ht="15" customHeight="1" s="783">
      <c r="B8423" s="901" t="n"/>
    </row>
    <row r="8424" ht="15" customHeight="1" s="783">
      <c r="B8424" s="901" t="n"/>
    </row>
    <row r="8425" ht="15" customHeight="1" s="783">
      <c r="B8425" s="901" t="n"/>
    </row>
    <row r="8426" ht="15" customHeight="1" s="783">
      <c r="B8426" s="901" t="n"/>
    </row>
    <row r="8427" ht="15" customHeight="1" s="783">
      <c r="B8427" s="901" t="n"/>
    </row>
    <row r="8428" ht="15" customHeight="1" s="783">
      <c r="B8428" s="901" t="n"/>
    </row>
    <row r="8429" ht="15" customHeight="1" s="783">
      <c r="B8429" s="901" t="n"/>
    </row>
    <row r="8430" ht="15" customHeight="1" s="783">
      <c r="B8430" s="901" t="n"/>
    </row>
    <row r="8431" ht="15" customHeight="1" s="783">
      <c r="B8431" s="901" t="n"/>
    </row>
    <row r="8432" ht="15" customHeight="1" s="783">
      <c r="B8432" s="901" t="n"/>
    </row>
    <row r="8433" ht="15" customHeight="1" s="783">
      <c r="B8433" s="901" t="n"/>
    </row>
    <row r="8434" ht="15" customHeight="1" s="783">
      <c r="B8434" s="901" t="n"/>
    </row>
    <row r="8435" ht="15" customHeight="1" s="783">
      <c r="B8435" s="901" t="n"/>
    </row>
    <row r="8436" ht="15" customHeight="1" s="783">
      <c r="B8436" s="901" t="n"/>
    </row>
    <row r="8437" ht="15" customHeight="1" s="783">
      <c r="B8437" s="901" t="n"/>
    </row>
    <row r="8438" ht="15" customHeight="1" s="783">
      <c r="B8438" s="901" t="n"/>
    </row>
    <row r="8439" ht="15" customHeight="1" s="783">
      <c r="B8439" s="901" t="n"/>
    </row>
    <row r="8440" ht="15" customHeight="1" s="783">
      <c r="B8440" s="901" t="n"/>
    </row>
    <row r="8441" ht="15" customHeight="1" s="783">
      <c r="B8441" s="901" t="n"/>
    </row>
    <row r="8442" ht="15" customHeight="1" s="783">
      <c r="B8442" s="901" t="n"/>
    </row>
    <row r="8443" ht="15" customHeight="1" s="783">
      <c r="B8443" s="901" t="n"/>
    </row>
    <row r="8444" ht="15" customHeight="1" s="783">
      <c r="B8444" s="901" t="n"/>
    </row>
    <row r="8445" ht="15" customHeight="1" s="783">
      <c r="B8445" s="901" t="n"/>
    </row>
    <row r="8446" ht="15" customHeight="1" s="783">
      <c r="B8446" s="901" t="n"/>
    </row>
    <row r="8447" ht="15" customHeight="1" s="783">
      <c r="B8447" s="901" t="n"/>
    </row>
    <row r="8448" ht="15" customHeight="1" s="783">
      <c r="B8448" s="901" t="n"/>
    </row>
    <row r="8449" ht="15" customHeight="1" s="783">
      <c r="B8449" s="901" t="n"/>
    </row>
    <row r="8450" ht="15" customHeight="1" s="783">
      <c r="B8450" s="901" t="n"/>
    </row>
    <row r="8451" ht="15" customHeight="1" s="783">
      <c r="B8451" s="901" t="n"/>
    </row>
    <row r="8452" ht="15" customHeight="1" s="783">
      <c r="B8452" s="901" t="n"/>
    </row>
    <row r="8453" ht="15" customHeight="1" s="783">
      <c r="B8453" s="901" t="n"/>
    </row>
    <row r="8454" ht="15" customHeight="1" s="783">
      <c r="B8454" s="901" t="n"/>
    </row>
    <row r="8455" ht="15" customHeight="1" s="783">
      <c r="B8455" s="901" t="n"/>
    </row>
    <row r="8456" ht="15" customHeight="1" s="783">
      <c r="B8456" s="901" t="n"/>
    </row>
    <row r="8457" ht="15" customHeight="1" s="783">
      <c r="B8457" s="901" t="n"/>
    </row>
    <row r="8458" ht="15" customHeight="1" s="783">
      <c r="B8458" s="901" t="n"/>
    </row>
    <row r="8459" ht="15" customHeight="1" s="783">
      <c r="B8459" s="901" t="n"/>
    </row>
    <row r="8460" ht="15" customHeight="1" s="783">
      <c r="B8460" s="901" t="n"/>
    </row>
    <row r="8461" ht="15" customHeight="1" s="783">
      <c r="B8461" s="901" t="n"/>
    </row>
    <row r="8462" ht="15" customHeight="1" s="783">
      <c r="B8462" s="901" t="n"/>
    </row>
    <row r="8463" ht="15" customHeight="1" s="783">
      <c r="B8463" s="901" t="n"/>
    </row>
    <row r="8464" ht="15" customHeight="1" s="783">
      <c r="B8464" s="901" t="n"/>
    </row>
    <row r="8465" ht="15" customHeight="1" s="783">
      <c r="B8465" s="901" t="n"/>
    </row>
    <row r="8466" ht="15" customHeight="1" s="783">
      <c r="B8466" s="901" t="n"/>
    </row>
    <row r="8467" ht="15" customHeight="1" s="783">
      <c r="B8467" s="901" t="n"/>
    </row>
    <row r="8468" ht="15" customHeight="1" s="783">
      <c r="B8468" s="901" t="n"/>
    </row>
    <row r="8469" ht="15" customHeight="1" s="783">
      <c r="B8469" s="901" t="n"/>
    </row>
    <row r="8470" ht="15" customHeight="1" s="783">
      <c r="B8470" s="901" t="n"/>
    </row>
    <row r="8471" ht="15" customHeight="1" s="783">
      <c r="B8471" s="901" t="n"/>
    </row>
    <row r="8472" ht="15" customHeight="1" s="783">
      <c r="B8472" s="901" t="n"/>
    </row>
    <row r="8473" ht="15" customHeight="1" s="783">
      <c r="B8473" s="901" t="n"/>
    </row>
    <row r="8474" ht="15" customHeight="1" s="783">
      <c r="B8474" s="901" t="n"/>
    </row>
    <row r="8475" ht="15" customHeight="1" s="783">
      <c r="B8475" s="901" t="n"/>
    </row>
    <row r="8476" ht="15" customHeight="1" s="783">
      <c r="B8476" s="901" t="n"/>
    </row>
    <row r="8477" ht="15" customHeight="1" s="783">
      <c r="B8477" s="901" t="n"/>
    </row>
    <row r="8478" ht="15" customHeight="1" s="783">
      <c r="B8478" s="901" t="n"/>
    </row>
    <row r="8479" ht="15" customHeight="1" s="783">
      <c r="B8479" s="901" t="n"/>
    </row>
    <row r="8480" ht="15" customHeight="1" s="783">
      <c r="B8480" s="901" t="n"/>
    </row>
    <row r="8481" ht="15" customHeight="1" s="783">
      <c r="B8481" s="901" t="n"/>
    </row>
    <row r="8482" ht="15" customHeight="1" s="783">
      <c r="B8482" s="901" t="n"/>
    </row>
    <row r="8483" ht="15" customHeight="1" s="783">
      <c r="B8483" s="901" t="n"/>
    </row>
    <row r="8484" ht="15" customHeight="1" s="783">
      <c r="B8484" s="901" t="n"/>
    </row>
    <row r="8485" ht="15" customHeight="1" s="783">
      <c r="B8485" s="901" t="n"/>
    </row>
    <row r="8486" ht="15" customHeight="1" s="783">
      <c r="B8486" s="901" t="n"/>
    </row>
    <row r="8487" ht="15" customHeight="1" s="783">
      <c r="B8487" s="901" t="n"/>
    </row>
    <row r="8488" ht="15" customHeight="1" s="783">
      <c r="B8488" s="901" t="n"/>
    </row>
    <row r="8489" ht="15" customHeight="1" s="783">
      <c r="B8489" s="901" t="n"/>
    </row>
    <row r="8490" ht="15" customHeight="1" s="783">
      <c r="B8490" s="901" t="n"/>
    </row>
    <row r="8491" ht="15" customHeight="1" s="783">
      <c r="B8491" s="901" t="n"/>
    </row>
    <row r="8492" ht="15" customHeight="1" s="783">
      <c r="B8492" s="901" t="n"/>
    </row>
    <row r="8493" ht="15" customHeight="1" s="783">
      <c r="B8493" s="901" t="n"/>
    </row>
    <row r="8494" ht="15" customHeight="1" s="783">
      <c r="B8494" s="901" t="n"/>
    </row>
    <row r="8495" ht="15" customHeight="1" s="783">
      <c r="B8495" s="901" t="n"/>
    </row>
    <row r="8496" ht="15" customHeight="1" s="783">
      <c r="B8496" s="901" t="n"/>
    </row>
    <row r="8497" ht="15" customHeight="1" s="783">
      <c r="B8497" s="901" t="n"/>
    </row>
    <row r="8498" ht="15" customHeight="1" s="783">
      <c r="B8498" s="901" t="n"/>
    </row>
    <row r="8499" ht="15" customHeight="1" s="783">
      <c r="B8499" s="901" t="n"/>
    </row>
    <row r="8500" ht="15" customHeight="1" s="783">
      <c r="B8500" s="901" t="n"/>
    </row>
    <row r="8501" ht="15" customHeight="1" s="783">
      <c r="B8501" s="901" t="n"/>
    </row>
    <row r="8502" ht="15" customHeight="1" s="783">
      <c r="B8502" s="901" t="n"/>
    </row>
    <row r="8503" ht="15" customHeight="1" s="783">
      <c r="B8503" s="901" t="n"/>
    </row>
    <row r="8504" ht="15" customHeight="1" s="783">
      <c r="B8504" s="901" t="n"/>
    </row>
    <row r="8505" ht="15" customHeight="1" s="783">
      <c r="B8505" s="901" t="n"/>
    </row>
    <row r="8506" ht="15" customHeight="1" s="783">
      <c r="B8506" s="901" t="n"/>
    </row>
    <row r="8507" ht="15" customHeight="1" s="783">
      <c r="B8507" s="901" t="n"/>
    </row>
    <row r="8508" ht="15" customHeight="1" s="783">
      <c r="B8508" s="901" t="n"/>
    </row>
    <row r="8509" ht="15" customHeight="1" s="783">
      <c r="B8509" s="901" t="n"/>
    </row>
    <row r="8510" ht="15" customHeight="1" s="783">
      <c r="B8510" s="901" t="n"/>
    </row>
    <row r="8511" ht="15" customHeight="1" s="783">
      <c r="B8511" s="901" t="n"/>
    </row>
    <row r="8512" ht="15" customHeight="1" s="783">
      <c r="B8512" s="901" t="n"/>
    </row>
    <row r="8513" ht="15" customHeight="1" s="783">
      <c r="B8513" s="901" t="n"/>
    </row>
    <row r="8514" ht="15" customHeight="1" s="783">
      <c r="B8514" s="901" t="n"/>
    </row>
    <row r="8515" ht="15" customHeight="1" s="783">
      <c r="B8515" s="901" t="n"/>
    </row>
    <row r="8516" ht="15" customHeight="1" s="783">
      <c r="B8516" s="901" t="n"/>
    </row>
    <row r="8517" ht="15" customHeight="1" s="783">
      <c r="B8517" s="901" t="n"/>
    </row>
    <row r="8518" ht="15" customHeight="1" s="783">
      <c r="B8518" s="901" t="n"/>
    </row>
    <row r="8519" ht="15" customHeight="1" s="783">
      <c r="B8519" s="901" t="n"/>
    </row>
    <row r="8520" ht="15" customHeight="1" s="783">
      <c r="B8520" s="901" t="n"/>
    </row>
    <row r="8521" ht="15" customHeight="1" s="783">
      <c r="B8521" s="901" t="n"/>
    </row>
    <row r="8522" ht="15" customHeight="1" s="783">
      <c r="B8522" s="901" t="n"/>
    </row>
    <row r="8523" ht="15" customHeight="1" s="783">
      <c r="B8523" s="901" t="n"/>
    </row>
    <row r="8524" ht="15" customHeight="1" s="783">
      <c r="B8524" s="901" t="n"/>
    </row>
    <row r="8525" ht="15" customHeight="1" s="783">
      <c r="B8525" s="901" t="n"/>
    </row>
    <row r="8526" ht="15" customHeight="1" s="783">
      <c r="B8526" s="901" t="n"/>
    </row>
    <row r="8527" ht="15" customHeight="1" s="783">
      <c r="B8527" s="901" t="n"/>
    </row>
    <row r="8528" ht="15" customHeight="1" s="783">
      <c r="B8528" s="901" t="n"/>
    </row>
    <row r="8529" ht="15" customHeight="1" s="783">
      <c r="B8529" s="901" t="n"/>
    </row>
    <row r="8530" ht="15" customHeight="1" s="783">
      <c r="B8530" s="901" t="n"/>
    </row>
    <row r="8531" ht="15" customHeight="1" s="783">
      <c r="B8531" s="901" t="n"/>
    </row>
    <row r="8532" ht="15" customHeight="1" s="783">
      <c r="B8532" s="901" t="n"/>
    </row>
    <row r="8533" ht="15" customHeight="1" s="783">
      <c r="B8533" s="901" t="n"/>
    </row>
    <row r="8534" ht="15" customHeight="1" s="783">
      <c r="B8534" s="901" t="n"/>
    </row>
    <row r="8535" ht="15" customHeight="1" s="783">
      <c r="B8535" s="901" t="n"/>
    </row>
    <row r="8536" ht="15" customHeight="1" s="783">
      <c r="B8536" s="901" t="n"/>
    </row>
    <row r="8537" ht="15" customHeight="1" s="783">
      <c r="B8537" s="901" t="n"/>
    </row>
    <row r="8538" ht="15" customHeight="1" s="783">
      <c r="B8538" s="901" t="n"/>
    </row>
    <row r="8539" ht="15" customHeight="1" s="783">
      <c r="B8539" s="901" t="n"/>
    </row>
    <row r="8540" ht="15" customHeight="1" s="783">
      <c r="B8540" s="901" t="n"/>
    </row>
    <row r="8541" ht="15" customHeight="1" s="783">
      <c r="B8541" s="901" t="n"/>
    </row>
    <row r="8542" ht="15" customHeight="1" s="783">
      <c r="B8542" s="901" t="n"/>
    </row>
    <row r="8543" ht="15" customHeight="1" s="783">
      <c r="B8543" s="901" t="n"/>
    </row>
    <row r="8544" ht="15" customHeight="1" s="783">
      <c r="B8544" s="901" t="n"/>
    </row>
    <row r="8545" ht="15" customHeight="1" s="783">
      <c r="B8545" s="901" t="n"/>
    </row>
    <row r="8546" ht="15" customHeight="1" s="783">
      <c r="B8546" s="901" t="n"/>
    </row>
    <row r="8547" ht="15" customHeight="1" s="783">
      <c r="B8547" s="901" t="n"/>
    </row>
    <row r="8548" ht="15" customHeight="1" s="783">
      <c r="B8548" s="901" t="n"/>
    </row>
    <row r="8549" ht="15" customHeight="1" s="783">
      <c r="B8549" s="901" t="n"/>
    </row>
    <row r="8550" ht="15" customHeight="1" s="783">
      <c r="B8550" s="901" t="n"/>
    </row>
    <row r="8551" ht="15" customHeight="1" s="783">
      <c r="B8551" s="901" t="n"/>
    </row>
    <row r="8552" ht="15" customHeight="1" s="783">
      <c r="B8552" s="901" t="n"/>
    </row>
    <row r="8553" ht="15" customHeight="1" s="783">
      <c r="B8553" s="901" t="n"/>
    </row>
    <row r="8554" ht="15" customHeight="1" s="783">
      <c r="B8554" s="901" t="n"/>
    </row>
    <row r="8555" ht="15" customHeight="1" s="783">
      <c r="B8555" s="901" t="n"/>
    </row>
    <row r="8556" ht="15" customHeight="1" s="783">
      <c r="B8556" s="901" t="n"/>
    </row>
    <row r="8557" ht="15" customHeight="1" s="783">
      <c r="B8557" s="901" t="n"/>
    </row>
    <row r="8558" ht="15" customHeight="1" s="783">
      <c r="B8558" s="901" t="n"/>
    </row>
    <row r="8559" ht="15" customHeight="1" s="783">
      <c r="B8559" s="901" t="n"/>
    </row>
    <row r="8560" ht="15" customHeight="1" s="783">
      <c r="B8560" s="901" t="n"/>
    </row>
    <row r="8561" ht="15" customHeight="1" s="783">
      <c r="B8561" s="901" t="n"/>
    </row>
    <row r="8562" ht="15" customHeight="1" s="783">
      <c r="B8562" s="901" t="n"/>
    </row>
    <row r="8563" ht="15" customHeight="1" s="783">
      <c r="B8563" s="901" t="n"/>
    </row>
    <row r="8564" ht="15" customHeight="1" s="783">
      <c r="B8564" s="901" t="n"/>
    </row>
    <row r="8565" ht="15" customHeight="1" s="783">
      <c r="B8565" s="901" t="n"/>
    </row>
    <row r="8566" ht="15" customHeight="1" s="783">
      <c r="B8566" s="901" t="n"/>
    </row>
    <row r="8567" ht="15" customHeight="1" s="783">
      <c r="B8567" s="901" t="n"/>
    </row>
    <row r="8568" ht="15" customHeight="1" s="783">
      <c r="B8568" s="901" t="n"/>
    </row>
    <row r="8569" ht="15" customHeight="1" s="783">
      <c r="B8569" s="901" t="n"/>
    </row>
    <row r="8570" ht="15" customHeight="1" s="783">
      <c r="B8570" s="901" t="n"/>
    </row>
    <row r="8571" ht="15" customHeight="1" s="783">
      <c r="B8571" s="901" t="n"/>
    </row>
    <row r="8572" ht="15" customHeight="1" s="783">
      <c r="B8572" s="901" t="n"/>
    </row>
    <row r="8573" ht="15" customHeight="1" s="783">
      <c r="B8573" s="901" t="n"/>
    </row>
    <row r="8574" ht="15" customHeight="1" s="783">
      <c r="B8574" s="901" t="n"/>
    </row>
    <row r="8575" ht="15" customHeight="1" s="783">
      <c r="B8575" s="901" t="n"/>
    </row>
    <row r="8576" ht="15" customHeight="1" s="783">
      <c r="B8576" s="901" t="n"/>
    </row>
    <row r="8577" ht="15" customHeight="1" s="783">
      <c r="B8577" s="901" t="n"/>
    </row>
    <row r="8578" ht="15" customHeight="1" s="783">
      <c r="B8578" s="901" t="n"/>
    </row>
    <row r="8579" ht="15" customHeight="1" s="783">
      <c r="B8579" s="901" t="n"/>
    </row>
    <row r="8580" ht="15" customHeight="1" s="783">
      <c r="B8580" s="901" t="n"/>
    </row>
    <row r="8581" ht="15" customHeight="1" s="783">
      <c r="B8581" s="901" t="n"/>
    </row>
    <row r="8582" ht="15" customHeight="1" s="783">
      <c r="B8582" s="901" t="n"/>
    </row>
    <row r="8583" ht="15" customHeight="1" s="783">
      <c r="B8583" s="901" t="n"/>
    </row>
    <row r="8584" ht="15" customHeight="1" s="783">
      <c r="B8584" s="901" t="n"/>
    </row>
    <row r="8585" ht="15" customHeight="1" s="783">
      <c r="B8585" s="901" t="n"/>
    </row>
    <row r="8586" ht="15" customHeight="1" s="783">
      <c r="B8586" s="901" t="n"/>
    </row>
    <row r="8587" ht="15" customHeight="1" s="783">
      <c r="B8587" s="901" t="n"/>
    </row>
    <row r="8588" ht="15" customHeight="1" s="783">
      <c r="B8588" s="901" t="n"/>
    </row>
    <row r="8589" ht="15" customHeight="1" s="783">
      <c r="B8589" s="901" t="n"/>
    </row>
    <row r="8590" ht="15" customHeight="1" s="783">
      <c r="B8590" s="901" t="n"/>
    </row>
    <row r="8591" ht="15" customHeight="1" s="783">
      <c r="B8591" s="901" t="n"/>
    </row>
    <row r="8592" ht="15" customHeight="1" s="783">
      <c r="B8592" s="901" t="n"/>
    </row>
    <row r="8593" ht="15" customHeight="1" s="783">
      <c r="B8593" s="901" t="n"/>
    </row>
    <row r="8594" ht="15" customHeight="1" s="783">
      <c r="B8594" s="901" t="n"/>
    </row>
    <row r="8595" ht="15" customHeight="1" s="783">
      <c r="B8595" s="901" t="n"/>
    </row>
    <row r="8596" ht="15" customHeight="1" s="783">
      <c r="B8596" s="901" t="n"/>
    </row>
    <row r="8597" ht="15" customHeight="1" s="783">
      <c r="B8597" s="901" t="n"/>
    </row>
    <row r="8598" ht="15" customHeight="1" s="783">
      <c r="B8598" s="901" t="n"/>
    </row>
    <row r="8599" ht="15" customHeight="1" s="783">
      <c r="B8599" s="901" t="n"/>
    </row>
    <row r="8600" ht="15" customHeight="1" s="783">
      <c r="B8600" s="901" t="n"/>
    </row>
    <row r="8601" ht="15" customHeight="1" s="783">
      <c r="B8601" s="901" t="n"/>
    </row>
    <row r="8602" ht="15" customHeight="1" s="783">
      <c r="B8602" s="901" t="n"/>
    </row>
    <row r="8603" ht="15" customHeight="1" s="783">
      <c r="B8603" s="901" t="n"/>
    </row>
    <row r="8604" ht="15" customHeight="1" s="783">
      <c r="B8604" s="901" t="n"/>
    </row>
    <row r="8605" ht="15" customHeight="1" s="783">
      <c r="B8605" s="901" t="n"/>
    </row>
    <row r="8606" ht="15" customHeight="1" s="783">
      <c r="B8606" s="901" t="n"/>
    </row>
    <row r="8607" ht="15" customHeight="1" s="783">
      <c r="B8607" s="901" t="n"/>
    </row>
    <row r="8608" ht="15" customHeight="1" s="783">
      <c r="B8608" s="901" t="n"/>
    </row>
    <row r="8609" ht="15" customHeight="1" s="783">
      <c r="B8609" s="901" t="n"/>
    </row>
    <row r="8610" ht="15" customHeight="1" s="783">
      <c r="B8610" s="901" t="n"/>
    </row>
    <row r="8611" ht="15" customHeight="1" s="783">
      <c r="B8611" s="901" t="n"/>
    </row>
    <row r="8612" ht="15" customHeight="1" s="783">
      <c r="B8612" s="901" t="n"/>
    </row>
    <row r="8613" ht="15" customHeight="1" s="783">
      <c r="B8613" s="901" t="n"/>
    </row>
    <row r="8614" ht="15" customHeight="1" s="783">
      <c r="B8614" s="901" t="n"/>
    </row>
    <row r="8615" ht="15" customHeight="1" s="783">
      <c r="B8615" s="901" t="n"/>
    </row>
    <row r="8616" ht="15" customHeight="1" s="783">
      <c r="B8616" s="901" t="n"/>
    </row>
    <row r="8617" ht="15" customHeight="1" s="783">
      <c r="B8617" s="901" t="n"/>
    </row>
    <row r="8618" ht="15" customHeight="1" s="783">
      <c r="B8618" s="901" t="n"/>
    </row>
    <row r="8619" ht="15" customHeight="1" s="783">
      <c r="B8619" s="901" t="n"/>
    </row>
    <row r="8620" ht="15" customHeight="1" s="783">
      <c r="B8620" s="901" t="n"/>
    </row>
    <row r="8621" ht="15" customHeight="1" s="783">
      <c r="B8621" s="901" t="n"/>
    </row>
    <row r="8622" ht="15" customHeight="1" s="783">
      <c r="B8622" s="901" t="n"/>
    </row>
    <row r="8623" ht="15" customHeight="1" s="783">
      <c r="B8623" s="901" t="n"/>
    </row>
    <row r="8624" ht="15" customHeight="1" s="783">
      <c r="B8624" s="901" t="n"/>
    </row>
    <row r="8625" ht="15" customHeight="1" s="783">
      <c r="B8625" s="901" t="n"/>
    </row>
    <row r="8626" ht="15" customHeight="1" s="783">
      <c r="B8626" s="901" t="n"/>
    </row>
    <row r="8627" ht="15" customHeight="1" s="783">
      <c r="B8627" s="901" t="n"/>
    </row>
    <row r="8628" ht="15" customHeight="1" s="783">
      <c r="B8628" s="901" t="n"/>
    </row>
    <row r="8629" ht="15" customHeight="1" s="783">
      <c r="B8629" s="901" t="n"/>
    </row>
    <row r="8630" ht="15" customHeight="1" s="783">
      <c r="B8630" s="901" t="n"/>
    </row>
    <row r="8631" ht="15" customHeight="1" s="783">
      <c r="B8631" s="901" t="n"/>
    </row>
    <row r="8632" ht="15" customHeight="1" s="783">
      <c r="B8632" s="901" t="n"/>
    </row>
    <row r="8633" ht="15" customHeight="1" s="783">
      <c r="B8633" s="901" t="n"/>
    </row>
    <row r="8634" ht="15" customHeight="1" s="783">
      <c r="B8634" s="901" t="n"/>
    </row>
    <row r="8635" ht="15" customHeight="1" s="783">
      <c r="B8635" s="901" t="n"/>
    </row>
    <row r="8636" ht="15" customHeight="1" s="783">
      <c r="B8636" s="901" t="n"/>
    </row>
    <row r="8637" ht="15" customHeight="1" s="783">
      <c r="B8637" s="901" t="n"/>
    </row>
    <row r="8638" ht="15" customHeight="1" s="783">
      <c r="B8638" s="901" t="n"/>
    </row>
    <row r="8639" ht="15" customHeight="1" s="783">
      <c r="B8639" s="901" t="n"/>
    </row>
    <row r="8640" ht="15" customHeight="1" s="783">
      <c r="B8640" s="901" t="n"/>
    </row>
    <row r="8641" ht="15" customHeight="1" s="783">
      <c r="B8641" s="901" t="n"/>
    </row>
    <row r="8642" ht="15" customHeight="1" s="783">
      <c r="B8642" s="901" t="n"/>
    </row>
    <row r="8643" ht="15" customHeight="1" s="783">
      <c r="B8643" s="901" t="n"/>
    </row>
    <row r="8644" ht="15" customHeight="1" s="783">
      <c r="B8644" s="901" t="n"/>
    </row>
    <row r="8645" ht="15" customHeight="1" s="783">
      <c r="B8645" s="901" t="n"/>
    </row>
    <row r="8646" ht="15" customHeight="1" s="783">
      <c r="B8646" s="901" t="n"/>
    </row>
    <row r="8647" ht="15" customHeight="1" s="783">
      <c r="B8647" s="901" t="n"/>
    </row>
    <row r="8648" ht="15" customHeight="1" s="783">
      <c r="B8648" s="901" t="n"/>
    </row>
    <row r="8649" ht="15" customHeight="1" s="783">
      <c r="B8649" s="901" t="n"/>
    </row>
    <row r="8650" ht="15" customHeight="1" s="783">
      <c r="B8650" s="901" t="n"/>
    </row>
    <row r="8651" ht="15" customHeight="1" s="783">
      <c r="B8651" s="901" t="n"/>
    </row>
    <row r="8652" ht="15" customHeight="1" s="783">
      <c r="B8652" s="901" t="n"/>
    </row>
    <row r="8653" ht="15" customHeight="1" s="783">
      <c r="B8653" s="901" t="n"/>
    </row>
    <row r="8654" ht="15" customHeight="1" s="783">
      <c r="B8654" s="901" t="n"/>
    </row>
    <row r="8655" ht="15" customHeight="1" s="783">
      <c r="B8655" s="901" t="n"/>
    </row>
    <row r="8656" ht="15" customHeight="1" s="783">
      <c r="B8656" s="901" t="n"/>
    </row>
    <row r="8657" ht="15" customHeight="1" s="783">
      <c r="B8657" s="901" t="n"/>
    </row>
    <row r="8658" ht="15" customHeight="1" s="783">
      <c r="B8658" s="901" t="n"/>
    </row>
    <row r="8659" ht="15" customHeight="1" s="783">
      <c r="B8659" s="901" t="n"/>
    </row>
    <row r="8660" ht="15" customHeight="1" s="783">
      <c r="B8660" s="901" t="n"/>
    </row>
    <row r="8661" ht="15" customHeight="1" s="783">
      <c r="B8661" s="901" t="n"/>
    </row>
    <row r="8662" ht="15" customHeight="1" s="783">
      <c r="B8662" s="901" t="n"/>
    </row>
    <row r="8663" ht="15" customHeight="1" s="783">
      <c r="B8663" s="901" t="n"/>
    </row>
    <row r="8664" ht="15" customHeight="1" s="783">
      <c r="B8664" s="901" t="n"/>
    </row>
    <row r="8665" ht="15" customHeight="1" s="783">
      <c r="B8665" s="901" t="n"/>
    </row>
    <row r="8666" ht="15" customHeight="1" s="783">
      <c r="B8666" s="901" t="n"/>
    </row>
    <row r="8667" ht="15" customHeight="1" s="783">
      <c r="B8667" s="901" t="n"/>
    </row>
    <row r="8668" ht="15" customHeight="1" s="783">
      <c r="B8668" s="901" t="n"/>
    </row>
    <row r="8669" ht="15" customHeight="1" s="783">
      <c r="B8669" s="901" t="n"/>
    </row>
    <row r="8670" ht="15" customHeight="1" s="783">
      <c r="B8670" s="901" t="n"/>
    </row>
    <row r="8671" ht="15" customHeight="1" s="783">
      <c r="B8671" s="901" t="n"/>
    </row>
    <row r="8672" ht="15" customHeight="1" s="783">
      <c r="B8672" s="901" t="n"/>
    </row>
    <row r="8673" ht="15" customHeight="1" s="783">
      <c r="B8673" s="901" t="n"/>
    </row>
    <row r="8674" ht="15" customHeight="1" s="783">
      <c r="B8674" s="901" t="n"/>
    </row>
    <row r="8675" ht="15" customHeight="1" s="783">
      <c r="B8675" s="901" t="n"/>
    </row>
    <row r="8676" ht="15" customHeight="1" s="783">
      <c r="B8676" s="901" t="n"/>
    </row>
    <row r="8677" ht="15" customHeight="1" s="783">
      <c r="B8677" s="901" t="n"/>
    </row>
    <row r="8678" ht="15" customHeight="1" s="783">
      <c r="B8678" s="901" t="n"/>
    </row>
    <row r="8679" ht="15" customHeight="1" s="783">
      <c r="B8679" s="901" t="n"/>
    </row>
    <row r="8680" ht="15" customHeight="1" s="783">
      <c r="B8680" s="901" t="n"/>
    </row>
    <row r="8681" ht="15" customHeight="1" s="783">
      <c r="B8681" s="901" t="n"/>
    </row>
    <row r="8682" ht="15" customHeight="1" s="783">
      <c r="B8682" s="901" t="n"/>
    </row>
    <row r="8683" ht="15" customHeight="1" s="783">
      <c r="B8683" s="901" t="n"/>
    </row>
    <row r="8684" ht="15" customHeight="1" s="783">
      <c r="B8684" s="901" t="n"/>
    </row>
    <row r="8685" ht="15" customHeight="1" s="783">
      <c r="B8685" s="901" t="n"/>
    </row>
    <row r="8686" ht="15" customHeight="1" s="783">
      <c r="B8686" s="901" t="n"/>
    </row>
    <row r="8687" ht="15" customHeight="1" s="783">
      <c r="B8687" s="901" t="n"/>
    </row>
    <row r="8688" ht="15" customHeight="1" s="783">
      <c r="B8688" s="901" t="n"/>
    </row>
    <row r="8689" ht="15" customHeight="1" s="783">
      <c r="B8689" s="901" t="n"/>
    </row>
    <row r="8690" ht="15" customHeight="1" s="783">
      <c r="B8690" s="901" t="n"/>
    </row>
    <row r="8691" ht="15" customHeight="1" s="783">
      <c r="B8691" s="901" t="n"/>
    </row>
    <row r="8692" ht="15" customHeight="1" s="783">
      <c r="B8692" s="901" t="n"/>
    </row>
    <row r="8693" ht="15" customHeight="1" s="783">
      <c r="B8693" s="901" t="n"/>
    </row>
    <row r="8694" ht="15" customHeight="1" s="783">
      <c r="B8694" s="901" t="n"/>
    </row>
    <row r="8695" ht="15" customHeight="1" s="783">
      <c r="B8695" s="901" t="n"/>
    </row>
    <row r="8696" ht="15" customHeight="1" s="783">
      <c r="B8696" s="901" t="n"/>
    </row>
    <row r="8697" ht="15" customHeight="1" s="783">
      <c r="B8697" s="901" t="n"/>
    </row>
    <row r="8698" ht="15" customHeight="1" s="783">
      <c r="B8698" s="901" t="n"/>
    </row>
    <row r="8699" ht="15" customHeight="1" s="783">
      <c r="B8699" s="901" t="n"/>
    </row>
    <row r="8700" ht="15" customHeight="1" s="783">
      <c r="B8700" s="901" t="n"/>
    </row>
    <row r="8701" ht="15" customHeight="1" s="783">
      <c r="B8701" s="901" t="n"/>
    </row>
    <row r="8702" ht="15" customHeight="1" s="783">
      <c r="B8702" s="901" t="n"/>
    </row>
    <row r="8703" ht="15" customHeight="1" s="783">
      <c r="B8703" s="901" t="n"/>
    </row>
    <row r="8704" ht="15" customHeight="1" s="783">
      <c r="B8704" s="901" t="n"/>
    </row>
    <row r="8705" ht="15" customHeight="1" s="783">
      <c r="B8705" s="901" t="n"/>
    </row>
    <row r="8706" ht="15" customHeight="1" s="783">
      <c r="B8706" s="901" t="n"/>
    </row>
    <row r="8707" ht="15" customHeight="1" s="783">
      <c r="B8707" s="901" t="n"/>
    </row>
    <row r="8708" ht="15" customHeight="1" s="783">
      <c r="B8708" s="901" t="n"/>
    </row>
    <row r="8709" ht="15" customHeight="1" s="783">
      <c r="B8709" s="901" t="n"/>
    </row>
    <row r="8710" ht="15" customHeight="1" s="783">
      <c r="B8710" s="901" t="n"/>
    </row>
    <row r="8711" ht="15" customHeight="1" s="783">
      <c r="B8711" s="901" t="n"/>
    </row>
    <row r="8712" ht="15" customHeight="1" s="783">
      <c r="B8712" s="901" t="n"/>
    </row>
    <row r="8713" ht="15" customHeight="1" s="783">
      <c r="B8713" s="901" t="n"/>
    </row>
    <row r="8714" ht="15" customHeight="1" s="783">
      <c r="B8714" s="901" t="n"/>
    </row>
    <row r="8715" ht="15" customHeight="1" s="783">
      <c r="B8715" s="901" t="n"/>
    </row>
    <row r="8716" ht="15" customHeight="1" s="783">
      <c r="B8716" s="901" t="n"/>
    </row>
    <row r="8717" ht="15" customHeight="1" s="783">
      <c r="B8717" s="901" t="n"/>
    </row>
    <row r="8718" ht="15" customHeight="1" s="783">
      <c r="B8718" s="901" t="n"/>
    </row>
    <row r="8719" ht="15" customHeight="1" s="783">
      <c r="B8719" s="901" t="n"/>
    </row>
    <row r="8720" ht="15" customHeight="1" s="783">
      <c r="B8720" s="901" t="n"/>
    </row>
    <row r="8721" ht="15" customHeight="1" s="783">
      <c r="B8721" s="901" t="n"/>
    </row>
    <row r="8722" ht="15" customHeight="1" s="783">
      <c r="B8722" s="901" t="n"/>
    </row>
    <row r="8723" ht="15" customHeight="1" s="783">
      <c r="B8723" s="901" t="n"/>
    </row>
    <row r="8724" ht="15" customHeight="1" s="783">
      <c r="B8724" s="901" t="n"/>
    </row>
    <row r="8725" ht="15" customHeight="1" s="783">
      <c r="B8725" s="901" t="n"/>
    </row>
    <row r="8726" ht="15" customHeight="1" s="783">
      <c r="B8726" s="901" t="n"/>
    </row>
    <row r="8727" ht="15" customHeight="1" s="783">
      <c r="B8727" s="901" t="n"/>
    </row>
    <row r="8728" ht="15" customHeight="1" s="783">
      <c r="B8728" s="901" t="n"/>
    </row>
    <row r="8729" ht="15" customHeight="1" s="783">
      <c r="B8729" s="901" t="n"/>
    </row>
    <row r="8730" ht="15" customHeight="1" s="783">
      <c r="B8730" s="901" t="n"/>
    </row>
    <row r="8731" ht="15" customHeight="1" s="783">
      <c r="B8731" s="901" t="n"/>
    </row>
    <row r="8732" ht="15" customHeight="1" s="783">
      <c r="B8732" s="901" t="n"/>
    </row>
    <row r="8733" ht="15" customHeight="1" s="783">
      <c r="B8733" s="901" t="n"/>
    </row>
    <row r="8734" ht="15" customHeight="1" s="783">
      <c r="B8734" s="901" t="n"/>
    </row>
    <row r="8735" ht="15" customHeight="1" s="783">
      <c r="B8735" s="901" t="n"/>
    </row>
    <row r="8736" ht="15" customHeight="1" s="783">
      <c r="B8736" s="901" t="n"/>
    </row>
    <row r="8737" ht="15" customHeight="1" s="783">
      <c r="B8737" s="901" t="n"/>
    </row>
    <row r="8738" ht="15" customHeight="1" s="783">
      <c r="B8738" s="901" t="n"/>
    </row>
    <row r="8739" ht="15" customHeight="1" s="783">
      <c r="B8739" s="901" t="n"/>
    </row>
    <row r="8740" ht="15" customHeight="1" s="783">
      <c r="B8740" s="901" t="n"/>
    </row>
    <row r="8741" ht="15" customHeight="1" s="783">
      <c r="B8741" s="901" t="n"/>
    </row>
    <row r="8742" ht="15" customHeight="1" s="783">
      <c r="B8742" s="901" t="n"/>
    </row>
    <row r="8743" ht="15" customHeight="1" s="783">
      <c r="B8743" s="901" t="n"/>
    </row>
    <row r="8744" ht="15" customHeight="1" s="783">
      <c r="B8744" s="901" t="n"/>
    </row>
    <row r="8745" ht="15" customHeight="1" s="783">
      <c r="B8745" s="901" t="n"/>
    </row>
    <row r="8746" ht="15" customHeight="1" s="783">
      <c r="B8746" s="901" t="n"/>
    </row>
    <row r="8747" ht="15" customHeight="1" s="783">
      <c r="B8747" s="901" t="n"/>
    </row>
    <row r="8748" ht="15" customHeight="1" s="783">
      <c r="B8748" s="901" t="n"/>
    </row>
    <row r="8749" ht="15" customHeight="1" s="783">
      <c r="B8749" s="901" t="n"/>
    </row>
    <row r="8750" ht="15" customHeight="1" s="783">
      <c r="B8750" s="901" t="n"/>
    </row>
    <row r="8751" ht="15" customHeight="1" s="783">
      <c r="B8751" s="901" t="n"/>
    </row>
    <row r="8752" ht="15" customHeight="1" s="783">
      <c r="B8752" s="901" t="n"/>
    </row>
    <row r="8753" ht="15" customHeight="1" s="783">
      <c r="B8753" s="901" t="n"/>
    </row>
    <row r="8754" ht="15" customHeight="1" s="783">
      <c r="B8754" s="901" t="n"/>
    </row>
    <row r="8755" ht="15" customHeight="1" s="783">
      <c r="B8755" s="901" t="n"/>
    </row>
    <row r="8756" ht="15" customHeight="1" s="783">
      <c r="B8756" s="901" t="n"/>
    </row>
    <row r="8757" ht="15" customHeight="1" s="783">
      <c r="B8757" s="901" t="n"/>
    </row>
    <row r="8758" ht="15" customHeight="1" s="783">
      <c r="B8758" s="901" t="n"/>
    </row>
    <row r="8759" ht="15" customHeight="1" s="783">
      <c r="B8759" s="901" t="n"/>
    </row>
    <row r="8760" ht="15" customHeight="1" s="783">
      <c r="B8760" s="901" t="n"/>
    </row>
    <row r="8761" ht="15" customHeight="1" s="783">
      <c r="B8761" s="901" t="n"/>
    </row>
    <row r="8762" ht="15" customHeight="1" s="783">
      <c r="B8762" s="901" t="n"/>
    </row>
    <row r="8763" ht="15" customHeight="1" s="783">
      <c r="B8763" s="901" t="n"/>
    </row>
    <row r="8764" ht="15" customHeight="1" s="783">
      <c r="B8764" s="901" t="n"/>
    </row>
    <row r="8765" ht="15" customHeight="1" s="783">
      <c r="B8765" s="901" t="n"/>
    </row>
    <row r="8766" ht="15" customHeight="1" s="783">
      <c r="B8766" s="901" t="n"/>
    </row>
    <row r="8767" ht="15" customHeight="1" s="783">
      <c r="B8767" s="901" t="n"/>
    </row>
    <row r="8768" ht="15" customHeight="1" s="783">
      <c r="B8768" s="901" t="n"/>
    </row>
    <row r="8769" ht="15" customHeight="1" s="783">
      <c r="B8769" s="901" t="n"/>
    </row>
    <row r="8770" ht="15" customHeight="1" s="783">
      <c r="B8770" s="901" t="n"/>
    </row>
    <row r="8771" ht="15" customHeight="1" s="783">
      <c r="B8771" s="901" t="n"/>
    </row>
    <row r="8772" ht="15" customHeight="1" s="783">
      <c r="B8772" s="901" t="n"/>
    </row>
    <row r="8773" ht="15" customHeight="1" s="783">
      <c r="B8773" s="901" t="n"/>
    </row>
    <row r="8774" ht="15" customHeight="1" s="783">
      <c r="B8774" s="901" t="n"/>
    </row>
    <row r="8775" ht="15" customHeight="1" s="783">
      <c r="B8775" s="901" t="n"/>
    </row>
    <row r="8776" ht="15" customHeight="1" s="783">
      <c r="B8776" s="901" t="n"/>
    </row>
    <row r="8777" ht="15" customHeight="1" s="783">
      <c r="B8777" s="901" t="n"/>
    </row>
    <row r="8778" ht="15" customHeight="1" s="783">
      <c r="B8778" s="901" t="n"/>
    </row>
    <row r="8779" ht="15" customHeight="1" s="783">
      <c r="B8779" s="901" t="n"/>
    </row>
    <row r="8780" ht="15" customHeight="1" s="783">
      <c r="B8780" s="901" t="n"/>
    </row>
    <row r="8781" ht="15" customHeight="1" s="783">
      <c r="B8781" s="901" t="n"/>
    </row>
    <row r="8782" ht="15" customHeight="1" s="783">
      <c r="B8782" s="901" t="n"/>
    </row>
    <row r="8783" ht="15" customHeight="1" s="783">
      <c r="B8783" s="901" t="n"/>
    </row>
    <row r="8784" ht="15" customHeight="1" s="783">
      <c r="B8784" s="901" t="n"/>
    </row>
    <row r="8785" ht="15" customHeight="1" s="783">
      <c r="B8785" s="901" t="n"/>
    </row>
    <row r="8786" ht="15" customHeight="1" s="783">
      <c r="B8786" s="901" t="n"/>
    </row>
    <row r="8787" ht="15" customHeight="1" s="783">
      <c r="B8787" s="901" t="n"/>
    </row>
    <row r="8788" ht="15" customHeight="1" s="783">
      <c r="B8788" s="901" t="n"/>
    </row>
    <row r="8789" ht="15" customHeight="1" s="783">
      <c r="B8789" s="901" t="n"/>
    </row>
    <row r="8790" ht="15" customHeight="1" s="783">
      <c r="B8790" s="901" t="n"/>
    </row>
    <row r="8791" ht="15" customHeight="1" s="783">
      <c r="B8791" s="901" t="n"/>
    </row>
    <row r="8792" ht="15" customHeight="1" s="783">
      <c r="B8792" s="901" t="n"/>
    </row>
    <row r="8793" ht="15" customHeight="1" s="783">
      <c r="B8793" s="901" t="n"/>
    </row>
    <row r="8794" ht="15" customHeight="1" s="783">
      <c r="B8794" s="901" t="n"/>
    </row>
    <row r="8795" ht="15" customHeight="1" s="783">
      <c r="B8795" s="901" t="n"/>
    </row>
    <row r="8796" ht="15" customHeight="1" s="783">
      <c r="B8796" s="901" t="n"/>
    </row>
    <row r="8797" ht="15" customHeight="1" s="783">
      <c r="B8797" s="901" t="n"/>
    </row>
    <row r="8798" ht="15" customHeight="1" s="783">
      <c r="B8798" s="901" t="n"/>
    </row>
    <row r="8799" ht="15" customHeight="1" s="783">
      <c r="B8799" s="901" t="n"/>
    </row>
    <row r="8800" ht="15" customHeight="1" s="783">
      <c r="B8800" s="901" t="n"/>
    </row>
    <row r="8801" ht="15" customHeight="1" s="783">
      <c r="B8801" s="901" t="n"/>
    </row>
    <row r="8802" ht="15" customHeight="1" s="783">
      <c r="B8802" s="901" t="n"/>
    </row>
    <row r="8803" ht="15" customHeight="1" s="783">
      <c r="B8803" s="901" t="n"/>
    </row>
    <row r="8804" ht="15" customHeight="1" s="783">
      <c r="B8804" s="901" t="n"/>
    </row>
    <row r="8805" ht="15" customHeight="1" s="783">
      <c r="B8805" s="901" t="n"/>
    </row>
    <row r="8806" ht="15" customHeight="1" s="783">
      <c r="B8806" s="901" t="n"/>
    </row>
    <row r="8807" ht="15" customHeight="1" s="783">
      <c r="B8807" s="901" t="n"/>
    </row>
    <row r="8808" ht="15" customHeight="1" s="783">
      <c r="B8808" s="901" t="n"/>
    </row>
    <row r="8809" ht="15" customHeight="1" s="783">
      <c r="B8809" s="901" t="n"/>
    </row>
    <row r="8810" ht="15" customHeight="1" s="783">
      <c r="B8810" s="901" t="n"/>
    </row>
    <row r="8811" ht="15" customHeight="1" s="783">
      <c r="B8811" s="901" t="n"/>
    </row>
    <row r="8812" ht="15" customHeight="1" s="783">
      <c r="B8812" s="901" t="n"/>
    </row>
    <row r="8813" ht="15" customHeight="1" s="783">
      <c r="B8813" s="901" t="n"/>
    </row>
    <row r="8814" ht="15" customHeight="1" s="783">
      <c r="B8814" s="901" t="n"/>
    </row>
    <row r="8815" ht="15" customHeight="1" s="783">
      <c r="B8815" s="901" t="n"/>
    </row>
    <row r="8816" ht="15" customHeight="1" s="783">
      <c r="B8816" s="901" t="n"/>
    </row>
    <row r="8817" ht="15" customHeight="1" s="783">
      <c r="B8817" s="901" t="n"/>
    </row>
    <row r="8818" ht="15" customHeight="1" s="783">
      <c r="B8818" s="901" t="n"/>
    </row>
    <row r="8819" ht="15" customHeight="1" s="783">
      <c r="B8819" s="901" t="n"/>
    </row>
    <row r="8820" ht="15" customHeight="1" s="783">
      <c r="B8820" s="901" t="n"/>
    </row>
    <row r="8821" ht="15" customHeight="1" s="783">
      <c r="B8821" s="901" t="n"/>
    </row>
    <row r="8822" ht="15" customHeight="1" s="783">
      <c r="B8822" s="901" t="n"/>
    </row>
    <row r="8823" ht="15" customHeight="1" s="783">
      <c r="B8823" s="901" t="n"/>
    </row>
    <row r="8824" ht="15" customHeight="1" s="783">
      <c r="B8824" s="901" t="n"/>
    </row>
    <row r="8825" ht="15" customHeight="1" s="783">
      <c r="B8825" s="901" t="n"/>
    </row>
    <row r="8826" ht="15" customHeight="1" s="783">
      <c r="B8826" s="901" t="n"/>
    </row>
    <row r="8827" ht="15" customHeight="1" s="783">
      <c r="B8827" s="901" t="n"/>
    </row>
    <row r="8828" ht="15" customHeight="1" s="783">
      <c r="B8828" s="901" t="n"/>
    </row>
    <row r="8829" ht="15" customHeight="1" s="783">
      <c r="B8829" s="901" t="n"/>
    </row>
    <row r="8830" ht="15" customHeight="1" s="783">
      <c r="B8830" s="901" t="n"/>
    </row>
    <row r="8831" ht="15" customHeight="1" s="783">
      <c r="B8831" s="901" t="n"/>
    </row>
    <row r="8832" ht="15" customHeight="1" s="783">
      <c r="B8832" s="901" t="n"/>
    </row>
    <row r="8833" ht="15" customHeight="1" s="783">
      <c r="B8833" s="901" t="n"/>
    </row>
    <row r="8834" ht="15" customHeight="1" s="783">
      <c r="B8834" s="901" t="n"/>
    </row>
    <row r="8835" ht="15" customHeight="1" s="783">
      <c r="B8835" s="901" t="n"/>
    </row>
    <row r="8836" ht="15" customHeight="1" s="783">
      <c r="B8836" s="901" t="n"/>
    </row>
    <row r="8837" ht="15" customHeight="1" s="783">
      <c r="B8837" s="901" t="n"/>
    </row>
    <row r="8838" ht="15" customHeight="1" s="783">
      <c r="B8838" s="901" t="n"/>
    </row>
    <row r="8839" ht="15" customHeight="1" s="783">
      <c r="B8839" s="901" t="n"/>
    </row>
    <row r="8840" ht="15" customHeight="1" s="783">
      <c r="B8840" s="901" t="n"/>
    </row>
    <row r="8841" ht="15" customHeight="1" s="783">
      <c r="B8841" s="901" t="n"/>
    </row>
    <row r="8842" ht="15" customHeight="1" s="783">
      <c r="B8842" s="901" t="n"/>
    </row>
    <row r="8843" ht="15" customHeight="1" s="783">
      <c r="B8843" s="901" t="n"/>
    </row>
    <row r="8844" ht="15" customHeight="1" s="783">
      <c r="B8844" s="901" t="n"/>
    </row>
    <row r="8845" ht="15" customHeight="1" s="783">
      <c r="B8845" s="901" t="n"/>
    </row>
    <row r="8846" ht="15" customHeight="1" s="783">
      <c r="B8846" s="901" t="n"/>
    </row>
    <row r="8847" ht="15" customHeight="1" s="783">
      <c r="B8847" s="901" t="n"/>
    </row>
    <row r="8848" ht="15" customHeight="1" s="783">
      <c r="B8848" s="901" t="n"/>
    </row>
    <row r="8849" ht="15" customHeight="1" s="783">
      <c r="B8849" s="901" t="n"/>
    </row>
    <row r="8850" ht="15" customHeight="1" s="783">
      <c r="B8850" s="901" t="n"/>
    </row>
    <row r="8851" ht="15" customHeight="1" s="783">
      <c r="B8851" s="901" t="n"/>
    </row>
    <row r="8852" ht="15" customHeight="1" s="783">
      <c r="B8852" s="901" t="n"/>
    </row>
    <row r="8853" ht="15" customHeight="1" s="783">
      <c r="B8853" s="901" t="n"/>
    </row>
    <row r="8854" ht="15" customHeight="1" s="783">
      <c r="B8854" s="901" t="n"/>
    </row>
    <row r="8855" ht="15" customHeight="1" s="783">
      <c r="B8855" s="901" t="n"/>
    </row>
    <row r="8856" ht="15" customHeight="1" s="783">
      <c r="B8856" s="901" t="n"/>
    </row>
    <row r="8857" ht="15" customHeight="1" s="783">
      <c r="B8857" s="901" t="n"/>
    </row>
    <row r="8858" ht="15" customHeight="1" s="783">
      <c r="B8858" s="901" t="n"/>
    </row>
    <row r="8859" ht="15" customHeight="1" s="783">
      <c r="B8859" s="901" t="n"/>
    </row>
    <row r="8860" ht="15" customHeight="1" s="783">
      <c r="B8860" s="901" t="n"/>
    </row>
    <row r="8861" ht="15" customHeight="1" s="783">
      <c r="B8861" s="901" t="n"/>
    </row>
    <row r="8862" ht="15" customHeight="1" s="783">
      <c r="B8862" s="901" t="n"/>
    </row>
    <row r="8863" ht="15" customHeight="1" s="783">
      <c r="B8863" s="901" t="n"/>
    </row>
    <row r="8864" ht="15" customHeight="1" s="783">
      <c r="B8864" s="901" t="n"/>
    </row>
    <row r="8865" ht="15" customHeight="1" s="783">
      <c r="B8865" s="901" t="n"/>
    </row>
    <row r="8866" ht="15" customHeight="1" s="783">
      <c r="B8866" s="901" t="n"/>
    </row>
    <row r="8867" ht="15" customHeight="1" s="783">
      <c r="B8867" s="901" t="n"/>
    </row>
    <row r="8868" ht="15" customHeight="1" s="783">
      <c r="B8868" s="901" t="n"/>
    </row>
    <row r="8869" ht="15" customHeight="1" s="783">
      <c r="B8869" s="901" t="n"/>
    </row>
    <row r="8870" ht="15" customHeight="1" s="783">
      <c r="B8870" s="901" t="n"/>
    </row>
    <row r="8871" ht="15" customHeight="1" s="783">
      <c r="B8871" s="901" t="n"/>
    </row>
    <row r="8872" ht="15" customHeight="1" s="783">
      <c r="B8872" s="901" t="n"/>
    </row>
    <row r="8873" ht="15" customHeight="1" s="783">
      <c r="B8873" s="901" t="n"/>
    </row>
    <row r="8874" ht="15" customHeight="1" s="783">
      <c r="B8874" s="901" t="n"/>
    </row>
    <row r="8875" ht="15" customHeight="1" s="783">
      <c r="B8875" s="901" t="n"/>
    </row>
    <row r="8876" ht="15" customHeight="1" s="783">
      <c r="B8876" s="901" t="n"/>
    </row>
    <row r="8877" ht="15" customHeight="1" s="783">
      <c r="B8877" s="901" t="n"/>
    </row>
    <row r="8878" ht="15" customHeight="1" s="783">
      <c r="B8878" s="901" t="n"/>
    </row>
    <row r="8879" ht="15" customHeight="1" s="783">
      <c r="B8879" s="901" t="n"/>
    </row>
    <row r="8880" ht="15" customHeight="1" s="783">
      <c r="B8880" s="901" t="n"/>
    </row>
    <row r="8881" ht="15" customHeight="1" s="783">
      <c r="B8881" s="901" t="n"/>
    </row>
    <row r="8882" ht="15" customHeight="1" s="783">
      <c r="B8882" s="901" t="n"/>
    </row>
    <row r="8883" ht="15" customHeight="1" s="783">
      <c r="B8883" s="901" t="n"/>
    </row>
    <row r="8884" ht="15" customHeight="1" s="783">
      <c r="B8884" s="901" t="n"/>
    </row>
    <row r="8885" ht="15" customHeight="1" s="783">
      <c r="B8885" s="901" t="n"/>
    </row>
    <row r="8886" ht="15" customHeight="1" s="783">
      <c r="B8886" s="901" t="n"/>
    </row>
    <row r="8887" ht="15" customHeight="1" s="783">
      <c r="B8887" s="901" t="n"/>
    </row>
    <row r="8888" ht="15" customHeight="1" s="783">
      <c r="B8888" s="901" t="n"/>
    </row>
    <row r="8889" ht="15" customHeight="1" s="783">
      <c r="B8889" s="901" t="n"/>
    </row>
    <row r="8890" ht="15" customHeight="1" s="783">
      <c r="B8890" s="901" t="n"/>
    </row>
    <row r="8891" ht="15" customHeight="1" s="783">
      <c r="B8891" s="901" t="n"/>
    </row>
    <row r="8892" ht="15" customHeight="1" s="783">
      <c r="B8892" s="901" t="n"/>
    </row>
    <row r="8893" ht="15" customHeight="1" s="783">
      <c r="B8893" s="901" t="n"/>
    </row>
    <row r="8894" ht="15" customHeight="1" s="783">
      <c r="B8894" s="901" t="n"/>
    </row>
    <row r="8895" ht="15" customHeight="1" s="783">
      <c r="B8895" s="901" t="n"/>
    </row>
    <row r="8896" ht="15" customHeight="1" s="783">
      <c r="B8896" s="901" t="n"/>
    </row>
    <row r="8897" ht="15" customHeight="1" s="783">
      <c r="B8897" s="901" t="n"/>
    </row>
    <row r="8898" ht="15" customHeight="1" s="783">
      <c r="B8898" s="901" t="n"/>
    </row>
    <row r="8899" ht="15" customHeight="1" s="783">
      <c r="B8899" s="901" t="n"/>
    </row>
    <row r="8900" ht="15" customHeight="1" s="783">
      <c r="B8900" s="901" t="n"/>
    </row>
    <row r="8901" ht="15" customHeight="1" s="783">
      <c r="B8901" s="901" t="n"/>
    </row>
    <row r="8902" ht="15" customHeight="1" s="783">
      <c r="B8902" s="901" t="n"/>
    </row>
    <row r="8903" ht="15" customHeight="1" s="783">
      <c r="B8903" s="901" t="n"/>
    </row>
    <row r="8904" ht="15" customHeight="1" s="783">
      <c r="B8904" s="901" t="n"/>
    </row>
    <row r="8905" ht="15" customHeight="1" s="783">
      <c r="B8905" s="901" t="n"/>
    </row>
    <row r="8906" ht="15" customHeight="1" s="783">
      <c r="B8906" s="901" t="n"/>
    </row>
    <row r="8907" ht="15" customHeight="1" s="783">
      <c r="B8907" s="901" t="n"/>
    </row>
    <row r="8908" ht="15" customHeight="1" s="783">
      <c r="B8908" s="901" t="n"/>
    </row>
    <row r="8909" ht="15" customHeight="1" s="783">
      <c r="B8909" s="901" t="n"/>
    </row>
    <row r="8910" ht="15" customHeight="1" s="783">
      <c r="B8910" s="901" t="n"/>
    </row>
    <row r="8911" ht="15" customHeight="1" s="783">
      <c r="B8911" s="901" t="n"/>
    </row>
    <row r="8912" ht="15" customHeight="1" s="783">
      <c r="B8912" s="901" t="n"/>
    </row>
    <row r="8913" ht="15" customHeight="1" s="783">
      <c r="B8913" s="901" t="n"/>
    </row>
    <row r="8914" ht="15" customHeight="1" s="783">
      <c r="B8914" s="901" t="n"/>
    </row>
    <row r="8915" ht="15" customHeight="1" s="783">
      <c r="B8915" s="901" t="n"/>
    </row>
    <row r="8916" ht="15" customHeight="1" s="783">
      <c r="B8916" s="901" t="n"/>
    </row>
    <row r="8917" ht="15" customHeight="1" s="783">
      <c r="B8917" s="901" t="n"/>
    </row>
    <row r="8918" ht="15" customHeight="1" s="783">
      <c r="B8918" s="901" t="n"/>
    </row>
    <row r="8919" ht="15" customHeight="1" s="783">
      <c r="B8919" s="901" t="n"/>
    </row>
    <row r="8920" ht="15" customHeight="1" s="783">
      <c r="B8920" s="901" t="n"/>
    </row>
    <row r="8921" ht="15" customHeight="1" s="783">
      <c r="B8921" s="901" t="n"/>
    </row>
    <row r="8922" ht="15" customHeight="1" s="783">
      <c r="B8922" s="901" t="n"/>
    </row>
    <row r="8923" ht="15" customHeight="1" s="783">
      <c r="B8923" s="901" t="n"/>
    </row>
    <row r="8924" ht="15" customHeight="1" s="783">
      <c r="B8924" s="901" t="n"/>
    </row>
    <row r="8925" ht="15" customHeight="1" s="783">
      <c r="B8925" s="901" t="n"/>
    </row>
    <row r="8926" ht="15" customHeight="1" s="783">
      <c r="B8926" s="901" t="n"/>
    </row>
    <row r="8927" ht="15" customHeight="1" s="783">
      <c r="B8927" s="901" t="n"/>
    </row>
    <row r="8928" ht="15" customHeight="1" s="783">
      <c r="B8928" s="901" t="n"/>
    </row>
    <row r="8929" ht="15" customHeight="1" s="783">
      <c r="B8929" s="901" t="n"/>
    </row>
    <row r="8930" ht="15" customHeight="1" s="783">
      <c r="B8930" s="901" t="n"/>
    </row>
    <row r="8931" ht="15" customHeight="1" s="783">
      <c r="B8931" s="901" t="n"/>
    </row>
    <row r="8932" ht="15" customHeight="1" s="783">
      <c r="B8932" s="901" t="n"/>
    </row>
    <row r="8933" ht="15" customHeight="1" s="783">
      <c r="B8933" s="901" t="n"/>
    </row>
    <row r="8934" ht="15" customHeight="1" s="783">
      <c r="B8934" s="901" t="n"/>
    </row>
    <row r="8935" ht="15" customHeight="1" s="783">
      <c r="B8935" s="901" t="n"/>
    </row>
    <row r="8936" ht="15" customHeight="1" s="783">
      <c r="B8936" s="901" t="n"/>
    </row>
    <row r="8937" ht="15" customHeight="1" s="783">
      <c r="B8937" s="901" t="n"/>
    </row>
    <row r="8938" ht="15" customHeight="1" s="783">
      <c r="B8938" s="901" t="n"/>
    </row>
    <row r="8939" ht="15" customHeight="1" s="783">
      <c r="B8939" s="901" t="n"/>
    </row>
    <row r="8940" ht="15" customHeight="1" s="783">
      <c r="B8940" s="901" t="n"/>
    </row>
    <row r="8941" ht="15" customHeight="1" s="783">
      <c r="B8941" s="901" t="n"/>
    </row>
    <row r="8942" ht="15" customHeight="1" s="783">
      <c r="B8942" s="901" t="n"/>
    </row>
    <row r="8943" ht="15" customHeight="1" s="783">
      <c r="B8943" s="901" t="n"/>
    </row>
    <row r="8944" ht="15" customHeight="1" s="783">
      <c r="B8944" s="901" t="n"/>
    </row>
    <row r="8945" ht="15" customHeight="1" s="783">
      <c r="B8945" s="901" t="n"/>
    </row>
    <row r="8946" ht="15" customHeight="1" s="783">
      <c r="B8946" s="901" t="n"/>
    </row>
    <row r="8947" ht="15" customHeight="1" s="783">
      <c r="B8947" s="901" t="n"/>
    </row>
    <row r="8948" ht="15" customHeight="1" s="783">
      <c r="B8948" s="901" t="n"/>
    </row>
    <row r="8949" ht="15" customHeight="1" s="783">
      <c r="B8949" s="901" t="n"/>
    </row>
    <row r="8950" ht="15" customHeight="1" s="783">
      <c r="B8950" s="901" t="n"/>
    </row>
    <row r="8951" ht="15" customHeight="1" s="783">
      <c r="B8951" s="901" t="n"/>
    </row>
    <row r="8952" ht="15" customHeight="1" s="783">
      <c r="B8952" s="901" t="n"/>
    </row>
    <row r="8953" ht="15" customHeight="1" s="783">
      <c r="B8953" s="901" t="n"/>
    </row>
    <row r="8954" ht="15" customHeight="1" s="783">
      <c r="B8954" s="901" t="n"/>
    </row>
    <row r="8955" ht="15" customHeight="1" s="783">
      <c r="B8955" s="901" t="n"/>
    </row>
    <row r="8956" ht="15" customHeight="1" s="783">
      <c r="B8956" s="901" t="n"/>
    </row>
    <row r="8957" ht="15" customHeight="1" s="783">
      <c r="B8957" s="901" t="n"/>
    </row>
    <row r="8958" ht="15" customHeight="1" s="783">
      <c r="B8958" s="901" t="n"/>
    </row>
    <row r="8959" ht="15" customHeight="1" s="783">
      <c r="B8959" s="901" t="n"/>
    </row>
    <row r="8960" ht="15" customHeight="1" s="783">
      <c r="B8960" s="901" t="n"/>
    </row>
    <row r="8961" ht="15" customHeight="1" s="783">
      <c r="B8961" s="901" t="n"/>
    </row>
    <row r="8962" ht="15" customHeight="1" s="783">
      <c r="B8962" s="901" t="n"/>
    </row>
    <row r="8963" ht="15" customHeight="1" s="783">
      <c r="B8963" s="901" t="n"/>
    </row>
    <row r="8964" ht="15" customHeight="1" s="783">
      <c r="B8964" s="901" t="n"/>
    </row>
    <row r="8965" ht="15" customHeight="1" s="783">
      <c r="B8965" s="901" t="n"/>
    </row>
    <row r="8966" ht="15" customHeight="1" s="783">
      <c r="B8966" s="901" t="n"/>
    </row>
    <row r="8967" ht="15" customHeight="1" s="783">
      <c r="B8967" s="901" t="n"/>
    </row>
    <row r="8968" ht="15" customHeight="1" s="783">
      <c r="B8968" s="901" t="n"/>
    </row>
    <row r="8969" ht="15" customHeight="1" s="783">
      <c r="B8969" s="901" t="n"/>
    </row>
    <row r="8970" ht="15" customHeight="1" s="783">
      <c r="B8970" s="901" t="n"/>
    </row>
    <row r="8971" ht="15" customHeight="1" s="783">
      <c r="B8971" s="901" t="n"/>
    </row>
    <row r="8972" ht="15" customHeight="1" s="783">
      <c r="B8972" s="901" t="n"/>
    </row>
    <row r="8973" ht="15" customHeight="1" s="783">
      <c r="B8973" s="901" t="n"/>
    </row>
    <row r="8974" ht="15" customHeight="1" s="783">
      <c r="B8974" s="901" t="n"/>
    </row>
    <row r="8975" ht="15" customHeight="1" s="783">
      <c r="B8975" s="901" t="n"/>
    </row>
    <row r="8976" ht="15" customHeight="1" s="783">
      <c r="B8976" s="901" t="n"/>
    </row>
    <row r="8977" ht="15" customHeight="1" s="783">
      <c r="B8977" s="901" t="n"/>
    </row>
    <row r="8978" ht="15" customHeight="1" s="783">
      <c r="B8978" s="901" t="n"/>
    </row>
    <row r="8979" ht="15" customHeight="1" s="783">
      <c r="B8979" s="901" t="n"/>
    </row>
    <row r="8980" ht="15" customHeight="1" s="783">
      <c r="B8980" s="901" t="n"/>
    </row>
    <row r="8981" ht="15" customHeight="1" s="783">
      <c r="B8981" s="901" t="n"/>
    </row>
    <row r="8982" ht="15" customHeight="1" s="783">
      <c r="B8982" s="901" t="n"/>
    </row>
    <row r="8983" ht="15" customHeight="1" s="783">
      <c r="B8983" s="901" t="n"/>
    </row>
    <row r="8984" ht="15" customHeight="1" s="783">
      <c r="B8984" s="901" t="n"/>
    </row>
    <row r="8985" ht="15" customHeight="1" s="783">
      <c r="B8985" s="901" t="n"/>
    </row>
    <row r="8986" ht="15" customHeight="1" s="783">
      <c r="B8986" s="901" t="n"/>
    </row>
    <row r="8987" ht="15" customHeight="1" s="783">
      <c r="B8987" s="901" t="n"/>
    </row>
    <row r="8988" ht="15" customHeight="1" s="783">
      <c r="B8988" s="901" t="n"/>
    </row>
    <row r="8989" ht="15" customHeight="1" s="783">
      <c r="B8989" s="901" t="n"/>
    </row>
    <row r="8990" ht="15" customHeight="1" s="783">
      <c r="B8990" s="901" t="n"/>
    </row>
    <row r="8991" ht="15" customHeight="1" s="783">
      <c r="B8991" s="901" t="n"/>
    </row>
    <row r="8992" ht="15" customHeight="1" s="783">
      <c r="B8992" s="901" t="n"/>
    </row>
    <row r="8993" ht="15" customHeight="1" s="783">
      <c r="B8993" s="901" t="n"/>
    </row>
    <row r="8994" ht="15" customHeight="1" s="783">
      <c r="B8994" s="901" t="n"/>
    </row>
    <row r="8995" ht="15" customHeight="1" s="783">
      <c r="B8995" s="901" t="n"/>
    </row>
    <row r="8996" ht="15" customHeight="1" s="783">
      <c r="B8996" s="901" t="n"/>
    </row>
    <row r="8997" ht="15" customHeight="1" s="783">
      <c r="B8997" s="901" t="n"/>
    </row>
    <row r="8998" ht="15" customHeight="1" s="783">
      <c r="B8998" s="901" t="n"/>
    </row>
    <row r="8999" ht="15" customHeight="1" s="783">
      <c r="B8999" s="901" t="n"/>
    </row>
    <row r="9000" ht="15" customHeight="1" s="783">
      <c r="B9000" s="901" t="n"/>
    </row>
    <row r="9001" ht="15" customHeight="1" s="783">
      <c r="B9001" s="901" t="n"/>
    </row>
    <row r="9002" ht="15" customHeight="1" s="783">
      <c r="B9002" s="901" t="n"/>
    </row>
    <row r="9003" ht="15" customHeight="1" s="783">
      <c r="B9003" s="901" t="n"/>
    </row>
    <row r="9004" ht="15" customHeight="1" s="783">
      <c r="B9004" s="901" t="n"/>
    </row>
    <row r="9005" ht="15" customHeight="1" s="783">
      <c r="B9005" s="901" t="n"/>
    </row>
    <row r="9006" ht="15" customHeight="1" s="783">
      <c r="B9006" s="901" t="n"/>
    </row>
    <row r="9007" ht="15" customHeight="1" s="783">
      <c r="B9007" s="901" t="n"/>
    </row>
    <row r="9008" ht="15" customHeight="1" s="783">
      <c r="B9008" s="901" t="n"/>
    </row>
    <row r="9009" ht="15" customHeight="1" s="783">
      <c r="B9009" s="901" t="n"/>
    </row>
    <row r="9010" ht="15" customHeight="1" s="783">
      <c r="B9010" s="901" t="n"/>
    </row>
    <row r="9011" ht="15" customHeight="1" s="783">
      <c r="B9011" s="901" t="n"/>
    </row>
    <row r="9012" ht="15" customHeight="1" s="783">
      <c r="B9012" s="901" t="n"/>
    </row>
    <row r="9013" ht="15" customHeight="1" s="783">
      <c r="B9013" s="901" t="n"/>
    </row>
    <row r="9014" ht="15" customHeight="1" s="783">
      <c r="B9014" s="901" t="n"/>
    </row>
    <row r="9015" ht="15" customHeight="1" s="783">
      <c r="B9015" s="901" t="n"/>
    </row>
    <row r="9016" ht="15" customHeight="1" s="783">
      <c r="B9016" s="901" t="n"/>
    </row>
    <row r="9017" ht="15" customHeight="1" s="783">
      <c r="B9017" s="901" t="n"/>
    </row>
    <row r="9018" ht="15" customHeight="1" s="783">
      <c r="B9018" s="901" t="n"/>
    </row>
    <row r="9019" ht="15" customHeight="1" s="783">
      <c r="B9019" s="901" t="n"/>
    </row>
    <row r="9020" ht="15" customHeight="1" s="783">
      <c r="B9020" s="901" t="n"/>
    </row>
    <row r="9021" ht="15" customHeight="1" s="783">
      <c r="B9021" s="901" t="n"/>
    </row>
    <row r="9022" ht="15" customHeight="1" s="783">
      <c r="B9022" s="901" t="n"/>
    </row>
    <row r="9023" ht="15" customHeight="1" s="783">
      <c r="B9023" s="901" t="n"/>
    </row>
    <row r="9024" ht="15" customHeight="1" s="783">
      <c r="B9024" s="901" t="n"/>
    </row>
    <row r="9025" ht="15" customHeight="1" s="783">
      <c r="B9025" s="901" t="n"/>
    </row>
    <row r="9026" ht="15" customHeight="1" s="783">
      <c r="B9026" s="901" t="n"/>
    </row>
    <row r="9027" ht="15" customHeight="1" s="783">
      <c r="B9027" s="901" t="n"/>
    </row>
    <row r="9028" ht="15" customHeight="1" s="783">
      <c r="B9028" s="901" t="n"/>
    </row>
    <row r="9029" ht="15" customHeight="1" s="783">
      <c r="B9029" s="901" t="n"/>
    </row>
    <row r="9030" ht="15" customHeight="1" s="783">
      <c r="B9030" s="901" t="n"/>
    </row>
    <row r="9031" ht="15" customHeight="1" s="783">
      <c r="B9031" s="901" t="n"/>
    </row>
    <row r="9032" ht="15" customHeight="1" s="783">
      <c r="B9032" s="901" t="n"/>
    </row>
    <row r="9033" ht="15" customHeight="1" s="783">
      <c r="B9033" s="901" t="n"/>
    </row>
    <row r="9034" ht="15" customHeight="1" s="783">
      <c r="B9034" s="901" t="n"/>
    </row>
    <row r="9035" ht="15" customHeight="1" s="783">
      <c r="B9035" s="901" t="n"/>
    </row>
    <row r="9036" ht="15" customHeight="1" s="783">
      <c r="B9036" s="901" t="n"/>
    </row>
    <row r="9037" ht="15" customHeight="1" s="783">
      <c r="B9037" s="901" t="n"/>
    </row>
    <row r="9038" ht="15" customHeight="1" s="783">
      <c r="B9038" s="901" t="n"/>
    </row>
    <row r="9039" ht="15" customHeight="1" s="783">
      <c r="B9039" s="901" t="n"/>
    </row>
    <row r="9040" ht="15" customHeight="1" s="783">
      <c r="B9040" s="901" t="n"/>
    </row>
    <row r="9041" ht="15" customHeight="1" s="783">
      <c r="B9041" s="901" t="n"/>
    </row>
    <row r="9042" ht="15" customHeight="1" s="783">
      <c r="B9042" s="901" t="n"/>
    </row>
    <row r="9043" ht="15" customHeight="1" s="783">
      <c r="B9043" s="901" t="n"/>
    </row>
    <row r="9044" ht="15" customHeight="1" s="783">
      <c r="B9044" s="901" t="n"/>
    </row>
    <row r="9045" ht="15" customHeight="1" s="783">
      <c r="B9045" s="901" t="n"/>
    </row>
    <row r="9046" ht="15" customHeight="1" s="783">
      <c r="B9046" s="901" t="n"/>
    </row>
    <row r="9047" ht="15" customHeight="1" s="783">
      <c r="B9047" s="901" t="n"/>
    </row>
    <row r="9048" ht="15" customHeight="1" s="783">
      <c r="B9048" s="901" t="n"/>
    </row>
    <row r="9049" ht="15" customHeight="1" s="783">
      <c r="B9049" s="901" t="n"/>
    </row>
    <row r="9050" ht="15" customHeight="1" s="783">
      <c r="B9050" s="901" t="n"/>
    </row>
    <row r="9051" ht="15" customHeight="1" s="783">
      <c r="B9051" s="901" t="n"/>
    </row>
    <row r="9052" ht="15" customHeight="1" s="783">
      <c r="B9052" s="901" t="n"/>
    </row>
    <row r="9053" ht="15" customHeight="1" s="783">
      <c r="B9053" s="901" t="n"/>
    </row>
    <row r="9054" ht="15" customHeight="1" s="783">
      <c r="B9054" s="901" t="n"/>
    </row>
    <row r="9055" ht="15" customHeight="1" s="783">
      <c r="B9055" s="901" t="n"/>
    </row>
    <row r="9056" ht="15" customHeight="1" s="783">
      <c r="B9056" s="901" t="n"/>
    </row>
    <row r="9057" ht="15" customHeight="1" s="783">
      <c r="B9057" s="901" t="n"/>
    </row>
    <row r="9058" ht="15" customHeight="1" s="783">
      <c r="B9058" s="901" t="n"/>
    </row>
    <row r="9059" ht="15" customHeight="1" s="783">
      <c r="B9059" s="901" t="n"/>
    </row>
    <row r="9060" ht="15" customHeight="1" s="783">
      <c r="B9060" s="901" t="n"/>
    </row>
    <row r="9061" ht="15" customHeight="1" s="783">
      <c r="B9061" s="901" t="n"/>
    </row>
    <row r="9062" ht="15" customHeight="1" s="783">
      <c r="B9062" s="901" t="n"/>
    </row>
    <row r="9063" ht="15" customHeight="1" s="783">
      <c r="B9063" s="901" t="n"/>
    </row>
    <row r="9064" ht="15" customHeight="1" s="783">
      <c r="B9064" s="901" t="n"/>
    </row>
    <row r="9065" ht="15" customHeight="1" s="783">
      <c r="B9065" s="901" t="n"/>
    </row>
    <row r="9066" ht="15" customHeight="1" s="783">
      <c r="B9066" s="901" t="n"/>
    </row>
    <row r="9067" ht="15" customHeight="1" s="783">
      <c r="B9067" s="901" t="n"/>
    </row>
    <row r="9068" ht="15" customHeight="1" s="783">
      <c r="B9068" s="901" t="n"/>
    </row>
    <row r="9069" ht="15" customHeight="1" s="783">
      <c r="B9069" s="901" t="n"/>
    </row>
    <row r="9070" ht="15" customHeight="1" s="783">
      <c r="B9070" s="901" t="n"/>
    </row>
    <row r="9071" ht="15" customHeight="1" s="783">
      <c r="B9071" s="901" t="n"/>
    </row>
    <row r="9072" ht="15" customHeight="1" s="783">
      <c r="B9072" s="901" t="n"/>
    </row>
    <row r="9073" ht="15" customHeight="1" s="783">
      <c r="B9073" s="901" t="n"/>
    </row>
    <row r="9074" ht="15" customHeight="1" s="783">
      <c r="B9074" s="901" t="n"/>
    </row>
    <row r="9075" ht="15" customHeight="1" s="783">
      <c r="B9075" s="901" t="n"/>
    </row>
    <row r="9076" ht="15" customHeight="1" s="783">
      <c r="B9076" s="901" t="n"/>
    </row>
    <row r="9077" ht="15" customHeight="1" s="783">
      <c r="B9077" s="901" t="n"/>
    </row>
    <row r="9078" ht="15" customHeight="1" s="783">
      <c r="B9078" s="901" t="n"/>
    </row>
    <row r="9079" ht="15" customHeight="1" s="783">
      <c r="B9079" s="901" t="n"/>
    </row>
    <row r="9080" ht="15" customHeight="1" s="783">
      <c r="B9080" s="901" t="n"/>
    </row>
    <row r="9081" ht="15" customHeight="1" s="783">
      <c r="B9081" s="901" t="n"/>
    </row>
    <row r="9082" ht="15" customHeight="1" s="783">
      <c r="B9082" s="901" t="n"/>
    </row>
    <row r="9083" ht="15" customHeight="1" s="783">
      <c r="B9083" s="901" t="n"/>
    </row>
    <row r="9084" ht="15" customHeight="1" s="783">
      <c r="B9084" s="901" t="n"/>
    </row>
    <row r="9085" ht="15" customHeight="1" s="783">
      <c r="B9085" s="901" t="n"/>
    </row>
    <row r="9086" ht="15" customHeight="1" s="783">
      <c r="B9086" s="901" t="n"/>
    </row>
    <row r="9087" ht="15" customHeight="1" s="783">
      <c r="B9087" s="901" t="n"/>
    </row>
    <row r="9088" ht="15" customHeight="1" s="783">
      <c r="B9088" s="901" t="n"/>
    </row>
    <row r="9089" ht="15" customHeight="1" s="783">
      <c r="B9089" s="901" t="n"/>
    </row>
    <row r="9090" ht="15" customHeight="1" s="783">
      <c r="B9090" s="901" t="n"/>
    </row>
    <row r="9091" ht="15" customHeight="1" s="783">
      <c r="B9091" s="901" t="n"/>
    </row>
    <row r="9092" ht="15" customHeight="1" s="783">
      <c r="B9092" s="901" t="n"/>
    </row>
    <row r="9093" ht="15" customHeight="1" s="783">
      <c r="B9093" s="901" t="n"/>
    </row>
    <row r="9094" ht="15" customHeight="1" s="783">
      <c r="B9094" s="901" t="n"/>
    </row>
    <row r="9095" ht="15" customHeight="1" s="783">
      <c r="B9095" s="901" t="n"/>
    </row>
    <row r="9096" ht="15" customHeight="1" s="783">
      <c r="B9096" s="901" t="n"/>
    </row>
    <row r="9097" ht="15" customHeight="1" s="783">
      <c r="B9097" s="901" t="n"/>
    </row>
    <row r="9098" ht="15" customHeight="1" s="783">
      <c r="B9098" s="901" t="n"/>
    </row>
    <row r="9099" ht="15" customHeight="1" s="783">
      <c r="B9099" s="901" t="n"/>
    </row>
    <row r="9100" ht="15" customHeight="1" s="783">
      <c r="B9100" s="901" t="n"/>
    </row>
    <row r="9101" ht="15" customHeight="1" s="783">
      <c r="B9101" s="901" t="n"/>
    </row>
    <row r="9102" ht="15" customHeight="1" s="783">
      <c r="B9102" s="901" t="n"/>
    </row>
    <row r="9103" ht="15" customHeight="1" s="783">
      <c r="B9103" s="901" t="n"/>
    </row>
    <row r="9104" ht="15" customHeight="1" s="783">
      <c r="B9104" s="901" t="n"/>
    </row>
    <row r="9105" ht="15" customHeight="1" s="783">
      <c r="B9105" s="901" t="n"/>
    </row>
    <row r="9106" ht="15" customHeight="1" s="783">
      <c r="B9106" s="901" t="n"/>
    </row>
    <row r="9107" ht="15" customHeight="1" s="783">
      <c r="B9107" s="901" t="n"/>
    </row>
    <row r="9108" ht="15" customHeight="1" s="783">
      <c r="B9108" s="901" t="n"/>
    </row>
    <row r="9109" ht="15" customHeight="1" s="783">
      <c r="B9109" s="901" t="n"/>
    </row>
    <row r="9110" ht="15" customHeight="1" s="783">
      <c r="B9110" s="901" t="n"/>
    </row>
    <row r="9111" ht="15" customHeight="1" s="783">
      <c r="B9111" s="901" t="n"/>
    </row>
    <row r="9112" ht="15" customHeight="1" s="783">
      <c r="B9112" s="901" t="n"/>
    </row>
    <row r="9113" ht="15" customHeight="1" s="783">
      <c r="B9113" s="901" t="n"/>
    </row>
    <row r="9114" ht="15" customHeight="1" s="783">
      <c r="B9114" s="901" t="n"/>
    </row>
    <row r="9115" ht="15" customHeight="1" s="783">
      <c r="B9115" s="901" t="n"/>
    </row>
    <row r="9116" ht="15" customHeight="1" s="783">
      <c r="B9116" s="901" t="n"/>
    </row>
    <row r="9117" ht="15" customHeight="1" s="783">
      <c r="B9117" s="901" t="n"/>
    </row>
    <row r="9118" ht="15" customHeight="1" s="783">
      <c r="B9118" s="901" t="n"/>
    </row>
    <row r="9119" ht="15" customHeight="1" s="783">
      <c r="B9119" s="901" t="n"/>
    </row>
    <row r="9120" ht="15" customHeight="1" s="783">
      <c r="B9120" s="901" t="n"/>
    </row>
    <row r="9121" ht="15" customHeight="1" s="783">
      <c r="B9121" s="901" t="n"/>
    </row>
    <row r="9122" ht="15" customHeight="1" s="783">
      <c r="B9122" s="901" t="n"/>
    </row>
    <row r="9123" ht="15" customHeight="1" s="783">
      <c r="B9123" s="901" t="n"/>
    </row>
    <row r="9124" ht="15" customHeight="1" s="783">
      <c r="B9124" s="901" t="n"/>
    </row>
    <row r="9125" ht="15" customHeight="1" s="783">
      <c r="B9125" s="901" t="n"/>
    </row>
    <row r="9126" ht="15" customHeight="1" s="783">
      <c r="B9126" s="901" t="n"/>
    </row>
    <row r="9127" ht="15" customHeight="1" s="783">
      <c r="B9127" s="901" t="n"/>
    </row>
    <row r="9128" ht="15" customHeight="1" s="783">
      <c r="B9128" s="901" t="n"/>
    </row>
    <row r="9129" ht="15" customHeight="1" s="783">
      <c r="B9129" s="901" t="n"/>
    </row>
    <row r="9130" ht="15" customHeight="1" s="783">
      <c r="B9130" s="901" t="n"/>
    </row>
    <row r="9131" ht="15" customHeight="1" s="783">
      <c r="B9131" s="901" t="n"/>
    </row>
    <row r="9132" ht="15" customHeight="1" s="783">
      <c r="B9132" s="901" t="n"/>
    </row>
    <row r="9133" ht="15" customHeight="1" s="783">
      <c r="B9133" s="901" t="n"/>
    </row>
    <row r="9134" ht="15" customHeight="1" s="783">
      <c r="B9134" s="901" t="n"/>
    </row>
    <row r="9135" ht="15" customHeight="1" s="783">
      <c r="B9135" s="901" t="n"/>
    </row>
    <row r="9136" ht="15" customHeight="1" s="783">
      <c r="B9136" s="901" t="n"/>
    </row>
    <row r="9137" ht="15" customHeight="1" s="783">
      <c r="B9137" s="901" t="n"/>
    </row>
    <row r="9138" ht="15" customHeight="1" s="783">
      <c r="B9138" s="901" t="n"/>
    </row>
    <row r="9139" ht="15" customHeight="1" s="783">
      <c r="B9139" s="901" t="n"/>
    </row>
    <row r="9140" ht="15" customHeight="1" s="783">
      <c r="B9140" s="901" t="n"/>
    </row>
    <row r="9141" ht="15" customHeight="1" s="783">
      <c r="B9141" s="901" t="n"/>
    </row>
    <row r="9142" ht="15" customHeight="1" s="783">
      <c r="B9142" s="901" t="n"/>
    </row>
    <row r="9143" ht="15" customHeight="1" s="783">
      <c r="B9143" s="901" t="n"/>
    </row>
    <row r="9144" ht="15" customHeight="1" s="783">
      <c r="B9144" s="901" t="n"/>
    </row>
    <row r="9145" ht="15" customHeight="1" s="783">
      <c r="B9145" s="901" t="n"/>
    </row>
    <row r="9146" ht="15" customHeight="1" s="783">
      <c r="B9146" s="901" t="n"/>
    </row>
    <row r="9147" ht="15" customHeight="1" s="783">
      <c r="B9147" s="901" t="n"/>
    </row>
    <row r="9148" ht="15" customHeight="1" s="783">
      <c r="B9148" s="901" t="n"/>
    </row>
    <row r="9149" ht="15" customHeight="1" s="783">
      <c r="B9149" s="901" t="n"/>
    </row>
    <row r="9150" ht="15" customHeight="1" s="783">
      <c r="B9150" s="901" t="n"/>
    </row>
    <row r="9151" ht="15" customHeight="1" s="783">
      <c r="B9151" s="901" t="n"/>
    </row>
    <row r="9152" ht="15" customHeight="1" s="783">
      <c r="B9152" s="901" t="n"/>
    </row>
    <row r="9153" ht="15" customHeight="1" s="783">
      <c r="B9153" s="901" t="n"/>
    </row>
    <row r="9154" ht="15" customHeight="1" s="783">
      <c r="B9154" s="901" t="n"/>
    </row>
    <row r="9155" ht="15" customHeight="1" s="783">
      <c r="B9155" s="901" t="n"/>
    </row>
    <row r="9156" ht="15" customHeight="1" s="783">
      <c r="B9156" s="901" t="n"/>
    </row>
    <row r="9157" ht="15" customHeight="1" s="783">
      <c r="B9157" s="901" t="n"/>
    </row>
    <row r="9158" ht="15" customHeight="1" s="783">
      <c r="B9158" s="901" t="n"/>
    </row>
    <row r="9159" ht="15" customHeight="1" s="783">
      <c r="B9159" s="901" t="n"/>
    </row>
    <row r="9160" ht="15" customHeight="1" s="783">
      <c r="B9160" s="901" t="n"/>
    </row>
    <row r="9161" ht="15" customHeight="1" s="783">
      <c r="B9161" s="901" t="n"/>
    </row>
    <row r="9162" ht="15" customHeight="1" s="783">
      <c r="B9162" s="901" t="n"/>
    </row>
    <row r="9163" ht="15" customHeight="1" s="783">
      <c r="B9163" s="901" t="n"/>
    </row>
    <row r="9164" ht="15" customHeight="1" s="783">
      <c r="B9164" s="901" t="n"/>
    </row>
    <row r="9165" ht="15" customHeight="1" s="783">
      <c r="B9165" s="901" t="n"/>
    </row>
    <row r="9166" ht="15" customHeight="1" s="783">
      <c r="B9166" s="901" t="n"/>
    </row>
    <row r="9167" ht="15" customHeight="1" s="783">
      <c r="B9167" s="901" t="n"/>
    </row>
    <row r="9168" ht="15" customHeight="1" s="783">
      <c r="B9168" s="901" t="n"/>
    </row>
    <row r="9169" ht="15" customHeight="1" s="783">
      <c r="B9169" s="901" t="n"/>
    </row>
    <row r="9170" ht="15" customHeight="1" s="783">
      <c r="B9170" s="901" t="n"/>
    </row>
    <row r="9171" ht="15" customHeight="1" s="783">
      <c r="B9171" s="901" t="n"/>
    </row>
    <row r="9172" ht="15" customHeight="1" s="783">
      <c r="B9172" s="901" t="n"/>
    </row>
    <row r="9173" ht="15" customHeight="1" s="783">
      <c r="B9173" s="901" t="n"/>
    </row>
    <row r="9174" ht="15" customHeight="1" s="783">
      <c r="B9174" s="901" t="n"/>
    </row>
    <row r="9175" ht="15" customHeight="1" s="783">
      <c r="B9175" s="901" t="n"/>
    </row>
    <row r="9176" ht="15" customHeight="1" s="783">
      <c r="B9176" s="901" t="n"/>
    </row>
    <row r="9177" ht="15" customHeight="1" s="783">
      <c r="B9177" s="901" t="n"/>
    </row>
    <row r="9178" ht="15" customHeight="1" s="783">
      <c r="B9178" s="901" t="n"/>
    </row>
    <row r="9179" ht="15" customHeight="1" s="783">
      <c r="B9179" s="901" t="n"/>
    </row>
    <row r="9180" ht="15" customHeight="1" s="783">
      <c r="B9180" s="901" t="n"/>
    </row>
    <row r="9181" ht="15" customHeight="1" s="783">
      <c r="B9181" s="901" t="n"/>
    </row>
    <row r="9182" ht="15" customHeight="1" s="783">
      <c r="B9182" s="901" t="n"/>
    </row>
    <row r="9183" ht="15" customHeight="1" s="783">
      <c r="B9183" s="901" t="n"/>
    </row>
    <row r="9184" ht="15" customHeight="1" s="783">
      <c r="B9184" s="901" t="n"/>
    </row>
    <row r="9185" ht="15" customHeight="1" s="783">
      <c r="B9185" s="901" t="n"/>
    </row>
    <row r="9186" ht="15" customHeight="1" s="783">
      <c r="B9186" s="901" t="n"/>
    </row>
    <row r="9187" ht="15" customHeight="1" s="783">
      <c r="B9187" s="901" t="n"/>
    </row>
    <row r="9188" ht="15" customHeight="1" s="783">
      <c r="B9188" s="901" t="n"/>
    </row>
    <row r="9189" ht="15" customHeight="1" s="783">
      <c r="B9189" s="901" t="n"/>
    </row>
    <row r="9190" ht="15" customHeight="1" s="783">
      <c r="B9190" s="901" t="n"/>
    </row>
    <row r="9191" ht="15" customHeight="1" s="783">
      <c r="B9191" s="901" t="n"/>
    </row>
    <row r="9192" ht="15" customHeight="1" s="783">
      <c r="B9192" s="901" t="n"/>
    </row>
    <row r="9193" ht="15" customHeight="1" s="783">
      <c r="B9193" s="901" t="n"/>
    </row>
    <row r="9194" ht="15" customHeight="1" s="783">
      <c r="B9194" s="901" t="n"/>
    </row>
    <row r="9195" ht="15" customHeight="1" s="783">
      <c r="B9195" s="901" t="n"/>
    </row>
    <row r="9196" ht="15" customHeight="1" s="783">
      <c r="B9196" s="901" t="n"/>
    </row>
    <row r="9197" ht="15" customHeight="1" s="783">
      <c r="B9197" s="901" t="n"/>
    </row>
    <row r="9198" ht="15" customHeight="1" s="783">
      <c r="B9198" s="901" t="n"/>
    </row>
    <row r="9199" ht="15" customHeight="1" s="783">
      <c r="B9199" s="901" t="n"/>
    </row>
    <row r="9200" ht="15" customHeight="1" s="783">
      <c r="B9200" s="901" t="n"/>
    </row>
    <row r="9201" ht="15" customHeight="1" s="783">
      <c r="B9201" s="901" t="n"/>
    </row>
    <row r="9202" ht="15" customHeight="1" s="783">
      <c r="B9202" s="901" t="n"/>
    </row>
    <row r="9203" ht="15" customHeight="1" s="783">
      <c r="B9203" s="901" t="n"/>
    </row>
    <row r="9204" ht="15" customHeight="1" s="783">
      <c r="B9204" s="901" t="n"/>
    </row>
    <row r="9205" ht="15" customHeight="1" s="783">
      <c r="B9205" s="901" t="n"/>
    </row>
    <row r="9206" ht="15" customHeight="1" s="783">
      <c r="B9206" s="901" t="n"/>
    </row>
    <row r="9207" ht="15" customHeight="1" s="783">
      <c r="B9207" s="901" t="n"/>
    </row>
    <row r="9208" ht="15" customHeight="1" s="783">
      <c r="B9208" s="901" t="n"/>
    </row>
    <row r="9209" ht="15" customHeight="1" s="783">
      <c r="B9209" s="901" t="n"/>
    </row>
    <row r="9210" ht="15" customHeight="1" s="783">
      <c r="B9210" s="901" t="n"/>
    </row>
    <row r="9211" ht="15" customHeight="1" s="783">
      <c r="B9211" s="901" t="n"/>
    </row>
    <row r="9212" ht="15" customHeight="1" s="783">
      <c r="B9212" s="901" t="n"/>
    </row>
    <row r="9213" ht="15" customHeight="1" s="783">
      <c r="B9213" s="901" t="n"/>
    </row>
    <row r="9214" ht="15" customHeight="1" s="783">
      <c r="B9214" s="901" t="n"/>
    </row>
    <row r="9215" ht="15" customHeight="1" s="783">
      <c r="B9215" s="901" t="n"/>
    </row>
    <row r="9216" ht="15" customHeight="1" s="783">
      <c r="B9216" s="901" t="n"/>
    </row>
    <row r="9217" ht="15" customHeight="1" s="783">
      <c r="B9217" s="901" t="n"/>
    </row>
    <row r="9218" ht="15" customHeight="1" s="783">
      <c r="B9218" s="901" t="n"/>
    </row>
    <row r="9219" ht="15" customHeight="1" s="783">
      <c r="B9219" s="901" t="n"/>
    </row>
    <row r="9220" ht="15" customHeight="1" s="783">
      <c r="B9220" s="901" t="n"/>
    </row>
    <row r="9221" ht="15" customHeight="1" s="783">
      <c r="B9221" s="901" t="n"/>
    </row>
    <row r="9222" ht="15" customHeight="1" s="783">
      <c r="B9222" s="901" t="n"/>
    </row>
    <row r="9223" ht="15" customHeight="1" s="783">
      <c r="B9223" s="901" t="n"/>
    </row>
    <row r="9224" ht="15" customHeight="1" s="783">
      <c r="B9224" s="901" t="n"/>
    </row>
    <row r="9225" ht="15" customHeight="1" s="783">
      <c r="B9225" s="901" t="n"/>
    </row>
    <row r="9226" ht="15" customHeight="1" s="783">
      <c r="B9226" s="901" t="n"/>
    </row>
    <row r="9227" ht="15" customHeight="1" s="783">
      <c r="B9227" s="901" t="n"/>
    </row>
    <row r="9228" ht="15" customHeight="1" s="783">
      <c r="B9228" s="901" t="n"/>
    </row>
    <row r="9229" ht="15" customHeight="1" s="783">
      <c r="B9229" s="901" t="n"/>
    </row>
    <row r="9230" ht="15" customHeight="1" s="783">
      <c r="B9230" s="901" t="n"/>
    </row>
    <row r="9231" ht="15" customHeight="1" s="783">
      <c r="B9231" s="901" t="n"/>
    </row>
    <row r="9232" ht="15" customHeight="1" s="783">
      <c r="B9232" s="901" t="n"/>
    </row>
    <row r="9233" ht="15" customHeight="1" s="783">
      <c r="B9233" s="901" t="n"/>
    </row>
    <row r="9234" ht="15" customHeight="1" s="783">
      <c r="B9234" s="901" t="n"/>
    </row>
    <row r="9235" ht="15" customHeight="1" s="783">
      <c r="B9235" s="901" t="n"/>
    </row>
    <row r="9236" ht="15" customHeight="1" s="783">
      <c r="B9236" s="901" t="n"/>
    </row>
    <row r="9237" ht="15" customHeight="1" s="783">
      <c r="B9237" s="901" t="n"/>
    </row>
    <row r="9238" ht="15" customHeight="1" s="783">
      <c r="B9238" s="901" t="n"/>
    </row>
    <row r="9239" ht="15" customHeight="1" s="783">
      <c r="B9239" s="901" t="n"/>
    </row>
    <row r="9240" ht="15" customHeight="1" s="783">
      <c r="B9240" s="901" t="n"/>
    </row>
    <row r="9241" ht="15" customHeight="1" s="783">
      <c r="B9241" s="901" t="n"/>
    </row>
    <row r="9242" ht="15" customHeight="1" s="783">
      <c r="B9242" s="901" t="n"/>
    </row>
    <row r="9243" ht="15" customHeight="1" s="783">
      <c r="B9243" s="901" t="n"/>
    </row>
    <row r="9244" ht="15" customHeight="1" s="783">
      <c r="B9244" s="901" t="n"/>
    </row>
    <row r="9245" ht="15" customHeight="1" s="783">
      <c r="B9245" s="901" t="n"/>
    </row>
    <row r="9246" ht="15" customHeight="1" s="783">
      <c r="B9246" s="901" t="n"/>
    </row>
    <row r="9247" ht="15" customHeight="1" s="783">
      <c r="B9247" s="901" t="n"/>
    </row>
    <row r="9248" ht="15" customHeight="1" s="783">
      <c r="B9248" s="901" t="n"/>
    </row>
    <row r="9249" ht="15" customHeight="1" s="783">
      <c r="B9249" s="901" t="n"/>
    </row>
    <row r="9250" ht="15" customHeight="1" s="783">
      <c r="B9250" s="901" t="n"/>
    </row>
    <row r="9251" ht="15" customHeight="1" s="783">
      <c r="B9251" s="901" t="n"/>
    </row>
    <row r="9252" ht="15" customHeight="1" s="783">
      <c r="B9252" s="901" t="n"/>
    </row>
    <row r="9253" ht="15" customHeight="1" s="783">
      <c r="B9253" s="901" t="n"/>
    </row>
    <row r="9254" ht="15" customHeight="1" s="783">
      <c r="B9254" s="901" t="n"/>
    </row>
    <row r="9255" ht="15" customHeight="1" s="783">
      <c r="B9255" s="901" t="n"/>
    </row>
    <row r="9256" ht="15" customHeight="1" s="783">
      <c r="B9256" s="901" t="n"/>
    </row>
    <row r="9257" ht="15" customHeight="1" s="783">
      <c r="B9257" s="901" t="n"/>
    </row>
    <row r="9258" ht="15" customHeight="1" s="783">
      <c r="B9258" s="901" t="n"/>
    </row>
    <row r="9259" ht="15" customHeight="1" s="783">
      <c r="B9259" s="901" t="n"/>
    </row>
    <row r="9260" ht="15" customHeight="1" s="783">
      <c r="B9260" s="901" t="n"/>
    </row>
    <row r="9261" ht="15" customHeight="1" s="783">
      <c r="B9261" s="901" t="n"/>
    </row>
    <row r="9262" ht="15" customHeight="1" s="783">
      <c r="B9262" s="901" t="n"/>
    </row>
    <row r="9263" ht="15" customHeight="1" s="783">
      <c r="B9263" s="901" t="n"/>
    </row>
    <row r="9264" ht="15" customHeight="1" s="783">
      <c r="B9264" s="901" t="n"/>
    </row>
    <row r="9265" ht="15" customHeight="1" s="783">
      <c r="B9265" s="901" t="n"/>
    </row>
    <row r="9266" ht="15" customHeight="1" s="783">
      <c r="B9266" s="901" t="n"/>
    </row>
    <row r="9267" ht="15" customHeight="1" s="783">
      <c r="B9267" s="901" t="n"/>
    </row>
    <row r="9268" ht="15" customHeight="1" s="783">
      <c r="B9268" s="901" t="n"/>
    </row>
    <row r="9269" ht="15" customHeight="1" s="783">
      <c r="B9269" s="901" t="n"/>
    </row>
    <row r="9270" ht="15" customHeight="1" s="783">
      <c r="B9270" s="901" t="n"/>
    </row>
    <row r="9271" ht="15" customHeight="1" s="783">
      <c r="B9271" s="901" t="n"/>
    </row>
    <row r="9272" ht="15" customHeight="1" s="783">
      <c r="B9272" s="901" t="n"/>
    </row>
    <row r="9273" ht="15" customHeight="1" s="783">
      <c r="B9273" s="901" t="n"/>
    </row>
    <row r="9274" ht="15" customHeight="1" s="783">
      <c r="B9274" s="901" t="n"/>
    </row>
    <row r="9275" ht="15" customHeight="1" s="783">
      <c r="B9275" s="901" t="n"/>
    </row>
    <row r="9276" ht="15" customHeight="1" s="783">
      <c r="B9276" s="901" t="n"/>
    </row>
    <row r="9277" ht="15" customHeight="1" s="783">
      <c r="B9277" s="901" t="n"/>
    </row>
    <row r="9278" ht="15" customHeight="1" s="783">
      <c r="B9278" s="901" t="n"/>
    </row>
    <row r="9279" ht="15" customHeight="1" s="783">
      <c r="B9279" s="901" t="n"/>
    </row>
    <row r="9280" ht="15" customHeight="1" s="783">
      <c r="B9280" s="901" t="n"/>
    </row>
    <row r="9281" ht="15" customHeight="1" s="783">
      <c r="B9281" s="901" t="n"/>
    </row>
    <row r="9282" ht="15" customHeight="1" s="783">
      <c r="B9282" s="901" t="n"/>
    </row>
    <row r="9283" ht="15" customHeight="1" s="783">
      <c r="B9283" s="901" t="n"/>
    </row>
    <row r="9284" ht="15" customHeight="1" s="783">
      <c r="B9284" s="901" t="n"/>
    </row>
    <row r="9285" ht="15" customHeight="1" s="783">
      <c r="B9285" s="901" t="n"/>
    </row>
    <row r="9286" ht="15" customHeight="1" s="783">
      <c r="B9286" s="901" t="n"/>
    </row>
    <row r="9287" ht="15" customHeight="1" s="783">
      <c r="B9287" s="901" t="n"/>
    </row>
    <row r="9288" ht="15" customHeight="1" s="783">
      <c r="B9288" s="901" t="n"/>
    </row>
    <row r="9289" ht="15" customHeight="1" s="783">
      <c r="B9289" s="901" t="n"/>
    </row>
    <row r="9290" ht="15" customHeight="1" s="783">
      <c r="B9290" s="901" t="n"/>
    </row>
    <row r="9291" ht="15" customHeight="1" s="783">
      <c r="B9291" s="901" t="n"/>
    </row>
    <row r="9292" ht="15" customHeight="1" s="783">
      <c r="B9292" s="901" t="n"/>
    </row>
    <row r="9293" ht="15" customHeight="1" s="783">
      <c r="B9293" s="901" t="n"/>
    </row>
    <row r="9294" ht="15" customHeight="1" s="783">
      <c r="B9294" s="901" t="n"/>
    </row>
    <row r="9295" ht="15" customHeight="1" s="783">
      <c r="B9295" s="901" t="n"/>
    </row>
    <row r="9296" ht="15" customHeight="1" s="783">
      <c r="B9296" s="901" t="n"/>
    </row>
    <row r="9297" ht="15" customHeight="1" s="783">
      <c r="B9297" s="901" t="n"/>
    </row>
    <row r="9298" ht="15" customHeight="1" s="783">
      <c r="B9298" s="901" t="n"/>
    </row>
    <row r="9299" ht="15" customHeight="1" s="783">
      <c r="B9299" s="901" t="n"/>
    </row>
    <row r="9300" ht="15" customHeight="1" s="783">
      <c r="B9300" s="901" t="n"/>
    </row>
    <row r="9301" ht="15" customHeight="1" s="783">
      <c r="B9301" s="901" t="n"/>
    </row>
    <row r="9302" ht="15" customHeight="1" s="783">
      <c r="B9302" s="901" t="n"/>
    </row>
    <row r="9303" ht="15" customHeight="1" s="783">
      <c r="B9303" s="901" t="n"/>
    </row>
    <row r="9304" ht="15" customHeight="1" s="783">
      <c r="B9304" s="901" t="n"/>
    </row>
    <row r="9305" ht="15" customHeight="1" s="783">
      <c r="B9305" s="901" t="n"/>
    </row>
    <row r="9306" ht="15" customHeight="1" s="783">
      <c r="B9306" s="901" t="n"/>
    </row>
    <row r="9307" ht="15" customHeight="1" s="783">
      <c r="B9307" s="901" t="n"/>
    </row>
    <row r="9308" ht="15" customHeight="1" s="783">
      <c r="B9308" s="901" t="n"/>
    </row>
    <row r="9309" ht="15" customHeight="1" s="783">
      <c r="B9309" s="901" t="n"/>
    </row>
    <row r="9310" ht="15" customHeight="1" s="783">
      <c r="B9310" s="901" t="n"/>
    </row>
    <row r="9311" ht="15" customHeight="1" s="783">
      <c r="B9311" s="901" t="n"/>
    </row>
    <row r="9312" ht="15" customHeight="1" s="783">
      <c r="B9312" s="901" t="n"/>
    </row>
    <row r="9313" ht="15" customHeight="1" s="783">
      <c r="B9313" s="901" t="n"/>
    </row>
    <row r="9314" ht="15" customHeight="1" s="783">
      <c r="B9314" s="901" t="n"/>
    </row>
    <row r="9315" ht="15" customHeight="1" s="783">
      <c r="B9315" s="901" t="n"/>
    </row>
    <row r="9316" ht="15" customHeight="1" s="783">
      <c r="B9316" s="901" t="n"/>
    </row>
    <row r="9317" ht="15" customHeight="1" s="783">
      <c r="B9317" s="901" t="n"/>
    </row>
    <row r="9318" ht="15" customHeight="1" s="783">
      <c r="B9318" s="901" t="n"/>
    </row>
    <row r="9319" ht="15" customHeight="1" s="783">
      <c r="B9319" s="901" t="n"/>
    </row>
    <row r="9320" ht="15" customHeight="1" s="783">
      <c r="B9320" s="901" t="n"/>
    </row>
    <row r="9321" ht="15" customHeight="1" s="783">
      <c r="B9321" s="901" t="n"/>
    </row>
    <row r="9322" ht="15" customHeight="1" s="783">
      <c r="B9322" s="901" t="n"/>
    </row>
    <row r="9323" ht="15" customHeight="1" s="783">
      <c r="B9323" s="901" t="n"/>
    </row>
    <row r="9324" ht="15" customHeight="1" s="783">
      <c r="B9324" s="901" t="n"/>
    </row>
    <row r="9325" ht="15" customHeight="1" s="783">
      <c r="B9325" s="901" t="n"/>
    </row>
    <row r="9326" ht="15" customHeight="1" s="783">
      <c r="B9326" s="901" t="n"/>
    </row>
    <row r="9327" ht="15" customHeight="1" s="783">
      <c r="B9327" s="901" t="n"/>
    </row>
    <row r="9328" ht="15" customHeight="1" s="783">
      <c r="B9328" s="901" t="n"/>
    </row>
    <row r="9329" ht="15" customHeight="1" s="783">
      <c r="B9329" s="901" t="n"/>
    </row>
    <row r="9330" ht="15" customHeight="1" s="783">
      <c r="B9330" s="901" t="n"/>
    </row>
    <row r="9331" ht="15" customHeight="1" s="783">
      <c r="B9331" s="901" t="n"/>
    </row>
    <row r="9332" ht="15" customHeight="1" s="783">
      <c r="B9332" s="901" t="n"/>
    </row>
    <row r="9333" ht="15" customHeight="1" s="783">
      <c r="B9333" s="901" t="n"/>
    </row>
    <row r="9334" ht="15" customHeight="1" s="783">
      <c r="B9334" s="901" t="n"/>
    </row>
    <row r="9335" ht="15" customHeight="1" s="783">
      <c r="B9335" s="901" t="n"/>
    </row>
    <row r="9336" ht="15" customHeight="1" s="783">
      <c r="B9336" s="901" t="n"/>
    </row>
    <row r="9337" ht="15" customHeight="1" s="783">
      <c r="B9337" s="901" t="n"/>
    </row>
    <row r="9338" ht="15" customHeight="1" s="783">
      <c r="B9338" s="901" t="n"/>
    </row>
    <row r="9339" ht="15" customHeight="1" s="783">
      <c r="B9339" s="901" t="n"/>
    </row>
    <row r="9340" ht="15" customHeight="1" s="783">
      <c r="B9340" s="901" t="n"/>
    </row>
    <row r="9341" ht="15" customHeight="1" s="783">
      <c r="B9341" s="901" t="n"/>
    </row>
    <row r="9342" ht="15" customHeight="1" s="783">
      <c r="B9342" s="901" t="n"/>
    </row>
    <row r="9343" ht="15" customHeight="1" s="783">
      <c r="B9343" s="901" t="n"/>
    </row>
    <row r="9344" ht="15" customHeight="1" s="783">
      <c r="B9344" s="901" t="n"/>
    </row>
    <row r="9345" ht="15" customHeight="1" s="783">
      <c r="B9345" s="901" t="n"/>
    </row>
    <row r="9346" ht="15" customHeight="1" s="783">
      <c r="B9346" s="901" t="n"/>
    </row>
    <row r="9347" ht="15" customHeight="1" s="783">
      <c r="B9347" s="901" t="n"/>
    </row>
    <row r="9348" ht="15" customHeight="1" s="783">
      <c r="B9348" s="901" t="n"/>
    </row>
    <row r="9349" ht="15" customHeight="1" s="783">
      <c r="B9349" s="901" t="n"/>
    </row>
    <row r="9350" ht="15" customHeight="1" s="783">
      <c r="B9350" s="901" t="n"/>
    </row>
    <row r="9351" ht="15" customHeight="1" s="783">
      <c r="B9351" s="901" t="n"/>
    </row>
    <row r="9352" ht="15" customHeight="1" s="783">
      <c r="B9352" s="901" t="n"/>
    </row>
    <row r="9353" ht="15" customHeight="1" s="783">
      <c r="B9353" s="901" t="n"/>
    </row>
    <row r="9354" ht="15" customHeight="1" s="783">
      <c r="B9354" s="901" t="n"/>
    </row>
    <row r="9355" ht="15" customHeight="1" s="783">
      <c r="B9355" s="901" t="n"/>
    </row>
    <row r="9356" ht="15" customHeight="1" s="783">
      <c r="B9356" s="901" t="n"/>
    </row>
    <row r="9357" ht="15" customHeight="1" s="783">
      <c r="B9357" s="901" t="n"/>
    </row>
    <row r="9358" ht="15" customHeight="1" s="783">
      <c r="B9358" s="901" t="n"/>
    </row>
    <row r="9359" ht="15" customHeight="1" s="783">
      <c r="B9359" s="901" t="n"/>
    </row>
    <row r="9360" ht="15" customHeight="1" s="783">
      <c r="B9360" s="901" t="n"/>
    </row>
    <row r="9361" ht="15" customHeight="1" s="783">
      <c r="B9361" s="901" t="n"/>
    </row>
    <row r="9362" ht="15" customHeight="1" s="783">
      <c r="B9362" s="901" t="n"/>
    </row>
    <row r="9363" ht="15" customHeight="1" s="783">
      <c r="B9363" s="901" t="n"/>
    </row>
    <row r="9364" ht="15" customHeight="1" s="783">
      <c r="B9364" s="901" t="n"/>
    </row>
    <row r="9365" ht="15" customHeight="1" s="783">
      <c r="B9365" s="901" t="n"/>
    </row>
    <row r="9366" ht="15" customHeight="1" s="783">
      <c r="B9366" s="901" t="n"/>
    </row>
    <row r="9367" ht="15" customHeight="1" s="783">
      <c r="B9367" s="901" t="n"/>
    </row>
    <row r="9368" ht="15" customHeight="1" s="783">
      <c r="B9368" s="901" t="n"/>
    </row>
    <row r="9369" ht="15" customHeight="1" s="783">
      <c r="B9369" s="901" t="n"/>
    </row>
    <row r="9370" ht="15" customHeight="1" s="783">
      <c r="B9370" s="901" t="n"/>
    </row>
    <row r="9371" ht="15" customHeight="1" s="783">
      <c r="B9371" s="901" t="n"/>
    </row>
    <row r="9372" ht="15" customHeight="1" s="783">
      <c r="B9372" s="901" t="n"/>
    </row>
    <row r="9373" ht="15" customHeight="1" s="783">
      <c r="B9373" s="901" t="n"/>
    </row>
    <row r="9374" ht="15" customHeight="1" s="783">
      <c r="B9374" s="901" t="n"/>
    </row>
    <row r="9375" ht="15" customHeight="1" s="783">
      <c r="B9375" s="901" t="n"/>
    </row>
    <row r="9376" ht="15" customHeight="1" s="783">
      <c r="B9376" s="901" t="n"/>
    </row>
    <row r="9377" ht="15" customHeight="1" s="783">
      <c r="B9377" s="901" t="n"/>
    </row>
    <row r="9378" ht="15" customHeight="1" s="783">
      <c r="B9378" s="901" t="n"/>
    </row>
    <row r="9379" ht="15" customHeight="1" s="783">
      <c r="B9379" s="901" t="n"/>
    </row>
    <row r="9380" ht="15" customHeight="1" s="783">
      <c r="B9380" s="901" t="n"/>
    </row>
    <row r="9381" ht="15" customHeight="1" s="783">
      <c r="B9381" s="901" t="n"/>
    </row>
    <row r="9382" ht="15" customHeight="1" s="783">
      <c r="B9382" s="901" t="n"/>
    </row>
    <row r="9383" ht="15" customHeight="1" s="783">
      <c r="B9383" s="901" t="n"/>
    </row>
    <row r="9384" ht="15" customHeight="1" s="783">
      <c r="B9384" s="901" t="n"/>
    </row>
    <row r="9385" ht="15" customHeight="1" s="783">
      <c r="B9385" s="901" t="n"/>
    </row>
    <row r="9386" ht="15" customHeight="1" s="783">
      <c r="B9386" s="901" t="n"/>
    </row>
    <row r="9387" ht="15" customHeight="1" s="783">
      <c r="B9387" s="901" t="n"/>
    </row>
    <row r="9388" ht="15" customHeight="1" s="783">
      <c r="B9388" s="901" t="n"/>
    </row>
    <row r="9389" ht="15" customHeight="1" s="783">
      <c r="B9389" s="901" t="n"/>
    </row>
    <row r="9390" ht="15" customHeight="1" s="783">
      <c r="B9390" s="901" t="n"/>
    </row>
    <row r="9391" ht="15" customHeight="1" s="783">
      <c r="B9391" s="901" t="n"/>
    </row>
    <row r="9392" ht="15" customHeight="1" s="783">
      <c r="B9392" s="901" t="n"/>
    </row>
    <row r="9393" ht="15" customHeight="1" s="783">
      <c r="B9393" s="901" t="n"/>
    </row>
    <row r="9394" ht="15" customHeight="1" s="783">
      <c r="B9394" s="901" t="n"/>
    </row>
    <row r="9395" ht="15" customHeight="1" s="783">
      <c r="B9395" s="901" t="n"/>
    </row>
    <row r="9396" ht="15" customHeight="1" s="783">
      <c r="B9396" s="901" t="n"/>
    </row>
    <row r="9397" ht="15" customHeight="1" s="783">
      <c r="B9397" s="901" t="n"/>
    </row>
    <row r="9398" ht="15" customHeight="1" s="783">
      <c r="B9398" s="901" t="n"/>
    </row>
    <row r="9399" ht="15" customHeight="1" s="783">
      <c r="B9399" s="901" t="n"/>
    </row>
    <row r="9400" ht="15" customHeight="1" s="783">
      <c r="B9400" s="901" t="n"/>
    </row>
    <row r="9401" ht="15" customHeight="1" s="783">
      <c r="B9401" s="901" t="n"/>
    </row>
    <row r="9402" ht="15" customHeight="1" s="783">
      <c r="B9402" s="901" t="n"/>
    </row>
    <row r="9403" ht="15" customHeight="1" s="783">
      <c r="B9403" s="901" t="n"/>
    </row>
    <row r="9404" ht="15" customHeight="1" s="783">
      <c r="B9404" s="901" t="n"/>
    </row>
    <row r="9405" ht="15" customHeight="1" s="783">
      <c r="B9405" s="901" t="n"/>
    </row>
    <row r="9406" ht="15" customHeight="1" s="783">
      <c r="B9406" s="901" t="n"/>
    </row>
    <row r="9407" ht="15" customHeight="1" s="783">
      <c r="B9407" s="901" t="n"/>
    </row>
    <row r="9408" ht="15" customHeight="1" s="783">
      <c r="B9408" s="901" t="n"/>
    </row>
    <row r="9409" ht="15" customHeight="1" s="783">
      <c r="B9409" s="901" t="n"/>
    </row>
    <row r="9410" ht="15" customHeight="1" s="783">
      <c r="B9410" s="901" t="n"/>
    </row>
    <row r="9411" ht="15" customHeight="1" s="783">
      <c r="B9411" s="901" t="n"/>
    </row>
    <row r="9412" ht="15" customHeight="1" s="783">
      <c r="B9412" s="901" t="n"/>
    </row>
    <row r="9413" ht="15" customHeight="1" s="783">
      <c r="B9413" s="901" t="n"/>
    </row>
    <row r="9414" ht="15" customHeight="1" s="783">
      <c r="B9414" s="901" t="n"/>
    </row>
    <row r="9415" ht="15" customHeight="1" s="783">
      <c r="B9415" s="901" t="n"/>
    </row>
    <row r="9416" ht="15" customHeight="1" s="783">
      <c r="B9416" s="901" t="n"/>
    </row>
    <row r="9417" ht="15" customHeight="1" s="783">
      <c r="B9417" s="901" t="n"/>
    </row>
    <row r="9418" ht="15" customHeight="1" s="783">
      <c r="B9418" s="901" t="n"/>
    </row>
    <row r="9419" ht="15" customHeight="1" s="783">
      <c r="B9419" s="901" t="n"/>
    </row>
    <row r="9420" ht="15" customHeight="1" s="783">
      <c r="B9420" s="901" t="n"/>
    </row>
    <row r="9421" ht="15" customHeight="1" s="783">
      <c r="B9421" s="901" t="n"/>
    </row>
    <row r="9422" ht="15" customHeight="1" s="783">
      <c r="B9422" s="901" t="n"/>
    </row>
    <row r="9423" ht="15" customHeight="1" s="783">
      <c r="B9423" s="901" t="n"/>
    </row>
    <row r="9424" ht="15" customHeight="1" s="783">
      <c r="B9424" s="901" t="n"/>
    </row>
    <row r="9425" ht="15" customHeight="1" s="783">
      <c r="B9425" s="901" t="n"/>
    </row>
    <row r="9426" ht="15" customHeight="1" s="783">
      <c r="B9426" s="901" t="n"/>
    </row>
    <row r="9427" ht="15" customHeight="1" s="783">
      <c r="B9427" s="901" t="n"/>
    </row>
    <row r="9428" ht="15" customHeight="1" s="783">
      <c r="B9428" s="901" t="n"/>
    </row>
    <row r="9429" ht="15" customHeight="1" s="783">
      <c r="B9429" s="901" t="n"/>
    </row>
    <row r="9430" ht="15" customHeight="1" s="783">
      <c r="B9430" s="901" t="n"/>
    </row>
    <row r="9431" ht="15" customHeight="1" s="783">
      <c r="B9431" s="901" t="n"/>
    </row>
    <row r="9432" ht="15" customHeight="1" s="783">
      <c r="B9432" s="901" t="n"/>
    </row>
    <row r="9433" ht="15" customHeight="1" s="783">
      <c r="B9433" s="901" t="n"/>
    </row>
    <row r="9434" ht="15" customHeight="1" s="783">
      <c r="B9434" s="901" t="n"/>
    </row>
    <row r="9435" ht="15" customHeight="1" s="783">
      <c r="B9435" s="901" t="n"/>
    </row>
    <row r="9436" ht="15" customHeight="1" s="783">
      <c r="B9436" s="901" t="n"/>
    </row>
    <row r="9437" ht="15" customHeight="1" s="783">
      <c r="B9437" s="901" t="n"/>
    </row>
    <row r="9438" ht="15" customHeight="1" s="783">
      <c r="B9438" s="901" t="n"/>
    </row>
    <row r="9439" ht="15" customHeight="1" s="783">
      <c r="B9439" s="901" t="n"/>
    </row>
    <row r="9440" ht="15" customHeight="1" s="783">
      <c r="B9440" s="901" t="n"/>
    </row>
    <row r="9441" ht="15" customHeight="1" s="783">
      <c r="B9441" s="901" t="n"/>
    </row>
    <row r="9442" ht="15" customHeight="1" s="783">
      <c r="B9442" s="901" t="n"/>
    </row>
    <row r="9443" ht="15" customHeight="1" s="783">
      <c r="B9443" s="901" t="n"/>
    </row>
    <row r="9444" ht="15" customHeight="1" s="783">
      <c r="B9444" s="901" t="n"/>
    </row>
    <row r="9445" ht="15" customHeight="1" s="783">
      <c r="B9445" s="901" t="n"/>
    </row>
    <row r="9446" ht="15" customHeight="1" s="783">
      <c r="B9446" s="901" t="n"/>
    </row>
    <row r="9447" ht="15" customHeight="1" s="783">
      <c r="B9447" s="901" t="n"/>
    </row>
    <row r="9448" ht="15" customHeight="1" s="783">
      <c r="B9448" s="901" t="n"/>
    </row>
    <row r="9449" ht="15" customHeight="1" s="783">
      <c r="B9449" s="901" t="n"/>
    </row>
    <row r="9450" ht="15" customHeight="1" s="783">
      <c r="B9450" s="901" t="n"/>
    </row>
    <row r="9451" ht="15" customHeight="1" s="783">
      <c r="B9451" s="901" t="n"/>
    </row>
    <row r="9452" ht="15" customHeight="1" s="783">
      <c r="B9452" s="901" t="n"/>
    </row>
    <row r="9453" ht="15" customHeight="1" s="783">
      <c r="B9453" s="901" t="n"/>
    </row>
    <row r="9454" ht="15" customHeight="1" s="783">
      <c r="B9454" s="901" t="n"/>
    </row>
    <row r="9455" ht="15" customHeight="1" s="783">
      <c r="B9455" s="901" t="n"/>
    </row>
    <row r="9456" ht="15" customHeight="1" s="783">
      <c r="B9456" s="901" t="n"/>
    </row>
    <row r="9457" ht="15" customHeight="1" s="783">
      <c r="B9457" s="901" t="n"/>
    </row>
    <row r="9458" ht="15" customHeight="1" s="783">
      <c r="B9458" s="901" t="n"/>
    </row>
    <row r="9459" ht="15" customHeight="1" s="783">
      <c r="B9459" s="901" t="n"/>
    </row>
    <row r="9460" ht="15" customHeight="1" s="783">
      <c r="B9460" s="901" t="n"/>
    </row>
    <row r="9461" ht="15" customHeight="1" s="783">
      <c r="B9461" s="901" t="n"/>
    </row>
    <row r="9462" ht="15" customHeight="1" s="783">
      <c r="B9462" s="901" t="n"/>
    </row>
    <row r="9463" ht="15" customHeight="1" s="783">
      <c r="B9463" s="901" t="n"/>
    </row>
    <row r="9464" ht="15" customHeight="1" s="783">
      <c r="B9464" s="901" t="n"/>
    </row>
    <row r="9465" ht="15" customHeight="1" s="783">
      <c r="B9465" s="901" t="n"/>
    </row>
    <row r="9466" ht="15" customHeight="1" s="783">
      <c r="B9466" s="901" t="n"/>
    </row>
    <row r="9467" ht="15" customHeight="1" s="783">
      <c r="B9467" s="901" t="n"/>
    </row>
    <row r="9468" ht="15" customHeight="1" s="783">
      <c r="B9468" s="901" t="n"/>
    </row>
    <row r="9469" ht="15" customHeight="1" s="783">
      <c r="B9469" s="901" t="n"/>
    </row>
    <row r="9470" ht="15" customHeight="1" s="783">
      <c r="B9470" s="901" t="n"/>
    </row>
    <row r="9471" ht="15" customHeight="1" s="783">
      <c r="B9471" s="901" t="n"/>
    </row>
    <row r="9472" ht="15" customHeight="1" s="783">
      <c r="B9472" s="901" t="n"/>
    </row>
    <row r="9473" ht="15" customHeight="1" s="783">
      <c r="B9473" s="901" t="n"/>
    </row>
    <row r="9474" ht="15" customHeight="1" s="783">
      <c r="B9474" s="901" t="n"/>
    </row>
    <row r="9475" ht="15" customHeight="1" s="783">
      <c r="B9475" s="901" t="n"/>
    </row>
    <row r="9476" ht="15" customHeight="1" s="783">
      <c r="B9476" s="901" t="n"/>
    </row>
    <row r="9477" ht="15" customHeight="1" s="783">
      <c r="B9477" s="901" t="n"/>
    </row>
    <row r="9478" ht="15" customHeight="1" s="783">
      <c r="B9478" s="901" t="n"/>
    </row>
    <row r="9479" ht="15" customHeight="1" s="783">
      <c r="B9479" s="901" t="n"/>
    </row>
    <row r="9480" ht="15" customHeight="1" s="783">
      <c r="B9480" s="901" t="n"/>
    </row>
    <row r="9481" ht="15" customHeight="1" s="783">
      <c r="B9481" s="901" t="n"/>
    </row>
    <row r="9482" ht="15" customHeight="1" s="783">
      <c r="B9482" s="901" t="n"/>
    </row>
    <row r="9483" ht="15" customHeight="1" s="783">
      <c r="B9483" s="901" t="n"/>
    </row>
    <row r="9484" ht="15" customHeight="1" s="783">
      <c r="B9484" s="901" t="n"/>
    </row>
    <row r="9485" ht="15" customHeight="1" s="783">
      <c r="B9485" s="901" t="n"/>
    </row>
    <row r="9486" ht="15" customHeight="1" s="783">
      <c r="B9486" s="901" t="n"/>
    </row>
    <row r="9487" ht="15" customHeight="1" s="783">
      <c r="B9487" s="901" t="n"/>
    </row>
    <row r="9488" ht="15" customHeight="1" s="783">
      <c r="B9488" s="901" t="n"/>
    </row>
    <row r="9489" ht="15" customHeight="1" s="783">
      <c r="B9489" s="901" t="n"/>
    </row>
    <row r="9490" ht="15" customHeight="1" s="783">
      <c r="B9490" s="901" t="n"/>
    </row>
    <row r="9491" ht="15" customHeight="1" s="783">
      <c r="B9491" s="901" t="n"/>
    </row>
    <row r="9492" ht="15" customHeight="1" s="783">
      <c r="B9492" s="901" t="n"/>
    </row>
    <row r="9493" ht="15" customHeight="1" s="783">
      <c r="B9493" s="901" t="n"/>
    </row>
    <row r="9494" ht="15" customHeight="1" s="783">
      <c r="B9494" s="901" t="n"/>
    </row>
    <row r="9495" ht="15" customHeight="1" s="783">
      <c r="B9495" s="901" t="n"/>
    </row>
    <row r="9496" ht="15" customHeight="1" s="783">
      <c r="B9496" s="901" t="n"/>
    </row>
    <row r="9497" ht="15" customHeight="1" s="783">
      <c r="B9497" s="901" t="n"/>
    </row>
    <row r="9498" ht="15" customHeight="1" s="783">
      <c r="B9498" s="901" t="n"/>
    </row>
    <row r="9499" ht="15" customHeight="1" s="783">
      <c r="B9499" s="901" t="n"/>
    </row>
    <row r="9500" ht="15" customHeight="1" s="783">
      <c r="B9500" s="901" t="n"/>
    </row>
    <row r="9501" ht="15" customHeight="1" s="783">
      <c r="B9501" s="901" t="n"/>
    </row>
    <row r="9502" ht="15" customHeight="1" s="783">
      <c r="B9502" s="901" t="n"/>
    </row>
    <row r="9503" ht="15" customHeight="1" s="783">
      <c r="B9503" s="901" t="n"/>
    </row>
    <row r="9504" ht="15" customHeight="1" s="783">
      <c r="B9504" s="901" t="n"/>
    </row>
    <row r="9505" ht="15" customHeight="1" s="783">
      <c r="B9505" s="901" t="n"/>
    </row>
    <row r="9506" ht="15" customHeight="1" s="783">
      <c r="B9506" s="901" t="n"/>
    </row>
    <row r="9507" ht="15" customHeight="1" s="783">
      <c r="B9507" s="901" t="n"/>
    </row>
    <row r="9508" ht="15" customHeight="1" s="783">
      <c r="B9508" s="901" t="n"/>
    </row>
    <row r="9509" ht="15" customHeight="1" s="783">
      <c r="B9509" s="901" t="n"/>
    </row>
    <row r="9510" ht="15" customHeight="1" s="783">
      <c r="B9510" s="901" t="n"/>
    </row>
    <row r="9511" ht="15" customHeight="1" s="783">
      <c r="B9511" s="901" t="n"/>
    </row>
    <row r="9512" ht="15" customHeight="1" s="783">
      <c r="B9512" s="901" t="n"/>
    </row>
    <row r="9513" ht="15" customHeight="1" s="783">
      <c r="B9513" s="901" t="n"/>
    </row>
    <row r="9514" ht="15" customHeight="1" s="783">
      <c r="B9514" s="901" t="n"/>
    </row>
    <row r="9515" ht="15" customHeight="1" s="783">
      <c r="B9515" s="901" t="n"/>
    </row>
    <row r="9516" ht="15" customHeight="1" s="783">
      <c r="B9516" s="901" t="n"/>
    </row>
    <row r="9517" ht="15" customHeight="1" s="783">
      <c r="B9517" s="901" t="n"/>
    </row>
    <row r="9518" ht="15" customHeight="1" s="783">
      <c r="B9518" s="901" t="n"/>
    </row>
    <row r="9519" ht="15" customHeight="1" s="783">
      <c r="B9519" s="901" t="n"/>
    </row>
    <row r="9520" ht="15" customHeight="1" s="783">
      <c r="B9520" s="901" t="n"/>
    </row>
    <row r="9521" ht="15" customHeight="1" s="783">
      <c r="B9521" s="901" t="n"/>
    </row>
    <row r="9522" ht="15" customHeight="1" s="783">
      <c r="B9522" s="901" t="n"/>
    </row>
    <row r="9523" ht="15" customHeight="1" s="783">
      <c r="B9523" s="901" t="n"/>
    </row>
    <row r="9524" ht="15" customHeight="1" s="783">
      <c r="B9524" s="901" t="n"/>
    </row>
    <row r="9525" ht="15" customHeight="1" s="783">
      <c r="B9525" s="901" t="n"/>
    </row>
    <row r="9526" ht="15" customHeight="1" s="783">
      <c r="B9526" s="901" t="n"/>
    </row>
    <row r="9527" ht="15" customHeight="1" s="783">
      <c r="B9527" s="901" t="n"/>
    </row>
    <row r="9528" ht="15" customHeight="1" s="783">
      <c r="B9528" s="901" t="n"/>
    </row>
    <row r="9529" ht="15" customHeight="1" s="783">
      <c r="B9529" s="901" t="n"/>
    </row>
    <row r="9530" ht="15" customHeight="1" s="783">
      <c r="B9530" s="901" t="n"/>
    </row>
    <row r="9531" ht="15" customHeight="1" s="783">
      <c r="B9531" s="901" t="n"/>
    </row>
    <row r="9532" ht="15" customHeight="1" s="783">
      <c r="B9532" s="901" t="n"/>
    </row>
    <row r="9533" ht="15" customHeight="1" s="783">
      <c r="B9533" s="901" t="n"/>
    </row>
    <row r="9534" ht="15" customHeight="1" s="783">
      <c r="B9534" s="901" t="n"/>
    </row>
    <row r="9535" ht="15" customHeight="1" s="783">
      <c r="B9535" s="901" t="n"/>
    </row>
    <row r="9536" ht="15" customHeight="1" s="783">
      <c r="B9536" s="901" t="n"/>
    </row>
    <row r="9537" ht="15" customHeight="1" s="783">
      <c r="B9537" s="901" t="n"/>
    </row>
    <row r="9538" ht="15" customHeight="1" s="783">
      <c r="B9538" s="901" t="n"/>
    </row>
    <row r="9539" ht="15" customHeight="1" s="783">
      <c r="B9539" s="901" t="n"/>
    </row>
    <row r="9540" ht="15" customHeight="1" s="783">
      <c r="B9540" s="901" t="n"/>
    </row>
    <row r="9541" ht="15" customHeight="1" s="783">
      <c r="B9541" s="901" t="n"/>
    </row>
    <row r="9542" ht="15" customHeight="1" s="783">
      <c r="B9542" s="901" t="n"/>
    </row>
    <row r="9543" ht="15" customHeight="1" s="783">
      <c r="B9543" s="901" t="n"/>
    </row>
    <row r="9544" ht="15" customHeight="1" s="783">
      <c r="B9544" s="901" t="n"/>
    </row>
    <row r="9545" ht="15" customHeight="1" s="783">
      <c r="B9545" s="901" t="n"/>
    </row>
    <row r="9546" ht="15" customHeight="1" s="783">
      <c r="B9546" s="901" t="n"/>
    </row>
    <row r="9547" ht="15" customHeight="1" s="783">
      <c r="B9547" s="901" t="n"/>
    </row>
    <row r="9548" ht="15" customHeight="1" s="783">
      <c r="B9548" s="901" t="n"/>
    </row>
    <row r="9549" ht="15" customHeight="1" s="783">
      <c r="B9549" s="901" t="n"/>
    </row>
    <row r="9550" ht="15" customHeight="1" s="783">
      <c r="B9550" s="901" t="n"/>
    </row>
    <row r="9551" ht="15" customHeight="1" s="783">
      <c r="B9551" s="901" t="n"/>
    </row>
    <row r="9552" ht="15" customHeight="1" s="783">
      <c r="B9552" s="901" t="n"/>
    </row>
    <row r="9553" ht="15" customHeight="1" s="783">
      <c r="B9553" s="901" t="n"/>
    </row>
    <row r="9554" ht="15" customHeight="1" s="783">
      <c r="B9554" s="901" t="n"/>
    </row>
    <row r="9555" ht="15" customHeight="1" s="783">
      <c r="B9555" s="901" t="n"/>
    </row>
    <row r="9556" ht="15" customHeight="1" s="783">
      <c r="B9556" s="901" t="n"/>
    </row>
    <row r="9557" ht="15" customHeight="1" s="783">
      <c r="B9557" s="901" t="n"/>
    </row>
    <row r="9558" ht="15" customHeight="1" s="783">
      <c r="B9558" s="901" t="n"/>
    </row>
    <row r="9559" ht="15" customHeight="1" s="783">
      <c r="B9559" s="901" t="n"/>
    </row>
    <row r="9560" ht="15" customHeight="1" s="783">
      <c r="B9560" s="901" t="n"/>
    </row>
    <row r="9561" ht="15" customHeight="1" s="783">
      <c r="B9561" s="901" t="n"/>
    </row>
    <row r="9562" ht="15" customHeight="1" s="783">
      <c r="B9562" s="901" t="n"/>
    </row>
    <row r="9563" ht="15" customHeight="1" s="783">
      <c r="B9563" s="901" t="n"/>
    </row>
    <row r="9564" ht="15" customHeight="1" s="783">
      <c r="B9564" s="901" t="n"/>
    </row>
    <row r="9565" ht="15" customHeight="1" s="783">
      <c r="B9565" s="901" t="n"/>
    </row>
    <row r="9566" ht="15" customHeight="1" s="783">
      <c r="B9566" s="901" t="n"/>
    </row>
    <row r="9567" ht="15" customHeight="1" s="783">
      <c r="B9567" s="901" t="n"/>
    </row>
    <row r="9568" ht="15" customHeight="1" s="783">
      <c r="B9568" s="901" t="n"/>
    </row>
    <row r="9569" ht="15" customHeight="1" s="783">
      <c r="B9569" s="901" t="n"/>
    </row>
    <row r="9570" ht="15" customHeight="1" s="783">
      <c r="B9570" s="901" t="n"/>
    </row>
    <row r="9571" ht="15" customHeight="1" s="783">
      <c r="B9571" s="901" t="n"/>
    </row>
    <row r="9572" ht="15" customHeight="1" s="783">
      <c r="B9572" s="901" t="n"/>
    </row>
    <row r="9573" ht="15" customHeight="1" s="783">
      <c r="B9573" s="901" t="n"/>
    </row>
    <row r="9574" ht="15" customHeight="1" s="783">
      <c r="B9574" s="901" t="n"/>
    </row>
    <row r="9575" ht="15" customHeight="1" s="783">
      <c r="B9575" s="901" t="n"/>
    </row>
    <row r="9576" ht="15" customHeight="1" s="783">
      <c r="B9576" s="901" t="n"/>
    </row>
    <row r="9577" ht="15" customHeight="1" s="783">
      <c r="B9577" s="901" t="n"/>
    </row>
    <row r="9578" ht="15" customHeight="1" s="783">
      <c r="B9578" s="901" t="n"/>
    </row>
    <row r="9579" ht="15" customHeight="1" s="783">
      <c r="B9579" s="901" t="n"/>
    </row>
    <row r="9580" ht="15" customHeight="1" s="783">
      <c r="B9580" s="901" t="n"/>
    </row>
    <row r="9581" ht="15" customHeight="1" s="783">
      <c r="B9581" s="901" t="n"/>
    </row>
    <row r="9582" ht="15" customHeight="1" s="783">
      <c r="B9582" s="901" t="n"/>
    </row>
    <row r="9583" ht="15" customHeight="1" s="783">
      <c r="B9583" s="901" t="n"/>
    </row>
    <row r="9584" ht="15" customHeight="1" s="783">
      <c r="B9584" s="901" t="n"/>
    </row>
    <row r="9585" ht="15" customHeight="1" s="783">
      <c r="B9585" s="901" t="n"/>
    </row>
    <row r="9586" ht="15" customHeight="1" s="783">
      <c r="B9586" s="901" t="n"/>
    </row>
    <row r="9587" ht="15" customHeight="1" s="783">
      <c r="B9587" s="901" t="n"/>
    </row>
    <row r="9588" ht="15" customHeight="1" s="783">
      <c r="B9588" s="901" t="n"/>
    </row>
    <row r="9589" ht="15" customHeight="1" s="783">
      <c r="B9589" s="901" t="n"/>
    </row>
    <row r="9590" ht="15" customHeight="1" s="783">
      <c r="B9590" s="901" t="n"/>
    </row>
    <row r="9591" ht="15" customHeight="1" s="783">
      <c r="B9591" s="901" t="n"/>
    </row>
    <row r="9592" ht="15" customHeight="1" s="783">
      <c r="B9592" s="901" t="n"/>
    </row>
    <row r="9593" ht="15" customHeight="1" s="783">
      <c r="B9593" s="901" t="n"/>
    </row>
    <row r="9594" ht="15" customHeight="1" s="783">
      <c r="B9594" s="901" t="n"/>
    </row>
    <row r="9595" ht="15" customHeight="1" s="783">
      <c r="B9595" s="901" t="n"/>
    </row>
    <row r="9596" ht="15" customHeight="1" s="783">
      <c r="B9596" s="901" t="n"/>
    </row>
    <row r="9597" ht="15" customHeight="1" s="783">
      <c r="B9597" s="901" t="n"/>
    </row>
    <row r="9598" ht="15" customHeight="1" s="783">
      <c r="B9598" s="901" t="n"/>
    </row>
    <row r="9599" ht="15" customHeight="1" s="783">
      <c r="B9599" s="901" t="n"/>
    </row>
    <row r="9600" ht="15" customHeight="1" s="783">
      <c r="B9600" s="901" t="n"/>
    </row>
    <row r="9601" ht="15" customHeight="1" s="783">
      <c r="B9601" s="901" t="n"/>
    </row>
    <row r="9602" ht="15" customHeight="1" s="783">
      <c r="B9602" s="901" t="n"/>
    </row>
    <row r="9603" ht="15" customHeight="1" s="783">
      <c r="B9603" s="901" t="n"/>
    </row>
    <row r="9604" ht="15" customHeight="1" s="783">
      <c r="B9604" s="901" t="n"/>
    </row>
    <row r="9605" ht="15" customHeight="1" s="783">
      <c r="B9605" s="901" t="n"/>
    </row>
    <row r="9606" ht="15" customHeight="1" s="783">
      <c r="B9606" s="901" t="n"/>
    </row>
    <row r="9607" ht="15" customHeight="1" s="783">
      <c r="B9607" s="901" t="n"/>
    </row>
    <row r="9608" ht="15" customHeight="1" s="783">
      <c r="B9608" s="901" t="n"/>
    </row>
    <row r="9609" ht="15" customHeight="1" s="783">
      <c r="B9609" s="901" t="n"/>
    </row>
    <row r="9610" ht="15" customHeight="1" s="783">
      <c r="B9610" s="901" t="n"/>
    </row>
    <row r="9611" ht="15" customHeight="1" s="783">
      <c r="B9611" s="901" t="n"/>
    </row>
    <row r="9612" ht="15" customHeight="1" s="783">
      <c r="B9612" s="901" t="n"/>
    </row>
    <row r="9613" ht="15" customHeight="1" s="783">
      <c r="B9613" s="901" t="n"/>
    </row>
    <row r="9614" ht="15" customHeight="1" s="783">
      <c r="B9614" s="901" t="n"/>
    </row>
    <row r="9615" ht="15" customHeight="1" s="783">
      <c r="B9615" s="901" t="n"/>
    </row>
    <row r="9616" ht="15" customHeight="1" s="783">
      <c r="B9616" s="901" t="n"/>
    </row>
    <row r="9617" ht="15" customHeight="1" s="783">
      <c r="B9617" s="901" t="n"/>
    </row>
    <row r="9618" ht="15" customHeight="1" s="783">
      <c r="B9618" s="901" t="n"/>
    </row>
    <row r="9619" ht="15" customHeight="1" s="783">
      <c r="B9619" s="901" t="n"/>
    </row>
    <row r="9620" ht="15" customHeight="1" s="783">
      <c r="B9620" s="901" t="n"/>
    </row>
    <row r="9621" ht="15" customHeight="1" s="783">
      <c r="B9621" s="901" t="n"/>
    </row>
    <row r="9622" ht="15" customHeight="1" s="783">
      <c r="B9622" s="901" t="n"/>
    </row>
    <row r="9623" ht="15" customHeight="1" s="783">
      <c r="B9623" s="901" t="n"/>
    </row>
    <row r="9624" ht="15" customHeight="1" s="783">
      <c r="B9624" s="901" t="n"/>
    </row>
    <row r="9625" ht="15" customHeight="1" s="783">
      <c r="B9625" s="901" t="n"/>
    </row>
    <row r="9626" ht="15" customHeight="1" s="783">
      <c r="B9626" s="901" t="n"/>
    </row>
    <row r="9627" ht="15" customHeight="1" s="783">
      <c r="B9627" s="901" t="n"/>
    </row>
    <row r="9628" ht="15" customHeight="1" s="783">
      <c r="B9628" s="901" t="n"/>
    </row>
    <row r="9629" ht="15" customHeight="1" s="783">
      <c r="B9629" s="901" t="n"/>
    </row>
    <row r="9630" ht="15" customHeight="1" s="783">
      <c r="B9630" s="901" t="n"/>
    </row>
    <row r="9631" ht="15" customHeight="1" s="783">
      <c r="B9631" s="901" t="n"/>
    </row>
    <row r="9632" ht="15" customHeight="1" s="783">
      <c r="B9632" s="901" t="n"/>
    </row>
    <row r="9633" ht="15" customHeight="1" s="783">
      <c r="B9633" s="901" t="n"/>
    </row>
    <row r="9634" ht="15" customHeight="1" s="783">
      <c r="B9634" s="901" t="n"/>
    </row>
    <row r="9635" ht="15" customHeight="1" s="783">
      <c r="B9635" s="901" t="n"/>
    </row>
    <row r="9636" ht="15" customHeight="1" s="783">
      <c r="B9636" s="901" t="n"/>
    </row>
    <row r="9637" ht="15" customHeight="1" s="783">
      <c r="B9637" s="901" t="n"/>
    </row>
    <row r="9638" ht="15" customHeight="1" s="783">
      <c r="B9638" s="901" t="n"/>
    </row>
    <row r="9639" ht="15" customHeight="1" s="783">
      <c r="B9639" s="901" t="n"/>
    </row>
    <row r="9640" ht="15" customHeight="1" s="783">
      <c r="B9640" s="901" t="n"/>
    </row>
    <row r="9641" ht="15" customHeight="1" s="783">
      <c r="B9641" s="901" t="n"/>
    </row>
    <row r="9642" ht="15" customHeight="1" s="783">
      <c r="B9642" s="901" t="n"/>
    </row>
    <row r="9643" ht="15" customHeight="1" s="783">
      <c r="B9643" s="901" t="n"/>
    </row>
    <row r="9644" ht="15" customHeight="1" s="783">
      <c r="B9644" s="901" t="n"/>
    </row>
    <row r="9645" ht="15" customHeight="1" s="783">
      <c r="B9645" s="901" t="n"/>
    </row>
    <row r="9646" ht="15" customHeight="1" s="783">
      <c r="B9646" s="901" t="n"/>
    </row>
    <row r="9647" ht="15" customHeight="1" s="783">
      <c r="B9647" s="901" t="n"/>
    </row>
    <row r="9648" ht="15" customHeight="1" s="783">
      <c r="B9648" s="901" t="n"/>
    </row>
    <row r="9649" ht="15" customHeight="1" s="783">
      <c r="B9649" s="901" t="n"/>
    </row>
    <row r="9650" ht="15" customHeight="1" s="783">
      <c r="B9650" s="901" t="n"/>
    </row>
    <row r="9651" ht="15" customHeight="1" s="783">
      <c r="B9651" s="901" t="n"/>
    </row>
    <row r="9652" ht="15" customHeight="1" s="783">
      <c r="B9652" s="901" t="n"/>
    </row>
    <row r="9653" ht="15" customHeight="1" s="783">
      <c r="B9653" s="901" t="n"/>
    </row>
    <row r="9654" ht="15" customHeight="1" s="783">
      <c r="B9654" s="901" t="n"/>
    </row>
    <row r="9655" ht="15" customHeight="1" s="783">
      <c r="B9655" s="901" t="n"/>
    </row>
    <row r="9656" ht="15" customHeight="1" s="783">
      <c r="B9656" s="901" t="n"/>
    </row>
    <row r="9657" ht="15" customHeight="1" s="783">
      <c r="B9657" s="901" t="n"/>
    </row>
    <row r="9658" ht="15" customHeight="1" s="783">
      <c r="B9658" s="901" t="n"/>
    </row>
    <row r="9659" ht="15" customHeight="1" s="783">
      <c r="B9659" s="901" t="n"/>
    </row>
    <row r="9660" ht="15" customHeight="1" s="783">
      <c r="B9660" s="901" t="n"/>
    </row>
    <row r="9661" ht="15" customHeight="1" s="783">
      <c r="B9661" s="901" t="n"/>
    </row>
    <row r="9662" ht="15" customHeight="1" s="783">
      <c r="B9662" s="901" t="n"/>
    </row>
    <row r="9663" ht="15" customHeight="1" s="783">
      <c r="B9663" s="901" t="n"/>
    </row>
    <row r="9664" ht="15" customHeight="1" s="783">
      <c r="B9664" s="901" t="n"/>
    </row>
    <row r="9665" ht="15" customHeight="1" s="783">
      <c r="B9665" s="901" t="n"/>
    </row>
    <row r="9666" ht="15" customHeight="1" s="783">
      <c r="B9666" s="901" t="n"/>
    </row>
    <row r="9667" ht="15" customHeight="1" s="783">
      <c r="B9667" s="901" t="n"/>
    </row>
    <row r="9668" ht="15" customHeight="1" s="783">
      <c r="B9668" s="901" t="n"/>
    </row>
    <row r="9669" ht="15" customHeight="1" s="783">
      <c r="B9669" s="901" t="n"/>
    </row>
    <row r="9670" ht="15" customHeight="1" s="783">
      <c r="B9670" s="901" t="n"/>
    </row>
    <row r="9671" ht="15" customHeight="1" s="783">
      <c r="B9671" s="901" t="n"/>
    </row>
    <row r="9672" ht="15" customHeight="1" s="783">
      <c r="B9672" s="901" t="n"/>
    </row>
    <row r="9673" ht="15" customHeight="1" s="783">
      <c r="B9673" s="901" t="n"/>
    </row>
    <row r="9674" ht="15" customHeight="1" s="783">
      <c r="B9674" s="901" t="n"/>
    </row>
    <row r="9675" ht="15" customHeight="1" s="783">
      <c r="B9675" s="901" t="n"/>
    </row>
    <row r="9676" ht="15" customHeight="1" s="783">
      <c r="B9676" s="901" t="n"/>
    </row>
    <row r="9677" ht="15" customHeight="1" s="783">
      <c r="B9677" s="901" t="n"/>
    </row>
    <row r="9678" ht="15" customHeight="1" s="783">
      <c r="B9678" s="901" t="n"/>
    </row>
    <row r="9679" ht="15" customHeight="1" s="783">
      <c r="B9679" s="901" t="n"/>
    </row>
    <row r="9680" ht="15" customHeight="1" s="783">
      <c r="B9680" s="901" t="n"/>
    </row>
    <row r="9681" ht="15" customHeight="1" s="783">
      <c r="B9681" s="901" t="n"/>
    </row>
    <row r="9682" ht="15" customHeight="1" s="783">
      <c r="B9682" s="901" t="n"/>
    </row>
    <row r="9683" ht="15" customHeight="1" s="783">
      <c r="B9683" s="901" t="n"/>
    </row>
    <row r="9684" ht="15" customHeight="1" s="783">
      <c r="B9684" s="901" t="n"/>
    </row>
    <row r="9685" ht="15" customHeight="1" s="783">
      <c r="B9685" s="901" t="n"/>
    </row>
    <row r="9686" ht="15" customHeight="1" s="783">
      <c r="B9686" s="901" t="n"/>
    </row>
    <row r="9687" ht="15" customHeight="1" s="783">
      <c r="B9687" s="901" t="n"/>
    </row>
    <row r="9688" ht="15" customHeight="1" s="783">
      <c r="B9688" s="901" t="n"/>
    </row>
    <row r="9689" ht="15" customHeight="1" s="783">
      <c r="B9689" s="901" t="n"/>
    </row>
    <row r="9690" ht="15" customHeight="1" s="783">
      <c r="B9690" s="901" t="n"/>
    </row>
    <row r="9691" ht="15" customHeight="1" s="783">
      <c r="B9691" s="901" t="n"/>
    </row>
    <row r="9692" ht="15" customHeight="1" s="783">
      <c r="B9692" s="901" t="n"/>
    </row>
    <row r="9693" ht="15" customHeight="1" s="783">
      <c r="B9693" s="901" t="n"/>
    </row>
    <row r="9694" ht="15" customHeight="1" s="783">
      <c r="B9694" s="901" t="n"/>
    </row>
    <row r="9695" ht="15" customHeight="1" s="783">
      <c r="B9695" s="901" t="n"/>
    </row>
    <row r="9696" ht="15" customHeight="1" s="783">
      <c r="B9696" s="901" t="n"/>
    </row>
    <row r="9697" ht="15" customHeight="1" s="783">
      <c r="B9697" s="901" t="n"/>
    </row>
    <row r="9698" ht="15" customHeight="1" s="783">
      <c r="B9698" s="901" t="n"/>
    </row>
    <row r="9699" ht="15" customHeight="1" s="783">
      <c r="B9699" s="901" t="n"/>
    </row>
    <row r="9700" ht="15" customHeight="1" s="783">
      <c r="B9700" s="901" t="n"/>
    </row>
    <row r="9701" ht="15" customHeight="1" s="783">
      <c r="B9701" s="901" t="n"/>
    </row>
    <row r="9702" ht="15" customHeight="1" s="783">
      <c r="B9702" s="901" t="n"/>
    </row>
    <row r="9703" ht="15" customHeight="1" s="783">
      <c r="B9703" s="901" t="n"/>
    </row>
    <row r="9704" ht="15" customHeight="1" s="783">
      <c r="B9704" s="901" t="n"/>
    </row>
    <row r="9705" ht="15" customHeight="1" s="783">
      <c r="B9705" s="901" t="n"/>
    </row>
    <row r="9706" ht="15" customHeight="1" s="783">
      <c r="B9706" s="901" t="n"/>
    </row>
    <row r="9707" ht="15" customHeight="1" s="783">
      <c r="B9707" s="901" t="n"/>
    </row>
    <row r="9708" ht="15" customHeight="1" s="783">
      <c r="B9708" s="901" t="n"/>
    </row>
    <row r="9709" ht="15" customHeight="1" s="783">
      <c r="B9709" s="901" t="n"/>
    </row>
    <row r="9710" ht="15" customHeight="1" s="783">
      <c r="B9710" s="901" t="n"/>
    </row>
    <row r="9711" ht="15" customHeight="1" s="783">
      <c r="B9711" s="901" t="n"/>
    </row>
    <row r="9712" ht="15" customHeight="1" s="783">
      <c r="B9712" s="901" t="n"/>
    </row>
    <row r="9713" ht="15" customHeight="1" s="783">
      <c r="B9713" s="901" t="n"/>
    </row>
    <row r="9714" ht="15" customHeight="1" s="783">
      <c r="B9714" s="901" t="n"/>
    </row>
    <row r="9715" ht="15" customHeight="1" s="783">
      <c r="B9715" s="901" t="n"/>
    </row>
    <row r="9716" ht="15" customHeight="1" s="783">
      <c r="B9716" s="901" t="n"/>
    </row>
    <row r="9717" ht="15" customHeight="1" s="783">
      <c r="B9717" s="901" t="n"/>
    </row>
    <row r="9718" ht="15" customHeight="1" s="783">
      <c r="B9718" s="901" t="n"/>
    </row>
    <row r="9719" ht="15" customHeight="1" s="783">
      <c r="B9719" s="901" t="n"/>
    </row>
    <row r="9720" ht="15" customHeight="1" s="783">
      <c r="B9720" s="901" t="n"/>
    </row>
    <row r="9721" ht="15" customHeight="1" s="783">
      <c r="B9721" s="901" t="n"/>
    </row>
    <row r="9722" ht="15" customHeight="1" s="783">
      <c r="B9722" s="901" t="n"/>
    </row>
    <row r="9723" ht="15" customHeight="1" s="783">
      <c r="B9723" s="901" t="n"/>
    </row>
    <row r="9724" ht="15" customHeight="1" s="783">
      <c r="B9724" s="901" t="n"/>
    </row>
    <row r="9725" ht="15" customHeight="1" s="783">
      <c r="B9725" s="901" t="n"/>
    </row>
    <row r="9726" ht="15" customHeight="1" s="783">
      <c r="B9726" s="901" t="n"/>
    </row>
    <row r="9727" ht="15" customHeight="1" s="783">
      <c r="B9727" s="901" t="n"/>
    </row>
    <row r="9728" ht="15" customHeight="1" s="783">
      <c r="B9728" s="901" t="n"/>
    </row>
    <row r="9729" ht="15" customHeight="1" s="783">
      <c r="B9729" s="901" t="n"/>
    </row>
    <row r="9730" ht="15" customHeight="1" s="783">
      <c r="B9730" s="901" t="n"/>
    </row>
    <row r="9731" ht="15" customHeight="1" s="783">
      <c r="B9731" s="901" t="n"/>
    </row>
    <row r="9732" ht="15" customHeight="1" s="783">
      <c r="B9732" s="901" t="n"/>
    </row>
    <row r="9733" ht="15" customHeight="1" s="783">
      <c r="B9733" s="901" t="n"/>
    </row>
    <row r="9734" ht="15" customHeight="1" s="783">
      <c r="B9734" s="901" t="n"/>
    </row>
    <row r="9735" ht="15" customHeight="1" s="783">
      <c r="B9735" s="901" t="n"/>
    </row>
    <row r="9736" ht="15" customHeight="1" s="783">
      <c r="B9736" s="901" t="n"/>
    </row>
    <row r="9737" ht="15" customHeight="1" s="783">
      <c r="B9737" s="901" t="n"/>
    </row>
    <row r="9738" ht="15" customHeight="1" s="783">
      <c r="B9738" s="901" t="n"/>
    </row>
    <row r="9739" ht="15" customHeight="1" s="783">
      <c r="B9739" s="901" t="n"/>
    </row>
    <row r="9740" ht="15" customHeight="1" s="783">
      <c r="B9740" s="901" t="n"/>
    </row>
    <row r="9741" ht="15" customHeight="1" s="783">
      <c r="B9741" s="901" t="n"/>
    </row>
    <row r="9742" ht="15" customHeight="1" s="783">
      <c r="B9742" s="901" t="n"/>
    </row>
    <row r="9743" ht="15" customHeight="1" s="783">
      <c r="B9743" s="901" t="n"/>
    </row>
    <row r="9744" ht="15" customHeight="1" s="783">
      <c r="B9744" s="901" t="n"/>
    </row>
    <row r="9745" ht="15" customHeight="1" s="783">
      <c r="B9745" s="901" t="n"/>
    </row>
    <row r="9746" ht="15" customHeight="1" s="783">
      <c r="B9746" s="901" t="n"/>
    </row>
    <row r="9747" ht="15" customHeight="1" s="783">
      <c r="B9747" s="901" t="n"/>
    </row>
    <row r="9748" ht="15" customHeight="1" s="783">
      <c r="B9748" s="901" t="n"/>
    </row>
    <row r="9749" ht="15" customHeight="1" s="783">
      <c r="B9749" s="901" t="n"/>
    </row>
    <row r="9750" ht="15" customHeight="1" s="783">
      <c r="B9750" s="901" t="n"/>
    </row>
    <row r="9751" ht="15" customHeight="1" s="783">
      <c r="B9751" s="901" t="n"/>
    </row>
    <row r="9752" ht="15" customHeight="1" s="783">
      <c r="B9752" s="901" t="n"/>
    </row>
    <row r="9753" ht="15" customHeight="1" s="783">
      <c r="B9753" s="901" t="n"/>
    </row>
    <row r="9754" ht="15" customHeight="1" s="783">
      <c r="B9754" s="901" t="n"/>
    </row>
    <row r="9755" ht="15" customHeight="1" s="783">
      <c r="B9755" s="901" t="n"/>
    </row>
    <row r="9756" ht="15" customHeight="1" s="783">
      <c r="B9756" s="901" t="n"/>
    </row>
    <row r="9757" ht="15" customHeight="1" s="783">
      <c r="B9757" s="901" t="n"/>
    </row>
    <row r="9758" ht="15" customHeight="1" s="783">
      <c r="B9758" s="901" t="n"/>
    </row>
    <row r="9759" ht="15" customHeight="1" s="783">
      <c r="B9759" s="901" t="n"/>
    </row>
    <row r="9760" ht="15" customHeight="1" s="783">
      <c r="B9760" s="901" t="n"/>
    </row>
    <row r="9761" ht="15" customHeight="1" s="783">
      <c r="B9761" s="901" t="n"/>
    </row>
    <row r="9762" ht="15" customHeight="1" s="783">
      <c r="B9762" s="901" t="n"/>
    </row>
    <row r="9763" ht="15" customHeight="1" s="783">
      <c r="B9763" s="901" t="n"/>
    </row>
    <row r="9764" ht="15" customHeight="1" s="783">
      <c r="B9764" s="901" t="n"/>
    </row>
    <row r="9765" ht="15" customHeight="1" s="783">
      <c r="B9765" s="901" t="n"/>
    </row>
    <row r="9766" ht="15" customHeight="1" s="783">
      <c r="B9766" s="901" t="n"/>
    </row>
    <row r="9767" ht="15" customHeight="1" s="783">
      <c r="B9767" s="901" t="n"/>
    </row>
    <row r="9768" ht="15" customHeight="1" s="783">
      <c r="B9768" s="901" t="n"/>
    </row>
    <row r="9769" ht="15" customHeight="1" s="783">
      <c r="B9769" s="901" t="n"/>
    </row>
    <row r="9770" ht="15" customHeight="1" s="783">
      <c r="B9770" s="901" t="n"/>
    </row>
    <row r="9771" ht="15" customHeight="1" s="783">
      <c r="B9771" s="901" t="n"/>
    </row>
    <row r="9772" ht="15" customHeight="1" s="783">
      <c r="B9772" s="901" t="n"/>
    </row>
    <row r="9773" ht="15" customHeight="1" s="783">
      <c r="B9773" s="901" t="n"/>
    </row>
    <row r="9774" ht="15" customHeight="1" s="783">
      <c r="B9774" s="901" t="n"/>
    </row>
    <row r="9775" ht="15" customHeight="1" s="783">
      <c r="B9775" s="901" t="n"/>
    </row>
    <row r="9776" ht="15" customHeight="1" s="783">
      <c r="B9776" s="901" t="n"/>
    </row>
    <row r="9777" ht="15" customHeight="1" s="783">
      <c r="B9777" s="901" t="n"/>
    </row>
    <row r="9778" ht="15" customHeight="1" s="783">
      <c r="B9778" s="901" t="n"/>
    </row>
    <row r="9779" ht="15" customHeight="1" s="783">
      <c r="B9779" s="901" t="n"/>
    </row>
    <row r="9780" ht="15" customHeight="1" s="783">
      <c r="B9780" s="901" t="n"/>
    </row>
    <row r="9781" ht="15" customHeight="1" s="783">
      <c r="B9781" s="901" t="n"/>
    </row>
    <row r="9782" ht="15" customHeight="1" s="783">
      <c r="B9782" s="901" t="n"/>
    </row>
    <row r="9783" ht="15" customHeight="1" s="783">
      <c r="B9783" s="901" t="n"/>
    </row>
    <row r="9784" ht="15" customHeight="1" s="783">
      <c r="B9784" s="901" t="n"/>
    </row>
    <row r="9785" ht="15" customHeight="1" s="783">
      <c r="B9785" s="901" t="n"/>
    </row>
    <row r="9786" ht="15" customHeight="1" s="783">
      <c r="B9786" s="901" t="n"/>
    </row>
    <row r="9787" ht="15" customHeight="1" s="783">
      <c r="B9787" s="901" t="n"/>
    </row>
    <row r="9788" ht="15" customHeight="1" s="783">
      <c r="B9788" s="901" t="n"/>
    </row>
    <row r="9789" ht="15" customHeight="1" s="783">
      <c r="B9789" s="901" t="n"/>
    </row>
    <row r="9790" ht="15" customHeight="1" s="783">
      <c r="B9790" s="901" t="n"/>
    </row>
    <row r="9791" ht="15" customHeight="1" s="783">
      <c r="B9791" s="901" t="n"/>
    </row>
    <row r="9792" ht="15" customHeight="1" s="783">
      <c r="B9792" s="901" t="n"/>
    </row>
    <row r="9793" ht="15" customHeight="1" s="783">
      <c r="B9793" s="901" t="n"/>
    </row>
    <row r="9794" ht="15" customHeight="1" s="783">
      <c r="B9794" s="901" t="n"/>
    </row>
    <row r="9795" ht="15" customHeight="1" s="783">
      <c r="B9795" s="901" t="n"/>
    </row>
    <row r="9796" ht="15" customHeight="1" s="783">
      <c r="B9796" s="901" t="n"/>
    </row>
    <row r="9797" ht="15" customHeight="1" s="783">
      <c r="B9797" s="901" t="n"/>
    </row>
    <row r="9798" ht="15" customHeight="1" s="783">
      <c r="B9798" s="901" t="n"/>
    </row>
    <row r="9799" ht="15" customHeight="1" s="783">
      <c r="B9799" s="901" t="n"/>
    </row>
    <row r="9800" ht="15" customHeight="1" s="783">
      <c r="B9800" s="901" t="n"/>
    </row>
    <row r="9801" ht="15" customHeight="1" s="783">
      <c r="B9801" s="901" t="n"/>
    </row>
    <row r="9802" ht="15" customHeight="1" s="783">
      <c r="B9802" s="901" t="n"/>
    </row>
    <row r="9803" ht="15" customHeight="1" s="783">
      <c r="B9803" s="901" t="n"/>
    </row>
    <row r="9804" ht="15" customHeight="1" s="783">
      <c r="B9804" s="901" t="n"/>
    </row>
    <row r="9805" ht="15" customHeight="1" s="783">
      <c r="B9805" s="901" t="n"/>
    </row>
    <row r="9806" ht="15" customHeight="1" s="783">
      <c r="B9806" s="901" t="n"/>
    </row>
    <row r="9807" ht="15" customHeight="1" s="783">
      <c r="B9807" s="901" t="n"/>
    </row>
    <row r="9808" ht="15" customHeight="1" s="783">
      <c r="B9808" s="901" t="n"/>
    </row>
    <row r="9809" ht="15" customHeight="1" s="783">
      <c r="B9809" s="901" t="n"/>
    </row>
    <row r="9810" ht="15" customHeight="1" s="783">
      <c r="B9810" s="901" t="n"/>
    </row>
    <row r="9811" ht="15" customHeight="1" s="783">
      <c r="B9811" s="901" t="n"/>
    </row>
    <row r="9812" ht="15" customHeight="1" s="783">
      <c r="B9812" s="901" t="n"/>
    </row>
    <row r="9813" ht="15" customHeight="1" s="783">
      <c r="B9813" s="901" t="n"/>
    </row>
    <row r="9814" ht="15" customHeight="1" s="783">
      <c r="B9814" s="901" t="n"/>
    </row>
    <row r="9815" ht="15" customHeight="1" s="783">
      <c r="B9815" s="901" t="n"/>
    </row>
    <row r="9816" ht="15" customHeight="1" s="783">
      <c r="B9816" s="901" t="n"/>
    </row>
    <row r="9817" ht="15" customHeight="1" s="783">
      <c r="B9817" s="901" t="n"/>
    </row>
    <row r="9818" ht="15" customHeight="1" s="783">
      <c r="B9818" s="901" t="n"/>
    </row>
    <row r="9819" ht="15" customHeight="1" s="783">
      <c r="B9819" s="901" t="n"/>
    </row>
    <row r="9820" ht="15" customHeight="1" s="783">
      <c r="B9820" s="901" t="n"/>
    </row>
    <row r="9821" ht="15" customHeight="1" s="783">
      <c r="B9821" s="901" t="n"/>
    </row>
    <row r="9822" ht="15" customHeight="1" s="783">
      <c r="B9822" s="901" t="n"/>
    </row>
    <row r="9823" ht="15" customHeight="1" s="783">
      <c r="B9823" s="901" t="n"/>
    </row>
    <row r="9824" ht="15" customHeight="1" s="783">
      <c r="B9824" s="901" t="n"/>
    </row>
    <row r="9825" ht="15" customHeight="1" s="783">
      <c r="B9825" s="901" t="n"/>
    </row>
    <row r="9826" ht="15" customHeight="1" s="783">
      <c r="B9826" s="901" t="n"/>
    </row>
    <row r="9827" ht="15" customHeight="1" s="783">
      <c r="B9827" s="901" t="n"/>
    </row>
    <row r="9828" ht="15" customHeight="1" s="783">
      <c r="B9828" s="901" t="n"/>
    </row>
    <row r="9829" ht="15" customHeight="1" s="783">
      <c r="B9829" s="901" t="n"/>
    </row>
    <row r="9830" ht="15" customHeight="1" s="783">
      <c r="B9830" s="901" t="n"/>
    </row>
    <row r="9831" ht="15" customHeight="1" s="783">
      <c r="B9831" s="901" t="n"/>
    </row>
    <row r="9832" ht="15" customHeight="1" s="783">
      <c r="B9832" s="901" t="n"/>
    </row>
    <row r="9833" ht="15" customHeight="1" s="783">
      <c r="B9833" s="901" t="n"/>
    </row>
    <row r="9834" ht="15" customHeight="1" s="783">
      <c r="B9834" s="901" t="n"/>
    </row>
    <row r="9835" ht="15" customHeight="1" s="783">
      <c r="B9835" s="901" t="n"/>
    </row>
    <row r="9836" ht="15" customHeight="1" s="783">
      <c r="B9836" s="901" t="n"/>
    </row>
    <row r="9837" ht="15" customHeight="1" s="783">
      <c r="B9837" s="901" t="n"/>
    </row>
    <row r="9838" ht="15" customHeight="1" s="783">
      <c r="B9838" s="901" t="n"/>
    </row>
    <row r="9839" ht="15" customHeight="1" s="783">
      <c r="B9839" s="901" t="n"/>
    </row>
    <row r="9840" ht="15" customHeight="1" s="783">
      <c r="B9840" s="901" t="n"/>
    </row>
    <row r="9841" ht="15" customHeight="1" s="783">
      <c r="B9841" s="901" t="n"/>
    </row>
    <row r="9842" ht="15" customHeight="1" s="783">
      <c r="B9842" s="901" t="n"/>
    </row>
    <row r="9843" ht="15" customHeight="1" s="783">
      <c r="B9843" s="901" t="n"/>
    </row>
    <row r="9844" ht="15" customHeight="1" s="783">
      <c r="B9844" s="901" t="n"/>
    </row>
    <row r="9845" ht="15" customHeight="1" s="783">
      <c r="B9845" s="901" t="n"/>
    </row>
    <row r="9846" ht="15" customHeight="1" s="783">
      <c r="B9846" s="901" t="n"/>
    </row>
    <row r="9847" ht="15" customHeight="1" s="783">
      <c r="B9847" s="901" t="n"/>
    </row>
    <row r="9848" ht="15" customHeight="1" s="783">
      <c r="B9848" s="901" t="n"/>
    </row>
    <row r="9849" ht="15" customHeight="1" s="783">
      <c r="B9849" s="901" t="n"/>
    </row>
    <row r="9850" ht="15" customHeight="1" s="783">
      <c r="B9850" s="901" t="n"/>
    </row>
    <row r="9851" ht="15" customHeight="1" s="783">
      <c r="B9851" s="901" t="n"/>
    </row>
    <row r="9852" ht="15" customHeight="1" s="783">
      <c r="B9852" s="901" t="n"/>
    </row>
    <row r="9853" ht="15" customHeight="1" s="783">
      <c r="B9853" s="901" t="n"/>
    </row>
    <row r="9854" ht="15" customHeight="1" s="783">
      <c r="B9854" s="901" t="n"/>
    </row>
    <row r="9855" ht="15" customHeight="1" s="783">
      <c r="B9855" s="901" t="n"/>
    </row>
    <row r="9856" ht="15" customHeight="1" s="783">
      <c r="B9856" s="901" t="n"/>
    </row>
    <row r="9857" ht="15" customHeight="1" s="783">
      <c r="B9857" s="901" t="n"/>
    </row>
    <row r="9858" ht="15" customHeight="1" s="783">
      <c r="B9858" s="901" t="n"/>
    </row>
    <row r="9859" ht="15" customHeight="1" s="783">
      <c r="B9859" s="901" t="n"/>
    </row>
    <row r="9860" ht="15" customHeight="1" s="783">
      <c r="B9860" s="901" t="n"/>
    </row>
    <row r="9861" ht="15" customHeight="1" s="783">
      <c r="B9861" s="901" t="n"/>
    </row>
    <row r="9862" ht="15" customHeight="1" s="783">
      <c r="B9862" s="901" t="n"/>
    </row>
    <row r="9863" ht="15" customHeight="1" s="783">
      <c r="B9863" s="901" t="n"/>
    </row>
    <row r="9864" ht="15" customHeight="1" s="783">
      <c r="B9864" s="901" t="n"/>
    </row>
    <row r="9865" ht="15" customHeight="1" s="783">
      <c r="B9865" s="901" t="n"/>
    </row>
    <row r="9866" ht="15" customHeight="1" s="783">
      <c r="B9866" s="901" t="n"/>
    </row>
    <row r="9867" ht="15" customHeight="1" s="783">
      <c r="B9867" s="901" t="n"/>
    </row>
    <row r="9868" ht="15" customHeight="1" s="783">
      <c r="B9868" s="901" t="n"/>
    </row>
    <row r="9869" ht="15" customHeight="1" s="783">
      <c r="B9869" s="901" t="n"/>
    </row>
    <row r="9870" ht="15" customHeight="1" s="783">
      <c r="B9870" s="901" t="n"/>
    </row>
    <row r="9871" ht="15" customHeight="1" s="783">
      <c r="B9871" s="901" t="n"/>
    </row>
    <row r="9872" ht="15" customHeight="1" s="783">
      <c r="B9872" s="901" t="n"/>
    </row>
    <row r="9873" ht="15" customHeight="1" s="783">
      <c r="B9873" s="901" t="n"/>
    </row>
    <row r="9874" ht="15" customHeight="1" s="783">
      <c r="B9874" s="901" t="n"/>
    </row>
    <row r="9875" ht="15" customHeight="1" s="783">
      <c r="B9875" s="901" t="n"/>
    </row>
    <row r="9876" ht="15" customHeight="1" s="783">
      <c r="B9876" s="901" t="n"/>
    </row>
    <row r="9877" ht="15" customHeight="1" s="783">
      <c r="B9877" s="901" t="n"/>
    </row>
    <row r="9878" ht="15" customHeight="1" s="783">
      <c r="B9878" s="901" t="n"/>
    </row>
    <row r="9879" ht="15" customHeight="1" s="783">
      <c r="B9879" s="901" t="n"/>
    </row>
    <row r="9880" ht="15" customHeight="1" s="783">
      <c r="B9880" s="901" t="n"/>
    </row>
    <row r="9881" ht="15" customHeight="1" s="783">
      <c r="B9881" s="901" t="n"/>
    </row>
    <row r="9882" ht="15" customHeight="1" s="783">
      <c r="B9882" s="901" t="n"/>
    </row>
    <row r="9883" ht="15" customHeight="1" s="783">
      <c r="B9883" s="901" t="n"/>
    </row>
    <row r="9884" ht="15" customHeight="1" s="783">
      <c r="B9884" s="901" t="n"/>
    </row>
    <row r="9885" ht="15" customHeight="1" s="783">
      <c r="B9885" s="901" t="n"/>
    </row>
    <row r="9886" ht="15" customHeight="1" s="783">
      <c r="B9886" s="901" t="n"/>
    </row>
    <row r="9887" ht="15" customHeight="1" s="783">
      <c r="B9887" s="901" t="n"/>
    </row>
    <row r="9888" ht="15" customHeight="1" s="783">
      <c r="B9888" s="901" t="n"/>
    </row>
    <row r="9889" ht="15" customHeight="1" s="783">
      <c r="B9889" s="901" t="n"/>
    </row>
    <row r="9890" ht="15" customHeight="1" s="783">
      <c r="B9890" s="901" t="n"/>
    </row>
    <row r="9891" ht="15" customHeight="1" s="783">
      <c r="B9891" s="901" t="n"/>
    </row>
    <row r="9892" ht="15" customHeight="1" s="783">
      <c r="B9892" s="901" t="n"/>
    </row>
    <row r="9893" ht="15" customHeight="1" s="783">
      <c r="B9893" s="901" t="n"/>
    </row>
    <row r="9894" ht="15" customHeight="1" s="783">
      <c r="B9894" s="901" t="n"/>
    </row>
    <row r="9895" ht="15" customHeight="1" s="783">
      <c r="B9895" s="901" t="n"/>
    </row>
    <row r="9896" ht="15" customHeight="1" s="783">
      <c r="B9896" s="901" t="n"/>
    </row>
    <row r="9897" ht="15" customHeight="1" s="783">
      <c r="B9897" s="901" t="n"/>
    </row>
    <row r="9898" ht="15" customHeight="1" s="783">
      <c r="B9898" s="901" t="n"/>
    </row>
    <row r="9899" ht="15" customHeight="1" s="783">
      <c r="B9899" s="901" t="n"/>
    </row>
    <row r="9900" ht="15" customHeight="1" s="783">
      <c r="B9900" s="901" t="n"/>
    </row>
    <row r="9901" ht="15" customHeight="1" s="783">
      <c r="B9901" s="901" t="n"/>
    </row>
    <row r="9902" ht="15" customHeight="1" s="783">
      <c r="B9902" s="901" t="n"/>
    </row>
    <row r="9903" ht="15" customHeight="1" s="783">
      <c r="B9903" s="901" t="n"/>
    </row>
    <row r="9904" ht="15" customHeight="1" s="783">
      <c r="B9904" s="901" t="n"/>
    </row>
    <row r="9905" ht="15" customHeight="1" s="783">
      <c r="B9905" s="901" t="n"/>
    </row>
    <row r="9906" ht="15" customHeight="1" s="783">
      <c r="B9906" s="901" t="n"/>
    </row>
    <row r="9907" ht="15" customHeight="1" s="783">
      <c r="B9907" s="901" t="n"/>
    </row>
    <row r="9908" ht="15" customHeight="1" s="783">
      <c r="B9908" s="901" t="n"/>
    </row>
    <row r="9909" ht="15" customHeight="1" s="783">
      <c r="B9909" s="901" t="n"/>
    </row>
    <row r="9910" ht="15" customHeight="1" s="783">
      <c r="B9910" s="901" t="n"/>
    </row>
    <row r="9911" ht="15" customHeight="1" s="783">
      <c r="B9911" s="901" t="n"/>
    </row>
    <row r="9912" ht="15" customHeight="1" s="783">
      <c r="B9912" s="901" t="n"/>
    </row>
    <row r="9913" ht="15" customHeight="1" s="783">
      <c r="B9913" s="901" t="n"/>
    </row>
    <row r="9914" ht="15" customHeight="1" s="783">
      <c r="B9914" s="901" t="n"/>
    </row>
    <row r="9915" ht="15" customHeight="1" s="783">
      <c r="B9915" s="901" t="n"/>
    </row>
    <row r="9916" ht="15" customHeight="1" s="783">
      <c r="B9916" s="901" t="n"/>
    </row>
    <row r="9917" ht="15" customHeight="1" s="783">
      <c r="B9917" s="901" t="n"/>
    </row>
    <row r="9918" ht="15" customHeight="1" s="783">
      <c r="B9918" s="901" t="n"/>
    </row>
    <row r="9919" ht="15" customHeight="1" s="783">
      <c r="B9919" s="901" t="n"/>
    </row>
    <row r="9920" ht="15" customHeight="1" s="783">
      <c r="B9920" s="901" t="n"/>
    </row>
    <row r="9921" ht="15" customHeight="1" s="783">
      <c r="B9921" s="901" t="n"/>
    </row>
    <row r="9922" ht="15" customHeight="1" s="783">
      <c r="B9922" s="901" t="n"/>
    </row>
    <row r="9923" ht="15" customHeight="1" s="783">
      <c r="B9923" s="901" t="n"/>
    </row>
    <row r="9924" ht="15" customHeight="1" s="783">
      <c r="B9924" s="901" t="n"/>
    </row>
    <row r="9925" ht="15" customHeight="1" s="783">
      <c r="B9925" s="901" t="n"/>
    </row>
    <row r="9926" ht="15" customHeight="1" s="783">
      <c r="B9926" s="901" t="n"/>
    </row>
    <row r="9927" ht="15" customHeight="1" s="783">
      <c r="B9927" s="901" t="n"/>
    </row>
    <row r="9928" ht="15" customHeight="1" s="783">
      <c r="B9928" s="901" t="n"/>
    </row>
    <row r="9929" ht="15" customHeight="1" s="783">
      <c r="B9929" s="901" t="n"/>
    </row>
    <row r="9930" ht="15" customHeight="1" s="783">
      <c r="B9930" s="901" t="n"/>
    </row>
    <row r="9931" ht="15" customHeight="1" s="783">
      <c r="B9931" s="901" t="n"/>
    </row>
    <row r="9932" ht="15" customHeight="1" s="783">
      <c r="B9932" s="901" t="n"/>
    </row>
    <row r="9933" ht="15" customHeight="1" s="783">
      <c r="B9933" s="901" t="n"/>
    </row>
    <row r="9934" ht="15" customHeight="1" s="783">
      <c r="B9934" s="901" t="n"/>
    </row>
    <row r="9935" ht="15" customHeight="1" s="783">
      <c r="B9935" s="901" t="n"/>
    </row>
    <row r="9936" ht="15" customHeight="1" s="783">
      <c r="B9936" s="901" t="n"/>
    </row>
    <row r="9937" ht="15" customHeight="1" s="783">
      <c r="B9937" s="901" t="n"/>
    </row>
    <row r="9938" ht="15" customHeight="1" s="783">
      <c r="B9938" s="901" t="n"/>
    </row>
    <row r="9939" ht="15" customHeight="1" s="783">
      <c r="B9939" s="901" t="n"/>
    </row>
    <row r="9940" ht="15" customHeight="1" s="783">
      <c r="B9940" s="901" t="n"/>
    </row>
    <row r="9941" ht="15" customHeight="1" s="783">
      <c r="B9941" s="901" t="n"/>
    </row>
    <row r="9942" ht="15" customHeight="1" s="783">
      <c r="B9942" s="901" t="n"/>
    </row>
    <row r="9943" ht="15" customHeight="1" s="783">
      <c r="B9943" s="901" t="n"/>
    </row>
    <row r="9944" ht="15" customHeight="1" s="783">
      <c r="B9944" s="901" t="n"/>
    </row>
    <row r="9945" ht="15" customHeight="1" s="783">
      <c r="B9945" s="901" t="n"/>
    </row>
    <row r="9946" ht="15" customHeight="1" s="783">
      <c r="B9946" s="901" t="n"/>
    </row>
    <row r="9947" ht="15" customHeight="1" s="783">
      <c r="B9947" s="901" t="n"/>
    </row>
    <row r="9948" ht="15" customHeight="1" s="783">
      <c r="B9948" s="901" t="n"/>
    </row>
    <row r="9949" ht="15" customHeight="1" s="783">
      <c r="B9949" s="901" t="n"/>
    </row>
    <row r="9950" ht="15" customHeight="1" s="783">
      <c r="B9950" s="901" t="n"/>
    </row>
    <row r="9951" ht="15" customHeight="1" s="783">
      <c r="B9951" s="901" t="n"/>
    </row>
    <row r="9952" ht="15" customHeight="1" s="783">
      <c r="B9952" s="901" t="n"/>
    </row>
    <row r="9953" ht="15" customHeight="1" s="783">
      <c r="B9953" s="901" t="n"/>
    </row>
    <row r="9954" ht="15" customHeight="1" s="783">
      <c r="B9954" s="901" t="n"/>
    </row>
    <row r="9955" ht="15" customHeight="1" s="783">
      <c r="B9955" s="901" t="n"/>
    </row>
    <row r="9956" ht="15" customHeight="1" s="783">
      <c r="B9956" s="901" t="n"/>
    </row>
    <row r="9957" ht="15" customHeight="1" s="783">
      <c r="B9957" s="901" t="n"/>
    </row>
    <row r="9958" ht="15" customHeight="1" s="783">
      <c r="B9958" s="901" t="n"/>
    </row>
    <row r="9959" ht="15" customHeight="1" s="783">
      <c r="B9959" s="901" t="n"/>
    </row>
    <row r="9960" ht="15" customHeight="1" s="783">
      <c r="B9960" s="901" t="n"/>
    </row>
    <row r="9961" ht="15" customHeight="1" s="783">
      <c r="B9961" s="901" t="n"/>
    </row>
    <row r="9962" ht="15" customHeight="1" s="783">
      <c r="B9962" s="901" t="n"/>
    </row>
    <row r="9963" ht="15" customHeight="1" s="783">
      <c r="B9963" s="901" t="n"/>
    </row>
    <row r="9964" ht="15" customHeight="1" s="783">
      <c r="B9964" s="901" t="n"/>
    </row>
    <row r="9965" ht="15" customHeight="1" s="783">
      <c r="B9965" s="901" t="n"/>
    </row>
    <row r="9966" ht="15" customHeight="1" s="783">
      <c r="B9966" s="901" t="n"/>
    </row>
    <row r="9967" ht="15" customHeight="1" s="783">
      <c r="B9967" s="901" t="n"/>
    </row>
    <row r="9968" ht="15" customHeight="1" s="783">
      <c r="B9968" s="901" t="n"/>
    </row>
    <row r="9969" ht="15" customHeight="1" s="783">
      <c r="B9969" s="901" t="n"/>
    </row>
    <row r="9970" ht="15" customHeight="1" s="783">
      <c r="B9970" s="901" t="n"/>
    </row>
    <row r="9971" ht="15" customHeight="1" s="783">
      <c r="B9971" s="901" t="n"/>
    </row>
    <row r="9972" ht="15" customHeight="1" s="783">
      <c r="B9972" s="901" t="n"/>
    </row>
    <row r="9973" ht="15" customHeight="1" s="783">
      <c r="B9973" s="901" t="n"/>
    </row>
    <row r="9974" ht="15" customHeight="1" s="783">
      <c r="B9974" s="901" t="n"/>
    </row>
    <row r="9975" ht="15" customHeight="1" s="783">
      <c r="B9975" s="901" t="n"/>
    </row>
    <row r="9976" ht="15" customHeight="1" s="783">
      <c r="B9976" s="901" t="n"/>
    </row>
    <row r="9977" ht="15" customHeight="1" s="783">
      <c r="B9977" s="901" t="n"/>
    </row>
    <row r="9978" ht="15" customHeight="1" s="783">
      <c r="B9978" s="901" t="n"/>
    </row>
    <row r="9979" ht="15" customHeight="1" s="783">
      <c r="B9979" s="901" t="n"/>
    </row>
    <row r="9980" ht="15" customHeight="1" s="783">
      <c r="B9980" s="901" t="n"/>
    </row>
    <row r="9981" ht="15" customHeight="1" s="783">
      <c r="B9981" s="901" t="n"/>
    </row>
    <row r="9982" ht="15" customHeight="1" s="783">
      <c r="B9982" s="901" t="n"/>
    </row>
    <row r="9983" ht="15" customHeight="1" s="783">
      <c r="B9983" s="901" t="n"/>
    </row>
    <row r="9984" ht="15" customHeight="1" s="783">
      <c r="B9984" s="901" t="n"/>
    </row>
    <row r="9985" ht="15" customHeight="1" s="783">
      <c r="B9985" s="901" t="n"/>
    </row>
    <row r="9986" ht="15" customHeight="1" s="783">
      <c r="B9986" s="901" t="n"/>
    </row>
    <row r="9987" ht="15" customHeight="1" s="783">
      <c r="B9987" s="901" t="n"/>
    </row>
    <row r="9988" ht="15" customHeight="1" s="783">
      <c r="B9988" s="901" t="n"/>
    </row>
    <row r="9989" ht="15" customHeight="1" s="783">
      <c r="B9989" s="901" t="n"/>
    </row>
    <row r="9990" ht="15" customHeight="1" s="783">
      <c r="B9990" s="901" t="n"/>
    </row>
    <row r="9991" ht="15" customHeight="1" s="783">
      <c r="B9991" s="901" t="n"/>
    </row>
    <row r="9992" ht="15" customHeight="1" s="783">
      <c r="B9992" s="901" t="n"/>
    </row>
    <row r="9993" ht="15" customHeight="1" s="783">
      <c r="B9993" s="901" t="n"/>
    </row>
    <row r="9994" ht="15" customHeight="1" s="783">
      <c r="B9994" s="901" t="n"/>
    </row>
    <row r="9995" ht="15" customHeight="1" s="783">
      <c r="B9995" s="901" t="n"/>
    </row>
    <row r="9996" ht="15" customHeight="1" s="783">
      <c r="B9996" s="901" t="n"/>
    </row>
    <row r="9997" ht="15" customHeight="1" s="783">
      <c r="B9997" s="901" t="n"/>
    </row>
    <row r="9998" ht="15" customHeight="1" s="783">
      <c r="B9998" s="901" t="n"/>
    </row>
    <row r="9999" ht="15" customHeight="1" s="783">
      <c r="B9999" s="901" t="n"/>
    </row>
    <row r="10000" ht="15" customHeight="1" s="783">
      <c r="B10000" s="901" t="n"/>
    </row>
    <row r="10001" ht="15" customHeight="1" s="783">
      <c r="B10001" s="901" t="n"/>
    </row>
    <row r="10002" ht="15" customHeight="1" s="783">
      <c r="B10002" s="901" t="n"/>
    </row>
    <row r="10003" ht="15" customHeight="1" s="783">
      <c r="B10003" s="901" t="n"/>
    </row>
    <row r="10004" ht="15" customHeight="1" s="783">
      <c r="B10004" s="901" t="n"/>
    </row>
    <row r="10005" ht="15" customHeight="1" s="783">
      <c r="B10005" s="901" t="n"/>
    </row>
    <row r="10006" ht="15" customHeight="1" s="783">
      <c r="B10006" s="901" t="n"/>
    </row>
    <row r="10007" ht="15" customHeight="1" s="783">
      <c r="B10007" s="901" t="n"/>
    </row>
    <row r="10008" ht="15" customHeight="1" s="783">
      <c r="B10008" s="901" t="n"/>
    </row>
    <row r="10009" ht="15" customHeight="1" s="783">
      <c r="B10009" s="901" t="n"/>
    </row>
    <row r="10010" ht="15" customHeight="1" s="783">
      <c r="B10010" s="901" t="n"/>
    </row>
    <row r="10011" ht="15" customHeight="1" s="783">
      <c r="B10011" s="901" t="n"/>
    </row>
    <row r="10012" ht="15" customHeight="1" s="783">
      <c r="B10012" s="901" t="n"/>
    </row>
    <row r="10013" ht="15" customHeight="1" s="783">
      <c r="B10013" s="901" t="n"/>
    </row>
    <row r="10014" ht="15" customHeight="1" s="783">
      <c r="B10014" s="901" t="n"/>
    </row>
    <row r="10015" ht="15" customHeight="1" s="783">
      <c r="B10015" s="901" t="n"/>
    </row>
    <row r="10016" ht="15" customHeight="1" s="783">
      <c r="B10016" s="901" t="n"/>
    </row>
    <row r="10017" ht="15" customHeight="1" s="783">
      <c r="B10017" s="901" t="n"/>
    </row>
    <row r="10018" ht="15" customHeight="1" s="783">
      <c r="B10018" s="901" t="n"/>
    </row>
    <row r="10019" ht="15" customHeight="1" s="783">
      <c r="B10019" s="901" t="n"/>
    </row>
    <row r="10020" ht="15" customHeight="1" s="783">
      <c r="B10020" s="901" t="n"/>
    </row>
    <row r="10021" ht="15" customHeight="1" s="783">
      <c r="B10021" s="901" t="n"/>
    </row>
    <row r="10022" ht="15" customHeight="1" s="783">
      <c r="B10022" s="901" t="n"/>
    </row>
    <row r="10023" ht="15" customHeight="1" s="783">
      <c r="B10023" s="901" t="n"/>
    </row>
    <row r="10024" ht="15" customHeight="1" s="783">
      <c r="B10024" s="901" t="n"/>
    </row>
    <row r="10025" ht="15" customHeight="1" s="783">
      <c r="B10025" s="901" t="n"/>
    </row>
    <row r="10026" ht="15" customHeight="1" s="783">
      <c r="B10026" s="901" t="n"/>
    </row>
    <row r="10027" ht="15" customHeight="1" s="783">
      <c r="B10027" s="901" t="n"/>
    </row>
    <row r="10028" ht="15" customHeight="1" s="783">
      <c r="B10028" s="901" t="n"/>
    </row>
    <row r="10029" ht="15" customHeight="1" s="783">
      <c r="B10029" s="901" t="n"/>
    </row>
    <row r="10030" ht="15" customHeight="1" s="783">
      <c r="B10030" s="901" t="n"/>
    </row>
    <row r="10031" ht="15" customHeight="1" s="783">
      <c r="B10031" s="901" t="n"/>
    </row>
    <row r="10032" ht="15" customHeight="1" s="783">
      <c r="B10032" s="901" t="n"/>
    </row>
    <row r="10033" ht="15" customHeight="1" s="783">
      <c r="B10033" s="901" t="n"/>
    </row>
    <row r="10034" ht="15" customHeight="1" s="783">
      <c r="B10034" s="901" t="n"/>
    </row>
    <row r="10035" ht="15" customHeight="1" s="783">
      <c r="B10035" s="901" t="n"/>
    </row>
    <row r="10036" ht="15" customHeight="1" s="783">
      <c r="B10036" s="901" t="n"/>
    </row>
    <row r="10037" ht="15" customHeight="1" s="783">
      <c r="B10037" s="901" t="n"/>
    </row>
    <row r="10038" ht="15" customHeight="1" s="783">
      <c r="B10038" s="901" t="n"/>
    </row>
    <row r="10039" ht="15" customHeight="1" s="783">
      <c r="B10039" s="901" t="n"/>
    </row>
    <row r="10040" ht="15" customHeight="1" s="783">
      <c r="B10040" s="901" t="n"/>
    </row>
    <row r="10041" ht="15" customHeight="1" s="783">
      <c r="B10041" s="901" t="n"/>
    </row>
    <row r="10042" ht="15" customHeight="1" s="783">
      <c r="B10042" s="901" t="n"/>
    </row>
    <row r="10043" ht="15" customHeight="1" s="783">
      <c r="B10043" s="901" t="n"/>
    </row>
    <row r="10044" ht="15" customHeight="1" s="783">
      <c r="B10044" s="901" t="n"/>
    </row>
    <row r="10045" ht="15" customHeight="1" s="783">
      <c r="B10045" s="901" t="n"/>
    </row>
    <row r="10046" ht="15" customHeight="1" s="783">
      <c r="B10046" s="901" t="n"/>
    </row>
    <row r="10047" ht="15" customHeight="1" s="783">
      <c r="B10047" s="901" t="n"/>
    </row>
    <row r="10048" ht="15" customHeight="1" s="783">
      <c r="B10048" s="901" t="n"/>
    </row>
    <row r="10049" ht="15" customHeight="1" s="783">
      <c r="B10049" s="901" t="n"/>
    </row>
    <row r="10050" ht="15" customHeight="1" s="783">
      <c r="B10050" s="901" t="n"/>
    </row>
    <row r="10051" ht="15" customHeight="1" s="783">
      <c r="B10051" s="901" t="n"/>
    </row>
    <row r="10052" ht="15" customHeight="1" s="783">
      <c r="B10052" s="901" t="n"/>
    </row>
    <row r="10053" ht="15" customHeight="1" s="783">
      <c r="B10053" s="901" t="n"/>
    </row>
    <row r="10054" ht="15" customHeight="1" s="783">
      <c r="B10054" s="901" t="n"/>
    </row>
    <row r="10055" ht="15" customHeight="1" s="783">
      <c r="B10055" s="901" t="n"/>
    </row>
  </sheetData>
  <conditionalFormatting sqref="D17:F20 D33:F40 E21:F22 E27:F32 F26 L4:L5 L12:L16">
    <cfRule type="colorScale" priority="2">
      <colorScale>
        <cfvo type="num" val="-0.5"/>
        <cfvo type="num" val="0"/>
        <cfvo type="num" val="0.5"/>
        <color rgb="FFF8696B"/>
        <color theme="0"/>
        <color rgb="FF63BE7B"/>
      </colorScale>
    </cfRule>
  </conditionalFormatting>
  <conditionalFormatting sqref="D7:H11">
    <cfRule type="colorScale" priority="1">
      <colorScale>
        <cfvo type="num" val="-0.5"/>
        <cfvo type="num" val="0"/>
        <cfvo type="num" val="0.5"/>
        <color rgb="FFF8696B"/>
        <color theme="0"/>
        <color rgb="FF63BE7B"/>
      </colorScale>
    </cfRule>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bloomberg-alunos</dc:creator>
  <dcterms:created xsi:type="dcterms:W3CDTF">2025-02-25T16:23:47Z</dcterms:created>
  <dcterms:modified xsi:type="dcterms:W3CDTF">2025-05-27T16:59:28Z</dcterms:modified>
  <cp:lastModifiedBy>bloomberg-alunos</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0x010100162ABDA6886CF6498653E646AB2571ED</vt:lpwstr>
  </property>
  <property name="MediaServiceImageTags" fmtid="{D5CDD505-2E9C-101B-9397-08002B2CF9AE}" pid="3">
    <vt:lpwstr/>
  </property>
</Properties>
</file>